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mla\Desktop\ООО ХК СДС-Энерго\2025 на 2026\шаблон\"/>
    </mc:Choice>
  </mc:AlternateContent>
  <xr:revisionPtr revIDLastSave="0" documentId="8_{DB1695A5-6B45-4C7F-9622-8118DF1E1030}" xr6:coauthVersionLast="37" xr6:coauthVersionMax="37" xr10:uidLastSave="{00000000-0000-0000-0000-000000000000}"/>
  <bookViews>
    <workbookView xWindow="0" yWindow="0" windowWidth="14355" windowHeight="11595" tabRatio="858" firstSheet="22" activeTab="32"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state="hidden"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SEP_DIV" sheetId="41" state="hidden" r:id="rId41"/>
    <sheet name="REESTR_DOP" sheetId="42" state="hidden" r:id="rId42"/>
  </sheets>
  <definedNames>
    <definedName name="_xlnm._FilterDatabase" localSheetId="11">'Топливо 4.4'!$T$1:$AE$275</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объектов'!$AI$42</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ТН'!$AB$62:$BC$64</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ТН'!$AE$28:$BC$59</definedName>
    <definedName name="json_preload_IPSources">'ИП источники'!$AE$30:$BC$69</definedName>
    <definedName name="json_preload_ObjectList">'Список объектов'!$AH$28:$AH$42</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s>
  <calcPr calcId="179021"/>
</workbook>
</file>

<file path=xl/calcChain.xml><?xml version="1.0" encoding="utf-8"?>
<calcChain xmlns="http://schemas.openxmlformats.org/spreadsheetml/2006/main">
  <c r="M20" i="36" l="1"/>
  <c r="M19" i="36"/>
  <c r="M16" i="36"/>
  <c r="M15" i="36"/>
  <c r="M12" i="36"/>
  <c r="M11" i="36"/>
  <c r="X34" i="35"/>
  <c r="T134" i="34"/>
  <c r="H130" i="34"/>
  <c r="AN130" i="34" s="1" a="1"/>
  <c r="AN130" i="34" s="1"/>
  <c r="AN129" i="34" a="1"/>
  <c r="AN129" i="34" s="1"/>
  <c r="AB129" i="34"/>
  <c r="H129" i="34"/>
  <c r="B129" i="34"/>
  <c r="H128" i="34"/>
  <c r="AN127" i="34" a="1"/>
  <c r="AN127" i="34" s="1"/>
  <c r="AB127" i="34"/>
  <c r="H127" i="34"/>
  <c r="B127" i="34"/>
  <c r="H126" i="34"/>
  <c r="AN125" i="34" a="1"/>
  <c r="AN125" i="34" s="1"/>
  <c r="AB125" i="34"/>
  <c r="H125" i="34"/>
  <c r="B125" i="34"/>
  <c r="H124" i="34"/>
  <c r="AN123" i="34" a="1"/>
  <c r="AN123" i="34" s="1"/>
  <c r="AB123" i="34"/>
  <c r="H123" i="34"/>
  <c r="B123" i="34"/>
  <c r="H122" i="34"/>
  <c r="AN121" i="34" a="1"/>
  <c r="AN121" i="34" s="1"/>
  <c r="AB121" i="34"/>
  <c r="H121" i="34"/>
  <c r="B121" i="34"/>
  <c r="H120" i="34"/>
  <c r="AN119" i="34" a="1"/>
  <c r="AN119" i="34" s="1"/>
  <c r="AB119" i="34"/>
  <c r="H119" i="34"/>
  <c r="B119" i="34"/>
  <c r="H118" i="34"/>
  <c r="AN117" i="34" a="1"/>
  <c r="AN117" i="34" s="1"/>
  <c r="AB117" i="34"/>
  <c r="H117" i="34"/>
  <c r="B117" i="34"/>
  <c r="H116" i="34"/>
  <c r="AN115" i="34" a="1"/>
  <c r="AN115" i="34" s="1"/>
  <c r="AB115" i="34"/>
  <c r="H115" i="34"/>
  <c r="B115" i="34"/>
  <c r="H114" i="34"/>
  <c r="AN113" i="34" a="1"/>
  <c r="AN113" i="34" s="1"/>
  <c r="AB113" i="34"/>
  <c r="H113" i="34"/>
  <c r="B113" i="34"/>
  <c r="H112" i="34"/>
  <c r="AN111" i="34" a="1"/>
  <c r="AN111" i="34" s="1"/>
  <c r="AB111" i="34"/>
  <c r="H111" i="34"/>
  <c r="B111" i="34"/>
  <c r="H110" i="34"/>
  <c r="AN109" i="34" a="1"/>
  <c r="AN109" i="34" s="1"/>
  <c r="AB109" i="34"/>
  <c r="H109" i="34"/>
  <c r="B109" i="34"/>
  <c r="H108" i="34"/>
  <c r="AN108" i="34" s="1" a="1"/>
  <c r="AN108" i="34" s="1"/>
  <c r="AN107" i="34" a="1"/>
  <c r="AN107" i="34" s="1"/>
  <c r="AB107" i="34"/>
  <c r="H107" i="34"/>
  <c r="B107" i="34"/>
  <c r="H106" i="34"/>
  <c r="AN106" i="34" s="1" a="1"/>
  <c r="AN106" i="34" s="1"/>
  <c r="AN105" i="34" a="1"/>
  <c r="AN105" i="34" s="1"/>
  <c r="AB105" i="34"/>
  <c r="H105" i="34"/>
  <c r="B105" i="34"/>
  <c r="H104" i="34"/>
  <c r="AN104" i="34" s="1" a="1"/>
  <c r="AN104" i="34" s="1"/>
  <c r="AN103" i="34" a="1"/>
  <c r="AN103" i="34" s="1"/>
  <c r="AB103" i="34"/>
  <c r="H103" i="34"/>
  <c r="B103" i="34"/>
  <c r="H102" i="34"/>
  <c r="AN102" i="34" s="1" a="1"/>
  <c r="AN102" i="34" s="1"/>
  <c r="AN101" i="34" a="1"/>
  <c r="AN101" i="34" s="1"/>
  <c r="AB101" i="34"/>
  <c r="H101" i="34"/>
  <c r="B101" i="34"/>
  <c r="H100" i="34"/>
  <c r="AN100" i="34" s="1" a="1"/>
  <c r="AN100" i="34" s="1"/>
  <c r="AN99" i="34" a="1"/>
  <c r="AN99" i="34" s="1"/>
  <c r="AB99" i="34"/>
  <c r="H99" i="34"/>
  <c r="B99" i="34"/>
  <c r="H98" i="34"/>
  <c r="AN98" i="34" s="1" a="1"/>
  <c r="AN98" i="34" s="1"/>
  <c r="AN97" i="34" a="1"/>
  <c r="AN97" i="34" s="1"/>
  <c r="AB97" i="34"/>
  <c r="H97" i="34"/>
  <c r="B97" i="34"/>
  <c r="H96" i="34"/>
  <c r="AN95" i="34" a="1"/>
  <c r="AN95" i="34" s="1"/>
  <c r="AB95" i="34"/>
  <c r="H95" i="34"/>
  <c r="B95" i="34"/>
  <c r="H94" i="34"/>
  <c r="AN93" i="34" a="1"/>
  <c r="AN93" i="34" s="1"/>
  <c r="AB93" i="34"/>
  <c r="H93" i="34"/>
  <c r="B93" i="34"/>
  <c r="H92" i="34"/>
  <c r="AN91" i="34" a="1"/>
  <c r="AN91" i="34" s="1"/>
  <c r="AB91" i="34"/>
  <c r="H91" i="34"/>
  <c r="B91" i="34"/>
  <c r="H90" i="34"/>
  <c r="AN89" i="34" a="1"/>
  <c r="AN89" i="34" s="1"/>
  <c r="AB89" i="34"/>
  <c r="H89" i="34"/>
  <c r="B89" i="34"/>
  <c r="H88" i="34"/>
  <c r="AN87" i="34" a="1"/>
  <c r="AN87" i="34" s="1"/>
  <c r="AB87" i="34"/>
  <c r="H87" i="34"/>
  <c r="B87" i="34"/>
  <c r="H86" i="34"/>
  <c r="AN85" i="34" a="1"/>
  <c r="AN85" i="34" s="1"/>
  <c r="H85" i="34"/>
  <c r="H84" i="34"/>
  <c r="AN84" i="34" s="1" a="1"/>
  <c r="AN84" i="34" s="1"/>
  <c r="AN83" i="34" a="1"/>
  <c r="AN83" i="34" s="1"/>
  <c r="H83" i="34"/>
  <c r="AN82" i="34" a="1"/>
  <c r="AN82" i="34" s="1"/>
  <c r="AB82" i="34"/>
  <c r="H82" i="34"/>
  <c r="B82" i="34"/>
  <c r="T81" i="34" a="1"/>
  <c r="T81" i="34" s="1"/>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H81" i="34" a="1"/>
  <c r="H81" i="34" s="1"/>
  <c r="F81" i="34" a="1"/>
  <c r="F81" i="34" s="1"/>
  <c r="F82" i="34" s="1" a="1"/>
  <c r="F82" i="34" s="1"/>
  <c r="F83" i="34" s="1" a="1"/>
  <c r="F83" i="34" s="1"/>
  <c r="F84" i="34" s="1" a="1"/>
  <c r="F84" i="34" s="1"/>
  <c r="F85" i="34" s="1" a="1"/>
  <c r="F85" i="34" s="1"/>
  <c r="F86" i="34" s="1" a="1"/>
  <c r="F86" i="34" s="1"/>
  <c r="F87" i="34" s="1" a="1"/>
  <c r="F87" i="34" s="1"/>
  <c r="B81" i="34"/>
  <c r="T80" i="34"/>
  <c r="F80" i="34" a="1"/>
  <c r="F80" i="34" s="1"/>
  <c r="AN79" i="34" a="1"/>
  <c r="AN79" i="34" s="1"/>
  <c r="AB79" i="34"/>
  <c r="H79" i="34"/>
  <c r="B79" i="34"/>
  <c r="H78" i="34"/>
  <c r="AN77" i="34" a="1"/>
  <c r="AN77" i="34" s="1"/>
  <c r="AB77" i="34"/>
  <c r="H77" i="34"/>
  <c r="B77" i="34"/>
  <c r="H76" i="34"/>
  <c r="AN75" i="34" a="1"/>
  <c r="AN75" i="34" s="1"/>
  <c r="AB75" i="34"/>
  <c r="H75" i="34"/>
  <c r="B75" i="34"/>
  <c r="H74" i="34"/>
  <c r="B74" i="34"/>
  <c r="H73" i="34"/>
  <c r="AN73" i="34" s="1" a="1"/>
  <c r="AN73" i="34" s="1"/>
  <c r="AN72" i="34" a="1"/>
  <c r="AN72" i="34" s="1"/>
  <c r="AB72" i="34"/>
  <c r="H72" i="34"/>
  <c r="B72" i="34"/>
  <c r="H71" i="34"/>
  <c r="AN70" i="34" a="1"/>
  <c r="AN70" i="34" s="1"/>
  <c r="AB70" i="34"/>
  <c r="H70" i="34"/>
  <c r="B70" i="34"/>
  <c r="H69" i="34"/>
  <c r="AN68" i="34" a="1"/>
  <c r="AN68" i="34" s="1"/>
  <c r="AB68" i="34"/>
  <c r="H68" i="34"/>
  <c r="B68" i="34"/>
  <c r="H67" i="34"/>
  <c r="AN66" i="34" a="1"/>
  <c r="AN66" i="34" s="1"/>
  <c r="AB66" i="34"/>
  <c r="H66" i="34"/>
  <c r="B66" i="34"/>
  <c r="H65" i="34"/>
  <c r="AN64" i="34" a="1"/>
  <c r="AN64" i="34" s="1"/>
  <c r="AB64" i="34"/>
  <c r="H64" i="34"/>
  <c r="B64" i="34"/>
  <c r="H63" i="34"/>
  <c r="H62" i="34"/>
  <c r="AN62" i="34" s="1" a="1"/>
  <c r="AN62" i="34" s="1"/>
  <c r="AN61" i="34" a="1"/>
  <c r="AN61" i="34" s="1"/>
  <c r="AB61" i="34"/>
  <c r="H61" i="34"/>
  <c r="B61" i="34"/>
  <c r="H60" i="34"/>
  <c r="AN60" i="34" s="1" a="1"/>
  <c r="AN60" i="34" s="1"/>
  <c r="AN59" i="34" a="1"/>
  <c r="AN59" i="34" s="1"/>
  <c r="AB59" i="34"/>
  <c r="H59" i="34"/>
  <c r="B59" i="34"/>
  <c r="H58" i="34"/>
  <c r="AN58" i="34" s="1" a="1"/>
  <c r="AN58" i="34" s="1"/>
  <c r="AN57" i="34" a="1"/>
  <c r="AN57" i="34" s="1"/>
  <c r="AB57" i="34"/>
  <c r="H57" i="34"/>
  <c r="B57" i="34"/>
  <c r="H56" i="34"/>
  <c r="AN56" i="34" s="1" a="1"/>
  <c r="AN56" i="34" s="1"/>
  <c r="AN55" i="34" a="1"/>
  <c r="AN55" i="34" s="1"/>
  <c r="AB55" i="34"/>
  <c r="H55" i="34"/>
  <c r="B55" i="34"/>
  <c r="H54" i="34"/>
  <c r="AN54" i="34" s="1" a="1"/>
  <c r="AN54" i="34" s="1"/>
  <c r="AN53" i="34" a="1"/>
  <c r="AN53" i="34" s="1"/>
  <c r="AB53" i="34"/>
  <c r="H53" i="34"/>
  <c r="B53" i="34"/>
  <c r="H52" i="34"/>
  <c r="AN52" i="34" s="1" a="1"/>
  <c r="AN52" i="34" s="1"/>
  <c r="AN51" i="34" a="1"/>
  <c r="AN51" i="34" s="1"/>
  <c r="AB51" i="34"/>
  <c r="H51" i="34"/>
  <c r="B51" i="34"/>
  <c r="H50" i="34"/>
  <c r="AN50" i="34" s="1" a="1"/>
  <c r="AN50" i="34" s="1"/>
  <c r="AN49" i="34" a="1"/>
  <c r="AN49" i="34" s="1"/>
  <c r="AB49" i="34"/>
  <c r="H49" i="34"/>
  <c r="B49" i="34"/>
  <c r="H48" i="34"/>
  <c r="AN48" i="34" s="1" a="1"/>
  <c r="AN48" i="34" s="1"/>
  <c r="AN47" i="34" a="1"/>
  <c r="AN47" i="34" s="1"/>
  <c r="AB47" i="34"/>
  <c r="H47" i="34"/>
  <c r="B47" i="34"/>
  <c r="H46" i="34"/>
  <c r="AN46" i="34" s="1" a="1"/>
  <c r="AN46" i="34" s="1"/>
  <c r="AN45" i="34" a="1"/>
  <c r="AN45" i="34" s="1"/>
  <c r="AB45" i="34"/>
  <c r="H45" i="34"/>
  <c r="B45" i="34"/>
  <c r="H44" i="34"/>
  <c r="AN44" i="34" s="1" a="1"/>
  <c r="AN44" i="34" s="1"/>
  <c r="AN43" i="34" a="1"/>
  <c r="AN43" i="34" s="1"/>
  <c r="AB43" i="34"/>
  <c r="H43" i="34"/>
  <c r="B43" i="34"/>
  <c r="H42" i="34"/>
  <c r="AN42" i="34" s="1" a="1"/>
  <c r="AN42" i="34" s="1"/>
  <c r="AN41" i="34" a="1"/>
  <c r="AN41" i="34" s="1"/>
  <c r="AB41" i="34"/>
  <c r="H41" i="34"/>
  <c r="B41" i="34"/>
  <c r="H40" i="34"/>
  <c r="AN40" i="34" s="1" a="1"/>
  <c r="AN40" i="34" s="1"/>
  <c r="AN39" i="34" a="1"/>
  <c r="AN39" i="34" s="1"/>
  <c r="AB39" i="34"/>
  <c r="H39" i="34"/>
  <c r="B39" i="34"/>
  <c r="H38" i="34"/>
  <c r="AN37" i="34" a="1"/>
  <c r="AN37" i="34" s="1"/>
  <c r="AB37" i="34"/>
  <c r="H37" i="34"/>
  <c r="B37" i="34"/>
  <c r="H36" i="34"/>
  <c r="AN35" i="34" a="1"/>
  <c r="AN35" i="34" s="1"/>
  <c r="AB35" i="34"/>
  <c r="H35" i="34"/>
  <c r="B35" i="34"/>
  <c r="AB34" i="34"/>
  <c r="H34" i="34"/>
  <c r="AN34" i="34" s="1" a="1"/>
  <c r="AN34" i="34" s="1"/>
  <c r="B34" i="34"/>
  <c r="AB33" i="34"/>
  <c r="H33" i="34"/>
  <c r="AN33" i="34" s="1" a="1"/>
  <c r="AN33" i="34" s="1"/>
  <c r="B33" i="34"/>
  <c r="AB32" i="34"/>
  <c r="H32" i="34"/>
  <c r="AN32" i="34" s="1" a="1"/>
  <c r="AN32" i="34" s="1"/>
  <c r="B32" i="34"/>
  <c r="AB31" i="34"/>
  <c r="H31" i="34"/>
  <c r="AN31" i="34" s="1" a="1"/>
  <c r="AN31" i="34" s="1"/>
  <c r="B31" i="34"/>
  <c r="AC30" i="34"/>
  <c r="T30" i="34"/>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H30" i="34" a="1"/>
  <c r="H30" i="34"/>
  <c r="T29" i="34"/>
  <c r="T30" i="34" s="1" a="1"/>
  <c r="F29" i="34" a="1"/>
  <c r="F29" i="34"/>
  <c r="F30" i="34" s="1" a="1"/>
  <c r="F30" i="34" s="1"/>
  <c r="F31" i="34" s="1" a="1"/>
  <c r="F31" i="34" s="1"/>
  <c r="F32" i="34" s="1" a="1"/>
  <c r="F32" i="34" s="1"/>
  <c r="F33" i="34" s="1" a="1"/>
  <c r="F33" i="34" s="1"/>
  <c r="F34" i="34" s="1" a="1"/>
  <c r="F34" i="34" s="1"/>
  <c r="F35" i="34" s="1" a="1"/>
  <c r="F35" i="34" s="1"/>
  <c r="T124" i="33"/>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V114" i="33"/>
  <c r="FU114" i="33"/>
  <c r="FW114" i="33" s="1"/>
  <c r="FS114" i="33"/>
  <c r="FR114" i="33"/>
  <c r="FT114" i="33" s="1"/>
  <c r="FP114" i="33"/>
  <c r="FO114" i="33"/>
  <c r="FQ114" i="33" s="1"/>
  <c r="FM114" i="33"/>
  <c r="FL114" i="33"/>
  <c r="FN114" i="33" s="1"/>
  <c r="FJ114" i="33"/>
  <c r="FI114" i="33"/>
  <c r="FK114" i="33" s="1"/>
  <c r="FG114" i="33"/>
  <c r="FF114" i="33"/>
  <c r="FH114" i="33" s="1"/>
  <c r="FD114" i="33"/>
  <c r="FC114" i="33"/>
  <c r="FE114" i="33" s="1"/>
  <c r="FA114" i="33"/>
  <c r="EZ114" i="33"/>
  <c r="FB114" i="33" s="1"/>
  <c r="EX114" i="33"/>
  <c r="EW114" i="33"/>
  <c r="EY114" i="33" s="1"/>
  <c r="EU114" i="33"/>
  <c r="ET114" i="33"/>
  <c r="EV114" i="33" s="1"/>
  <c r="ER114" i="33"/>
  <c r="EQ114" i="33"/>
  <c r="ES114" i="33" s="1"/>
  <c r="EO114" i="33"/>
  <c r="EN114" i="33"/>
  <c r="EP114" i="33" s="1"/>
  <c r="EL114" i="33"/>
  <c r="EK114" i="33"/>
  <c r="EM114" i="33" s="1"/>
  <c r="EI114" i="33"/>
  <c r="EH114" i="33"/>
  <c r="EJ114" i="33" s="1"/>
  <c r="EF114" i="33"/>
  <c r="EE114" i="33"/>
  <c r="EG114" i="33" s="1"/>
  <c r="EC114" i="33"/>
  <c r="EB114" i="33"/>
  <c r="ED114" i="33" s="1"/>
  <c r="DZ114" i="33"/>
  <c r="DY114" i="33"/>
  <c r="EA114" i="33" s="1"/>
  <c r="DW114" i="33"/>
  <c r="DV114" i="33"/>
  <c r="DX114" i="33" s="1"/>
  <c r="DT114" i="33"/>
  <c r="DS114" i="33"/>
  <c r="DU114" i="33" s="1"/>
  <c r="DQ114" i="33"/>
  <c r="DP114" i="33"/>
  <c r="DR114" i="33" s="1"/>
  <c r="DN114" i="33"/>
  <c r="DM114" i="33"/>
  <c r="DO114" i="33" s="1"/>
  <c r="DK114" i="33"/>
  <c r="DJ114" i="33"/>
  <c r="DL114" i="33" s="1"/>
  <c r="DH114" i="33"/>
  <c r="DG114" i="33"/>
  <c r="DI114" i="33" s="1"/>
  <c r="DE114" i="33"/>
  <c r="DD114" i="33"/>
  <c r="DF114" i="33" s="1"/>
  <c r="DB114" i="33"/>
  <c r="DA114" i="33"/>
  <c r="DC114" i="33" s="1"/>
  <c r="CY114" i="33"/>
  <c r="CX114" i="33"/>
  <c r="CZ114" i="33" s="1"/>
  <c r="CV114" i="33"/>
  <c r="CU114" i="33"/>
  <c r="CW114" i="33" s="1"/>
  <c r="CS114" i="33"/>
  <c r="CR114" i="33"/>
  <c r="CT114" i="33" s="1"/>
  <c r="CP114" i="33"/>
  <c r="CO114" i="33"/>
  <c r="CQ114" i="33" s="1"/>
  <c r="CM114" i="33"/>
  <c r="CL114" i="33"/>
  <c r="CN114" i="33" s="1"/>
  <c r="CJ114" i="33"/>
  <c r="CI114" i="33"/>
  <c r="CK114" i="33" s="1"/>
  <c r="CG114" i="33"/>
  <c r="CF114" i="33"/>
  <c r="CH114" i="33" s="1"/>
  <c r="CD114" i="33"/>
  <c r="CC114" i="33"/>
  <c r="CE114" i="33" s="1"/>
  <c r="CA114" i="33"/>
  <c r="BZ114" i="33"/>
  <c r="CB114" i="33" s="1"/>
  <c r="BX114" i="33"/>
  <c r="BW114" i="33"/>
  <c r="BY114" i="33" s="1"/>
  <c r="BU114" i="33"/>
  <c r="BT114" i="33"/>
  <c r="BV114" i="33" s="1"/>
  <c r="BR114" i="33"/>
  <c r="BQ114" i="33"/>
  <c r="BS114" i="33" s="1"/>
  <c r="BO114" i="33"/>
  <c r="BN114" i="33"/>
  <c r="BP114" i="33" s="1"/>
  <c r="BL114" i="33"/>
  <c r="BK114" i="33"/>
  <c r="BM114" i="33" s="1"/>
  <c r="BI114" i="33"/>
  <c r="BH114" i="33"/>
  <c r="BJ114" i="33" s="1"/>
  <c r="BF114" i="33"/>
  <c r="BE114" i="33"/>
  <c r="BG114" i="33" s="1"/>
  <c r="BC114" i="33"/>
  <c r="BB114" i="33"/>
  <c r="BD114" i="33" s="1"/>
  <c r="AZ114" i="33"/>
  <c r="AY114" i="33"/>
  <c r="BA114" i="33" s="1"/>
  <c r="AW114" i="33"/>
  <c r="AV114" i="33"/>
  <c r="AX114" i="33" s="1"/>
  <c r="AT114" i="33"/>
  <c r="AS114" i="33"/>
  <c r="AU114" i="33" s="1"/>
  <c r="AQ114" i="33"/>
  <c r="AP114" i="33"/>
  <c r="AR114" i="33" s="1"/>
  <c r="AN114" i="33"/>
  <c r="AM114" i="33"/>
  <c r="AO114" i="33" s="1"/>
  <c r="AK114" i="33"/>
  <c r="AJ114" i="33"/>
  <c r="AL114" i="33" s="1"/>
  <c r="AH114" i="33"/>
  <c r="AG114" i="33"/>
  <c r="AI114" i="33" s="1"/>
  <c r="AE114" i="33"/>
  <c r="AD114" i="33"/>
  <c r="AF114" i="33" s="1"/>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V108" i="33"/>
  <c r="FU108" i="33"/>
  <c r="FW108" i="33" s="1"/>
  <c r="FS108" i="33"/>
  <c r="FR108" i="33"/>
  <c r="FT108" i="33" s="1"/>
  <c r="FP108" i="33"/>
  <c r="FO108" i="33"/>
  <c r="FQ108" i="33" s="1"/>
  <c r="FM108" i="33"/>
  <c r="FL108" i="33"/>
  <c r="FN108" i="33" s="1"/>
  <c r="FJ108" i="33"/>
  <c r="FI108" i="33"/>
  <c r="FK108" i="33" s="1"/>
  <c r="FG108" i="33"/>
  <c r="FF108" i="33"/>
  <c r="FH108" i="33" s="1"/>
  <c r="FD108" i="33"/>
  <c r="FC108" i="33"/>
  <c r="FE108" i="33" s="1"/>
  <c r="FA108" i="33"/>
  <c r="EZ108" i="33"/>
  <c r="FB108" i="33" s="1"/>
  <c r="EX108" i="33"/>
  <c r="EW108" i="33"/>
  <c r="EY108" i="33" s="1"/>
  <c r="EU108" i="33"/>
  <c r="ET108" i="33"/>
  <c r="EV108" i="33" s="1"/>
  <c r="ER108" i="33"/>
  <c r="EQ108" i="33"/>
  <c r="ES108" i="33" s="1"/>
  <c r="EO108" i="33"/>
  <c r="EN108" i="33"/>
  <c r="EP108" i="33" s="1"/>
  <c r="EL108" i="33"/>
  <c r="EK108" i="33"/>
  <c r="EM108" i="33" s="1"/>
  <c r="EI108" i="33"/>
  <c r="EH108" i="33"/>
  <c r="EJ108" i="33" s="1"/>
  <c r="EF108" i="33"/>
  <c r="EE108" i="33"/>
  <c r="EG108" i="33" s="1"/>
  <c r="EC108" i="33"/>
  <c r="EB108" i="33"/>
  <c r="ED108" i="33" s="1"/>
  <c r="DZ108" i="33"/>
  <c r="DY108" i="33"/>
  <c r="EA108" i="33" s="1"/>
  <c r="DW108" i="33"/>
  <c r="DV108" i="33"/>
  <c r="DX108" i="33" s="1"/>
  <c r="DT108" i="33"/>
  <c r="DS108" i="33"/>
  <c r="DU108" i="33" s="1"/>
  <c r="DQ108" i="33"/>
  <c r="DP108" i="33"/>
  <c r="DR108" i="33" s="1"/>
  <c r="DN108" i="33"/>
  <c r="DM108" i="33"/>
  <c r="DO108" i="33" s="1"/>
  <c r="DK108" i="33"/>
  <c r="DJ108" i="33"/>
  <c r="DL108" i="33" s="1"/>
  <c r="DH108" i="33"/>
  <c r="DG108" i="33"/>
  <c r="DI108" i="33" s="1"/>
  <c r="DE108" i="33"/>
  <c r="DD108" i="33"/>
  <c r="DF108" i="33" s="1"/>
  <c r="DB108" i="33"/>
  <c r="DA108" i="33"/>
  <c r="DC108" i="33" s="1"/>
  <c r="CY108" i="33"/>
  <c r="CX108" i="33"/>
  <c r="CZ108" i="33" s="1"/>
  <c r="CV108" i="33"/>
  <c r="CU108" i="33"/>
  <c r="CW108" i="33" s="1"/>
  <c r="CS108" i="33"/>
  <c r="CR108" i="33"/>
  <c r="CT108" i="33" s="1"/>
  <c r="CP108" i="33"/>
  <c r="CO108" i="33"/>
  <c r="CQ108" i="33" s="1"/>
  <c r="CM108" i="33"/>
  <c r="CL108" i="33"/>
  <c r="CN108" i="33" s="1"/>
  <c r="CJ108" i="33"/>
  <c r="CI108" i="33"/>
  <c r="CK108" i="33" s="1"/>
  <c r="CG108" i="33"/>
  <c r="CF108" i="33"/>
  <c r="CH108" i="33" s="1"/>
  <c r="CD108" i="33"/>
  <c r="CC108" i="33"/>
  <c r="CE108" i="33" s="1"/>
  <c r="CA108" i="33"/>
  <c r="BZ108" i="33"/>
  <c r="CB108" i="33" s="1"/>
  <c r="BX108" i="33"/>
  <c r="BW108" i="33"/>
  <c r="BY108" i="33" s="1"/>
  <c r="BU108" i="33"/>
  <c r="BT108" i="33"/>
  <c r="BV108" i="33" s="1"/>
  <c r="BR108" i="33"/>
  <c r="BQ108" i="33"/>
  <c r="BS108" i="33" s="1"/>
  <c r="BO108" i="33"/>
  <c r="BN108" i="33"/>
  <c r="BP108" i="33" s="1"/>
  <c r="BL108" i="33"/>
  <c r="BK108" i="33"/>
  <c r="BM108" i="33" s="1"/>
  <c r="BI108" i="33"/>
  <c r="BH108" i="33"/>
  <c r="BJ108" i="33" s="1"/>
  <c r="BF108" i="33"/>
  <c r="BE108" i="33"/>
  <c r="BG108" i="33" s="1"/>
  <c r="BC108" i="33"/>
  <c r="BB108" i="33"/>
  <c r="BD108" i="33" s="1"/>
  <c r="AZ108" i="33"/>
  <c r="AY108" i="33"/>
  <c r="BA108" i="33" s="1"/>
  <c r="AW108" i="33"/>
  <c r="AV108" i="33"/>
  <c r="AX108" i="33" s="1"/>
  <c r="AT108" i="33"/>
  <c r="AS108" i="33"/>
  <c r="AU108" i="33" s="1"/>
  <c r="AQ108" i="33"/>
  <c r="AP108" i="33"/>
  <c r="AR108" i="33" s="1"/>
  <c r="AN108" i="33"/>
  <c r="AM108" i="33"/>
  <c r="AO108" i="33" s="1"/>
  <c r="AK108" i="33"/>
  <c r="AJ108" i="33"/>
  <c r="AL108" i="33" s="1"/>
  <c r="AH108" i="33"/>
  <c r="AG108" i="33"/>
  <c r="AI108" i="33" s="1"/>
  <c r="AE108" i="33"/>
  <c r="AD108" i="33"/>
  <c r="AF108" i="33" s="1"/>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V102" i="33"/>
  <c r="FU102" i="33"/>
  <c r="FW102" i="33" s="1"/>
  <c r="FS102" i="33"/>
  <c r="FR102" i="33"/>
  <c r="FT102" i="33" s="1"/>
  <c r="FP102" i="33"/>
  <c r="FO102" i="33"/>
  <c r="FQ102" i="33" s="1"/>
  <c r="FM102" i="33"/>
  <c r="FL102" i="33"/>
  <c r="FN102" i="33" s="1"/>
  <c r="FJ102" i="33"/>
  <c r="FI102" i="33"/>
  <c r="FK102" i="33" s="1"/>
  <c r="FG102" i="33"/>
  <c r="FF102" i="33"/>
  <c r="FH102" i="33" s="1"/>
  <c r="FD102" i="33"/>
  <c r="FC102" i="33"/>
  <c r="FE102" i="33" s="1"/>
  <c r="FA102" i="33"/>
  <c r="EZ102" i="33"/>
  <c r="FB102" i="33" s="1"/>
  <c r="EX102" i="33"/>
  <c r="EW102" i="33"/>
  <c r="EY102" i="33" s="1"/>
  <c r="EU102" i="33"/>
  <c r="ET102" i="33"/>
  <c r="EV102" i="33" s="1"/>
  <c r="ER102" i="33"/>
  <c r="EQ102" i="33"/>
  <c r="ES102" i="33" s="1"/>
  <c r="EO102" i="33"/>
  <c r="EN102" i="33"/>
  <c r="EP102" i="33" s="1"/>
  <c r="EL102" i="33"/>
  <c r="EK102" i="33"/>
  <c r="EM102" i="33" s="1"/>
  <c r="EI102" i="33"/>
  <c r="EH102" i="33"/>
  <c r="EJ102" i="33" s="1"/>
  <c r="EF102" i="33"/>
  <c r="EE102" i="33"/>
  <c r="EG102" i="33" s="1"/>
  <c r="EC102" i="33"/>
  <c r="EB102" i="33"/>
  <c r="ED102" i="33" s="1"/>
  <c r="DZ102" i="33"/>
  <c r="DY102" i="33"/>
  <c r="EA102" i="33" s="1"/>
  <c r="DW102" i="33"/>
  <c r="DV102" i="33"/>
  <c r="DX102" i="33" s="1"/>
  <c r="DT102" i="33"/>
  <c r="DS102" i="33"/>
  <c r="DU102" i="33" s="1"/>
  <c r="DQ102" i="33"/>
  <c r="DP102" i="33"/>
  <c r="DR102" i="33" s="1"/>
  <c r="DN102" i="33"/>
  <c r="DM102" i="33"/>
  <c r="DO102" i="33" s="1"/>
  <c r="DK102" i="33"/>
  <c r="DJ102" i="33"/>
  <c r="DL102" i="33" s="1"/>
  <c r="DH102" i="33"/>
  <c r="DG102" i="33"/>
  <c r="DI102" i="33" s="1"/>
  <c r="DE102" i="33"/>
  <c r="DD102" i="33"/>
  <c r="DF102" i="33" s="1"/>
  <c r="DB102" i="33"/>
  <c r="DA102" i="33"/>
  <c r="DC102" i="33" s="1"/>
  <c r="CY102" i="33"/>
  <c r="CX102" i="33"/>
  <c r="CZ102" i="33" s="1"/>
  <c r="CV102" i="33"/>
  <c r="CU102" i="33"/>
  <c r="CW102" i="33" s="1"/>
  <c r="CS102" i="33"/>
  <c r="CR102" i="33"/>
  <c r="CT102" i="33" s="1"/>
  <c r="CP102" i="33"/>
  <c r="CO102" i="33"/>
  <c r="CQ102" i="33" s="1"/>
  <c r="CM102" i="33"/>
  <c r="CL102" i="33"/>
  <c r="CN102" i="33" s="1"/>
  <c r="CJ102" i="33"/>
  <c r="CI102" i="33"/>
  <c r="CK102" i="33" s="1"/>
  <c r="CG102" i="33"/>
  <c r="CF102" i="33"/>
  <c r="CH102" i="33" s="1"/>
  <c r="CD102" i="33"/>
  <c r="CC102" i="33"/>
  <c r="CE102" i="33" s="1"/>
  <c r="CA102" i="33"/>
  <c r="BZ102" i="33"/>
  <c r="CB102" i="33" s="1"/>
  <c r="BX102" i="33"/>
  <c r="BW102" i="33"/>
  <c r="BY102" i="33" s="1"/>
  <c r="BU102" i="33"/>
  <c r="BT102" i="33"/>
  <c r="BV102" i="33" s="1"/>
  <c r="BR102" i="33"/>
  <c r="BQ102" i="33"/>
  <c r="BS102" i="33" s="1"/>
  <c r="BO102" i="33"/>
  <c r="BN102" i="33"/>
  <c r="BP102" i="33" s="1"/>
  <c r="BL102" i="33"/>
  <c r="BK102" i="33"/>
  <c r="BM102" i="33" s="1"/>
  <c r="BI102" i="33"/>
  <c r="BH102" i="33"/>
  <c r="BJ102" i="33" s="1"/>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V96" i="33"/>
  <c r="FU96" i="33"/>
  <c r="FW96" i="33" s="1"/>
  <c r="FS96" i="33"/>
  <c r="FR96" i="33"/>
  <c r="FT96" i="33" s="1"/>
  <c r="FP96" i="33"/>
  <c r="FO96" i="33"/>
  <c r="FQ96" i="33" s="1"/>
  <c r="FM96" i="33"/>
  <c r="FL96" i="33"/>
  <c r="FN96" i="33" s="1"/>
  <c r="FJ96" i="33"/>
  <c r="FI96" i="33"/>
  <c r="FK96" i="33" s="1"/>
  <c r="FG96" i="33"/>
  <c r="FF96" i="33"/>
  <c r="FH96" i="33" s="1"/>
  <c r="FD96" i="33"/>
  <c r="FC96" i="33"/>
  <c r="FE96" i="33" s="1"/>
  <c r="FA96" i="33"/>
  <c r="EZ96" i="33"/>
  <c r="FB96" i="33" s="1"/>
  <c r="EX96" i="33"/>
  <c r="EW96" i="33"/>
  <c r="EY96" i="33" s="1"/>
  <c r="EU96" i="33"/>
  <c r="ET96" i="33"/>
  <c r="EV96" i="33" s="1"/>
  <c r="ER96" i="33"/>
  <c r="EQ96" i="33"/>
  <c r="ES96" i="33" s="1"/>
  <c r="EO96" i="33"/>
  <c r="EN96" i="33"/>
  <c r="EP96" i="33" s="1"/>
  <c r="EL96" i="33"/>
  <c r="EK96" i="33"/>
  <c r="EM96" i="33" s="1"/>
  <c r="EI96" i="33"/>
  <c r="EH96" i="33"/>
  <c r="EJ96" i="33" s="1"/>
  <c r="EF96" i="33"/>
  <c r="EE96" i="33"/>
  <c r="EG96" i="33" s="1"/>
  <c r="EC96" i="33"/>
  <c r="EB96" i="33"/>
  <c r="ED96" i="33" s="1"/>
  <c r="DZ96" i="33"/>
  <c r="DY96" i="33"/>
  <c r="EA96" i="33" s="1"/>
  <c r="DW96" i="33"/>
  <c r="DV96" i="33"/>
  <c r="DX96" i="33" s="1"/>
  <c r="DT96" i="33"/>
  <c r="DS96" i="33"/>
  <c r="DU96" i="33" s="1"/>
  <c r="DQ96" i="33"/>
  <c r="DP96" i="33"/>
  <c r="DR96" i="33" s="1"/>
  <c r="DN96" i="33"/>
  <c r="DM96" i="33"/>
  <c r="DO96" i="33" s="1"/>
  <c r="DK96" i="33"/>
  <c r="DJ96" i="33"/>
  <c r="DL96" i="33" s="1"/>
  <c r="DH96" i="33"/>
  <c r="DG96" i="33"/>
  <c r="DI96" i="33" s="1"/>
  <c r="DE96" i="33"/>
  <c r="DD96" i="33"/>
  <c r="DF96" i="33" s="1"/>
  <c r="DB96" i="33"/>
  <c r="DA96" i="33"/>
  <c r="DC96" i="33" s="1"/>
  <c r="CY96" i="33"/>
  <c r="CX96" i="33"/>
  <c r="CZ96" i="33" s="1"/>
  <c r="CV96" i="33"/>
  <c r="CU96" i="33"/>
  <c r="CW96" i="33" s="1"/>
  <c r="CS96" i="33"/>
  <c r="CR96" i="33"/>
  <c r="CT96" i="33" s="1"/>
  <c r="CP96" i="33"/>
  <c r="CO96" i="33"/>
  <c r="CQ96" i="33" s="1"/>
  <c r="CM96" i="33"/>
  <c r="CL96" i="33"/>
  <c r="CN96" i="33" s="1"/>
  <c r="CJ96" i="33"/>
  <c r="CI96" i="33"/>
  <c r="CK96" i="33" s="1"/>
  <c r="CG96" i="33"/>
  <c r="CF96" i="33"/>
  <c r="CH96" i="33" s="1"/>
  <c r="CD96" i="33"/>
  <c r="CC96" i="33"/>
  <c r="CE96" i="33" s="1"/>
  <c r="CA96" i="33"/>
  <c r="BZ96" i="33"/>
  <c r="CB96" i="33" s="1"/>
  <c r="BX96" i="33"/>
  <c r="BW96" i="33"/>
  <c r="BY96" i="33" s="1"/>
  <c r="BU96" i="33"/>
  <c r="BT96" i="33"/>
  <c r="BV96" i="33" s="1"/>
  <c r="BR96" i="33"/>
  <c r="BQ96" i="33"/>
  <c r="BS96" i="33" s="1"/>
  <c r="BO96" i="33"/>
  <c r="BN96" i="33"/>
  <c r="BP96" i="33" s="1"/>
  <c r="BL96" i="33"/>
  <c r="BK96" i="33"/>
  <c r="BM96" i="33" s="1"/>
  <c r="BI96" i="33"/>
  <c r="BH96" i="33"/>
  <c r="BJ96" i="33" s="1"/>
  <c r="GB92" i="33"/>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s="1"/>
  <c r="GB91" i="33" a="1"/>
  <c r="GB91" i="33" s="1"/>
  <c r="GB92" i="33" s="1" a="1"/>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V88" i="33"/>
  <c r="FU88" i="33"/>
  <c r="FW88" i="33" s="1"/>
  <c r="FS88" i="33"/>
  <c r="FR88" i="33"/>
  <c r="FT88" i="33" s="1"/>
  <c r="FP88" i="33"/>
  <c r="FO88" i="33"/>
  <c r="FQ88" i="33" s="1"/>
  <c r="FM88" i="33"/>
  <c r="FL88" i="33"/>
  <c r="FN88" i="33" s="1"/>
  <c r="FJ88" i="33"/>
  <c r="FI88" i="33"/>
  <c r="FK88" i="33" s="1"/>
  <c r="FG88" i="33"/>
  <c r="FF88" i="33"/>
  <c r="FH88" i="33" s="1"/>
  <c r="FD88" i="33"/>
  <c r="FC88" i="33"/>
  <c r="FE88" i="33" s="1"/>
  <c r="FA88" i="33"/>
  <c r="EZ88" i="33"/>
  <c r="FB88" i="33" s="1"/>
  <c r="EX88" i="33"/>
  <c r="EW88" i="33"/>
  <c r="EY88" i="33" s="1"/>
  <c r="EU88" i="33"/>
  <c r="ET88" i="33"/>
  <c r="EV88" i="33" s="1"/>
  <c r="ER88" i="33"/>
  <c r="EQ88" i="33"/>
  <c r="ES88" i="33" s="1"/>
  <c r="EO88" i="33"/>
  <c r="EN88" i="33"/>
  <c r="EP88" i="33" s="1"/>
  <c r="EL88" i="33"/>
  <c r="EK88" i="33"/>
  <c r="EM88" i="33" s="1"/>
  <c r="EI88" i="33"/>
  <c r="EH88" i="33"/>
  <c r="EJ88" i="33" s="1"/>
  <c r="EF88" i="33"/>
  <c r="EE88" i="33"/>
  <c r="EG88" i="33" s="1"/>
  <c r="EC88" i="33"/>
  <c r="EB88" i="33"/>
  <c r="ED88" i="33" s="1"/>
  <c r="DZ88" i="33"/>
  <c r="DY88" i="33"/>
  <c r="EA88" i="33" s="1"/>
  <c r="DW88" i="33"/>
  <c r="DV88" i="33"/>
  <c r="DX88" i="33" s="1"/>
  <c r="DT88" i="33"/>
  <c r="DS88" i="33"/>
  <c r="DU88" i="33" s="1"/>
  <c r="DQ88" i="33"/>
  <c r="DP88" i="33"/>
  <c r="DR88" i="33" s="1"/>
  <c r="DN88" i="33"/>
  <c r="DM88" i="33"/>
  <c r="DO88" i="33" s="1"/>
  <c r="DK88" i="33"/>
  <c r="DJ88" i="33"/>
  <c r="DL88" i="33" s="1"/>
  <c r="DH88" i="33"/>
  <c r="DG88" i="33"/>
  <c r="DI88" i="33" s="1"/>
  <c r="DE88" i="33"/>
  <c r="DD88" i="33"/>
  <c r="DF88" i="33" s="1"/>
  <c r="DB88" i="33"/>
  <c r="DA88" i="33"/>
  <c r="DC88" i="33" s="1"/>
  <c r="CY88" i="33"/>
  <c r="CX88" i="33"/>
  <c r="CZ88" i="33" s="1"/>
  <c r="CV88" i="33"/>
  <c r="CU88" i="33"/>
  <c r="CW88" i="33" s="1"/>
  <c r="CS88" i="33"/>
  <c r="CR88" i="33"/>
  <c r="CT88" i="33" s="1"/>
  <c r="CP88" i="33"/>
  <c r="CO88" i="33"/>
  <c r="CQ88" i="33" s="1"/>
  <c r="CM88" i="33"/>
  <c r="CL88" i="33"/>
  <c r="CN88" i="33" s="1"/>
  <c r="CJ88" i="33"/>
  <c r="CI88" i="33"/>
  <c r="CK88" i="33" s="1"/>
  <c r="CG88" i="33"/>
  <c r="CF88" i="33"/>
  <c r="CH88" i="33" s="1"/>
  <c r="CD88" i="33"/>
  <c r="CC88" i="33"/>
  <c r="CE88" i="33" s="1"/>
  <c r="CA88" i="33"/>
  <c r="BZ88" i="33"/>
  <c r="CB88" i="33" s="1"/>
  <c r="BX88" i="33"/>
  <c r="BW88" i="33"/>
  <c r="BY88" i="33" s="1"/>
  <c r="BU88" i="33"/>
  <c r="BT88" i="33"/>
  <c r="BV88" i="33" s="1"/>
  <c r="BR88" i="33"/>
  <c r="BQ88" i="33"/>
  <c r="BS88" i="33" s="1"/>
  <c r="BO88" i="33"/>
  <c r="BN88" i="33"/>
  <c r="BP88" i="33" s="1"/>
  <c r="BL88" i="33"/>
  <c r="BK88" i="33"/>
  <c r="BM88" i="33" s="1"/>
  <c r="BI88" i="33"/>
  <c r="BH88" i="33"/>
  <c r="BJ88" i="33" s="1"/>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S82" i="33"/>
  <c r="FR82" i="33"/>
  <c r="FT82" i="33" s="1"/>
  <c r="FP82" i="33"/>
  <c r="FO82" i="33"/>
  <c r="FQ82" i="33" s="1"/>
  <c r="FM82" i="33"/>
  <c r="FL82" i="33"/>
  <c r="FN82" i="33" s="1"/>
  <c r="FJ82" i="33"/>
  <c r="FI82" i="33"/>
  <c r="FK82" i="33" s="1"/>
  <c r="FG82" i="33"/>
  <c r="FF82" i="33"/>
  <c r="FH82" i="33" s="1"/>
  <c r="FD82" i="33"/>
  <c r="FC82" i="33"/>
  <c r="FE82" i="33" s="1"/>
  <c r="FA82" i="33"/>
  <c r="EZ82" i="33"/>
  <c r="FB82" i="33" s="1"/>
  <c r="EX82" i="33"/>
  <c r="EW82" i="33"/>
  <c r="EY82" i="33" s="1"/>
  <c r="EU82" i="33"/>
  <c r="ET82" i="33"/>
  <c r="EV82" i="33" s="1"/>
  <c r="ER82" i="33"/>
  <c r="EQ82" i="33"/>
  <c r="ES82" i="33" s="1"/>
  <c r="EO82" i="33"/>
  <c r="EN82" i="33"/>
  <c r="EP82" i="33" s="1"/>
  <c r="EL82" i="33"/>
  <c r="EK82" i="33"/>
  <c r="EM82" i="33" s="1"/>
  <c r="EI82" i="33"/>
  <c r="EH82" i="33"/>
  <c r="EJ82" i="33" s="1"/>
  <c r="EF82" i="33"/>
  <c r="EE82" i="33"/>
  <c r="EG82" i="33" s="1"/>
  <c r="EC82" i="33"/>
  <c r="EB82" i="33"/>
  <c r="ED82" i="33" s="1"/>
  <c r="DZ82" i="33"/>
  <c r="DY82" i="33"/>
  <c r="EA82" i="33" s="1"/>
  <c r="DW82" i="33"/>
  <c r="DV82" i="33"/>
  <c r="DX82" i="33" s="1"/>
  <c r="DT82" i="33"/>
  <c r="DS82" i="33"/>
  <c r="DU82" i="33" s="1"/>
  <c r="DQ82" i="33"/>
  <c r="DP82" i="33"/>
  <c r="DR82" i="33" s="1"/>
  <c r="DN82" i="33"/>
  <c r="DM82" i="33"/>
  <c r="DO82" i="33" s="1"/>
  <c r="DK82" i="33"/>
  <c r="DJ82" i="33"/>
  <c r="DL82" i="33" s="1"/>
  <c r="DH82" i="33"/>
  <c r="DG82" i="33"/>
  <c r="DI82" i="33" s="1"/>
  <c r="DE82" i="33"/>
  <c r="DD82" i="33"/>
  <c r="DF82" i="33" s="1"/>
  <c r="DB82" i="33"/>
  <c r="DA82" i="33"/>
  <c r="DC82" i="33" s="1"/>
  <c r="CY82" i="33"/>
  <c r="CX82" i="33"/>
  <c r="CZ82" i="33" s="1"/>
  <c r="CV82" i="33"/>
  <c r="CU82" i="33"/>
  <c r="CW82" i="33" s="1"/>
  <c r="CS82" i="33"/>
  <c r="CR82" i="33"/>
  <c r="CT82" i="33" s="1"/>
  <c r="CP82" i="33"/>
  <c r="CO82" i="33"/>
  <c r="CQ82" i="33" s="1"/>
  <c r="CM82" i="33"/>
  <c r="CL82" i="33"/>
  <c r="CN82" i="33" s="1"/>
  <c r="CJ82" i="33"/>
  <c r="CI82" i="33"/>
  <c r="CK82" i="33" s="1"/>
  <c r="CG82" i="33"/>
  <c r="CF82" i="33"/>
  <c r="CH82" i="33" s="1"/>
  <c r="CD82" i="33"/>
  <c r="CC82" i="33"/>
  <c r="CE82" i="33" s="1"/>
  <c r="CA82" i="33"/>
  <c r="BZ82" i="33"/>
  <c r="CB82" i="33" s="1"/>
  <c r="BX82" i="33"/>
  <c r="BW82" i="33"/>
  <c r="BY82" i="33" s="1"/>
  <c r="BU82" i="33"/>
  <c r="BT82" i="33"/>
  <c r="BV82" i="33" s="1"/>
  <c r="BR82" i="33"/>
  <c r="BQ82" i="33"/>
  <c r="BS82" i="33" s="1"/>
  <c r="BO82" i="33"/>
  <c r="BN82" i="33"/>
  <c r="BP82" i="33" s="1"/>
  <c r="BL82" i="33"/>
  <c r="BK82" i="33"/>
  <c r="BM82" i="33" s="1"/>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6" i="33"/>
  <c r="T77" i="33" s="1" a="1"/>
  <c r="T77" i="33" s="1"/>
  <c r="T74" i="33"/>
  <c r="T76" i="33" s="1" a="1"/>
  <c r="F74" i="33" a="1"/>
  <c r="F74" i="33"/>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V68" i="33"/>
  <c r="FU68" i="33"/>
  <c r="FW68" i="33" s="1"/>
  <c r="FS68" i="33"/>
  <c r="FR68" i="33"/>
  <c r="FT68" i="33" s="1"/>
  <c r="FP68" i="33"/>
  <c r="FO68" i="33"/>
  <c r="FQ68" i="33" s="1"/>
  <c r="FM68" i="33"/>
  <c r="FL68" i="33"/>
  <c r="FN68" i="33" s="1"/>
  <c r="FJ68" i="33"/>
  <c r="FI68" i="33"/>
  <c r="FK68" i="33" s="1"/>
  <c r="FG68" i="33"/>
  <c r="FF68" i="33"/>
  <c r="FH68" i="33" s="1"/>
  <c r="FD68" i="33"/>
  <c r="FC68" i="33"/>
  <c r="FE68" i="33" s="1"/>
  <c r="FA68" i="33"/>
  <c r="EZ68" i="33"/>
  <c r="FB68" i="33" s="1"/>
  <c r="EX68" i="33"/>
  <c r="EW68" i="33"/>
  <c r="EY68" i="33" s="1"/>
  <c r="EU68" i="33"/>
  <c r="ET68" i="33"/>
  <c r="EV68" i="33" s="1"/>
  <c r="ER68" i="33"/>
  <c r="EQ68" i="33"/>
  <c r="ES68" i="33" s="1"/>
  <c r="EO68" i="33"/>
  <c r="EN68" i="33"/>
  <c r="EP68" i="33" s="1"/>
  <c r="EL68" i="33"/>
  <c r="EK68" i="33"/>
  <c r="EM68" i="33" s="1"/>
  <c r="EI68" i="33"/>
  <c r="EH68" i="33"/>
  <c r="EJ68" i="33" s="1"/>
  <c r="EF68" i="33"/>
  <c r="EE68" i="33"/>
  <c r="EG68" i="33" s="1"/>
  <c r="EC68" i="33"/>
  <c r="EB68" i="33"/>
  <c r="ED68" i="33" s="1"/>
  <c r="DZ68" i="33"/>
  <c r="DY68" i="33"/>
  <c r="EA68" i="33" s="1"/>
  <c r="DW68" i="33"/>
  <c r="DV68" i="33"/>
  <c r="DX68" i="33" s="1"/>
  <c r="DT68" i="33"/>
  <c r="DS68" i="33"/>
  <c r="DU68" i="33" s="1"/>
  <c r="DQ68" i="33"/>
  <c r="DP68" i="33"/>
  <c r="DR68" i="33" s="1"/>
  <c r="DN68" i="33"/>
  <c r="DM68" i="33"/>
  <c r="DO68" i="33" s="1"/>
  <c r="DK68" i="33"/>
  <c r="DJ68" i="33"/>
  <c r="DL68" i="33" s="1"/>
  <c r="DH68" i="33"/>
  <c r="DG68" i="33"/>
  <c r="DI68" i="33" s="1"/>
  <c r="DE68" i="33"/>
  <c r="DD68" i="33"/>
  <c r="DF68" i="33" s="1"/>
  <c r="DB68" i="33"/>
  <c r="DA68" i="33"/>
  <c r="DC68" i="33" s="1"/>
  <c r="CY68" i="33"/>
  <c r="CX68" i="33"/>
  <c r="CZ68" i="33" s="1"/>
  <c r="CV68" i="33"/>
  <c r="CU68" i="33"/>
  <c r="CW68" i="33" s="1"/>
  <c r="CS68" i="33"/>
  <c r="CR68" i="33"/>
  <c r="CT68" i="33" s="1"/>
  <c r="CP68" i="33"/>
  <c r="CO68" i="33"/>
  <c r="CQ68" i="33" s="1"/>
  <c r="CM68" i="33"/>
  <c r="CL68" i="33"/>
  <c r="CN68" i="33" s="1"/>
  <c r="CJ68" i="33"/>
  <c r="CI68" i="33"/>
  <c r="CK68" i="33" s="1"/>
  <c r="CG68" i="33"/>
  <c r="CF68" i="33"/>
  <c r="CH68" i="33" s="1"/>
  <c r="CD68" i="33"/>
  <c r="CC68" i="33"/>
  <c r="CE68" i="33" s="1"/>
  <c r="CA68" i="33"/>
  <c r="BZ68" i="33"/>
  <c r="CB68" i="33" s="1"/>
  <c r="BX68" i="33"/>
  <c r="BW68" i="33"/>
  <c r="BY68" i="33" s="1"/>
  <c r="BU68" i="33"/>
  <c r="BT68" i="33"/>
  <c r="BV68" i="33" s="1"/>
  <c r="BR68" i="33"/>
  <c r="BQ68" i="33"/>
  <c r="BS68" i="33" s="1"/>
  <c r="BO68" i="33"/>
  <c r="BN68" i="33"/>
  <c r="BP68" i="33" s="1"/>
  <c r="BL68" i="33"/>
  <c r="BK68" i="33"/>
  <c r="BM68" i="33" s="1"/>
  <c r="BI68" i="33"/>
  <c r="BH68" i="33"/>
  <c r="BJ68" i="33" s="1"/>
  <c r="BF68" i="33"/>
  <c r="BE68" i="33"/>
  <c r="BG68" i="33" s="1"/>
  <c r="BC68" i="33"/>
  <c r="BB68" i="33"/>
  <c r="BD68" i="33" s="1"/>
  <c r="AZ68" i="33"/>
  <c r="AY68" i="33"/>
  <c r="BA68" i="33" s="1"/>
  <c r="AW68" i="33"/>
  <c r="AV68" i="33"/>
  <c r="AX68" i="33" s="1"/>
  <c r="AT68" i="33"/>
  <c r="AS68" i="33"/>
  <c r="AU68" i="33" s="1"/>
  <c r="AQ68" i="33"/>
  <c r="AP68" i="33"/>
  <c r="AR68" i="33" s="1"/>
  <c r="AN68" i="33"/>
  <c r="AM68" i="33"/>
  <c r="AO68" i="33" s="1"/>
  <c r="AK68" i="33"/>
  <c r="AJ68" i="33"/>
  <c r="AL68" i="33" s="1"/>
  <c r="AH68" i="33"/>
  <c r="AG68" i="33"/>
  <c r="AI68" i="33" s="1"/>
  <c r="AE68" i="33"/>
  <c r="AD68" i="33"/>
  <c r="AF68" i="33" s="1"/>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S62" i="33"/>
  <c r="FR62" i="33"/>
  <c r="FT62" i="33" s="1"/>
  <c r="FP62" i="33"/>
  <c r="FO62" i="33"/>
  <c r="FQ62" i="33" s="1"/>
  <c r="FM62" i="33"/>
  <c r="FL62" i="33"/>
  <c r="FN62" i="33" s="1"/>
  <c r="FJ62" i="33"/>
  <c r="FI62" i="33"/>
  <c r="FK62" i="33" s="1"/>
  <c r="FG62" i="33"/>
  <c r="FF62" i="33"/>
  <c r="FH62" i="33" s="1"/>
  <c r="FD62" i="33"/>
  <c r="FC62" i="33"/>
  <c r="FE62" i="33" s="1"/>
  <c r="FA62" i="33"/>
  <c r="EZ62" i="33"/>
  <c r="FB62" i="33" s="1"/>
  <c r="EX62" i="33"/>
  <c r="EW62" i="33"/>
  <c r="EY62" i="33" s="1"/>
  <c r="EU62" i="33"/>
  <c r="ET62" i="33"/>
  <c r="EV62" i="33" s="1"/>
  <c r="ER62" i="33"/>
  <c r="EQ62" i="33"/>
  <c r="ES62" i="33" s="1"/>
  <c r="EO62" i="33"/>
  <c r="EN62" i="33"/>
  <c r="EP62" i="33" s="1"/>
  <c r="EL62" i="33"/>
  <c r="EK62" i="33"/>
  <c r="EM62" i="33" s="1"/>
  <c r="EI62" i="33"/>
  <c r="EH62" i="33"/>
  <c r="EJ62" i="33" s="1"/>
  <c r="EF62" i="33"/>
  <c r="EE62" i="33"/>
  <c r="EG62" i="33" s="1"/>
  <c r="EC62" i="33"/>
  <c r="EB62" i="33"/>
  <c r="ED62" i="33" s="1"/>
  <c r="DZ62" i="33"/>
  <c r="DY62" i="33"/>
  <c r="EA62" i="33" s="1"/>
  <c r="DW62" i="33"/>
  <c r="DV62" i="33"/>
  <c r="DX62" i="33" s="1"/>
  <c r="DT62" i="33"/>
  <c r="DS62" i="33"/>
  <c r="DU62" i="33" s="1"/>
  <c r="DQ62" i="33"/>
  <c r="DP62" i="33"/>
  <c r="DR62" i="33" s="1"/>
  <c r="DN62" i="33"/>
  <c r="DM62" i="33"/>
  <c r="DO62" i="33" s="1"/>
  <c r="DK62" i="33"/>
  <c r="DJ62" i="33"/>
  <c r="DL62" i="33" s="1"/>
  <c r="DH62" i="33"/>
  <c r="DG62" i="33"/>
  <c r="DI62" i="33" s="1"/>
  <c r="DE62" i="33"/>
  <c r="DD62" i="33"/>
  <c r="DF62" i="33" s="1"/>
  <c r="DB62" i="33"/>
  <c r="DA62" i="33"/>
  <c r="DC62" i="33" s="1"/>
  <c r="CY62" i="33"/>
  <c r="CX62" i="33"/>
  <c r="CZ62" i="33" s="1"/>
  <c r="CV62" i="33"/>
  <c r="CU62" i="33"/>
  <c r="CW62" i="33" s="1"/>
  <c r="CS62" i="33"/>
  <c r="CR62" i="33"/>
  <c r="CT62" i="33" s="1"/>
  <c r="CP62" i="33"/>
  <c r="CO62" i="33"/>
  <c r="CQ62" i="33" s="1"/>
  <c r="CM62" i="33"/>
  <c r="CL62" i="33"/>
  <c r="CN62" i="33" s="1"/>
  <c r="CJ62" i="33"/>
  <c r="CI62" i="33"/>
  <c r="CK62" i="33" s="1"/>
  <c r="CG62" i="33"/>
  <c r="CF62" i="33"/>
  <c r="CH62" i="33" s="1"/>
  <c r="CD62" i="33"/>
  <c r="CC62" i="33"/>
  <c r="CE62" i="33" s="1"/>
  <c r="CA62" i="33"/>
  <c r="BZ62" i="33"/>
  <c r="CB62" i="33" s="1"/>
  <c r="BX62" i="33"/>
  <c r="BW62" i="33"/>
  <c r="BY62" i="33" s="1"/>
  <c r="BU62" i="33"/>
  <c r="BT62" i="33"/>
  <c r="BV62" i="33" s="1"/>
  <c r="BR62" i="33"/>
  <c r="BQ62" i="33"/>
  <c r="BS62" i="33" s="1"/>
  <c r="BO62" i="33"/>
  <c r="BN62" i="33"/>
  <c r="BP62" i="33" s="1"/>
  <c r="BL62" i="33"/>
  <c r="BK62" i="33"/>
  <c r="BM62" i="33" s="1"/>
  <c r="BI62" i="33"/>
  <c r="BH62" i="33"/>
  <c r="BJ62" i="33" s="1"/>
  <c r="BF62" i="33"/>
  <c r="BE62" i="33"/>
  <c r="BG62" i="33" s="1"/>
  <c r="BC62" i="33"/>
  <c r="BB62" i="33"/>
  <c r="BD62" i="33" s="1"/>
  <c r="AZ62" i="33"/>
  <c r="AY62" i="33"/>
  <c r="BA62" i="33" s="1"/>
  <c r="AW62" i="33"/>
  <c r="AV62" i="33"/>
  <c r="AX62" i="33" s="1"/>
  <c r="AT62" i="33"/>
  <c r="AS62" i="33"/>
  <c r="AU62" i="33" s="1"/>
  <c r="AQ62" i="33"/>
  <c r="AP62" i="33"/>
  <c r="AR62" i="33" s="1"/>
  <c r="AN62" i="33"/>
  <c r="AM62" i="33"/>
  <c r="AO62" i="33" s="1"/>
  <c r="AK62" i="33"/>
  <c r="AJ62" i="33"/>
  <c r="AL62" i="33" s="1"/>
  <c r="AH62" i="33"/>
  <c r="AG62" i="33"/>
  <c r="AI62" i="33" s="1"/>
  <c r="AE62" i="33"/>
  <c r="AD62" i="33"/>
  <c r="AF62" i="33" s="1"/>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V56" i="33"/>
  <c r="FU56" i="33"/>
  <c r="FW56" i="33" s="1"/>
  <c r="FS56" i="33"/>
  <c r="FR56" i="33"/>
  <c r="FT56" i="33" s="1"/>
  <c r="FP56" i="33"/>
  <c r="FO56" i="33"/>
  <c r="FQ56" i="33" s="1"/>
  <c r="FM56" i="33"/>
  <c r="FL56" i="33"/>
  <c r="FN56" i="33" s="1"/>
  <c r="FJ56" i="33"/>
  <c r="FI56" i="33"/>
  <c r="FK56" i="33" s="1"/>
  <c r="FG56" i="33"/>
  <c r="FF56" i="33"/>
  <c r="FH56" i="33" s="1"/>
  <c r="FD56" i="33"/>
  <c r="FC56" i="33"/>
  <c r="FE56" i="33" s="1"/>
  <c r="FA56" i="33"/>
  <c r="EZ56" i="33"/>
  <c r="FB56" i="33" s="1"/>
  <c r="EX56" i="33"/>
  <c r="EW56" i="33"/>
  <c r="EY56" i="33" s="1"/>
  <c r="EU56" i="33"/>
  <c r="ET56" i="33"/>
  <c r="EV56" i="33" s="1"/>
  <c r="ER56" i="33"/>
  <c r="EQ56" i="33"/>
  <c r="ES56" i="33" s="1"/>
  <c r="EO56" i="33"/>
  <c r="EN56" i="33"/>
  <c r="EP56" i="33" s="1"/>
  <c r="EL56" i="33"/>
  <c r="EK56" i="33"/>
  <c r="EM56" i="33" s="1"/>
  <c r="EI56" i="33"/>
  <c r="EH56" i="33"/>
  <c r="EJ56" i="33" s="1"/>
  <c r="EF56" i="33"/>
  <c r="EE56" i="33"/>
  <c r="EG56" i="33" s="1"/>
  <c r="EC56" i="33"/>
  <c r="EB56" i="33"/>
  <c r="ED56" i="33" s="1"/>
  <c r="DZ56" i="33"/>
  <c r="DY56" i="33"/>
  <c r="EA56" i="33" s="1"/>
  <c r="DW56" i="33"/>
  <c r="DV56" i="33"/>
  <c r="DX56" i="33" s="1"/>
  <c r="DT56" i="33"/>
  <c r="DS56" i="33"/>
  <c r="DU56" i="33" s="1"/>
  <c r="DQ56" i="33"/>
  <c r="DP56" i="33"/>
  <c r="DR56" i="33" s="1"/>
  <c r="DN56" i="33"/>
  <c r="DM56" i="33"/>
  <c r="DO56" i="33" s="1"/>
  <c r="DK56" i="33"/>
  <c r="DJ56" i="33"/>
  <c r="DL56" i="33" s="1"/>
  <c r="DH56" i="33"/>
  <c r="DG56" i="33"/>
  <c r="DI56" i="33" s="1"/>
  <c r="DE56" i="33"/>
  <c r="DD56" i="33"/>
  <c r="DF56" i="33" s="1"/>
  <c r="DB56" i="33"/>
  <c r="DA56" i="33"/>
  <c r="DC56" i="33" s="1"/>
  <c r="CY56" i="33"/>
  <c r="CX56" i="33"/>
  <c r="CZ56" i="33" s="1"/>
  <c r="CV56" i="33"/>
  <c r="CU56" i="33"/>
  <c r="CW56" i="33" s="1"/>
  <c r="CS56" i="33"/>
  <c r="CR56" i="33"/>
  <c r="CT56" i="33" s="1"/>
  <c r="CP56" i="33"/>
  <c r="CO56" i="33"/>
  <c r="CQ56" i="33" s="1"/>
  <c r="CM56" i="33"/>
  <c r="CL56" i="33"/>
  <c r="CN56" i="33" s="1"/>
  <c r="CJ56" i="33"/>
  <c r="CI56" i="33"/>
  <c r="CK56" i="33" s="1"/>
  <c r="CG56" i="33"/>
  <c r="CF56" i="33"/>
  <c r="CH56" i="33" s="1"/>
  <c r="CD56" i="33"/>
  <c r="CC56" i="33"/>
  <c r="CE56" i="33" s="1"/>
  <c r="CA56" i="33"/>
  <c r="BZ56" i="33"/>
  <c r="CB56" i="33" s="1"/>
  <c r="BX56" i="33"/>
  <c r="BW56" i="33"/>
  <c r="BY56" i="33" s="1"/>
  <c r="BU56" i="33"/>
  <c r="BT56" i="33"/>
  <c r="BV56" i="33" s="1"/>
  <c r="BR56" i="33"/>
  <c r="BQ56" i="33"/>
  <c r="BS56" i="33" s="1"/>
  <c r="BO56" i="33"/>
  <c r="BN56" i="33"/>
  <c r="BP56" i="33" s="1"/>
  <c r="BL56" i="33"/>
  <c r="BK56" i="33"/>
  <c r="BM56" i="33" s="1"/>
  <c r="BI56" i="33"/>
  <c r="BH56" i="33"/>
  <c r="BJ56" i="33" s="1"/>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V50" i="33"/>
  <c r="FU50" i="33"/>
  <c r="FW50" i="33" s="1"/>
  <c r="FS50" i="33"/>
  <c r="FR50" i="33"/>
  <c r="FT50" i="33" s="1"/>
  <c r="FP50" i="33"/>
  <c r="FO50" i="33"/>
  <c r="FQ50" i="33" s="1"/>
  <c r="FM50" i="33"/>
  <c r="FL50" i="33"/>
  <c r="FN50" i="33" s="1"/>
  <c r="FJ50" i="33"/>
  <c r="FI50" i="33"/>
  <c r="FK50" i="33" s="1"/>
  <c r="FG50" i="33"/>
  <c r="FF50" i="33"/>
  <c r="FH50" i="33" s="1"/>
  <c r="FD50" i="33"/>
  <c r="FC50" i="33"/>
  <c r="FE50" i="33" s="1"/>
  <c r="FA50" i="33"/>
  <c r="EZ50" i="33"/>
  <c r="FB50" i="33" s="1"/>
  <c r="EX50" i="33"/>
  <c r="EW50" i="33"/>
  <c r="EY50" i="33" s="1"/>
  <c r="EU50" i="33"/>
  <c r="ET50" i="33"/>
  <c r="EV50" i="33" s="1"/>
  <c r="ER50" i="33"/>
  <c r="EQ50" i="33"/>
  <c r="ES50" i="33" s="1"/>
  <c r="EO50" i="33"/>
  <c r="EN50" i="33"/>
  <c r="EP50" i="33" s="1"/>
  <c r="EL50" i="33"/>
  <c r="EK50" i="33"/>
  <c r="EM50" i="33" s="1"/>
  <c r="EI50" i="33"/>
  <c r="EH50" i="33"/>
  <c r="EJ50" i="33" s="1"/>
  <c r="EF50" i="33"/>
  <c r="EE50" i="33"/>
  <c r="EG50" i="33" s="1"/>
  <c r="EC50" i="33"/>
  <c r="EB50" i="33"/>
  <c r="ED50" i="33" s="1"/>
  <c r="DZ50" i="33"/>
  <c r="DY50" i="33"/>
  <c r="EA50" i="33" s="1"/>
  <c r="DW50" i="33"/>
  <c r="DV50" i="33"/>
  <c r="DX50" i="33" s="1"/>
  <c r="DT50" i="33"/>
  <c r="DS50" i="33"/>
  <c r="DU50" i="33" s="1"/>
  <c r="DQ50" i="33"/>
  <c r="DP50" i="33"/>
  <c r="DR50" i="33" s="1"/>
  <c r="DN50" i="33"/>
  <c r="DM50" i="33"/>
  <c r="DO50" i="33" s="1"/>
  <c r="DK50" i="33"/>
  <c r="DJ50" i="33"/>
  <c r="DL50" i="33" s="1"/>
  <c r="DH50" i="33"/>
  <c r="DG50" i="33"/>
  <c r="DI50" i="33" s="1"/>
  <c r="DE50" i="33"/>
  <c r="DD50" i="33"/>
  <c r="DF50" i="33" s="1"/>
  <c r="DB50" i="33"/>
  <c r="DA50" i="33"/>
  <c r="DC50" i="33" s="1"/>
  <c r="CY50" i="33"/>
  <c r="CX50" i="33"/>
  <c r="CZ50" i="33" s="1"/>
  <c r="CV50" i="33"/>
  <c r="CU50" i="33"/>
  <c r="CW50" i="33" s="1"/>
  <c r="CS50" i="33"/>
  <c r="CR50" i="33"/>
  <c r="CT50" i="33" s="1"/>
  <c r="CP50" i="33"/>
  <c r="CO50" i="33"/>
  <c r="CQ50" i="33" s="1"/>
  <c r="CM50" i="33"/>
  <c r="CL50" i="33"/>
  <c r="CN50" i="33" s="1"/>
  <c r="CJ50" i="33"/>
  <c r="CI50" i="33"/>
  <c r="CK50" i="33" s="1"/>
  <c r="CG50" i="33"/>
  <c r="CF50" i="33"/>
  <c r="CH50" i="33" s="1"/>
  <c r="CD50" i="33"/>
  <c r="CC50" i="33"/>
  <c r="CE50" i="33" s="1"/>
  <c r="CA50" i="33"/>
  <c r="BZ50" i="33"/>
  <c r="CB50" i="33" s="1"/>
  <c r="BX50" i="33"/>
  <c r="BW50" i="33"/>
  <c r="BY50" i="33" s="1"/>
  <c r="BU50" i="33"/>
  <c r="BT50" i="33"/>
  <c r="BV50" i="33" s="1"/>
  <c r="BR50" i="33"/>
  <c r="BQ50" i="33"/>
  <c r="BS50" i="33" s="1"/>
  <c r="BO50" i="33"/>
  <c r="BN50" i="33"/>
  <c r="BP50" i="33" s="1"/>
  <c r="BL50" i="33"/>
  <c r="BK50" i="33"/>
  <c r="BM50" i="33" s="1"/>
  <c r="BI50" i="33"/>
  <c r="BH50" i="33"/>
  <c r="BJ50" i="33" s="1"/>
  <c r="GB46" i="33"/>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s="1"/>
  <c r="GB45" i="33" a="1"/>
  <c r="GB45" i="33" s="1"/>
  <c r="GB46" i="33" s="1" a="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V42" i="33"/>
  <c r="FU42" i="33"/>
  <c r="FW42" i="33" s="1"/>
  <c r="FS42" i="33"/>
  <c r="FR42" i="33"/>
  <c r="FT42" i="33" s="1"/>
  <c r="FP42" i="33"/>
  <c r="FO42" i="33"/>
  <c r="FQ42" i="33" s="1"/>
  <c r="FM42" i="33"/>
  <c r="FL42" i="33"/>
  <c r="FN42" i="33" s="1"/>
  <c r="FJ42" i="33"/>
  <c r="FI42" i="33"/>
  <c r="FK42" i="33" s="1"/>
  <c r="FG42" i="33"/>
  <c r="FF42" i="33"/>
  <c r="FH42" i="33" s="1"/>
  <c r="FD42" i="33"/>
  <c r="FC42" i="33"/>
  <c r="FE42" i="33" s="1"/>
  <c r="FA42" i="33"/>
  <c r="EZ42" i="33"/>
  <c r="FB42" i="33" s="1"/>
  <c r="EX42" i="33"/>
  <c r="EW42" i="33"/>
  <c r="EY42" i="33" s="1"/>
  <c r="EU42" i="33"/>
  <c r="ET42" i="33"/>
  <c r="EV42" i="33" s="1"/>
  <c r="ER42" i="33"/>
  <c r="EQ42" i="33"/>
  <c r="ES42" i="33" s="1"/>
  <c r="EO42" i="33"/>
  <c r="EN42" i="33"/>
  <c r="EP42" i="33" s="1"/>
  <c r="EL42" i="33"/>
  <c r="EK42" i="33"/>
  <c r="EM42" i="33" s="1"/>
  <c r="EI42" i="33"/>
  <c r="EH42" i="33"/>
  <c r="EJ42" i="33" s="1"/>
  <c r="EF42" i="33"/>
  <c r="EE42" i="33"/>
  <c r="EG42" i="33" s="1"/>
  <c r="EC42" i="33"/>
  <c r="EB42" i="33"/>
  <c r="ED42" i="33" s="1"/>
  <c r="DZ42" i="33"/>
  <c r="DY42" i="33"/>
  <c r="EA42" i="33" s="1"/>
  <c r="DW42" i="33"/>
  <c r="DV42" i="33"/>
  <c r="DX42" i="33" s="1"/>
  <c r="DT42" i="33"/>
  <c r="DS42" i="33"/>
  <c r="DU42" i="33" s="1"/>
  <c r="DQ42" i="33"/>
  <c r="DP42" i="33"/>
  <c r="DR42" i="33" s="1"/>
  <c r="DN42" i="33"/>
  <c r="DM42" i="33"/>
  <c r="DO42" i="33" s="1"/>
  <c r="DK42" i="33"/>
  <c r="DJ42" i="33"/>
  <c r="DL42" i="33" s="1"/>
  <c r="DH42" i="33"/>
  <c r="DG42" i="33"/>
  <c r="DI42" i="33" s="1"/>
  <c r="DE42" i="33"/>
  <c r="DD42" i="33"/>
  <c r="DF42" i="33" s="1"/>
  <c r="DB42" i="33"/>
  <c r="DA42" i="33"/>
  <c r="DC42" i="33" s="1"/>
  <c r="CY42" i="33"/>
  <c r="CX42" i="33"/>
  <c r="CZ42" i="33" s="1"/>
  <c r="CV42" i="33"/>
  <c r="CU42" i="33"/>
  <c r="CW42" i="33" s="1"/>
  <c r="CS42" i="33"/>
  <c r="CR42" i="33"/>
  <c r="CT42" i="33" s="1"/>
  <c r="CP42" i="33"/>
  <c r="CO42" i="33"/>
  <c r="CQ42" i="33" s="1"/>
  <c r="CM42" i="33"/>
  <c r="CL42" i="33"/>
  <c r="CN42" i="33" s="1"/>
  <c r="CJ42" i="33"/>
  <c r="CI42" i="33"/>
  <c r="CK42" i="33" s="1"/>
  <c r="CG42" i="33"/>
  <c r="CF42" i="33"/>
  <c r="CH42" i="33" s="1"/>
  <c r="CD42" i="33"/>
  <c r="CC42" i="33"/>
  <c r="CE42" i="33" s="1"/>
  <c r="CA42" i="33"/>
  <c r="BZ42" i="33"/>
  <c r="CB42" i="33" s="1"/>
  <c r="BX42" i="33"/>
  <c r="BW42" i="33"/>
  <c r="BY42" i="33" s="1"/>
  <c r="BU42" i="33"/>
  <c r="BT42" i="33"/>
  <c r="BV42" i="33" s="1"/>
  <c r="BR42" i="33"/>
  <c r="BQ42" i="33"/>
  <c r="BS42" i="33" s="1"/>
  <c r="BO42" i="33"/>
  <c r="BN42" i="33"/>
  <c r="BP42" i="33" s="1"/>
  <c r="BL42" i="33"/>
  <c r="BK42" i="33"/>
  <c r="BM42" i="33" s="1"/>
  <c r="BI42" i="33"/>
  <c r="BH42" i="33"/>
  <c r="BJ42" i="33" s="1"/>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V36" i="33"/>
  <c r="FU36" i="33"/>
  <c r="FW36" i="33" s="1"/>
  <c r="FS36" i="33"/>
  <c r="FR36" i="33"/>
  <c r="FT36" i="33" s="1"/>
  <c r="FP36" i="33"/>
  <c r="FO36" i="33"/>
  <c r="FQ36" i="33" s="1"/>
  <c r="FM36" i="33"/>
  <c r="FL36" i="33"/>
  <c r="FN36" i="33" s="1"/>
  <c r="FJ36" i="33"/>
  <c r="FI36" i="33"/>
  <c r="FK36" i="33" s="1"/>
  <c r="FG36" i="33"/>
  <c r="FF36" i="33"/>
  <c r="FH36" i="33" s="1"/>
  <c r="FD36" i="33"/>
  <c r="FC36" i="33"/>
  <c r="FE36" i="33" s="1"/>
  <c r="FA36" i="33"/>
  <c r="EZ36" i="33"/>
  <c r="FB36" i="33" s="1"/>
  <c r="EX36" i="33"/>
  <c r="EW36" i="33"/>
  <c r="EY36" i="33" s="1"/>
  <c r="EU36" i="33"/>
  <c r="ET36" i="33"/>
  <c r="EV36" i="33" s="1"/>
  <c r="ER36" i="33"/>
  <c r="EQ36" i="33"/>
  <c r="ES36" i="33" s="1"/>
  <c r="EO36" i="33"/>
  <c r="EN36" i="33"/>
  <c r="EP36" i="33" s="1"/>
  <c r="EL36" i="33"/>
  <c r="EK36" i="33"/>
  <c r="EM36" i="33" s="1"/>
  <c r="EI36" i="33"/>
  <c r="EH36" i="33"/>
  <c r="EJ36" i="33" s="1"/>
  <c r="EF36" i="33"/>
  <c r="EE36" i="33"/>
  <c r="EG36" i="33" s="1"/>
  <c r="EC36" i="33"/>
  <c r="EB36" i="33"/>
  <c r="ED36" i="33" s="1"/>
  <c r="DZ36" i="33"/>
  <c r="DY36" i="33"/>
  <c r="EA36" i="33" s="1"/>
  <c r="DW36" i="33"/>
  <c r="DV36" i="33"/>
  <c r="DX36" i="33" s="1"/>
  <c r="DT36" i="33"/>
  <c r="DS36" i="33"/>
  <c r="DU36" i="33" s="1"/>
  <c r="DQ36" i="33"/>
  <c r="DP36" i="33"/>
  <c r="DR36" i="33" s="1"/>
  <c r="DN36" i="33"/>
  <c r="DM36" i="33"/>
  <c r="DO36" i="33" s="1"/>
  <c r="DK36" i="33"/>
  <c r="DJ36" i="33"/>
  <c r="DL36" i="33" s="1"/>
  <c r="DH36" i="33"/>
  <c r="DG36" i="33"/>
  <c r="DI36" i="33" s="1"/>
  <c r="DE36" i="33"/>
  <c r="DD36" i="33"/>
  <c r="DF36" i="33" s="1"/>
  <c r="DB36" i="33"/>
  <c r="DA36" i="33"/>
  <c r="DC36" i="33" s="1"/>
  <c r="CY36" i="33"/>
  <c r="CX36" i="33"/>
  <c r="CZ36" i="33" s="1"/>
  <c r="CV36" i="33"/>
  <c r="CU36" i="33"/>
  <c r="CW36" i="33" s="1"/>
  <c r="CS36" i="33"/>
  <c r="CR36" i="33"/>
  <c r="CT36" i="33" s="1"/>
  <c r="CP36" i="33"/>
  <c r="CO36" i="33"/>
  <c r="CQ36" i="33" s="1"/>
  <c r="CM36" i="33"/>
  <c r="CL36" i="33"/>
  <c r="CN36" i="33" s="1"/>
  <c r="CJ36" i="33"/>
  <c r="CI36" i="33"/>
  <c r="CK36" i="33" s="1"/>
  <c r="CG36" i="33"/>
  <c r="CF36" i="33"/>
  <c r="CH36" i="33" s="1"/>
  <c r="CD36" i="33"/>
  <c r="CC36" i="33"/>
  <c r="CE36" i="33" s="1"/>
  <c r="CA36" i="33"/>
  <c r="BZ36" i="33"/>
  <c r="CB36" i="33" s="1"/>
  <c r="BX36" i="33"/>
  <c r="BW36" i="33"/>
  <c r="BY36" i="33" s="1"/>
  <c r="BU36" i="33"/>
  <c r="BT36" i="33"/>
  <c r="BV36" i="33" s="1"/>
  <c r="BR36" i="33"/>
  <c r="BQ36" i="33"/>
  <c r="BS36" i="33" s="1"/>
  <c r="BO36" i="33"/>
  <c r="BN36" i="33"/>
  <c r="BP36" i="33" s="1"/>
  <c r="BL36" i="33"/>
  <c r="BK36" i="33"/>
  <c r="BM36" i="33" s="1"/>
  <c r="BI36" i="33"/>
  <c r="BH36" i="33"/>
  <c r="BJ36" i="33" s="1"/>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T28" i="33"/>
  <c r="T30" i="33" s="1" a="1"/>
  <c r="T30" i="33" s="1"/>
  <c r="T31" i="33" s="1" a="1"/>
  <c r="T31" i="33" s="1"/>
  <c r="F28" i="33" a="1"/>
  <c r="F28" i="33"/>
  <c r="FO25" i="33"/>
  <c r="FI25" i="33"/>
  <c r="FC25" i="33"/>
  <c r="EW25" i="33"/>
  <c r="EQ25" i="33"/>
  <c r="EK25" i="33"/>
  <c r="EE25" i="33"/>
  <c r="DY25" i="33"/>
  <c r="DS25" i="33"/>
  <c r="DM25" i="33"/>
  <c r="DG25" i="33"/>
  <c r="DA25" i="33"/>
  <c r="CU25" i="33"/>
  <c r="CO25" i="33"/>
  <c r="CI25" i="33"/>
  <c r="CC25" i="33"/>
  <c r="BW25" i="33"/>
  <c r="BQ25" i="33"/>
  <c r="BK25" i="33"/>
  <c r="BE25" i="33"/>
  <c r="AY25" i="33"/>
  <c r="AS25" i="33"/>
  <c r="AM25" i="33"/>
  <c r="AG25" i="33"/>
  <c r="FW12" i="33" a="1"/>
  <c r="FW12" i="33" s="1"/>
  <c r="FU12" i="33" a="1"/>
  <c r="FU12" i="33" s="1"/>
  <c r="FS12" i="33" a="1"/>
  <c r="FS12" i="33" s="1"/>
  <c r="FQ12" i="33" a="1"/>
  <c r="FQ12" i="33" s="1"/>
  <c r="FO12" i="33" a="1"/>
  <c r="FO12" i="33" s="1"/>
  <c r="FM12" i="33" a="1"/>
  <c r="FM12" i="33" s="1"/>
  <c r="FK12" i="33" a="1"/>
  <c r="FK12" i="33" s="1"/>
  <c r="FI12" i="33" a="1"/>
  <c r="FI12" i="33" s="1"/>
  <c r="FG12" i="33" a="1"/>
  <c r="FG12" i="33" s="1"/>
  <c r="FE12" i="33" a="1"/>
  <c r="FE12" i="33" s="1"/>
  <c r="FC12" i="33" a="1"/>
  <c r="FC12" i="33" s="1"/>
  <c r="FA12" i="33" a="1"/>
  <c r="FA12" i="33" s="1"/>
  <c r="EY12" i="33" a="1"/>
  <c r="EY12" i="33" s="1"/>
  <c r="EW12" i="33" a="1"/>
  <c r="EW12" i="33" s="1"/>
  <c r="EU12" i="33" a="1"/>
  <c r="EU12" i="33" s="1"/>
  <c r="ES12" i="33" a="1"/>
  <c r="ES12" i="33" s="1"/>
  <c r="EQ12" i="33" a="1"/>
  <c r="EQ12" i="33" s="1"/>
  <c r="EO12" i="33" a="1"/>
  <c r="EO12" i="33" s="1"/>
  <c r="EM12" i="33" a="1"/>
  <c r="EM12" i="33" s="1"/>
  <c r="EK12" i="33" a="1"/>
  <c r="EK12" i="33" s="1"/>
  <c r="EI12" i="33" a="1"/>
  <c r="EI12" i="33" s="1"/>
  <c r="EG12" i="33" a="1"/>
  <c r="EG12" i="33" s="1"/>
  <c r="EE12" i="33" a="1"/>
  <c r="EE12" i="33" s="1"/>
  <c r="EC12" i="33" a="1"/>
  <c r="EC12" i="33" s="1"/>
  <c r="EA12" i="33" a="1"/>
  <c r="EA12" i="33" s="1"/>
  <c r="DY12" i="33" a="1"/>
  <c r="DY12" i="33" s="1"/>
  <c r="DW12" i="33" a="1"/>
  <c r="DW12" i="33" s="1"/>
  <c r="DU12" i="33" a="1"/>
  <c r="DU12" i="33" s="1"/>
  <c r="DS12" i="33" a="1"/>
  <c r="DS12" i="33" s="1"/>
  <c r="DQ12" i="33" a="1"/>
  <c r="DQ12" i="33" s="1"/>
  <c r="DO12" i="33" a="1"/>
  <c r="DO12" i="33" s="1"/>
  <c r="DM12" i="33" a="1"/>
  <c r="DM12" i="33" s="1"/>
  <c r="DK12" i="33" a="1"/>
  <c r="DK12" i="33" s="1"/>
  <c r="DI12" i="33" a="1"/>
  <c r="DI12" i="33" s="1"/>
  <c r="DG12" i="33" a="1"/>
  <c r="DG12" i="33" s="1"/>
  <c r="DE12" i="33" a="1"/>
  <c r="DE12" i="33" s="1"/>
  <c r="DC12" i="33" a="1"/>
  <c r="DC12" i="33" s="1"/>
  <c r="DA12" i="33" a="1"/>
  <c r="DA12" i="33" s="1"/>
  <c r="CY12" i="33" a="1"/>
  <c r="CY12" i="33" s="1"/>
  <c r="CW12" i="33" a="1"/>
  <c r="CW12" i="33" s="1"/>
  <c r="CU12" i="33" a="1"/>
  <c r="CU12" i="33" s="1"/>
  <c r="CS12" i="33" a="1"/>
  <c r="CS12" i="33" s="1"/>
  <c r="CQ12" i="33" a="1"/>
  <c r="CQ12" i="33" s="1"/>
  <c r="CO12" i="33" a="1"/>
  <c r="CO12" i="33" s="1"/>
  <c r="CM12" i="33" a="1"/>
  <c r="CM12" i="33" s="1"/>
  <c r="CK12" i="33" a="1"/>
  <c r="CK12" i="33" s="1"/>
  <c r="CI12" i="33" a="1"/>
  <c r="CI12" i="33" s="1"/>
  <c r="CG12" i="33" a="1"/>
  <c r="CG12" i="33" s="1"/>
  <c r="CE12" i="33" a="1"/>
  <c r="CE12" i="33" s="1"/>
  <c r="CC12" i="33" a="1"/>
  <c r="CC12" i="33" s="1"/>
  <c r="CA12" i="33" a="1"/>
  <c r="CA12" i="33" s="1"/>
  <c r="BY12" i="33" a="1"/>
  <c r="BY12" i="33" s="1"/>
  <c r="BW12" i="33" a="1"/>
  <c r="BW12" i="33" s="1"/>
  <c r="BU12" i="33" a="1"/>
  <c r="BU12" i="33" s="1"/>
  <c r="BS12" i="33" a="1"/>
  <c r="BS12" i="33" s="1"/>
  <c r="BQ12" i="33" a="1"/>
  <c r="BQ12" i="33" s="1"/>
  <c r="BO12" i="33" a="1"/>
  <c r="BO12" i="33" s="1"/>
  <c r="BM12" i="33" a="1"/>
  <c r="BM12" i="33" s="1"/>
  <c r="BK12" i="33" a="1"/>
  <c r="BK12" i="33" s="1"/>
  <c r="BI12" i="33" a="1"/>
  <c r="BI12" i="33" s="1"/>
  <c r="BG12" i="33" a="1"/>
  <c r="BG12" i="33" s="1"/>
  <c r="BE12" i="33" a="1"/>
  <c r="BE12" i="33" s="1"/>
  <c r="BC12" i="33" a="1"/>
  <c r="BC12" i="33" s="1"/>
  <c r="BA12" i="33" a="1"/>
  <c r="BA12" i="33" s="1"/>
  <c r="AY12" i="33" a="1"/>
  <c r="AY12" i="33" s="1"/>
  <c r="AW12" i="33" a="1"/>
  <c r="AW12" i="33" s="1"/>
  <c r="AU12" i="33" a="1"/>
  <c r="AU12" i="33" s="1"/>
  <c r="AS12" i="33" a="1"/>
  <c r="AS12" i="33" s="1"/>
  <c r="AQ12" i="33" a="1"/>
  <c r="AQ12" i="33" s="1"/>
  <c r="AO12" i="33" a="1"/>
  <c r="AO12" i="33" s="1"/>
  <c r="AM12" i="33" a="1"/>
  <c r="AM12" i="33" s="1"/>
  <c r="AK12" i="33" a="1"/>
  <c r="AK12" i="33" s="1"/>
  <c r="AI12" i="33" a="1"/>
  <c r="AI12" i="33" s="1"/>
  <c r="AG12" i="33" a="1"/>
  <c r="AG12" i="33" s="1"/>
  <c r="FW10" i="33" a="1"/>
  <c r="FW10" i="33" s="1"/>
  <c r="FV10" i="33" a="1"/>
  <c r="FV10" i="33" s="1"/>
  <c r="FU10" i="33" a="1"/>
  <c r="FU10" i="33" s="1"/>
  <c r="FT10" i="33" a="1"/>
  <c r="FT10" i="33" s="1"/>
  <c r="FS10" i="33" a="1"/>
  <c r="FS10" i="33" s="1"/>
  <c r="FR10" i="33" a="1"/>
  <c r="FR10" i="33" s="1"/>
  <c r="FQ10" i="33" a="1"/>
  <c r="FQ10" i="33" s="1"/>
  <c r="FP10" i="33" a="1"/>
  <c r="FP10" i="33" s="1"/>
  <c r="FO10" i="33" a="1"/>
  <c r="FO10" i="33" s="1"/>
  <c r="FN10" i="33" a="1"/>
  <c r="FN10" i="33" s="1"/>
  <c r="FM10" i="33" a="1"/>
  <c r="FM10" i="33" s="1"/>
  <c r="FL10" i="33" a="1"/>
  <c r="FL10" i="33" s="1"/>
  <c r="FK10" i="33" a="1"/>
  <c r="FK10" i="33" s="1"/>
  <c r="FJ10" i="33" a="1"/>
  <c r="FJ10" i="33" s="1"/>
  <c r="FI10" i="33" a="1"/>
  <c r="FI10" i="33" s="1"/>
  <c r="FH10" i="33" a="1"/>
  <c r="FH10" i="33" s="1"/>
  <c r="FG10" i="33" a="1"/>
  <c r="FG10" i="33" s="1"/>
  <c r="FF10" i="33" a="1"/>
  <c r="FF10" i="33" s="1"/>
  <c r="FE10" i="33" a="1"/>
  <c r="FE10" i="33" s="1"/>
  <c r="FD10" i="33" a="1"/>
  <c r="FD10" i="33" s="1"/>
  <c r="FC10" i="33" a="1"/>
  <c r="FC10" i="33" s="1"/>
  <c r="FB10" i="33" a="1"/>
  <c r="FB10" i="33" s="1"/>
  <c r="FA10" i="33" a="1"/>
  <c r="FA10" i="33" s="1"/>
  <c r="EZ10" i="33" a="1"/>
  <c r="EZ10" i="33" s="1"/>
  <c r="EY10" i="33" a="1"/>
  <c r="EY10" i="33" s="1"/>
  <c r="EX10" i="33" a="1"/>
  <c r="EX10" i="33" s="1"/>
  <c r="EW10" i="33" a="1"/>
  <c r="EW10" i="33" s="1"/>
  <c r="EV10" i="33" a="1"/>
  <c r="EV10" i="33" s="1"/>
  <c r="EU10" i="33" a="1"/>
  <c r="EU10" i="33" s="1"/>
  <c r="ET10" i="33" a="1"/>
  <c r="ET10" i="33" s="1"/>
  <c r="ES10" i="33" a="1"/>
  <c r="ES10" i="33" s="1"/>
  <c r="ER10" i="33" a="1"/>
  <c r="ER10" i="33" s="1"/>
  <c r="EQ10" i="33" a="1"/>
  <c r="EQ10" i="33" s="1"/>
  <c r="EP10" i="33" a="1"/>
  <c r="EP10" i="33" s="1"/>
  <c r="EO10" i="33" a="1"/>
  <c r="EO10" i="33" s="1"/>
  <c r="EN10" i="33" a="1"/>
  <c r="EN10" i="33" s="1"/>
  <c r="EM10" i="33" a="1"/>
  <c r="EM10" i="33" s="1"/>
  <c r="EL10" i="33" a="1"/>
  <c r="EL10" i="33" s="1"/>
  <c r="EK10" i="33" a="1"/>
  <c r="EK10" i="33" s="1"/>
  <c r="EJ10" i="33" a="1"/>
  <c r="EJ10" i="33" s="1"/>
  <c r="EI10" i="33" a="1"/>
  <c r="EI10" i="33" s="1"/>
  <c r="EH10" i="33" a="1"/>
  <c r="EH10" i="33" s="1"/>
  <c r="EG10" i="33" a="1"/>
  <c r="EG10" i="33" s="1"/>
  <c r="EF10" i="33" a="1"/>
  <c r="EF10" i="33" s="1"/>
  <c r="EE10" i="33" a="1"/>
  <c r="EE10" i="33" s="1"/>
  <c r="ED10" i="33" a="1"/>
  <c r="ED10" i="33" s="1"/>
  <c r="EC10" i="33" a="1"/>
  <c r="EC10" i="33" s="1"/>
  <c r="EB10" i="33" a="1"/>
  <c r="EB10" i="33" s="1"/>
  <c r="EA10" i="33" a="1"/>
  <c r="EA10" i="33" s="1"/>
  <c r="DZ10" i="33" a="1"/>
  <c r="DZ10" i="33" s="1"/>
  <c r="DY10" i="33" a="1"/>
  <c r="DY10" i="33" s="1"/>
  <c r="DX10" i="33" a="1"/>
  <c r="DX10" i="33" s="1"/>
  <c r="DW10" i="33" a="1"/>
  <c r="DW10" i="33" s="1"/>
  <c r="DV10" i="33" a="1"/>
  <c r="DV10" i="33" s="1"/>
  <c r="DU10" i="33" a="1"/>
  <c r="DU10" i="33" s="1"/>
  <c r="DT10" i="33" a="1"/>
  <c r="DT10" i="33" s="1"/>
  <c r="DS10" i="33" a="1"/>
  <c r="DS10" i="33" s="1"/>
  <c r="DR10" i="33" a="1"/>
  <c r="DR10" i="33" s="1"/>
  <c r="DQ10" i="33" a="1"/>
  <c r="DQ10" i="33" s="1"/>
  <c r="DP10" i="33" a="1"/>
  <c r="DP10" i="33" s="1"/>
  <c r="DO10" i="33" a="1"/>
  <c r="DO10" i="33" s="1"/>
  <c r="DN10" i="33" a="1"/>
  <c r="DN10" i="33" s="1"/>
  <c r="DM10" i="33" a="1"/>
  <c r="DM10" i="33" s="1"/>
  <c r="DL10" i="33" a="1"/>
  <c r="DL10" i="33" s="1"/>
  <c r="DK10" i="33" a="1"/>
  <c r="DK10" i="33" s="1"/>
  <c r="DJ10" i="33" a="1"/>
  <c r="DJ10" i="33" s="1"/>
  <c r="DI10" i="33" a="1"/>
  <c r="DI10" i="33" s="1"/>
  <c r="DH10" i="33" a="1"/>
  <c r="DH10" i="33" s="1"/>
  <c r="DG10" i="33" a="1"/>
  <c r="DG10" i="33" s="1"/>
  <c r="DF10" i="33" a="1"/>
  <c r="DF10" i="33" s="1"/>
  <c r="DE10" i="33" a="1"/>
  <c r="DE10" i="33" s="1"/>
  <c r="DD10" i="33" a="1"/>
  <c r="DD10" i="33" s="1"/>
  <c r="DC10" i="33" a="1"/>
  <c r="DC10" i="33" s="1"/>
  <c r="DB10" i="33" a="1"/>
  <c r="DB10" i="33" s="1"/>
  <c r="DA10" i="33" a="1"/>
  <c r="DA10" i="33" s="1"/>
  <c r="CZ10" i="33" a="1"/>
  <c r="CZ10" i="33" s="1"/>
  <c r="CY10" i="33" a="1"/>
  <c r="CY10" i="33" s="1"/>
  <c r="CX10" i="33" a="1"/>
  <c r="CX10" i="33" s="1"/>
  <c r="CW10" i="33" a="1"/>
  <c r="CW10" i="33" s="1"/>
  <c r="CV10" i="33" a="1"/>
  <c r="CV10" i="33" s="1"/>
  <c r="CU10" i="33" a="1"/>
  <c r="CU10" i="33" s="1"/>
  <c r="CT10" i="33" a="1"/>
  <c r="CT10" i="33" s="1"/>
  <c r="CS10" i="33" a="1"/>
  <c r="CS10" i="33" s="1"/>
  <c r="CR10" i="33" a="1"/>
  <c r="CR10" i="33" s="1"/>
  <c r="CQ10" i="33" a="1"/>
  <c r="CQ10" i="33" s="1"/>
  <c r="CP10" i="33" a="1"/>
  <c r="CP10" i="33" s="1"/>
  <c r="CO10" i="33" a="1"/>
  <c r="CO10" i="33" s="1"/>
  <c r="CN10" i="33" a="1"/>
  <c r="CN10" i="33" s="1"/>
  <c r="CM10" i="33" a="1"/>
  <c r="CM10" i="33" s="1"/>
  <c r="CL10" i="33" a="1"/>
  <c r="CL10" i="33" s="1"/>
  <c r="CK10" i="33" a="1"/>
  <c r="CK10" i="33" s="1"/>
  <c r="CJ10" i="33" a="1"/>
  <c r="CJ10" i="33" s="1"/>
  <c r="CI10" i="33" a="1"/>
  <c r="CI10" i="33" s="1"/>
  <c r="CH10" i="33" a="1"/>
  <c r="CH10" i="33" s="1"/>
  <c r="CG10" i="33" a="1"/>
  <c r="CG10" i="33" s="1"/>
  <c r="CF10" i="33" a="1"/>
  <c r="CF10" i="33" s="1"/>
  <c r="CE10" i="33" a="1"/>
  <c r="CE10" i="33" s="1"/>
  <c r="CD10" i="33" a="1"/>
  <c r="CD10" i="33" s="1"/>
  <c r="CC10" i="33" a="1"/>
  <c r="CC10" i="33" s="1"/>
  <c r="CB10" i="33" a="1"/>
  <c r="CB10" i="33" s="1"/>
  <c r="CA10" i="33" a="1"/>
  <c r="CA10" i="33" s="1"/>
  <c r="BZ10" i="33" a="1"/>
  <c r="BZ10" i="33" s="1"/>
  <c r="BY10" i="33" a="1"/>
  <c r="BY10" i="33" s="1"/>
  <c r="BX10" i="33" a="1"/>
  <c r="BX10" i="33" s="1"/>
  <c r="BW10" i="33" a="1"/>
  <c r="BW10" i="33" s="1"/>
  <c r="BV10" i="33" a="1"/>
  <c r="BV10" i="33" s="1"/>
  <c r="BU10" i="33" a="1"/>
  <c r="BU10" i="33" s="1"/>
  <c r="BT10" i="33" a="1"/>
  <c r="BT10" i="33" s="1"/>
  <c r="BS10" i="33" a="1"/>
  <c r="BS10" i="33" s="1"/>
  <c r="BR10" i="33" a="1"/>
  <c r="BR10" i="33" s="1"/>
  <c r="BQ10" i="33" a="1"/>
  <c r="BQ10" i="33" s="1"/>
  <c r="BP10" i="33" a="1"/>
  <c r="BP10" i="33" s="1"/>
  <c r="BO10" i="33" a="1"/>
  <c r="BO10" i="33" s="1"/>
  <c r="BN10" i="33" a="1"/>
  <c r="BN10" i="33" s="1"/>
  <c r="BM10" i="33" a="1"/>
  <c r="BM10" i="33" s="1"/>
  <c r="BL10" i="33" a="1"/>
  <c r="BL10" i="33" s="1"/>
  <c r="BK10" i="33" a="1"/>
  <c r="BK10" i="33" s="1"/>
  <c r="BJ10" i="33" a="1"/>
  <c r="BJ10" i="33" s="1"/>
  <c r="BI10" i="33" a="1"/>
  <c r="BI10" i="33" s="1"/>
  <c r="BH10" i="33" a="1"/>
  <c r="BH10" i="33" s="1"/>
  <c r="BG10" i="33" a="1"/>
  <c r="BG10" i="33" s="1"/>
  <c r="BF10" i="33" a="1"/>
  <c r="BF10" i="33" s="1"/>
  <c r="BE10" i="33" a="1"/>
  <c r="BE10" i="33" s="1"/>
  <c r="BD10" i="33" a="1"/>
  <c r="BD10" i="33" s="1"/>
  <c r="BC10" i="33" a="1"/>
  <c r="BC10" i="33" s="1"/>
  <c r="BB10" i="33" a="1"/>
  <c r="BB10" i="33" s="1"/>
  <c r="BA10" i="33" a="1"/>
  <c r="BA10" i="33" s="1"/>
  <c r="AZ10" i="33" a="1"/>
  <c r="AZ10" i="33" s="1"/>
  <c r="AY10" i="33" a="1"/>
  <c r="AY10" i="33" s="1"/>
  <c r="AX10" i="33" a="1"/>
  <c r="AX10" i="33" s="1"/>
  <c r="AW10" i="33" a="1"/>
  <c r="AW10" i="33" s="1"/>
  <c r="AV10" i="33" a="1"/>
  <c r="AV10" i="33" s="1"/>
  <c r="AU10" i="33" a="1"/>
  <c r="AU10" i="33" s="1"/>
  <c r="AT10" i="33" a="1"/>
  <c r="AT10" i="33" s="1"/>
  <c r="AS10" i="33" a="1"/>
  <c r="AS10" i="33" s="1"/>
  <c r="AR10" i="33" a="1"/>
  <c r="AR10" i="33" s="1"/>
  <c r="AQ10" i="33" a="1"/>
  <c r="AQ10" i="33" s="1"/>
  <c r="AP10" i="33" a="1"/>
  <c r="AP10" i="33" s="1"/>
  <c r="AO10" i="33" a="1"/>
  <c r="AO10" i="33" s="1"/>
  <c r="AN10" i="33" a="1"/>
  <c r="AN10" i="33" s="1"/>
  <c r="AM10" i="33" a="1"/>
  <c r="AM10" i="33" s="1"/>
  <c r="AL10" i="33" a="1"/>
  <c r="AL10" i="33" s="1"/>
  <c r="AK10" i="33" a="1"/>
  <c r="AK10" i="33" s="1"/>
  <c r="AJ10" i="33" a="1"/>
  <c r="AJ10" i="33" s="1"/>
  <c r="AI10" i="33" a="1"/>
  <c r="AI10" i="33" s="1"/>
  <c r="AH10" i="33" a="1"/>
  <c r="AH10" i="33" s="1"/>
  <c r="AG10" i="33" a="1"/>
  <c r="AG10" i="33" s="1"/>
  <c r="AF10" i="33" a="1"/>
  <c r="AF10" i="33" s="1"/>
  <c r="AE10" i="33" a="1"/>
  <c r="AE10" i="33" s="1"/>
  <c r="AD10" i="33" a="1"/>
  <c r="AD10" i="33" s="1"/>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c r="AE9" i="33" a="1"/>
  <c r="AE9" i="33"/>
  <c r="AD9" i="33" a="1"/>
  <c r="AD9" i="33"/>
  <c r="FT8" i="33"/>
  <c r="FP8" i="33"/>
  <c r="FL8" i="33"/>
  <c r="FH8" i="33"/>
  <c r="FD8" i="33"/>
  <c r="EZ8" i="33"/>
  <c r="EV8" i="33"/>
  <c r="ER8" i="33"/>
  <c r="EN8" i="33"/>
  <c r="EJ8" i="33"/>
  <c r="EF8" i="33"/>
  <c r="EB8" i="33"/>
  <c r="DX8" i="33"/>
  <c r="DT8" i="33"/>
  <c r="DP8" i="33"/>
  <c r="DL8" i="33"/>
  <c r="DH8" i="33"/>
  <c r="DD8" i="33"/>
  <c r="CZ8" i="33"/>
  <c r="CV8" i="33"/>
  <c r="CR8" i="33"/>
  <c r="CN8" i="33"/>
  <c r="CJ8" i="33"/>
  <c r="CF8" i="33"/>
  <c r="CB8" i="33"/>
  <c r="BX8" i="33"/>
  <c r="BT8" i="33"/>
  <c r="BP8" i="33"/>
  <c r="BL8" i="33"/>
  <c r="BH8" i="33"/>
  <c r="BD8" i="33"/>
  <c r="AZ8" i="33"/>
  <c r="AV8" i="33"/>
  <c r="AR8" i="33"/>
  <c r="AN8" i="33"/>
  <c r="AJ8" i="33"/>
  <c r="AF8" i="33"/>
  <c r="FW7" i="33" a="1"/>
  <c r="FW7" i="33"/>
  <c r="FV7" i="33" a="1"/>
  <c r="FV7" i="33"/>
  <c r="FU7" i="33" a="1"/>
  <c r="FU7" i="33"/>
  <c r="FT7" i="33" a="1"/>
  <c r="FT7" i="33"/>
  <c r="FS7" i="33" a="1"/>
  <c r="FS7" i="33"/>
  <c r="FR7" i="33" a="1"/>
  <c r="FR7" i="33"/>
  <c r="FQ7" i="33" a="1"/>
  <c r="FQ7" i="33"/>
  <c r="FP7" i="33" a="1"/>
  <c r="FP7" i="33"/>
  <c r="FO7" i="33" a="1"/>
  <c r="FO7" i="33"/>
  <c r="FN7" i="33" a="1"/>
  <c r="FN7" i="33"/>
  <c r="FM7" i="33" a="1"/>
  <c r="FM7" i="33"/>
  <c r="FL7" i="33" a="1"/>
  <c r="FL7" i="33"/>
  <c r="FK7" i="33" a="1"/>
  <c r="FK7" i="33"/>
  <c r="FJ7" i="33" a="1"/>
  <c r="FJ7" i="33"/>
  <c r="FI7" i="33" a="1"/>
  <c r="FI7" i="33"/>
  <c r="FH7" i="33" a="1"/>
  <c r="FH7" i="33"/>
  <c r="FG7" i="33" a="1"/>
  <c r="FG7" i="33"/>
  <c r="FF7" i="33" a="1"/>
  <c r="FF7" i="33"/>
  <c r="FE7" i="33" a="1"/>
  <c r="FE7" i="33"/>
  <c r="FD7" i="33" a="1"/>
  <c r="FD7" i="33"/>
  <c r="FC7" i="33" a="1"/>
  <c r="FC7" i="33"/>
  <c r="FB7" i="33" a="1"/>
  <c r="FB7" i="33"/>
  <c r="FA7" i="33" a="1"/>
  <c r="FA7" i="33"/>
  <c r="EZ7" i="33" a="1"/>
  <c r="EZ7" i="33"/>
  <c r="EY7" i="33" a="1"/>
  <c r="EY7" i="33"/>
  <c r="EX7" i="33" a="1"/>
  <c r="EX7" i="33"/>
  <c r="EW7" i="33" a="1"/>
  <c r="EW7" i="33"/>
  <c r="EV7" i="33" a="1"/>
  <c r="EV7" i="33"/>
  <c r="EU7" i="33" a="1"/>
  <c r="EU7" i="33"/>
  <c r="ET7" i="33" a="1"/>
  <c r="ET7" i="33"/>
  <c r="ES7" i="33" a="1"/>
  <c r="ES7" i="33"/>
  <c r="ER7" i="33" a="1"/>
  <c r="ER7" i="33"/>
  <c r="EQ7" i="33" a="1"/>
  <c r="EQ7" i="33"/>
  <c r="EP7" i="33" a="1"/>
  <c r="EP7" i="33"/>
  <c r="EO7" i="33" a="1"/>
  <c r="EO7" i="33"/>
  <c r="EN7" i="33" a="1"/>
  <c r="EN7" i="33"/>
  <c r="EM7" i="33" a="1"/>
  <c r="EM7" i="33"/>
  <c r="EL7" i="33" a="1"/>
  <c r="EL7" i="33"/>
  <c r="EK7" i="33" a="1"/>
  <c r="EK7" i="33"/>
  <c r="EJ7" i="33" a="1"/>
  <c r="EJ7" i="33"/>
  <c r="EI7" i="33" a="1"/>
  <c r="EI7" i="33"/>
  <c r="EH7" i="33" a="1"/>
  <c r="EH7" i="33"/>
  <c r="EG7" i="33" a="1"/>
  <c r="EG7" i="33"/>
  <c r="EF7" i="33" a="1"/>
  <c r="EF7" i="33"/>
  <c r="EE7" i="33" a="1"/>
  <c r="EE7" i="33"/>
  <c r="ED7" i="33" a="1"/>
  <c r="ED7" i="33"/>
  <c r="EC7" i="33" a="1"/>
  <c r="EC7" i="33"/>
  <c r="EB7" i="33" a="1"/>
  <c r="EB7" i="33"/>
  <c r="EA7" i="33" a="1"/>
  <c r="EA7" i="33"/>
  <c r="DZ7" i="33" a="1"/>
  <c r="DZ7" i="33"/>
  <c r="DY7" i="33" a="1"/>
  <c r="DY7" i="33"/>
  <c r="DX7" i="33" a="1"/>
  <c r="DX7" i="33"/>
  <c r="DW7" i="33" a="1"/>
  <c r="DW7" i="33"/>
  <c r="DV7" i="33" a="1"/>
  <c r="DV7" i="33"/>
  <c r="DU7" i="33" a="1"/>
  <c r="DU7" i="33"/>
  <c r="DT7" i="33" a="1"/>
  <c r="DT7" i="33"/>
  <c r="DS7" i="33" a="1"/>
  <c r="DS7" i="33"/>
  <c r="DR7" i="33" a="1"/>
  <c r="DR7" i="33"/>
  <c r="DQ7" i="33" a="1"/>
  <c r="DQ7" i="33"/>
  <c r="DP7" i="33" a="1"/>
  <c r="DP7" i="33"/>
  <c r="DO7" i="33" a="1"/>
  <c r="DO7" i="33"/>
  <c r="DN7" i="33" a="1"/>
  <c r="DN7" i="33"/>
  <c r="DM7" i="33" a="1"/>
  <c r="DM7" i="33"/>
  <c r="DL7" i="33" a="1"/>
  <c r="DL7" i="33"/>
  <c r="DK7" i="33" a="1"/>
  <c r="DK7" i="33"/>
  <c r="DJ7" i="33" a="1"/>
  <c r="DJ7" i="33"/>
  <c r="DI7" i="33" a="1"/>
  <c r="DI7" i="33"/>
  <c r="DH7" i="33" a="1"/>
  <c r="DH7" i="33"/>
  <c r="DG7" i="33" a="1"/>
  <c r="DG7" i="33"/>
  <c r="DF7" i="33" a="1"/>
  <c r="DF7" i="33"/>
  <c r="DE7" i="33" a="1"/>
  <c r="DE7" i="33"/>
  <c r="DD7" i="33" a="1"/>
  <c r="DD7" i="33"/>
  <c r="DC7" i="33" a="1"/>
  <c r="DC7" i="33"/>
  <c r="DB7" i="33" a="1"/>
  <c r="DB7" i="33"/>
  <c r="DA7" i="33" a="1"/>
  <c r="DA7" i="33"/>
  <c r="CZ7" i="33" a="1"/>
  <c r="CZ7" i="33"/>
  <c r="CY7" i="33" a="1"/>
  <c r="CY7" i="33"/>
  <c r="CX7" i="33" a="1"/>
  <c r="CX7" i="33"/>
  <c r="CW7" i="33" a="1"/>
  <c r="CW7" i="33"/>
  <c r="CV7" i="33" a="1"/>
  <c r="CV7" i="33"/>
  <c r="CU7" i="33" a="1"/>
  <c r="CU7" i="33"/>
  <c r="CT7" i="33" a="1"/>
  <c r="CT7" i="33"/>
  <c r="CS7" i="33" a="1"/>
  <c r="CS7" i="33"/>
  <c r="CR7" i="33" a="1"/>
  <c r="CR7" i="33"/>
  <c r="CQ7" i="33" a="1"/>
  <c r="CQ7" i="33"/>
  <c r="CP7" i="33" a="1"/>
  <c r="CP7" i="33"/>
  <c r="CO7" i="33" a="1"/>
  <c r="CO7" i="33"/>
  <c r="CN7" i="33" a="1"/>
  <c r="CN7" i="33"/>
  <c r="CM7" i="33" a="1"/>
  <c r="CM7" i="33"/>
  <c r="CL7" i="33" a="1"/>
  <c r="CL7" i="33"/>
  <c r="CK7" i="33" a="1"/>
  <c r="CK7" i="33"/>
  <c r="CJ7" i="33" a="1"/>
  <c r="CJ7" i="33"/>
  <c r="CI7" i="33" a="1"/>
  <c r="CI7" i="33"/>
  <c r="CH7" i="33" a="1"/>
  <c r="CH7" i="33"/>
  <c r="CG7" i="33" a="1"/>
  <c r="CG7" i="33"/>
  <c r="CF7" i="33" a="1"/>
  <c r="CF7" i="33"/>
  <c r="CE7" i="33" a="1"/>
  <c r="CE7" i="33"/>
  <c r="CD7" i="33" a="1"/>
  <c r="CD7" i="33"/>
  <c r="CC7" i="33" a="1"/>
  <c r="CC7" i="33"/>
  <c r="CB7" i="33" a="1"/>
  <c r="CB7" i="33"/>
  <c r="CA7" i="33" a="1"/>
  <c r="CA7" i="33"/>
  <c r="BZ7" i="33" a="1"/>
  <c r="BZ7" i="33"/>
  <c r="BY7" i="33" a="1"/>
  <c r="BY7" i="33"/>
  <c r="BX7" i="33" a="1"/>
  <c r="BX7" i="33"/>
  <c r="BW7" i="33" a="1"/>
  <c r="BW7" i="33"/>
  <c r="BV7" i="33" a="1"/>
  <c r="BV7" i="33"/>
  <c r="BU7" i="33" a="1"/>
  <c r="BU7" i="33"/>
  <c r="BT7" i="33" a="1"/>
  <c r="BT7" i="33"/>
  <c r="BS7" i="33" a="1"/>
  <c r="BS7" i="33"/>
  <c r="BR7" i="33" a="1"/>
  <c r="BR7" i="33"/>
  <c r="BQ7" i="33" a="1"/>
  <c r="BQ7" i="33"/>
  <c r="BP7" i="33" a="1"/>
  <c r="BP7" i="33"/>
  <c r="BO7" i="33" a="1"/>
  <c r="BO7" i="33"/>
  <c r="BN7" i="33" a="1"/>
  <c r="BN7" i="33"/>
  <c r="BM7" i="33" a="1"/>
  <c r="BM7" i="33"/>
  <c r="BL7" i="33" a="1"/>
  <c r="BL7" i="33"/>
  <c r="BK7" i="33" a="1"/>
  <c r="BK7" i="33"/>
  <c r="BJ7" i="33" a="1"/>
  <c r="BJ7" i="33"/>
  <c r="BI7" i="33" a="1"/>
  <c r="BI7" i="33"/>
  <c r="BH7" i="33" a="1"/>
  <c r="BH7" i="33"/>
  <c r="BG7" i="33" a="1"/>
  <c r="BG7" i="33"/>
  <c r="BF7" i="33" a="1"/>
  <c r="BF7" i="33"/>
  <c r="BE7" i="33" a="1"/>
  <c r="BE7" i="33"/>
  <c r="BD7" i="33" a="1"/>
  <c r="BD7" i="33"/>
  <c r="BC7" i="33" a="1"/>
  <c r="BC7" i="33"/>
  <c r="BB7" i="33" a="1"/>
  <c r="BB7" i="33"/>
  <c r="BA7" i="33" a="1"/>
  <c r="BA7" i="33"/>
  <c r="AZ7" i="33" a="1"/>
  <c r="AZ7" i="33"/>
  <c r="AY7" i="33" a="1"/>
  <c r="AY7" i="33"/>
  <c r="AX7" i="33" a="1"/>
  <c r="AX7" i="33"/>
  <c r="AW7" i="33" a="1"/>
  <c r="AW7" i="33"/>
  <c r="AV7" i="33" a="1"/>
  <c r="AV7" i="33"/>
  <c r="AU7" i="33" a="1"/>
  <c r="AU7" i="33"/>
  <c r="AT7" i="33" a="1"/>
  <c r="AT7" i="33"/>
  <c r="AS7" i="33" a="1"/>
  <c r="AS7" i="33"/>
  <c r="AR7" i="33" a="1"/>
  <c r="AR7" i="33"/>
  <c r="AQ7" i="33" a="1"/>
  <c r="AQ7" i="33"/>
  <c r="AP7" i="33" a="1"/>
  <c r="AP7" i="33"/>
  <c r="AO7" i="33" a="1"/>
  <c r="AO7" i="33"/>
  <c r="AN7" i="33" a="1"/>
  <c r="AN7" i="33"/>
  <c r="AM7" i="33" a="1"/>
  <c r="AM7" i="33"/>
  <c r="AL7" i="33" a="1"/>
  <c r="AL7" i="33"/>
  <c r="AK7" i="33" a="1"/>
  <c r="AK7" i="33"/>
  <c r="AJ7" i="33" a="1"/>
  <c r="AJ7" i="33"/>
  <c r="AI7" i="33" a="1"/>
  <c r="AI7" i="33"/>
  <c r="AH7" i="33" a="1"/>
  <c r="AH7" i="33"/>
  <c r="AG7" i="33" a="1"/>
  <c r="AG7" i="33"/>
  <c r="AF7" i="33" a="1"/>
  <c r="AF7" i="33"/>
  <c r="AE7" i="33" a="1"/>
  <c r="AE7" i="33"/>
  <c r="AD7" i="33" a="1"/>
  <c r="AD7" i="33"/>
  <c r="FW6" i="33"/>
  <c r="FW8" i="33" s="1"/>
  <c r="FV6" i="33"/>
  <c r="FU6" i="33"/>
  <c r="FU25" i="33" s="1"/>
  <c r="FT6" i="33"/>
  <c r="FS6" i="33"/>
  <c r="FS8" i="33" s="1"/>
  <c r="FR6" i="33"/>
  <c r="FQ6" i="33"/>
  <c r="FQ8" i="33" s="1"/>
  <c r="FP6" i="33"/>
  <c r="FO6" i="33"/>
  <c r="FO8" i="33" s="1"/>
  <c r="FN6" i="33"/>
  <c r="FM6" i="33"/>
  <c r="FM8" i="33" s="1"/>
  <c r="FL6" i="33"/>
  <c r="FK6" i="33"/>
  <c r="FK8" i="33" s="1"/>
  <c r="FJ6" i="33"/>
  <c r="FI6" i="33"/>
  <c r="FI8" i="33" s="1"/>
  <c r="FH6" i="33"/>
  <c r="FG6" i="33"/>
  <c r="FG8" i="33" s="1"/>
  <c r="FF6" i="33"/>
  <c r="FE6" i="33"/>
  <c r="FE8" i="33" s="1"/>
  <c r="FD6" i="33"/>
  <c r="FC6" i="33"/>
  <c r="FC8" i="33" s="1"/>
  <c r="FB6" i="33"/>
  <c r="FA6" i="33"/>
  <c r="FA8" i="33" s="1"/>
  <c r="EZ6" i="33"/>
  <c r="EY6" i="33"/>
  <c r="EY8" i="33" s="1"/>
  <c r="EX6" i="33"/>
  <c r="EW6" i="33"/>
  <c r="EW8" i="33" s="1"/>
  <c r="EV6" i="33"/>
  <c r="EU6" i="33"/>
  <c r="EU8" i="33" s="1"/>
  <c r="ET6" i="33"/>
  <c r="ES6" i="33"/>
  <c r="ES8" i="33" s="1"/>
  <c r="ER6" i="33"/>
  <c r="EQ6" i="33"/>
  <c r="EQ8" i="33" s="1"/>
  <c r="EP6" i="33"/>
  <c r="EO6" i="33"/>
  <c r="EO8" i="33" s="1"/>
  <c r="EN6" i="33"/>
  <c r="EM6" i="33"/>
  <c r="EM8" i="33" s="1"/>
  <c r="EL6" i="33"/>
  <c r="EK6" i="33"/>
  <c r="EK8" i="33" s="1"/>
  <c r="EJ6" i="33"/>
  <c r="EI6" i="33"/>
  <c r="EI8" i="33" s="1"/>
  <c r="EH6" i="33"/>
  <c r="EG6" i="33"/>
  <c r="EG8" i="33" s="1"/>
  <c r="EF6" i="33"/>
  <c r="EE6" i="33"/>
  <c r="EE8" i="33" s="1"/>
  <c r="ED6" i="33"/>
  <c r="EC6" i="33"/>
  <c r="EC8" i="33" s="1"/>
  <c r="EB6" i="33"/>
  <c r="EA6" i="33"/>
  <c r="EA8" i="33" s="1"/>
  <c r="DZ6" i="33"/>
  <c r="DY6" i="33"/>
  <c r="DY8" i="33" s="1"/>
  <c r="DX6" i="33"/>
  <c r="DW6" i="33"/>
  <c r="DW8" i="33" s="1"/>
  <c r="DV6" i="33"/>
  <c r="DU6" i="33"/>
  <c r="DU8" i="33" s="1"/>
  <c r="DT6" i="33"/>
  <c r="DS6" i="33"/>
  <c r="DS8" i="33" s="1"/>
  <c r="DR6" i="33"/>
  <c r="DQ6" i="33"/>
  <c r="DQ8" i="33" s="1"/>
  <c r="DP6" i="33"/>
  <c r="DO6" i="33"/>
  <c r="DO8" i="33" s="1"/>
  <c r="DN6" i="33"/>
  <c r="DM6" i="33"/>
  <c r="DM8" i="33" s="1"/>
  <c r="DL6" i="33"/>
  <c r="DK6" i="33"/>
  <c r="DK8" i="33" s="1"/>
  <c r="DJ6" i="33"/>
  <c r="DI6" i="33"/>
  <c r="DI8" i="33" s="1"/>
  <c r="DH6" i="33"/>
  <c r="DG6" i="33"/>
  <c r="DG8" i="33" s="1"/>
  <c r="DF6" i="33"/>
  <c r="DE6" i="33"/>
  <c r="DE8" i="33" s="1"/>
  <c r="DD6" i="33"/>
  <c r="DC6" i="33"/>
  <c r="DC8" i="33" s="1"/>
  <c r="DB6" i="33"/>
  <c r="DA6" i="33"/>
  <c r="DA8" i="33" s="1"/>
  <c r="CZ6" i="33"/>
  <c r="CY6" i="33"/>
  <c r="CY8" i="33" s="1"/>
  <c r="CX6" i="33"/>
  <c r="CW6" i="33"/>
  <c r="CW8" i="33" s="1"/>
  <c r="CV6" i="33"/>
  <c r="CU6" i="33"/>
  <c r="CU8" i="33" s="1"/>
  <c r="CT6" i="33"/>
  <c r="CS6" i="33"/>
  <c r="CS8" i="33" s="1"/>
  <c r="CR6" i="33"/>
  <c r="CQ6" i="33"/>
  <c r="CQ8" i="33" s="1"/>
  <c r="CP6" i="33"/>
  <c r="CO6" i="33"/>
  <c r="CO8" i="33" s="1"/>
  <c r="CN6" i="33"/>
  <c r="CM6" i="33"/>
  <c r="CM8" i="33" s="1"/>
  <c r="CL6" i="33"/>
  <c r="CK6" i="33"/>
  <c r="CK8" i="33" s="1"/>
  <c r="CJ6" i="33"/>
  <c r="CI6" i="33"/>
  <c r="CI8" i="33" s="1"/>
  <c r="CH6" i="33"/>
  <c r="CG6" i="33"/>
  <c r="CG8" i="33" s="1"/>
  <c r="CF6" i="33"/>
  <c r="CE6" i="33"/>
  <c r="CE8" i="33" s="1"/>
  <c r="CD6" i="33"/>
  <c r="CC6" i="33"/>
  <c r="CC8" i="33" s="1"/>
  <c r="CB6" i="33"/>
  <c r="CA6" i="33"/>
  <c r="CA8" i="33" s="1"/>
  <c r="BZ6" i="33"/>
  <c r="BY6" i="33"/>
  <c r="BY8" i="33" s="1"/>
  <c r="BX6" i="33"/>
  <c r="BW6" i="33"/>
  <c r="BW8" i="33" s="1"/>
  <c r="BV6" i="33"/>
  <c r="BU6" i="33"/>
  <c r="BU8" i="33" s="1"/>
  <c r="BT6" i="33"/>
  <c r="BS6" i="33"/>
  <c r="BS8" i="33" s="1"/>
  <c r="BR6" i="33"/>
  <c r="BQ6" i="33"/>
  <c r="BQ8" i="33" s="1"/>
  <c r="BP6" i="33"/>
  <c r="BO6" i="33"/>
  <c r="BO8" i="33" s="1"/>
  <c r="BN6" i="33"/>
  <c r="BM6" i="33"/>
  <c r="BM8" i="33" s="1"/>
  <c r="BL6" i="33"/>
  <c r="BL12" i="33" s="1" a="1"/>
  <c r="BL12" i="33" s="1"/>
  <c r="BK6" i="33"/>
  <c r="BK8" i="33" s="1"/>
  <c r="BJ6" i="33"/>
  <c r="BJ12" i="33" s="1" a="1"/>
  <c r="BJ12" i="33" s="1"/>
  <c r="BI6" i="33"/>
  <c r="BI8" i="33" s="1"/>
  <c r="BH6" i="33"/>
  <c r="BH25" i="33" s="1"/>
  <c r="BG6" i="33"/>
  <c r="BG8" i="33" s="1"/>
  <c r="BF6" i="33"/>
  <c r="BF12" i="33" s="1" a="1"/>
  <c r="BF12" i="33" s="1"/>
  <c r="BE6" i="33"/>
  <c r="BE8" i="33" s="1"/>
  <c r="BD6" i="33"/>
  <c r="BD12" i="33" s="1" a="1"/>
  <c r="BD12" i="33" s="1"/>
  <c r="BC6" i="33"/>
  <c r="BC8" i="33" s="1"/>
  <c r="BB6" i="33"/>
  <c r="BB25" i="33" s="1"/>
  <c r="BA6" i="33"/>
  <c r="BA8" i="33" s="1"/>
  <c r="AZ6" i="33"/>
  <c r="AZ12" i="33" s="1" a="1"/>
  <c r="AZ12" i="33" s="1"/>
  <c r="AY6" i="33"/>
  <c r="AY8" i="33" s="1"/>
  <c r="AX6" i="33"/>
  <c r="AX12" i="33" s="1" a="1"/>
  <c r="AX12" i="33" s="1"/>
  <c r="AW6" i="33"/>
  <c r="AW8" i="33" s="1"/>
  <c r="AV6" i="33"/>
  <c r="AV25" i="33" s="1"/>
  <c r="AU6" i="33"/>
  <c r="AU8" i="33" s="1"/>
  <c r="AT6" i="33"/>
  <c r="AT12" i="33" s="1" a="1"/>
  <c r="AT12" i="33" s="1"/>
  <c r="AS6" i="33"/>
  <c r="AS8" i="33" s="1"/>
  <c r="AR6" i="33"/>
  <c r="AR12" i="33" s="1" a="1"/>
  <c r="AR12" i="33" s="1"/>
  <c r="AQ6" i="33"/>
  <c r="AQ8" i="33" s="1"/>
  <c r="AP6" i="33"/>
  <c r="AP25" i="33" s="1"/>
  <c r="AO6" i="33"/>
  <c r="AO8" i="33" s="1"/>
  <c r="AN6" i="33"/>
  <c r="AN12" i="33" s="1" a="1"/>
  <c r="AN12" i="33" s="1"/>
  <c r="AM6" i="33"/>
  <c r="AM8" i="33" s="1"/>
  <c r="AL6" i="33"/>
  <c r="AL12" i="33" s="1" a="1"/>
  <c r="AL12" i="33" s="1"/>
  <c r="AK6" i="33"/>
  <c r="AK8" i="33" s="1"/>
  <c r="AJ6" i="33"/>
  <c r="AJ25" i="33" s="1"/>
  <c r="AI6" i="33"/>
  <c r="AI8" i="33" s="1"/>
  <c r="AH6" i="33"/>
  <c r="AH12" i="33" s="1" a="1"/>
  <c r="AH12" i="33" s="1"/>
  <c r="AG6" i="33"/>
  <c r="AG8" i="33" s="1"/>
  <c r="AF6" i="33" a="1"/>
  <c r="AF6" i="33" s="1"/>
  <c r="AF12" i="33" s="1" a="1"/>
  <c r="AF12" i="33" s="1"/>
  <c r="AE6" i="33" a="1"/>
  <c r="AE6" i="33" s="1"/>
  <c r="AE8" i="33" s="1"/>
  <c r="AD6" i="33" a="1"/>
  <c r="AD6" i="33" s="1"/>
  <c r="AD25" i="33" s="1"/>
  <c r="T73" i="32"/>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A60" i="32"/>
  <c r="AZ60" i="32"/>
  <c r="AY60" i="32"/>
  <c r="AX60" i="32"/>
  <c r="AW60" i="32"/>
  <c r="AV60" i="32"/>
  <c r="AU60" i="32"/>
  <c r="AT60" i="32"/>
  <c r="AS60" i="32"/>
  <c r="AR60" i="32"/>
  <c r="AQ60" i="32"/>
  <c r="AP60" i="32"/>
  <c r="AO60" i="32"/>
  <c r="AN60" i="32"/>
  <c r="AM60" i="32"/>
  <c r="AL60" i="32"/>
  <c r="AK60" i="32"/>
  <c r="AJ60" i="32"/>
  <c r="AI60" i="32"/>
  <c r="AH60" i="32"/>
  <c r="AG60" i="32"/>
  <c r="AF60" i="32"/>
  <c r="AE60" i="32"/>
  <c r="BB51" i="32"/>
  <c r="BA51" i="32"/>
  <c r="AZ51" i="32"/>
  <c r="AY51" i="32"/>
  <c r="AX51" i="32"/>
  <c r="AW51" i="32"/>
  <c r="AV51" i="32"/>
  <c r="AU51" i="32"/>
  <c r="AT51" i="32"/>
  <c r="AS51" i="32"/>
  <c r="AR51" i="32"/>
  <c r="AQ51" i="32"/>
  <c r="AP51" i="32"/>
  <c r="AO51" i="32"/>
  <c r="AN51" i="32"/>
  <c r="AM51" i="32"/>
  <c r="AL51" i="32"/>
  <c r="AK51" i="32"/>
  <c r="AJ51" i="32"/>
  <c r="AI51" i="32"/>
  <c r="AH51" i="32"/>
  <c r="AG51" i="32"/>
  <c r="AF51" i="32"/>
  <c r="AE51" i="32"/>
  <c r="BB50" i="32"/>
  <c r="BA50" i="32"/>
  <c r="AZ50" i="32"/>
  <c r="AY50" i="32"/>
  <c r="AX50" i="32"/>
  <c r="AW50" i="32"/>
  <c r="AV50" i="32"/>
  <c r="AU50" i="32"/>
  <c r="AT50" i="32"/>
  <c r="AS50" i="32"/>
  <c r="AR50" i="32"/>
  <c r="AQ50" i="32"/>
  <c r="AP50" i="32"/>
  <c r="AO50" i="32"/>
  <c r="AN50" i="32"/>
  <c r="AM50" i="32"/>
  <c r="AL50" i="32"/>
  <c r="AK50" i="32"/>
  <c r="AJ50" i="32"/>
  <c r="AI50" i="32"/>
  <c r="AH50" i="32"/>
  <c r="AG50" i="32"/>
  <c r="AF50" i="32"/>
  <c r="AE50" i="32"/>
  <c r="T49" i="32"/>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F49" i="32"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BB31" i="32"/>
  <c r="BA31" i="32"/>
  <c r="AZ31" i="32"/>
  <c r="AY31" i="32"/>
  <c r="AX31" i="32"/>
  <c r="AW31" i="32"/>
  <c r="AV31" i="32"/>
  <c r="AU31" i="32"/>
  <c r="AT31" i="32"/>
  <c r="AS31" i="32"/>
  <c r="AR31" i="32"/>
  <c r="AQ31" i="32"/>
  <c r="AP31" i="32"/>
  <c r="AO31" i="32"/>
  <c r="AN31" i="32"/>
  <c r="AM31" i="32"/>
  <c r="AL31" i="32"/>
  <c r="AK31" i="32"/>
  <c r="AJ31" i="32"/>
  <c r="AI31" i="32"/>
  <c r="AH31" i="32"/>
  <c r="AG31" i="32"/>
  <c r="AF31" i="32"/>
  <c r="AE31" i="32"/>
  <c r="BB30" i="32"/>
  <c r="BA30" i="32"/>
  <c r="AZ30" i="32"/>
  <c r="AY30" i="32"/>
  <c r="AX30" i="32"/>
  <c r="AW30" i="32"/>
  <c r="AV30" i="32"/>
  <c r="AU30" i="32"/>
  <c r="AT30" i="32"/>
  <c r="AS30" i="32"/>
  <c r="AR30" i="32"/>
  <c r="AQ30" i="32"/>
  <c r="AP30" i="32"/>
  <c r="AO30" i="32"/>
  <c r="AN30" i="32"/>
  <c r="AM30" i="32"/>
  <c r="AL30" i="32"/>
  <c r="AK30" i="32"/>
  <c r="AJ30" i="32"/>
  <c r="AI30" i="32"/>
  <c r="AH30" i="32"/>
  <c r="AG30" i="32"/>
  <c r="AF30" i="32"/>
  <c r="AE30" i="32"/>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F29" i="32" a="1"/>
  <c r="F29" i="32"/>
  <c r="F30" i="32" s="1"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4" i="32"/>
  <c r="BC11" i="32" a="1"/>
  <c r="BC11" i="32" s="1"/>
  <c r="BB10" i="32" a="1"/>
  <c r="BB10" i="32" s="1"/>
  <c r="BA10" i="32" a="1"/>
  <c r="BA10" i="32" s="1"/>
  <c r="AZ10" i="32" a="1"/>
  <c r="AZ10" i="32" s="1"/>
  <c r="AY10" i="32" a="1"/>
  <c r="AY10" i="32" s="1"/>
  <c r="AX10" i="32" a="1"/>
  <c r="AX10" i="32" s="1"/>
  <c r="AW10" i="32" a="1"/>
  <c r="AW10" i="32" s="1"/>
  <c r="AV10" i="32" a="1"/>
  <c r="AV10" i="32" s="1"/>
  <c r="AU10" i="32" a="1"/>
  <c r="AU10" i="32" s="1"/>
  <c r="AT10" i="32" a="1"/>
  <c r="AT10" i="32" s="1"/>
  <c r="AS10" i="32" a="1"/>
  <c r="AS10" i="32" s="1"/>
  <c r="AR10" i="32" a="1"/>
  <c r="AR10" i="32" s="1"/>
  <c r="AQ10" i="32" a="1"/>
  <c r="AQ10" i="32" s="1"/>
  <c r="AP10" i="32" a="1"/>
  <c r="AP10" i="32" s="1"/>
  <c r="AO10" i="32" a="1"/>
  <c r="AO10" i="32" s="1"/>
  <c r="AN10" i="32" a="1"/>
  <c r="AN10" i="32" s="1"/>
  <c r="AM10" i="32" a="1"/>
  <c r="AM10" i="32" s="1"/>
  <c r="AL10" i="32" a="1"/>
  <c r="AL10" i="32" s="1"/>
  <c r="AK10" i="32" a="1"/>
  <c r="AK10" i="32" s="1"/>
  <c r="AJ10" i="32" a="1"/>
  <c r="AJ10" i="32" s="1"/>
  <c r="AI10" i="32" a="1"/>
  <c r="AI10" i="32" s="1"/>
  <c r="AH10" i="32" a="1"/>
  <c r="AH10" i="32" s="1"/>
  <c r="AG10" i="32" a="1"/>
  <c r="AG10" i="32" s="1"/>
  <c r="AF10" i="32" a="1"/>
  <c r="AF10" i="32" s="1"/>
  <c r="AE10" i="32" a="1"/>
  <c r="AE10" i="32" s="1"/>
  <c r="BB9" i="32"/>
  <c r="BA9" i="32"/>
  <c r="AZ9" i="32"/>
  <c r="AY9" i="32"/>
  <c r="AX9" i="32"/>
  <c r="AW9" i="32"/>
  <c r="AV9" i="32"/>
  <c r="AU9" i="32"/>
  <c r="AT9" i="32"/>
  <c r="AS9" i="32" a="1"/>
  <c r="AS9" i="32"/>
  <c r="AR9" i="32"/>
  <c r="AQ9" i="32"/>
  <c r="AP9" i="32"/>
  <c r="AO9" i="32"/>
  <c r="AN9" i="32"/>
  <c r="AM9" i="32"/>
  <c r="AL9" i="32"/>
  <c r="AK9" i="32"/>
  <c r="AJ9" i="32"/>
  <c r="AI9" i="32" a="1"/>
  <c r="AI9" i="32" s="1"/>
  <c r="AH9" i="32"/>
  <c r="AG9" i="32"/>
  <c r="AF9" i="32"/>
  <c r="AE9" i="32"/>
  <c r="BB7" i="32" a="1"/>
  <c r="BB7" i="32" s="1"/>
  <c r="BA7" i="32" a="1"/>
  <c r="BA7" i="32" s="1"/>
  <c r="AZ7" i="32" a="1"/>
  <c r="AZ7" i="32" s="1"/>
  <c r="AY7" i="32" a="1"/>
  <c r="AY7" i="32" s="1"/>
  <c r="AX7" i="32" a="1"/>
  <c r="AX7" i="32" s="1"/>
  <c r="AW7" i="32" a="1"/>
  <c r="AW7" i="32" s="1"/>
  <c r="AV7" i="32" a="1"/>
  <c r="AV7" i="32" s="1"/>
  <c r="AU7" i="32" a="1"/>
  <c r="AU7" i="32" s="1"/>
  <c r="AT7" i="32" a="1"/>
  <c r="AT7" i="32" s="1"/>
  <c r="AS7" i="32" a="1"/>
  <c r="AS7" i="32" s="1"/>
  <c r="AR7" i="32" a="1"/>
  <c r="AR7" i="32" s="1"/>
  <c r="AQ7" i="32" a="1"/>
  <c r="AQ7" i="32" s="1"/>
  <c r="AP7" i="32" a="1"/>
  <c r="AP7" i="32" s="1"/>
  <c r="AO7" i="32" a="1"/>
  <c r="AO7" i="32" s="1"/>
  <c r="AN7" i="32" a="1"/>
  <c r="AN7" i="32" s="1"/>
  <c r="AM7" i="32" a="1"/>
  <c r="AM7" i="32" s="1"/>
  <c r="AL7" i="32" a="1"/>
  <c r="AL7" i="32" s="1"/>
  <c r="AK7" i="32" a="1"/>
  <c r="AK7" i="32" s="1"/>
  <c r="AJ7" i="32" a="1"/>
  <c r="AJ7" i="32" s="1"/>
  <c r="AI7" i="32" a="1"/>
  <c r="AI7" i="32" s="1"/>
  <c r="AH7" i="32" a="1"/>
  <c r="AH7" i="32" s="1"/>
  <c r="AG7" i="32" a="1"/>
  <c r="AG7" i="32" s="1"/>
  <c r="AF7" i="32" a="1"/>
  <c r="AF7" i="32" s="1"/>
  <c r="AE7" i="32" a="1"/>
  <c r="AE7" i="32" s="1"/>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85" i="31"/>
  <c r="BD71" i="31"/>
  <c r="BF70" i="31" a="1"/>
  <c r="BF70" i="31" s="1"/>
  <c r="AB70" i="31"/>
  <c r="L70" i="31" a="1"/>
  <c r="L70" i="31" s="1"/>
  <c r="AX69" i="31"/>
  <c r="AW69" i="31"/>
  <c r="AV69" i="31"/>
  <c r="AU69" i="31"/>
  <c r="AT69" i="31"/>
  <c r="AS69" i="31"/>
  <c r="AR69" i="31"/>
  <c r="AQ69" i="31"/>
  <c r="AP69" i="31"/>
  <c r="AO69" i="31"/>
  <c r="AN69" i="31"/>
  <c r="AM69" i="31"/>
  <c r="AL69" i="31"/>
  <c r="AK69" i="31"/>
  <c r="AJ69" i="31"/>
  <c r="AI69" i="31"/>
  <c r="AH69" i="31"/>
  <c r="AG69" i="31"/>
  <c r="AF69" i="31"/>
  <c r="AE69" i="31"/>
  <c r="BD68" i="31"/>
  <c r="BF67" i="31" a="1"/>
  <c r="BF67" i="31"/>
  <c r="AB67" i="31"/>
  <c r="L67" i="31" a="1"/>
  <c r="L67" i="31"/>
  <c r="AX66" i="31"/>
  <c r="AW66" i="31"/>
  <c r="AV66" i="31"/>
  <c r="AU66" i="31"/>
  <c r="AT66" i="31"/>
  <c r="AS66" i="31"/>
  <c r="AR66" i="31"/>
  <c r="AQ66" i="31"/>
  <c r="AP66" i="31"/>
  <c r="AO66" i="31"/>
  <c r="AN66" i="31"/>
  <c r="AM66" i="31"/>
  <c r="AL66" i="31"/>
  <c r="AK66" i="31"/>
  <c r="AJ66" i="31"/>
  <c r="AI66" i="31"/>
  <c r="AH66" i="31"/>
  <c r="AG66" i="31"/>
  <c r="AF66" i="31"/>
  <c r="AE66" i="31"/>
  <c r="BD65" i="31"/>
  <c r="BF64" i="31" a="1"/>
  <c r="BF64" i="31" s="1"/>
  <c r="AB64" i="31"/>
  <c r="L64" i="31" a="1"/>
  <c r="L64" i="31" s="1"/>
  <c r="AX63" i="31"/>
  <c r="AX62" i="31" s="1"/>
  <c r="AX55" i="31" s="1"/>
  <c r="AW63" i="31"/>
  <c r="AV63" i="31"/>
  <c r="AV62" i="31" s="1"/>
  <c r="AV55" i="31" s="1"/>
  <c r="AU63" i="31"/>
  <c r="AT63" i="31"/>
  <c r="AT62" i="31" s="1"/>
  <c r="AT55" i="31" s="1"/>
  <c r="AS63" i="31"/>
  <c r="AR63" i="31"/>
  <c r="AR62" i="31" s="1"/>
  <c r="AR55" i="31" s="1"/>
  <c r="AQ63" i="31"/>
  <c r="AP63" i="31"/>
  <c r="AP62" i="31" s="1"/>
  <c r="AP55" i="31" s="1"/>
  <c r="AO63" i="31"/>
  <c r="AN63" i="31"/>
  <c r="AN62" i="31" s="1"/>
  <c r="AN55" i="31" s="1"/>
  <c r="AM63" i="31"/>
  <c r="AL63" i="31"/>
  <c r="AL62" i="31" s="1"/>
  <c r="AL55" i="31" s="1"/>
  <c r="AK63" i="31"/>
  <c r="AJ63" i="31"/>
  <c r="AJ62" i="31" s="1"/>
  <c r="AJ55" i="31" s="1"/>
  <c r="AI63" i="31"/>
  <c r="AH63" i="31"/>
  <c r="AH62" i="31" s="1"/>
  <c r="AH55" i="31" s="1"/>
  <c r="AG63" i="31"/>
  <c r="AF63" i="31"/>
  <c r="AF62" i="31" s="1"/>
  <c r="AF55" i="31" s="1"/>
  <c r="AE63" i="31"/>
  <c r="AW62" i="31"/>
  <c r="AU62" i="31"/>
  <c r="AS62" i="31"/>
  <c r="AQ62" i="31"/>
  <c r="AO62" i="31"/>
  <c r="AM62" i="31"/>
  <c r="AK62" i="31"/>
  <c r="AI62" i="31"/>
  <c r="AG62" i="31"/>
  <c r="AE62" i="31"/>
  <c r="AX56" i="31"/>
  <c r="AW56" i="31"/>
  <c r="AW55" i="31" s="1"/>
  <c r="AV56" i="31"/>
  <c r="AU56" i="31"/>
  <c r="AU55" i="31" s="1"/>
  <c r="AT56" i="31"/>
  <c r="AS56" i="31"/>
  <c r="AS55" i="31" s="1"/>
  <c r="AR56" i="31"/>
  <c r="AQ56" i="31"/>
  <c r="AQ55" i="31" s="1"/>
  <c r="AP56" i="31"/>
  <c r="AO56" i="31"/>
  <c r="AO55" i="31" s="1"/>
  <c r="AN56" i="31"/>
  <c r="AM56" i="31"/>
  <c r="AM55" i="31" s="1"/>
  <c r="AL56" i="31"/>
  <c r="AK56" i="31"/>
  <c r="AK55" i="31" s="1"/>
  <c r="AJ56" i="31"/>
  <c r="AI56" i="31"/>
  <c r="AI55" i="31" s="1"/>
  <c r="AH56" i="31"/>
  <c r="AG56" i="31"/>
  <c r="AG55" i="31" s="1"/>
  <c r="AF56" i="31"/>
  <c r="AE56" i="31"/>
  <c r="AE55" i="31" s="1"/>
  <c r="F54" i="31" a="1"/>
  <c r="F54" i="31" s="1"/>
  <c r="BD44" i="31"/>
  <c r="BF43" i="31" a="1"/>
  <c r="BF43" i="31"/>
  <c r="AB43" i="31"/>
  <c r="L43" i="31" a="1"/>
  <c r="L43" i="31"/>
  <c r="AX42" i="31"/>
  <c r="AW42" i="31"/>
  <c r="AV42" i="31"/>
  <c r="AU42" i="31"/>
  <c r="AT42" i="31"/>
  <c r="AS42" i="31"/>
  <c r="AR42" i="31"/>
  <c r="AQ42" i="31"/>
  <c r="AP42" i="31"/>
  <c r="AO42" i="31"/>
  <c r="AN42" i="31"/>
  <c r="AM42" i="31"/>
  <c r="AL42" i="31"/>
  <c r="AK42" i="31"/>
  <c r="AJ42" i="31"/>
  <c r="AI42" i="31"/>
  <c r="AH42" i="31"/>
  <c r="AG42" i="31"/>
  <c r="AF42" i="31"/>
  <c r="AE42" i="31"/>
  <c r="BD41" i="31"/>
  <c r="BF40" i="31" a="1"/>
  <c r="BF40" i="31" s="1"/>
  <c r="AB40" i="31"/>
  <c r="L40" i="31" a="1"/>
  <c r="L40" i="31" s="1"/>
  <c r="AX39" i="31"/>
  <c r="AW39" i="31"/>
  <c r="AV39" i="31"/>
  <c r="AU39" i="31"/>
  <c r="AT39" i="31"/>
  <c r="AS39" i="31"/>
  <c r="AR39" i="31"/>
  <c r="AQ39" i="31"/>
  <c r="AP39" i="31"/>
  <c r="AO39" i="31"/>
  <c r="AN39" i="31"/>
  <c r="AM39" i="31"/>
  <c r="AL39" i="31"/>
  <c r="AK39" i="31"/>
  <c r="AJ39" i="31"/>
  <c r="AI39" i="31"/>
  <c r="AH39" i="31"/>
  <c r="AG39" i="31"/>
  <c r="AF39" i="31"/>
  <c r="AE39" i="31"/>
  <c r="BD38" i="31"/>
  <c r="BF37" i="31" a="1"/>
  <c r="BF37" i="31"/>
  <c r="AB37" i="31"/>
  <c r="L37" i="31" a="1"/>
  <c r="L37" i="31"/>
  <c r="AX36" i="31"/>
  <c r="AW36" i="31"/>
  <c r="AW35" i="31" s="1"/>
  <c r="AW28" i="31" s="1"/>
  <c r="AV36" i="31"/>
  <c r="AU36" i="31"/>
  <c r="AU35" i="31" s="1"/>
  <c r="AU28" i="31" s="1"/>
  <c r="AT36" i="31"/>
  <c r="AS36" i="31"/>
  <c r="AS35" i="31" s="1"/>
  <c r="AS28" i="31" s="1"/>
  <c r="AR36" i="31"/>
  <c r="AQ36" i="31"/>
  <c r="AQ35" i="31" s="1"/>
  <c r="AQ28" i="31" s="1"/>
  <c r="AP36" i="31"/>
  <c r="AO36" i="31"/>
  <c r="AO35" i="31" s="1"/>
  <c r="AO28" i="31" s="1"/>
  <c r="AN36" i="31"/>
  <c r="AM36" i="31"/>
  <c r="AM35" i="31" s="1"/>
  <c r="AM28" i="31" s="1"/>
  <c r="AL36" i="31"/>
  <c r="AK36" i="31"/>
  <c r="AK35" i="31" s="1"/>
  <c r="AK28" i="31" s="1"/>
  <c r="AJ36" i="31"/>
  <c r="AI36" i="31"/>
  <c r="AI35" i="31" s="1"/>
  <c r="AI28" i="31" s="1"/>
  <c r="AH36" i="31"/>
  <c r="AG36" i="31"/>
  <c r="AG35" i="31" s="1"/>
  <c r="AG28" i="31" s="1"/>
  <c r="AF36" i="31"/>
  <c r="AE36" i="31"/>
  <c r="AE35" i="31" s="1"/>
  <c r="AE28" i="31" s="1"/>
  <c r="AX35" i="31"/>
  <c r="AV35" i="31"/>
  <c r="AT35" i="31"/>
  <c r="AR35" i="31"/>
  <c r="AP35" i="31"/>
  <c r="AN35" i="31"/>
  <c r="AL35" i="31"/>
  <c r="AJ35" i="31"/>
  <c r="AH35" i="31"/>
  <c r="AF35" i="31"/>
  <c r="AX29" i="31"/>
  <c r="AX28" i="31" s="1"/>
  <c r="AW29" i="31"/>
  <c r="AV29" i="31"/>
  <c r="AV28" i="31" s="1"/>
  <c r="AU29" i="31"/>
  <c r="AT29" i="31"/>
  <c r="AT28" i="31" s="1"/>
  <c r="AS29" i="31"/>
  <c r="AR29" i="31"/>
  <c r="AR28" i="31" s="1"/>
  <c r="AQ29" i="31"/>
  <c r="AP29" i="31"/>
  <c r="AP28" i="31" s="1"/>
  <c r="AO29" i="31"/>
  <c r="AN29" i="31"/>
  <c r="AN28" i="31" s="1"/>
  <c r="AM29" i="31"/>
  <c r="AL29" i="31"/>
  <c r="AL28" i="31" s="1"/>
  <c r="AK29" i="31"/>
  <c r="AJ29" i="31"/>
  <c r="AJ28" i="31" s="1"/>
  <c r="AI29" i="31"/>
  <c r="AH29" i="31"/>
  <c r="AH28" i="31" s="1"/>
  <c r="AG29" i="31"/>
  <c r="AF29" i="31"/>
  <c r="AF28" i="31" s="1"/>
  <c r="AE29" i="31"/>
  <c r="F27" i="31" a="1"/>
  <c r="F27" i="31"/>
  <c r="AX24" i="31"/>
  <c r="AW24" i="31"/>
  <c r="AV24" i="31"/>
  <c r="AU24" i="31"/>
  <c r="AT24" i="31"/>
  <c r="AS24" i="31"/>
  <c r="AR24" i="31"/>
  <c r="AQ24" i="31"/>
  <c r="AP24" i="31"/>
  <c r="AO24" i="31"/>
  <c r="AN24" i="31"/>
  <c r="AM24" i="31"/>
  <c r="AL24" i="31"/>
  <c r="AK24" i="31"/>
  <c r="AJ24" i="31"/>
  <c r="AI24" i="31"/>
  <c r="AH24" i="31"/>
  <c r="AG24" i="31"/>
  <c r="AF24" i="31"/>
  <c r="AE24" i="31"/>
  <c r="AO14" i="31" a="1"/>
  <c r="AO14" i="31" s="1"/>
  <c r="AP14" i="31" s="1"/>
  <c r="AQ14" i="31" s="1"/>
  <c r="AR14" i="31" s="1"/>
  <c r="AS14" i="31" s="1"/>
  <c r="AT14" i="31" s="1"/>
  <c r="AU14" i="31" s="1"/>
  <c r="AV14" i="31" s="1"/>
  <c r="AW14" i="31" s="1"/>
  <c r="AX14" i="31" s="1"/>
  <c r="AE14" i="31" a="1"/>
  <c r="AE14" i="31"/>
  <c r="AF14" i="31" s="1"/>
  <c r="AG14" i="31" s="1"/>
  <c r="AH14" i="31" s="1"/>
  <c r="AI14" i="31" s="1"/>
  <c r="AJ14" i="31" s="1"/>
  <c r="AK14" i="31" s="1"/>
  <c r="AL14" i="31" s="1"/>
  <c r="AM14" i="31" s="1"/>
  <c r="AN14" i="31" s="1"/>
  <c r="BA11" i="31" a="1"/>
  <c r="BA11" i="31"/>
  <c r="AZ11" i="31" a="1"/>
  <c r="AZ11" i="31"/>
  <c r="AY11" i="31" a="1"/>
  <c r="AY11" i="31"/>
  <c r="AX10" i="31" a="1"/>
  <c r="AX10" i="31"/>
  <c r="AW10" i="31" a="1"/>
  <c r="AW10" i="31"/>
  <c r="AV10" i="31" a="1"/>
  <c r="AV10" i="31"/>
  <c r="AU10" i="31" a="1"/>
  <c r="AU10" i="31"/>
  <c r="AT10" i="31" a="1"/>
  <c r="AT10" i="31"/>
  <c r="AS10" i="31" a="1"/>
  <c r="AS10" i="31"/>
  <c r="AR10" i="31" a="1"/>
  <c r="AR10" i="31"/>
  <c r="AQ10" i="31" a="1"/>
  <c r="AQ10" i="31"/>
  <c r="AP10" i="31" a="1"/>
  <c r="AP10" i="31"/>
  <c r="AO10" i="31" a="1"/>
  <c r="AO10" i="31"/>
  <c r="AN10" i="31" a="1"/>
  <c r="AN10" i="31"/>
  <c r="AM10" i="31" a="1"/>
  <c r="AM10" i="31"/>
  <c r="AL10" i="31" a="1"/>
  <c r="AL10" i="31"/>
  <c r="AK10" i="31" a="1"/>
  <c r="AK10" i="31"/>
  <c r="AJ10" i="31" a="1"/>
  <c r="AJ10" i="31"/>
  <c r="AI10" i="31" a="1"/>
  <c r="AI10" i="31"/>
  <c r="AH10" i="31" a="1"/>
  <c r="AH10" i="31"/>
  <c r="AG10" i="31" a="1"/>
  <c r="AG10" i="31"/>
  <c r="AF10" i="31" a="1"/>
  <c r="AF10" i="31"/>
  <c r="AE10" i="31" a="1"/>
  <c r="AE10" i="31"/>
  <c r="AX9" i="31"/>
  <c r="AW9" i="31"/>
  <c r="AV9" i="31"/>
  <c r="AU9" i="31"/>
  <c r="AT9" i="31"/>
  <c r="AS9" i="31"/>
  <c r="AR9" i="31"/>
  <c r="AQ9" i="31"/>
  <c r="AP9" i="31"/>
  <c r="AO9" i="31" a="1"/>
  <c r="AO9" i="31" s="1"/>
  <c r="AN9" i="31"/>
  <c r="AM9" i="31"/>
  <c r="AL9" i="31"/>
  <c r="AK9" i="31"/>
  <c r="AJ9" i="31"/>
  <c r="AI9" i="31"/>
  <c r="AH9" i="31"/>
  <c r="AG9" i="31"/>
  <c r="AF9" i="31"/>
  <c r="AE9" i="31" a="1"/>
  <c r="AE9" i="31"/>
  <c r="AX7" i="31" a="1"/>
  <c r="AX7" i="31"/>
  <c r="AW7" i="31" a="1"/>
  <c r="AW7" i="31"/>
  <c r="AV7" i="31" a="1"/>
  <c r="AV7" i="31"/>
  <c r="AU7" i="31" a="1"/>
  <c r="AU7" i="31"/>
  <c r="AT7" i="31" a="1"/>
  <c r="AT7" i="31"/>
  <c r="AS7" i="31" a="1"/>
  <c r="AS7" i="31"/>
  <c r="AR7" i="31" a="1"/>
  <c r="AR7" i="31"/>
  <c r="AQ7" i="31" a="1"/>
  <c r="AQ7" i="31"/>
  <c r="AP7" i="31" a="1"/>
  <c r="AP7" i="31"/>
  <c r="AO7" i="31" a="1"/>
  <c r="AO7" i="31"/>
  <c r="AN7" i="31" a="1"/>
  <c r="AN7" i="31"/>
  <c r="AM7" i="31" a="1"/>
  <c r="AM7" i="31"/>
  <c r="AM8" i="31" s="1"/>
  <c r="AL7" i="31" a="1"/>
  <c r="AL7" i="31"/>
  <c r="AK7" i="31" a="1"/>
  <c r="AK7" i="31"/>
  <c r="AK8" i="31" s="1"/>
  <c r="AJ7" i="31" a="1"/>
  <c r="AJ7" i="31"/>
  <c r="AI7" i="31" a="1"/>
  <c r="AI7" i="31"/>
  <c r="AI8" i="31" s="1"/>
  <c r="AH7" i="31" a="1"/>
  <c r="AH7" i="31"/>
  <c r="AG7" i="31" a="1"/>
  <c r="AG7" i="31"/>
  <c r="AG8" i="31" s="1"/>
  <c r="AF7" i="31" a="1"/>
  <c r="AF7" i="31"/>
  <c r="AE7" i="31" a="1"/>
  <c r="AE7" i="31"/>
  <c r="AX6" i="31"/>
  <c r="AX8" i="31" s="1"/>
  <c r="AW6" i="31"/>
  <c r="AW8" i="31" s="1"/>
  <c r="AV6" i="31"/>
  <c r="AV8" i="31" s="1"/>
  <c r="AU6" i="31"/>
  <c r="AU8" i="31" s="1"/>
  <c r="AT6" i="31"/>
  <c r="AT8" i="31" s="1"/>
  <c r="AS6" i="31"/>
  <c r="AS8" i="31" s="1"/>
  <c r="AR6" i="31"/>
  <c r="AR8" i="31" s="1"/>
  <c r="AQ6" i="31"/>
  <c r="AQ8" i="31" s="1"/>
  <c r="AP6" i="31"/>
  <c r="AP8" i="31" s="1"/>
  <c r="AO6" i="31" a="1"/>
  <c r="AO6" i="31" s="1"/>
  <c r="AN6" i="31"/>
  <c r="AN8" i="31" s="1"/>
  <c r="AM6" i="31"/>
  <c r="AL6" i="31"/>
  <c r="AL8" i="31" s="1"/>
  <c r="AK6" i="31"/>
  <c r="AJ6" i="31"/>
  <c r="AJ8" i="31" s="1"/>
  <c r="AI6" i="31"/>
  <c r="AH6" i="31"/>
  <c r="AH8" i="31" s="1"/>
  <c r="AG6" i="31"/>
  <c r="AF6" i="31"/>
  <c r="AF8" i="31" s="1"/>
  <c r="AE6" i="31" a="1"/>
  <c r="AE6" i="31"/>
  <c r="AE8" i="31" s="1"/>
  <c r="T79" i="30"/>
  <c r="AL67" i="30"/>
  <c r="AN66" i="30" a="1"/>
  <c r="AN66" i="30"/>
  <c r="AB66" i="30"/>
  <c r="AF65" i="30"/>
  <c r="AE65" i="30"/>
  <c r="AL64" i="30"/>
  <c r="AN63" i="30" a="1"/>
  <c r="AN63" i="30" s="1"/>
  <c r="AB63" i="30"/>
  <c r="AF62" i="30"/>
  <c r="AF70" i="30" s="1"/>
  <c r="AF73" i="30" s="1"/>
  <c r="AE62" i="30"/>
  <c r="AE70" i="30" s="1"/>
  <c r="AE73" i="30" s="1"/>
  <c r="AF55" i="30"/>
  <c r="AF57" i="30" s="1"/>
  <c r="AF60" i="30" s="1"/>
  <c r="AE55" i="30"/>
  <c r="AE57" i="30" s="1"/>
  <c r="AE60" i="30" s="1"/>
  <c r="F51" i="30" a="1"/>
  <c r="F51" i="30" s="1"/>
  <c r="AL43" i="30"/>
  <c r="AN42" i="30" a="1"/>
  <c r="AN42" i="30"/>
  <c r="AB42" i="30"/>
  <c r="AF41" i="30"/>
  <c r="AE41" i="30"/>
  <c r="AL40" i="30"/>
  <c r="AN39" i="30" a="1"/>
  <c r="AN39" i="30" s="1"/>
  <c r="AB39" i="30"/>
  <c r="AF38" i="30"/>
  <c r="AF46" i="30" s="1"/>
  <c r="AF49" i="30" s="1"/>
  <c r="AE38" i="30"/>
  <c r="AE46" i="30" s="1"/>
  <c r="AE49" i="30" s="1"/>
  <c r="AF31" i="30"/>
  <c r="AF33" i="30" s="1"/>
  <c r="AF36" i="30" s="1"/>
  <c r="AE31" i="30"/>
  <c r="AE33" i="30" s="1"/>
  <c r="AE36" i="30" s="1"/>
  <c r="F27" i="30" a="1"/>
  <c r="F27" i="30" s="1"/>
  <c r="AF24" i="30"/>
  <c r="AE24" i="30"/>
  <c r="AI11" i="30" a="1"/>
  <c r="AI11" i="30" s="1"/>
  <c r="AH11" i="30" a="1"/>
  <c r="AH11" i="30" s="1"/>
  <c r="AG11" i="30" a="1"/>
  <c r="AG11" i="30" s="1"/>
  <c r="AF10" i="30" a="1"/>
  <c r="AF10" i="30" s="1"/>
  <c r="AE10" i="30" a="1"/>
  <c r="AE10" i="30" s="1"/>
  <c r="AF9" i="30" a="1"/>
  <c r="AF9" i="30" s="1"/>
  <c r="AE9" i="30"/>
  <c r="AF7" i="30" a="1"/>
  <c r="AF7" i="30"/>
  <c r="AE7" i="30" a="1"/>
  <c r="AE7" i="30"/>
  <c r="AE8" i="30" s="1"/>
  <c r="AF6" i="30" a="1"/>
  <c r="AF6" i="30"/>
  <c r="AF8" i="30" s="1"/>
  <c r="AE6" i="30"/>
  <c r="T59" i="29"/>
  <c r="AF51" i="29"/>
  <c r="AE51" i="29"/>
  <c r="AF45" i="29"/>
  <c r="AE45" i="29"/>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F41" i="29" a="1"/>
  <c r="F41" i="29" s="1"/>
  <c r="AF37" i="29"/>
  <c r="AE37" i="29"/>
  <c r="AF31" i="29"/>
  <c r="AE31"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F27" i="29" a="1"/>
  <c r="F27" i="29"/>
  <c r="AF24" i="29"/>
  <c r="AE24" i="29"/>
  <c r="AI11" i="29" a="1"/>
  <c r="AI11" i="29"/>
  <c r="AH11" i="29" a="1"/>
  <c r="AH11" i="29"/>
  <c r="AG11" i="29" a="1"/>
  <c r="AG11" i="29"/>
  <c r="AF10" i="29" a="1"/>
  <c r="AF10" i="29"/>
  <c r="AE10" i="29" a="1"/>
  <c r="AE10" i="29"/>
  <c r="AF9" i="29" a="1"/>
  <c r="AF9" i="29"/>
  <c r="AE9" i="29"/>
  <c r="AF7" i="29" a="1"/>
  <c r="AF7" i="29" s="1"/>
  <c r="AE7" i="29" a="1"/>
  <c r="AE7" i="29" s="1"/>
  <c r="AF6" i="29" a="1"/>
  <c r="AF6" i="29" s="1"/>
  <c r="AF8" i="29" s="1"/>
  <c r="AE6" i="29"/>
  <c r="AE8" i="29" s="1"/>
  <c r="T165" i="28"/>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K129" i="28"/>
  <c r="AJ129" i="28"/>
  <c r="AI129" i="28"/>
  <c r="AL129" i="28" s="1"/>
  <c r="AG129" i="28"/>
  <c r="AH129" i="28" s="1"/>
  <c r="AF129" i="28"/>
  <c r="AE129" i="28"/>
  <c r="AL128" i="28"/>
  <c r="AH128" i="28"/>
  <c r="AL127" i="28"/>
  <c r="AH127" i="28"/>
  <c r="AK126" i="28"/>
  <c r="AJ126" i="28"/>
  <c r="AI126" i="28"/>
  <c r="AL126" i="28" s="1"/>
  <c r="AG126" i="28"/>
  <c r="AH126" i="28" s="1"/>
  <c r="AF126" i="28"/>
  <c r="AE126" i="28"/>
  <c r="AL125" i="28"/>
  <c r="AH125" i="28"/>
  <c r="AL124" i="28"/>
  <c r="AH124" i="28"/>
  <c r="AL123" i="28"/>
  <c r="AH123" i="28"/>
  <c r="AK122" i="28"/>
  <c r="AJ122" i="28"/>
  <c r="AI122" i="28"/>
  <c r="AL122" i="28" s="1"/>
  <c r="AG122" i="28"/>
  <c r="AH122" i="28" s="1"/>
  <c r="AF122" i="28"/>
  <c r="AE122" i="28"/>
  <c r="AL114" i="28"/>
  <c r="AH114" i="28"/>
  <c r="AL113" i="28"/>
  <c r="AH113" i="28"/>
  <c r="AL110" i="28"/>
  <c r="AH110" i="28"/>
  <c r="AL109" i="28"/>
  <c r="AH109" i="28"/>
  <c r="AL107" i="28"/>
  <c r="AH107" i="28"/>
  <c r="AL106" i="28"/>
  <c r="AH106" i="28"/>
  <c r="AL105" i="28"/>
  <c r="AH105" i="28"/>
  <c r="AL96" i="28"/>
  <c r="AH96" i="28"/>
  <c r="T95" i="28"/>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T94" i="28"/>
  <c r="T95" i="28" s="1" a="1"/>
  <c r="F94" i="28" a="1"/>
  <c r="F94" i="28" s="1"/>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L62" i="28"/>
  <c r="AK62" i="28"/>
  <c r="AJ62" i="28"/>
  <c r="AI62" i="28"/>
  <c r="AG62" i="28"/>
  <c r="AF62" i="28"/>
  <c r="AH62" i="28" s="1"/>
  <c r="AE62" i="28"/>
  <c r="AL61" i="28"/>
  <c r="AH61" i="28"/>
  <c r="AL60" i="28"/>
  <c r="AH60" i="28"/>
  <c r="AL59" i="28"/>
  <c r="AK59" i="28"/>
  <c r="AJ59" i="28"/>
  <c r="AI59" i="28"/>
  <c r="AG59" i="28"/>
  <c r="AF59" i="28"/>
  <c r="AH59" i="28" s="1"/>
  <c r="AE59" i="28"/>
  <c r="AL58" i="28"/>
  <c r="AH58" i="28"/>
  <c r="AL57" i="28"/>
  <c r="AH57" i="28"/>
  <c r="AL56" i="28"/>
  <c r="AH56" i="28"/>
  <c r="AL55" i="28"/>
  <c r="AK55" i="28"/>
  <c r="AJ55" i="28"/>
  <c r="AI55" i="28"/>
  <c r="AG55" i="28"/>
  <c r="AF55" i="28"/>
  <c r="AH55" i="28" s="1"/>
  <c r="AE55" i="28"/>
  <c r="AL47" i="28"/>
  <c r="AH47" i="28"/>
  <c r="AL46" i="28"/>
  <c r="AH46" i="28"/>
  <c r="AL43" i="28"/>
  <c r="AH43" i="28"/>
  <c r="AL42" i="28"/>
  <c r="AH42" i="28"/>
  <c r="AL40" i="28"/>
  <c r="AH40" i="28"/>
  <c r="AL39" i="28"/>
  <c r="AH39" i="28"/>
  <c r="AL38" i="28"/>
  <c r="AH38" i="28"/>
  <c r="AL29" i="28"/>
  <c r="AH29"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F27" i="28" a="1"/>
  <c r="F27" i="28"/>
  <c r="AL24" i="28"/>
  <c r="AK24" i="28"/>
  <c r="AJ24" i="28"/>
  <c r="AI24" i="28"/>
  <c r="AH24" i="28"/>
  <c r="AG24" i="28"/>
  <c r="AF24" i="28"/>
  <c r="AE24" i="28"/>
  <c r="AO11" i="28" a="1"/>
  <c r="AO11" i="28"/>
  <c r="AN11" i="28" a="1"/>
  <c r="AN11" i="28"/>
  <c r="AM11" i="28" a="1"/>
  <c r="AM11" i="28"/>
  <c r="AL10" i="28" a="1"/>
  <c r="AL10" i="28"/>
  <c r="AK10" i="28" a="1"/>
  <c r="AK10" i="28"/>
  <c r="AJ10" i="28" a="1"/>
  <c r="AJ10" i="28"/>
  <c r="AI10" i="28" a="1"/>
  <c r="AI10" i="28"/>
  <c r="AH10" i="28" a="1"/>
  <c r="AH10" i="28"/>
  <c r="AG10" i="28" a="1"/>
  <c r="AG10" i="28"/>
  <c r="AF10" i="28" a="1"/>
  <c r="AF10" i="28"/>
  <c r="AE10" i="28" a="1"/>
  <c r="AE10" i="28"/>
  <c r="AL9" i="28" a="1"/>
  <c r="AL9" i="28"/>
  <c r="AK9" i="28" a="1"/>
  <c r="AK9" i="28"/>
  <c r="AJ9" i="28" a="1"/>
  <c r="AJ9" i="28"/>
  <c r="AI9" i="28"/>
  <c r="AH9" i="28"/>
  <c r="AG9" i="28"/>
  <c r="AF9" i="28"/>
  <c r="AE9" i="28"/>
  <c r="AK7" i="28" a="1"/>
  <c r="AK7" i="28"/>
  <c r="AJ7" i="28" a="1"/>
  <c r="AJ7" i="28"/>
  <c r="AI7" i="28" a="1"/>
  <c r="AI7" i="28"/>
  <c r="AI8" i="28" s="1"/>
  <c r="AH7" i="28" a="1"/>
  <c r="AH7" i="28"/>
  <c r="AG7" i="28" a="1"/>
  <c r="AG7" i="28"/>
  <c r="AG8" i="28" s="1"/>
  <c r="AF7" i="28" a="1"/>
  <c r="AF7" i="28"/>
  <c r="AE7" i="28" a="1"/>
  <c r="AE7" i="28"/>
  <c r="AE8" i="28" s="1"/>
  <c r="AL6" i="28" a="1"/>
  <c r="AL6" i="28"/>
  <c r="AL13" i="28" s="1" a="1"/>
  <c r="AL13" i="28" s="1"/>
  <c r="AK6" i="28" a="1"/>
  <c r="AK6" i="28"/>
  <c r="AK13" i="28" s="1" a="1"/>
  <c r="AK13" i="28" s="1"/>
  <c r="AJ6" i="28" a="1"/>
  <c r="AJ6" i="28"/>
  <c r="AJ13" i="28" s="1" a="1"/>
  <c r="AJ13" i="28" s="1"/>
  <c r="AI6" i="28"/>
  <c r="AI13" i="28" s="1" a="1"/>
  <c r="AI13" i="28" s="1"/>
  <c r="AH6" i="28"/>
  <c r="AH13" i="28" s="1" a="1"/>
  <c r="AH13" i="28" s="1"/>
  <c r="AG6" i="28"/>
  <c r="AG13" i="28" s="1" a="1"/>
  <c r="AG13" i="28" s="1"/>
  <c r="AF6" i="28"/>
  <c r="AF13" i="28" s="1" a="1"/>
  <c r="AF13" i="28" s="1"/>
  <c r="AE6" i="28"/>
  <c r="AE13" i="28" s="1" a="1"/>
  <c r="AE13" i="28" s="1"/>
  <c r="T141" i="27"/>
  <c r="BM136" i="27"/>
  <c r="BL136" i="27"/>
  <c r="BK136" i="27"/>
  <c r="BJ136" i="27"/>
  <c r="BI136" i="27"/>
  <c r="BH136" i="27"/>
  <c r="BG136" i="27"/>
  <c r="BF136" i="27"/>
  <c r="BE136" i="27"/>
  <c r="BD136" i="27"/>
  <c r="AH136" i="27"/>
  <c r="AB135" i="27"/>
  <c r="AB134" i="27"/>
  <c r="AB133" i="27"/>
  <c r="AB131" i="27"/>
  <c r="AB130" i="27"/>
  <c r="AB129" i="27"/>
  <c r="AB127" i="27"/>
  <c r="AB126" i="27"/>
  <c r="AB124" i="27"/>
  <c r="AE123" i="27"/>
  <c r="AB123" i="27"/>
  <c r="AB122" i="27"/>
  <c r="AB121" i="27"/>
  <c r="AB120" i="27"/>
  <c r="AB119" i="27"/>
  <c r="AB117" i="27"/>
  <c r="AB116" i="27"/>
  <c r="BM114" i="27"/>
  <c r="BL114" i="27"/>
  <c r="BK114" i="27"/>
  <c r="BJ114" i="27"/>
  <c r="BI114" i="27"/>
  <c r="BH114" i="27"/>
  <c r="BG114" i="27"/>
  <c r="BF114" i="27"/>
  <c r="BE114" i="27"/>
  <c r="BD114" i="27"/>
  <c r="AH114" i="27"/>
  <c r="BS112" i="27"/>
  <c r="BU111" i="27" a="1"/>
  <c r="BU111" i="27" s="1"/>
  <c r="BM111" i="27"/>
  <c r="BL111" i="27"/>
  <c r="BK111" i="27"/>
  <c r="BJ111" i="27"/>
  <c r="BI111" i="27"/>
  <c r="BH111" i="27"/>
  <c r="BG111" i="27"/>
  <c r="BF111" i="27"/>
  <c r="BE111" i="27"/>
  <c r="BD111" i="27"/>
  <c r="AH111" i="27"/>
  <c r="AB111" i="27"/>
  <c r="M111" i="27" a="1"/>
  <c r="M111" i="27"/>
  <c r="BS110" i="27"/>
  <c r="BM109" i="27"/>
  <c r="BK109" i="27"/>
  <c r="BI109" i="27"/>
  <c r="BG109" i="27"/>
  <c r="BE109" i="27"/>
  <c r="BC109" i="27"/>
  <c r="BB109" i="27"/>
  <c r="BA109" i="27"/>
  <c r="BL109" i="27" s="1"/>
  <c r="AZ109" i="27"/>
  <c r="AY109" i="27"/>
  <c r="BJ109" i="27" s="1"/>
  <c r="AX109" i="27"/>
  <c r="AW109" i="27"/>
  <c r="BH109" i="27" s="1"/>
  <c r="AV109" i="27"/>
  <c r="AU109" i="27"/>
  <c r="BF109" i="27" s="1"/>
  <c r="AT109" i="27"/>
  <c r="AS109" i="27"/>
  <c r="AR109" i="27"/>
  <c r="AQ109" i="27"/>
  <c r="AP109" i="27"/>
  <c r="AO109" i="27"/>
  <c r="AN109" i="27"/>
  <c r="AM109" i="27"/>
  <c r="AL109" i="27"/>
  <c r="AK109" i="27"/>
  <c r="AJ109" i="27"/>
  <c r="AI109" i="27"/>
  <c r="BD109" i="27" s="1"/>
  <c r="AG109" i="27"/>
  <c r="AH109" i="27" s="1"/>
  <c r="AF109" i="27"/>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BE105" i="27"/>
  <c r="BD105" i="27"/>
  <c r="AH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M98" i="27"/>
  <c r="BK98" i="27"/>
  <c r="BI98" i="27"/>
  <c r="BG98" i="27"/>
  <c r="BE98" i="27"/>
  <c r="BC98" i="27"/>
  <c r="BB98" i="27"/>
  <c r="BA98" i="27"/>
  <c r="BL98" i="27" s="1"/>
  <c r="AZ98" i="27"/>
  <c r="AY98" i="27"/>
  <c r="BJ98" i="27" s="1"/>
  <c r="AX98" i="27"/>
  <c r="AW98" i="27"/>
  <c r="BH98" i="27" s="1"/>
  <c r="AV98" i="27"/>
  <c r="AU98" i="27"/>
  <c r="BF98" i="27" s="1"/>
  <c r="AT98" i="27"/>
  <c r="AS98" i="27"/>
  <c r="AR98" i="27"/>
  <c r="AQ98" i="27"/>
  <c r="AP98" i="27"/>
  <c r="AO98" i="27"/>
  <c r="AN98" i="27"/>
  <c r="AM98" i="27"/>
  <c r="AL98" i="27"/>
  <c r="AK98" i="27"/>
  <c r="AJ98" i="27"/>
  <c r="AI98" i="27"/>
  <c r="BD98" i="27" s="1"/>
  <c r="AG98" i="27"/>
  <c r="AH98" i="27" s="1"/>
  <c r="AF98" i="27"/>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2" i="27"/>
  <c r="T83" i="27" s="1" a="1"/>
  <c r="T83" i="27" s="1"/>
  <c r="T84" i="27" s="1" a="1"/>
  <c r="T84" i="27" s="1"/>
  <c r="T85" i="27" s="1" a="1"/>
  <c r="T85" i="27" s="1"/>
  <c r="F82" i="27" a="1"/>
  <c r="F82" i="27" s="1"/>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c r="BM56" i="27"/>
  <c r="BL56" i="27"/>
  <c r="BK56" i="27"/>
  <c r="BJ56" i="27"/>
  <c r="BI56" i="27"/>
  <c r="BH56" i="27"/>
  <c r="BG56" i="27"/>
  <c r="BF56" i="27"/>
  <c r="BE56" i="27"/>
  <c r="BD56" i="27"/>
  <c r="AH56" i="27"/>
  <c r="AB56" i="27"/>
  <c r="M56" i="27" a="1"/>
  <c r="M56" i="27" s="1"/>
  <c r="BS55" i="27"/>
  <c r="BL54" i="27"/>
  <c r="BJ54" i="27"/>
  <c r="BH54" i="27"/>
  <c r="BF54" i="27"/>
  <c r="BD54" i="27"/>
  <c r="BC54" i="27"/>
  <c r="BB54" i="27"/>
  <c r="BM54" i="27" s="1"/>
  <c r="BA54" i="27"/>
  <c r="AZ54" i="27"/>
  <c r="BK54" i="27" s="1"/>
  <c r="AY54" i="27"/>
  <c r="AX54" i="27"/>
  <c r="BI54" i="27" s="1"/>
  <c r="AW54" i="27"/>
  <c r="AV54" i="27"/>
  <c r="BG54" i="27" s="1"/>
  <c r="AU54" i="27"/>
  <c r="AT54" i="27"/>
  <c r="BE54" i="27" s="1"/>
  <c r="AS54" i="27"/>
  <c r="AR54" i="27"/>
  <c r="AQ54" i="27"/>
  <c r="AP54" i="27"/>
  <c r="AO54" i="27"/>
  <c r="AN54" i="27"/>
  <c r="AM54" i="27"/>
  <c r="AL54" i="27"/>
  <c r="AK54" i="27"/>
  <c r="AJ54" i="27"/>
  <c r="AI54" i="27"/>
  <c r="AG54" i="27"/>
  <c r="AF54" i="27"/>
  <c r="AH54" i="27" s="1"/>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M43" i="27"/>
  <c r="BK43" i="27"/>
  <c r="BI43" i="27"/>
  <c r="BG43" i="27"/>
  <c r="BE43" i="27"/>
  <c r="BC43" i="27"/>
  <c r="BB43" i="27"/>
  <c r="BA43" i="27"/>
  <c r="BL43" i="27" s="1"/>
  <c r="AZ43" i="27"/>
  <c r="AY43" i="27"/>
  <c r="BJ43" i="27" s="1"/>
  <c r="AX43" i="27"/>
  <c r="AW43" i="27"/>
  <c r="BH43" i="27" s="1"/>
  <c r="AV43" i="27"/>
  <c r="AU43" i="27"/>
  <c r="BF43" i="27" s="1"/>
  <c r="AT43" i="27"/>
  <c r="AS43" i="27"/>
  <c r="AR43" i="27"/>
  <c r="AQ43" i="27"/>
  <c r="AP43" i="27"/>
  <c r="AO43" i="27"/>
  <c r="AN43" i="27"/>
  <c r="AM43" i="27"/>
  <c r="AL43" i="27"/>
  <c r="AK43" i="27"/>
  <c r="AJ43" i="27"/>
  <c r="AI43" i="27"/>
  <c r="BD43" i="27" s="1"/>
  <c r="AG43" i="27"/>
  <c r="AH43" i="27" s="1"/>
  <c r="AF43" i="27"/>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7" i="27"/>
  <c r="T28" i="27" s="1" a="1"/>
  <c r="T28" i="27" s="1"/>
  <c r="T29" i="27" s="1" a="1"/>
  <c r="T29" i="27" s="1"/>
  <c r="T30" i="27" s="1" a="1"/>
  <c r="T30" i="27" s="1"/>
  <c r="F27" i="27" a="1"/>
  <c r="F27" i="27" s="1"/>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P11" i="27" a="1"/>
  <c r="BP11" i="27"/>
  <c r="BO11" i="27" a="1"/>
  <c r="BO11" i="27"/>
  <c r="BN11" i="27" a="1"/>
  <c r="BN11" i="27"/>
  <c r="BD10" i="27" a="1"/>
  <c r="BD10" i="27"/>
  <c r="BE10" i="27" s="1"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C10" i="27" a="1"/>
  <c r="BC10" i="27"/>
  <c r="BB10" i="27" a="1"/>
  <c r="BB10" i="27"/>
  <c r="BA10" i="27" a="1"/>
  <c r="BA10" i="27"/>
  <c r="AZ10" i="27" a="1"/>
  <c r="AZ10" i="27"/>
  <c r="AY10" i="27" a="1"/>
  <c r="AY10" i="27"/>
  <c r="AX10" i="27" a="1"/>
  <c r="AX10" i="27"/>
  <c r="AW10" i="27" a="1"/>
  <c r="AW10" i="27"/>
  <c r="AV10" i="27" a="1"/>
  <c r="AV10" i="27"/>
  <c r="AU10" i="27" a="1"/>
  <c r="AU10" i="27"/>
  <c r="AT10" i="27" a="1"/>
  <c r="AT10" i="27"/>
  <c r="AS10" i="27" a="1"/>
  <c r="AS10" i="27"/>
  <c r="AR10" i="27" a="1"/>
  <c r="AR10" i="27"/>
  <c r="AQ10" i="27" a="1"/>
  <c r="AQ10" i="27"/>
  <c r="AP10" i="27" a="1"/>
  <c r="AP10" i="27"/>
  <c r="AO10" i="27" a="1"/>
  <c r="AO10" i="27"/>
  <c r="AN10" i="27" a="1"/>
  <c r="AN10" i="27"/>
  <c r="AM10" i="27" a="1"/>
  <c r="AM10" i="27"/>
  <c r="AL10" i="27" a="1"/>
  <c r="AL10" i="27"/>
  <c r="AK10" i="27" a="1"/>
  <c r="AK10" i="27"/>
  <c r="AJ10" i="27" a="1"/>
  <c r="AJ10" i="27"/>
  <c r="AI10" i="27" a="1"/>
  <c r="AI10" i="27"/>
  <c r="AH10" i="27" a="1"/>
  <c r="AH10" i="27"/>
  <c r="AG10" i="27" a="1"/>
  <c r="AG10" i="27"/>
  <c r="AF10" i="27" a="1"/>
  <c r="AF10" i="27"/>
  <c r="AE10" i="27" a="1"/>
  <c r="AE10" i="27"/>
  <c r="BM9" i="27"/>
  <c r="BL9" i="27"/>
  <c r="BK9" i="27"/>
  <c r="BJ9" i="27"/>
  <c r="BI9" i="27"/>
  <c r="BH9" i="27"/>
  <c r="BG9" i="27"/>
  <c r="BF9" i="27"/>
  <c r="BE9" i="27"/>
  <c r="BD9" i="27" a="1"/>
  <c r="BD9" i="27" s="1"/>
  <c r="BC9" i="27"/>
  <c r="BB9" i="27"/>
  <c r="BA9" i="27"/>
  <c r="AZ9" i="27"/>
  <c r="AY9" i="27"/>
  <c r="AX9" i="27"/>
  <c r="AW9" i="27"/>
  <c r="AV9" i="27"/>
  <c r="AU9" i="27"/>
  <c r="AT9" i="27" a="1"/>
  <c r="AT9" i="27"/>
  <c r="AS9" i="27"/>
  <c r="AR9" i="27"/>
  <c r="AQ9" i="27"/>
  <c r="AP9" i="27"/>
  <c r="AO9" i="27"/>
  <c r="AN9" i="27"/>
  <c r="AM9" i="27"/>
  <c r="AL9" i="27"/>
  <c r="AK9" i="27"/>
  <c r="AJ9" i="27" a="1"/>
  <c r="AJ9" i="27" s="1"/>
  <c r="AI9" i="27"/>
  <c r="AH9" i="27"/>
  <c r="AG9" i="27"/>
  <c r="AF9" i="27"/>
  <c r="AE9" i="27"/>
  <c r="BC7" i="27" a="1"/>
  <c r="BC7" i="27" s="1"/>
  <c r="BB7" i="27" a="1"/>
  <c r="BB7" i="27" s="1"/>
  <c r="BA7" i="27" a="1"/>
  <c r="BA7" i="27" s="1"/>
  <c r="AZ7" i="27" a="1"/>
  <c r="AZ7" i="27" s="1"/>
  <c r="AY7" i="27" a="1"/>
  <c r="AY7" i="27" s="1"/>
  <c r="AX7" i="27" a="1"/>
  <c r="AX7" i="27" s="1"/>
  <c r="AW7" i="27" a="1"/>
  <c r="AW7" i="27" s="1"/>
  <c r="AV7" i="27" a="1"/>
  <c r="AV7" i="27" s="1"/>
  <c r="AU7" i="27" a="1"/>
  <c r="AU7" i="27" s="1"/>
  <c r="AT7" i="27" a="1"/>
  <c r="AT7" i="27" s="1"/>
  <c r="AS7" i="27" a="1"/>
  <c r="AS7" i="27" s="1"/>
  <c r="AR7" i="27" a="1"/>
  <c r="AR7" i="27" s="1"/>
  <c r="AR8" i="27" s="1"/>
  <c r="AQ7" i="27" a="1"/>
  <c r="AQ7" i="27" s="1"/>
  <c r="AP7" i="27" a="1"/>
  <c r="AP7" i="27" s="1"/>
  <c r="AP8" i="27" s="1"/>
  <c r="AO7" i="27" a="1"/>
  <c r="AO7" i="27" s="1"/>
  <c r="AN7" i="27" a="1"/>
  <c r="AN7" i="27" s="1"/>
  <c r="AN8" i="27" s="1"/>
  <c r="AM7" i="27" a="1"/>
  <c r="AM7" i="27" s="1"/>
  <c r="AL7" i="27" a="1"/>
  <c r="AL7" i="27" s="1"/>
  <c r="AL8" i="27" s="1"/>
  <c r="AK7" i="27" a="1"/>
  <c r="AK7" i="27" s="1"/>
  <c r="AJ7" i="27" a="1"/>
  <c r="AJ7" i="27" s="1"/>
  <c r="AI7" i="27" a="1"/>
  <c r="AI7" i="27" s="1"/>
  <c r="AH7" i="27" a="1"/>
  <c r="AH7" i="27" s="1"/>
  <c r="AG7" i="27" a="1"/>
  <c r="AG7" i="27" s="1"/>
  <c r="AF7" i="27" a="1"/>
  <c r="AF7" i="27" s="1"/>
  <c r="AE7" i="27" a="1"/>
  <c r="AE7" i="27" s="1"/>
  <c r="BM6" i="27"/>
  <c r="BM14" i="27" s="1" a="1"/>
  <c r="BM14" i="27" s="1"/>
  <c r="BL6" i="27"/>
  <c r="BL14" i="27" s="1" a="1"/>
  <c r="BL14" i="27" s="1"/>
  <c r="BK6" i="27"/>
  <c r="BK14" i="27" s="1" a="1"/>
  <c r="BK14" i="27" s="1"/>
  <c r="BJ6" i="27"/>
  <c r="BJ14" i="27" s="1" a="1"/>
  <c r="BJ14" i="27" s="1"/>
  <c r="BI6" i="27"/>
  <c r="BI14" i="27" s="1" a="1"/>
  <c r="BI14" i="27" s="1"/>
  <c r="BH6" i="27"/>
  <c r="BH14" i="27" s="1" a="1"/>
  <c r="BH14" i="27" s="1"/>
  <c r="BG6" i="27"/>
  <c r="BG14" i="27" s="1" a="1"/>
  <c r="BG14" i="27" s="1"/>
  <c r="BF6" i="27"/>
  <c r="BF14" i="27" s="1" a="1"/>
  <c r="BF14" i="27" s="1"/>
  <c r="BE6" i="27"/>
  <c r="BE14" i="27" s="1" a="1"/>
  <c r="BE14" i="27" s="1"/>
  <c r="BD6" i="27" a="1"/>
  <c r="BD6" i="27"/>
  <c r="BD14" i="27" s="1" a="1"/>
  <c r="BD14" i="27" s="1"/>
  <c r="BC6" i="27"/>
  <c r="BC14" i="27" s="1" a="1"/>
  <c r="BC14" i="27" s="1"/>
  <c r="BB6" i="27"/>
  <c r="BB14" i="27" s="1" a="1"/>
  <c r="BB14" i="27" s="1"/>
  <c r="BA6" i="27"/>
  <c r="BA14" i="27" s="1" a="1"/>
  <c r="BA14" i="27" s="1"/>
  <c r="AZ6" i="27"/>
  <c r="AZ14" i="27" s="1" a="1"/>
  <c r="AZ14" i="27" s="1"/>
  <c r="AY6" i="27"/>
  <c r="AY14" i="27" s="1" a="1"/>
  <c r="AY14" i="27" s="1"/>
  <c r="AX6" i="27"/>
  <c r="AX14" i="27" s="1" a="1"/>
  <c r="AX14" i="27" s="1"/>
  <c r="AW6" i="27"/>
  <c r="AW14" i="27" s="1" a="1"/>
  <c r="AW14" i="27" s="1"/>
  <c r="AV6" i="27"/>
  <c r="AV14" i="27" s="1" a="1"/>
  <c r="AV14" i="27" s="1"/>
  <c r="AU6" i="27"/>
  <c r="AU14" i="27" s="1" a="1"/>
  <c r="AU14" i="27" s="1"/>
  <c r="AT6" i="27" a="1"/>
  <c r="AT6" i="27" s="1"/>
  <c r="AS6" i="27"/>
  <c r="AS14" i="27" s="1" a="1"/>
  <c r="AS14" i="27" s="1"/>
  <c r="AR6" i="27"/>
  <c r="AR14" i="27" s="1" a="1"/>
  <c r="AR14" i="27" s="1"/>
  <c r="AQ6" i="27"/>
  <c r="AQ14" i="27" s="1" a="1"/>
  <c r="AQ14" i="27" s="1"/>
  <c r="AP6" i="27"/>
  <c r="AP14" i="27" s="1" a="1"/>
  <c r="AP14" i="27" s="1"/>
  <c r="AO6" i="27"/>
  <c r="AO14" i="27" s="1" a="1"/>
  <c r="AO14" i="27" s="1"/>
  <c r="AN6" i="27"/>
  <c r="AN14" i="27" s="1" a="1"/>
  <c r="AN14" i="27" s="1"/>
  <c r="AM6" i="27"/>
  <c r="AM14" i="27" s="1" a="1"/>
  <c r="AM14" i="27" s="1"/>
  <c r="AL6" i="27"/>
  <c r="AL14" i="27" s="1" a="1"/>
  <c r="AL14" i="27" s="1"/>
  <c r="AK6" i="27"/>
  <c r="AK14" i="27" s="1" a="1"/>
  <c r="AK14" i="27" s="1"/>
  <c r="AJ6" i="27" a="1"/>
  <c r="AJ6" i="27"/>
  <c r="AJ14" i="27" s="1" a="1"/>
  <c r="AJ14" i="27" s="1"/>
  <c r="AI6" i="27"/>
  <c r="AI14" i="27" s="1" a="1"/>
  <c r="AI14" i="27" s="1"/>
  <c r="AH6" i="27"/>
  <c r="AH14" i="27" s="1" a="1"/>
  <c r="AH14" i="27" s="1"/>
  <c r="AG6" i="27"/>
  <c r="AG14" i="27" s="1" a="1"/>
  <c r="AG14" i="27" s="1"/>
  <c r="AF6" i="27"/>
  <c r="AF14" i="27" s="1" a="1"/>
  <c r="AF14" i="27" s="1"/>
  <c r="AE6" i="27"/>
  <c r="AE14" i="27" s="1" a="1"/>
  <c r="AE14" i="27" s="1"/>
  <c r="AG49" i="26"/>
  <c r="AG50" i="26" s="1"/>
  <c r="AF49" i="26"/>
  <c r="AF50" i="26" s="1"/>
  <c r="AE49" i="26"/>
  <c r="AE50" i="26" s="1"/>
  <c r="AK48" i="26" a="1"/>
  <c r="AK48" i="26"/>
  <c r="AJ48" i="26" a="1"/>
  <c r="AJ48" i="26"/>
  <c r="AI48" i="26" a="1"/>
  <c r="AI48" i="26"/>
  <c r="AL48" i="26" s="1"/>
  <c r="AH48" i="26"/>
  <c r="AK47" i="26" a="1"/>
  <c r="AK47" i="26"/>
  <c r="AJ47" i="26" a="1"/>
  <c r="AJ47" i="26"/>
  <c r="AI47" i="26" a="1"/>
  <c r="AI47" i="26"/>
  <c r="AL47" i="26" s="1"/>
  <c r="AH47" i="26"/>
  <c r="AK46" i="26" a="1"/>
  <c r="AK46" i="26"/>
  <c r="AJ46" i="26" a="1"/>
  <c r="AJ46" i="26"/>
  <c r="AI46" i="26" a="1"/>
  <c r="AI46" i="26"/>
  <c r="AL46" i="26" s="1"/>
  <c r="AH46" i="26"/>
  <c r="AK45" i="26" a="1"/>
  <c r="AK45" i="26"/>
  <c r="AJ45" i="26" a="1"/>
  <c r="AJ45" i="26"/>
  <c r="AI45" i="26" a="1"/>
  <c r="AI45" i="26"/>
  <c r="AL45" i="26" s="1"/>
  <c r="AH45" i="26"/>
  <c r="AK44" i="26" a="1"/>
  <c r="AK44" i="26"/>
  <c r="AK43" i="26" s="1"/>
  <c r="AJ44" i="26" a="1"/>
  <c r="AJ44" i="26"/>
  <c r="AI44" i="26" a="1"/>
  <c r="AI44" i="26"/>
  <c r="AI43" i="26" s="1"/>
  <c r="AL43" i="26" s="1"/>
  <c r="AH44" i="26"/>
  <c r="AJ43" i="26"/>
  <c r="AG43" i="26"/>
  <c r="AF43" i="26"/>
  <c r="AH43" i="26" s="1"/>
  <c r="AE43" i="26"/>
  <c r="AK42" i="26" a="1"/>
  <c r="AK42" i="26" s="1"/>
  <c r="AJ42" i="26" a="1"/>
  <c r="AJ42" i="26" s="1"/>
  <c r="AI42" i="26" a="1"/>
  <c r="AI42" i="26" s="1"/>
  <c r="AK41" i="26" a="1"/>
  <c r="AK41" i="26" s="1"/>
  <c r="AK49" i="26" s="1"/>
  <c r="AK50" i="26" s="1"/>
  <c r="AJ41" i="26" a="1"/>
  <c r="AJ41" i="26" s="1"/>
  <c r="AJ49" i="26" s="1"/>
  <c r="AJ50" i="26" s="1"/>
  <c r="AI41" i="26" a="1"/>
  <c r="AI41" i="26" s="1"/>
  <c r="AI49" i="26" s="1"/>
  <c r="AK40" i="26" a="1"/>
  <c r="AK40" i="26"/>
  <c r="AJ40" i="26" a="1"/>
  <c r="AJ40" i="26"/>
  <c r="AI40" i="26" a="1"/>
  <c r="AI40" i="26"/>
  <c r="AL40" i="26" s="1"/>
  <c r="AH40" i="26"/>
  <c r="AK39" i="26" a="1"/>
  <c r="AK39" i="26"/>
  <c r="AJ39" i="26" a="1"/>
  <c r="AJ39" i="26"/>
  <c r="AI39" i="26" a="1"/>
  <c r="AI39" i="26"/>
  <c r="AL39" i="26" s="1"/>
  <c r="AH39" i="26"/>
  <c r="AK38" i="26" a="1"/>
  <c r="AK38" i="26"/>
  <c r="AJ38" i="26" a="1"/>
  <c r="AJ38" i="26"/>
  <c r="AI38" i="26" a="1"/>
  <c r="AI38" i="26"/>
  <c r="AL38" i="26" s="1"/>
  <c r="AH38" i="26"/>
  <c r="AK37" i="26" a="1"/>
  <c r="AK37" i="26"/>
  <c r="AJ37" i="26" a="1"/>
  <c r="AJ37" i="26"/>
  <c r="AI37" i="26" a="1"/>
  <c r="AI37" i="26"/>
  <c r="AL37" i="26" s="1"/>
  <c r="AH37" i="26"/>
  <c r="AK36" i="26" a="1"/>
  <c r="AK36" i="26"/>
  <c r="AK35" i="26" s="1"/>
  <c r="AJ36" i="26" a="1"/>
  <c r="AJ36" i="26"/>
  <c r="AI36" i="26" a="1"/>
  <c r="AI36" i="26"/>
  <c r="AI35" i="26" s="1"/>
  <c r="AL35" i="26" s="1"/>
  <c r="AH36" i="26"/>
  <c r="AJ35" i="26"/>
  <c r="AG35" i="26"/>
  <c r="AF35" i="26"/>
  <c r="AH35" i="26" s="1"/>
  <c r="AE35" i="26"/>
  <c r="AK34" i="26" a="1"/>
  <c r="AK34" i="26"/>
  <c r="AJ34" i="26" a="1"/>
  <c r="AJ34" i="26"/>
  <c r="AI34" i="26" a="1"/>
  <c r="AI34" i="26"/>
  <c r="AL34" i="26" s="1"/>
  <c r="AH34" i="26"/>
  <c r="AK33" i="26" a="1"/>
  <c r="AK33" i="26"/>
  <c r="AJ33" i="26" a="1"/>
  <c r="AJ33" i="26"/>
  <c r="AI33" i="26" a="1"/>
  <c r="AI33" i="26"/>
  <c r="AL33" i="26" s="1"/>
  <c r="AH33" i="26"/>
  <c r="AK32" i="26" a="1"/>
  <c r="AK32" i="26"/>
  <c r="AJ32" i="26" a="1"/>
  <c r="AJ32" i="26"/>
  <c r="AI32" i="26" a="1"/>
  <c r="AI32" i="26"/>
  <c r="AL32" i="26" s="1"/>
  <c r="AH32" i="26"/>
  <c r="AK31" i="26" a="1"/>
  <c r="AK31" i="26"/>
  <c r="AJ31" i="26" a="1"/>
  <c r="AJ31" i="26"/>
  <c r="AI31" i="26" a="1"/>
  <c r="AI31" i="26"/>
  <c r="AL31" i="26" s="1"/>
  <c r="AH31" i="26"/>
  <c r="AK30" i="26" a="1"/>
  <c r="AK30" i="26"/>
  <c r="AK29" i="26" s="1"/>
  <c r="AJ30" i="26" a="1"/>
  <c r="AJ30" i="26"/>
  <c r="AI30" i="26" a="1"/>
  <c r="AI30" i="26"/>
  <c r="AI29" i="26" s="1"/>
  <c r="AL29" i="26" s="1"/>
  <c r="AH30" i="26"/>
  <c r="AJ29" i="26"/>
  <c r="AG29" i="26"/>
  <c r="AF29" i="26"/>
  <c r="AH29" i="26" s="1"/>
  <c r="AE29" i="26"/>
  <c r="F28" i="26" a="1"/>
  <c r="F28" i="26" s="1"/>
  <c r="AK25" i="26"/>
  <c r="AJ25" i="26"/>
  <c r="AI25" i="26"/>
  <c r="AG25" i="26"/>
  <c r="AF25" i="26"/>
  <c r="AE25" i="26"/>
  <c r="AB22" i="26"/>
  <c r="AR121" i="25"/>
  <c r="AQ121" i="25"/>
  <c r="AP121" i="25"/>
  <c r="AO121" i="25"/>
  <c r="AN121" i="25"/>
  <c r="AL121" i="25"/>
  <c r="AK121" i="25"/>
  <c r="AJ121" i="25"/>
  <c r="AI121" i="25"/>
  <c r="AF121" i="25" a="1"/>
  <c r="AF121" i="25"/>
  <c r="AE121" i="25" a="1"/>
  <c r="AE121" i="25"/>
  <c r="AM120" i="25"/>
  <c r="AH120" i="25"/>
  <c r="AH121" i="25" s="1"/>
  <c r="AR117" i="25"/>
  <c r="AQ117" i="25"/>
  <c r="AP117" i="25"/>
  <c r="AO117" i="25"/>
  <c r="AN117" i="25" a="1"/>
  <c r="AN117" i="25" s="1"/>
  <c r="AL117" i="25"/>
  <c r="AK117" i="25"/>
  <c r="AJ117" i="25"/>
  <c r="AI117" i="25"/>
  <c r="AH117" i="25" a="1"/>
  <c r="AH117" i="25" s="1"/>
  <c r="AF117" i="25"/>
  <c r="AE117" i="25"/>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c r="F76" i="25" s="1" a="1"/>
  <c r="F76" i="25" s="1"/>
  <c r="F77" i="25" s="1" a="1"/>
  <c r="F77" i="25" s="1"/>
  <c r="F78" i="25" s="1" a="1"/>
  <c r="F78" i="25" s="1"/>
  <c r="F79" i="25" s="1" a="1"/>
  <c r="F79" i="25" s="1"/>
  <c r="AR74" i="25"/>
  <c r="AQ74" i="25"/>
  <c r="AP74" i="25"/>
  <c r="AO74" i="25"/>
  <c r="AN74" i="25"/>
  <c r="AL74" i="25"/>
  <c r="AK74" i="25"/>
  <c r="AJ74" i="25"/>
  <c r="AI74" i="25"/>
  <c r="AH74" i="25"/>
  <c r="AF74" i="25" a="1"/>
  <c r="AF74" i="25"/>
  <c r="AE74" i="25" a="1"/>
  <c r="AE74" i="25"/>
  <c r="AM73" i="25"/>
  <c r="AG73" i="25"/>
  <c r="AR70" i="25"/>
  <c r="AQ70" i="25"/>
  <c r="AP70" i="25"/>
  <c r="AO70" i="25"/>
  <c r="AN70" i="25" a="1"/>
  <c r="AN70" i="25"/>
  <c r="AL70" i="25"/>
  <c r="AK70" i="25"/>
  <c r="AJ70" i="25"/>
  <c r="AI70" i="25"/>
  <c r="AH70" i="25" a="1"/>
  <c r="AH70" i="25"/>
  <c r="AF70" i="25"/>
  <c r="AE70" i="25"/>
  <c r="T28" i="25"/>
  <c r="T29" i="25" s="1" a="1"/>
  <c r="T29" i="25" s="1"/>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F28" i="25" a="1"/>
  <c r="F28" i="25" s="1"/>
  <c r="AG25" i="25"/>
  <c r="AG9" i="25" s="1" a="1"/>
  <c r="AG9" i="25" s="1"/>
  <c r="AF25" i="25"/>
  <c r="AB22" i="25"/>
  <c r="AT10" i="25" a="1"/>
  <c r="AT10" i="25"/>
  <c r="AS10" i="25" a="1"/>
  <c r="AS10" i="25"/>
  <c r="AR10" i="25" a="1"/>
  <c r="AR10" i="25"/>
  <c r="AQ10" i="25" a="1"/>
  <c r="AQ10" i="25"/>
  <c r="AP10" i="25" a="1"/>
  <c r="AP10" i="25"/>
  <c r="AN10" i="25" a="1"/>
  <c r="AN10" i="25"/>
  <c r="AM10" i="25" a="1"/>
  <c r="AM10" i="25"/>
  <c r="AL10" i="25" a="1"/>
  <c r="AL10" i="25"/>
  <c r="AK10" i="25" a="1"/>
  <c r="AK10" i="25"/>
  <c r="AJ10" i="25" a="1"/>
  <c r="AJ10" i="25"/>
  <c r="AH10" i="25" a="1"/>
  <c r="AH10" i="25"/>
  <c r="AG10" i="25" a="1"/>
  <c r="AG10" i="25"/>
  <c r="AF10" i="25" a="1"/>
  <c r="AF10" i="25"/>
  <c r="AT9" i="25" a="1"/>
  <c r="AT9" i="25"/>
  <c r="AS9" i="25" a="1"/>
  <c r="AS9" i="25"/>
  <c r="AR9" i="25" a="1"/>
  <c r="AR9" i="25"/>
  <c r="AQ9" i="25" a="1"/>
  <c r="AQ9" i="25"/>
  <c r="AP9" i="25" a="1"/>
  <c r="AP9" i="25"/>
  <c r="AN9" i="25" a="1"/>
  <c r="AN9" i="25"/>
  <c r="AM9" i="25" a="1"/>
  <c r="AM9" i="25"/>
  <c r="AL9" i="25" a="1"/>
  <c r="AL9" i="25"/>
  <c r="AK9" i="25" a="1"/>
  <c r="AK9" i="25"/>
  <c r="AJ9" i="25" a="1"/>
  <c r="AJ9" i="25"/>
  <c r="AH9" i="25" a="1"/>
  <c r="AH9" i="25"/>
  <c r="AF9" i="25" a="1"/>
  <c r="AF9" i="25"/>
  <c r="AG7" i="25" a="1"/>
  <c r="AG7" i="25"/>
  <c r="AF7" i="25" a="1"/>
  <c r="AF7" i="25"/>
  <c r="AR6" i="25" a="1"/>
  <c r="AR6" i="25"/>
  <c r="AQ6" i="25" a="1"/>
  <c r="AQ6" i="25"/>
  <c r="AP6" i="25" a="1"/>
  <c r="AP6" i="25"/>
  <c r="AO6" i="25" a="1"/>
  <c r="AO6" i="25"/>
  <c r="AN6" i="25" a="1"/>
  <c r="AN6" i="25"/>
  <c r="AL6" i="25" a="1"/>
  <c r="AL6" i="25"/>
  <c r="AK6" i="25" a="1"/>
  <c r="AK6" i="25"/>
  <c r="AJ6" i="25" a="1"/>
  <c r="AJ6" i="25"/>
  <c r="AI6" i="25" a="1"/>
  <c r="AI6" i="25"/>
  <c r="AH6" i="25" a="1"/>
  <c r="AH6" i="25"/>
  <c r="AG6" i="25" a="1"/>
  <c r="AG6" i="25" s="1"/>
  <c r="AG8" i="25" s="1"/>
  <c r="AF6" i="25" a="1"/>
  <c r="AF6" i="25" s="1"/>
  <c r="AF8" i="25" s="1"/>
  <c r="T51" i="24"/>
  <c r="BC42" i="24" a="1"/>
  <c r="BC42" i="24" s="1"/>
  <c r="BB42" i="24" a="1"/>
  <c r="BB42" i="24" s="1"/>
  <c r="BM42" i="24" s="1"/>
  <c r="BA42" i="24" a="1"/>
  <c r="BA42" i="24" s="1"/>
  <c r="BL42" i="24" s="1"/>
  <c r="AZ42" i="24" a="1"/>
  <c r="AZ42" i="24" s="1"/>
  <c r="BK42" i="24" s="1"/>
  <c r="AY42" i="24" a="1"/>
  <c r="AY42" i="24" s="1"/>
  <c r="BJ42" i="24" s="1"/>
  <c r="AX42" i="24" a="1"/>
  <c r="AX42" i="24" s="1"/>
  <c r="BI42" i="24" s="1"/>
  <c r="AW42" i="24" a="1"/>
  <c r="AW42" i="24" s="1"/>
  <c r="BH42" i="24" s="1"/>
  <c r="AV42" i="24" a="1"/>
  <c r="AV42" i="24" s="1"/>
  <c r="BG42" i="24" s="1"/>
  <c r="AU42" i="24" a="1"/>
  <c r="AU42" i="24" s="1"/>
  <c r="BF42" i="24" s="1"/>
  <c r="AT42" i="24" a="1"/>
  <c r="AT42" i="24" s="1"/>
  <c r="BE42" i="24" s="1"/>
  <c r="AS42" i="24" a="1"/>
  <c r="AS42" i="24" s="1"/>
  <c r="AR42" i="24" a="1"/>
  <c r="AR42" i="24" s="1"/>
  <c r="AQ42" i="24" a="1"/>
  <c r="AQ42" i="24" s="1"/>
  <c r="AP42" i="24" a="1"/>
  <c r="AP42" i="24" s="1"/>
  <c r="AO42" i="24" a="1"/>
  <c r="AO42" i="24" s="1"/>
  <c r="AN42" i="24" a="1"/>
  <c r="AN42" i="24" s="1"/>
  <c r="AM42" i="24" a="1"/>
  <c r="AM42" i="24" s="1"/>
  <c r="AL42" i="24" a="1"/>
  <c r="AL42" i="24" s="1"/>
  <c r="AK42" i="24" a="1"/>
  <c r="AK42" i="24" s="1"/>
  <c r="AJ42" i="24" a="1"/>
  <c r="AJ42" i="24" s="1"/>
  <c r="AI42" i="24" a="1"/>
  <c r="AI42" i="24" s="1"/>
  <c r="BD42" i="24" s="1"/>
  <c r="L38" i="24" a="1"/>
  <c r="L38" i="24" s="1"/>
  <c r="BS37" i="24"/>
  <c r="T37" i="24"/>
  <c r="T38" i="24" s="1" a="1"/>
  <c r="T38" i="24" s="1"/>
  <c r="T39" i="24" s="1" a="1"/>
  <c r="T39" i="24" s="1"/>
  <c r="T40" i="24" s="1" a="1"/>
  <c r="T40" i="24" s="1"/>
  <c r="T41" i="24" s="1" a="1"/>
  <c r="T41" i="24" s="1"/>
  <c r="T43" i="24" s="1" a="1"/>
  <c r="T43" i="24" s="1"/>
  <c r="T44" i="24" s="1" a="1"/>
  <c r="T44" i="24" s="1"/>
  <c r="T45" i="24" s="1" a="1"/>
  <c r="T45" i="24" s="1"/>
  <c r="F37" i="24" a="1"/>
  <c r="F37" i="24"/>
  <c r="F38" i="24" s="1" a="1"/>
  <c r="F38" i="24" s="1"/>
  <c r="L28" i="24" a="1"/>
  <c r="L28" i="24" s="1"/>
  <c r="BS27" i="24"/>
  <c r="T27" i="24"/>
  <c r="T28" i="24" s="1" a="1"/>
  <c r="T28" i="24" s="1"/>
  <c r="T29" i="24" s="1" a="1"/>
  <c r="T29" i="24" s="1"/>
  <c r="T30" i="24" s="1" a="1"/>
  <c r="T30" i="24" s="1"/>
  <c r="T31" i="24" s="1" a="1"/>
  <c r="T31" i="24" s="1"/>
  <c r="T33" i="24" s="1" a="1"/>
  <c r="T33" i="24" s="1"/>
  <c r="T34" i="24" s="1" a="1"/>
  <c r="T34" i="24" s="1"/>
  <c r="T35" i="24" s="1" a="1"/>
  <c r="T35" i="24" s="1"/>
  <c r="F27" i="24" a="1"/>
  <c r="F27" i="24" s="1"/>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c r="BO11" i="24" a="1"/>
  <c r="BO11" i="24"/>
  <c r="BN11" i="24" a="1"/>
  <c r="BN11" i="24"/>
  <c r="BD10" i="24" a="1"/>
  <c r="BD10" i="24"/>
  <c r="BE10" i="24" s="1" a="1"/>
  <c r="BE10" i="24" s="1"/>
  <c r="BF10" i="24" s="1" a="1"/>
  <c r="BF10" i="24" s="1"/>
  <c r="BG10" i="24" s="1" a="1"/>
  <c r="BG10" i="24" s="1"/>
  <c r="BH10" i="24" s="1" a="1"/>
  <c r="BH10" i="24" s="1"/>
  <c r="BI10" i="24" s="1" a="1"/>
  <c r="BI10" i="24" s="1"/>
  <c r="BJ10" i="24" s="1" a="1"/>
  <c r="BJ10" i="24" s="1"/>
  <c r="BK10" i="24" s="1" a="1"/>
  <c r="BK10" i="24" s="1"/>
  <c r="BL10" i="24" s="1" a="1"/>
  <c r="BL10" i="24" s="1"/>
  <c r="BM10" i="24" s="1" a="1"/>
  <c r="BM10" i="24" s="1"/>
  <c r="BC10" i="24" a="1"/>
  <c r="BC10" i="24" s="1"/>
  <c r="BB10" i="24" a="1"/>
  <c r="BB10" i="24" s="1"/>
  <c r="BA10" i="24" a="1"/>
  <c r="BA10" i="24" s="1"/>
  <c r="AZ10" i="24" a="1"/>
  <c r="AZ10" i="24" s="1"/>
  <c r="AY10" i="24" a="1"/>
  <c r="AY10"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BM9" i="24"/>
  <c r="BL9" i="24"/>
  <c r="BK9" i="24"/>
  <c r="BJ9" i="24"/>
  <c r="BI9" i="24"/>
  <c r="BH9" i="24"/>
  <c r="BG9" i="24"/>
  <c r="BF9" i="24"/>
  <c r="BE9" i="24"/>
  <c r="BD9" i="24" a="1"/>
  <c r="BD9" i="24"/>
  <c r="BC9" i="24"/>
  <c r="BB9" i="24"/>
  <c r="BA9" i="24"/>
  <c r="AZ9" i="24"/>
  <c r="AY9" i="24"/>
  <c r="AX9" i="24"/>
  <c r="AW9" i="24"/>
  <c r="AV9" i="24"/>
  <c r="AU9" i="24"/>
  <c r="AT9" i="24" a="1"/>
  <c r="AT9" i="24" s="1"/>
  <c r="AS9" i="24"/>
  <c r="AR9" i="24"/>
  <c r="AQ9" i="24"/>
  <c r="AP9" i="24"/>
  <c r="AO9" i="24"/>
  <c r="AN9" i="24"/>
  <c r="AM9" i="24"/>
  <c r="AL9" i="24"/>
  <c r="AK9" i="24"/>
  <c r="AJ9" i="24" a="1"/>
  <c r="AJ9" i="24"/>
  <c r="AI9" i="24"/>
  <c r="AH9" i="24"/>
  <c r="AG9" i="24"/>
  <c r="AF9" i="24"/>
  <c r="AE9" i="24"/>
  <c r="BC7" i="24" a="1"/>
  <c r="BC7" i="24"/>
  <c r="BB7" i="24" a="1"/>
  <c r="BB7" i="24"/>
  <c r="BA7" i="24" a="1"/>
  <c r="BA7" i="24"/>
  <c r="AZ7" i="24" a="1"/>
  <c r="AZ7" i="24"/>
  <c r="AY7" i="24" a="1"/>
  <c r="AY7" i="24"/>
  <c r="AX7" i="24" a="1"/>
  <c r="AX7" i="24"/>
  <c r="AW7" i="24" a="1"/>
  <c r="AW7" i="24"/>
  <c r="AV7" i="24" a="1"/>
  <c r="AV7" i="24"/>
  <c r="AU7" i="24" a="1"/>
  <c r="AU7" i="24"/>
  <c r="AT7" i="24" a="1"/>
  <c r="AT7" i="24"/>
  <c r="AS7" i="24" a="1"/>
  <c r="AS7" i="24" s="1"/>
  <c r="AR7" i="24" a="1"/>
  <c r="AR7" i="24" s="1"/>
  <c r="AQ7" i="24" a="1"/>
  <c r="AQ7" i="24" s="1"/>
  <c r="AP7" i="24" a="1"/>
  <c r="AP7" i="24" s="1"/>
  <c r="AO7" i="24" a="1"/>
  <c r="AO7" i="24" s="1"/>
  <c r="AN7" i="24" a="1"/>
  <c r="AN7" i="24" s="1"/>
  <c r="AM7" i="24" a="1"/>
  <c r="AM7" i="24" s="1"/>
  <c r="AL7" i="24" a="1"/>
  <c r="AL7" i="24" s="1"/>
  <c r="AK7" i="24" a="1"/>
  <c r="AK7" i="24" s="1"/>
  <c r="AJ7" i="24" a="1"/>
  <c r="AJ7" i="24" s="1"/>
  <c r="AI7" i="24" a="1"/>
  <c r="AI7" i="24" s="1"/>
  <c r="AH7" i="24" a="1"/>
  <c r="AH7" i="24" s="1"/>
  <c r="AG7" i="24" a="1"/>
  <c r="AG7" i="24" s="1"/>
  <c r="AF7" i="24" a="1"/>
  <c r="AF7" i="24" s="1"/>
  <c r="AE7" i="24" a="1"/>
  <c r="AE7" i="24" s="1"/>
  <c r="BM6" i="24"/>
  <c r="BL6" i="24"/>
  <c r="BK6" i="24"/>
  <c r="BJ6" i="24"/>
  <c r="BI6" i="24"/>
  <c r="BH6" i="24"/>
  <c r="BG6" i="24"/>
  <c r="BF6" i="24"/>
  <c r="BE6" i="24"/>
  <c r="BD6" i="24" a="1"/>
  <c r="BD6" i="24"/>
  <c r="BC6" i="24"/>
  <c r="BC8" i="24" s="1"/>
  <c r="BB6" i="24"/>
  <c r="BA6" i="24"/>
  <c r="BA8" i="24" s="1"/>
  <c r="AZ6" i="24"/>
  <c r="AY6" i="24"/>
  <c r="AY8" i="24" s="1"/>
  <c r="AX6" i="24"/>
  <c r="AW6" i="24"/>
  <c r="AW8" i="24" s="1"/>
  <c r="AV6" i="24"/>
  <c r="AU6" i="24"/>
  <c r="AU8" i="24" s="1"/>
  <c r="AT6" i="24" a="1"/>
  <c r="AT6" i="24" s="1"/>
  <c r="AS6" i="24"/>
  <c r="AS8" i="24" s="1"/>
  <c r="AR6" i="24"/>
  <c r="AR8" i="24" s="1"/>
  <c r="AQ6" i="24"/>
  <c r="AQ8" i="24" s="1"/>
  <c r="AP6" i="24"/>
  <c r="AP8" i="24" s="1"/>
  <c r="AO6" i="24"/>
  <c r="AO8" i="24" s="1"/>
  <c r="AN6" i="24"/>
  <c r="AN8" i="24" s="1"/>
  <c r="AM6" i="24"/>
  <c r="AM8" i="24" s="1"/>
  <c r="AL6" i="24"/>
  <c r="AL8" i="24" s="1"/>
  <c r="AK6" i="24"/>
  <c r="AK8" i="24" s="1"/>
  <c r="AJ6" i="24" a="1"/>
  <c r="AJ6" i="24"/>
  <c r="AI6" i="24"/>
  <c r="AH6" i="24"/>
  <c r="AH8" i="24" s="1"/>
  <c r="AG6" i="24"/>
  <c r="AF6" i="24"/>
  <c r="AF8" i="24" s="1"/>
  <c r="AE6" i="24"/>
  <c r="T71" i="23"/>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L48" i="23" a="1"/>
  <c r="L48" i="23" s="1"/>
  <c r="T47" i="23"/>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F47" i="23" a="1"/>
  <c r="F47"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T28" i="23" a="1"/>
  <c r="T28" i="23" s="1"/>
  <c r="T29" i="23" s="1" a="1"/>
  <c r="T29" i="23" s="1"/>
  <c r="T30" i="23" s="1" a="1"/>
  <c r="T30" i="23" s="1"/>
  <c r="T31" i="23" s="1" a="1"/>
  <c r="T31" i="23" s="1"/>
  <c r="T32" i="23" s="1" a="1"/>
  <c r="T32" i="23" s="1"/>
  <c r="T33" i="23" s="1" a="1"/>
  <c r="T33" i="23" s="1"/>
  <c r="T34" i="23" s="1" a="1"/>
  <c r="T34" i="23" s="1"/>
  <c r="T35" i="23" s="1" a="1"/>
  <c r="T35" i="23" s="1"/>
  <c r="T36" i="23" s="1" a="1"/>
  <c r="T36" i="23" s="1"/>
  <c r="L28" i="23" a="1"/>
  <c r="L28" i="23" s="1"/>
  <c r="T27" i="23"/>
  <c r="F27" i="23" a="1"/>
  <c r="F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c r="BO11" i="23" a="1"/>
  <c r="BO11" i="23"/>
  <c r="BN11" i="23" a="1"/>
  <c r="BN11" i="23"/>
  <c r="BD10" i="23" a="1"/>
  <c r="BD10" i="23"/>
  <c r="BE10" i="23" s="1" a="1"/>
  <c r="BE10" i="23" s="1"/>
  <c r="BF10" i="23" s="1" a="1"/>
  <c r="BF10" i="23" s="1"/>
  <c r="BG10" i="23" s="1" a="1"/>
  <c r="BG10" i="23" s="1"/>
  <c r="BH10" i="23" s="1" a="1"/>
  <c r="BH10" i="23" s="1"/>
  <c r="BI10" i="23" s="1" a="1"/>
  <c r="BI10" i="23" s="1"/>
  <c r="BJ10" i="23" s="1" a="1"/>
  <c r="BJ10" i="23" s="1"/>
  <c r="BK10" i="23" s="1" a="1"/>
  <c r="BK10" i="23" s="1"/>
  <c r="BL10" i="23" s="1" a="1"/>
  <c r="BL10" i="23" s="1"/>
  <c r="BM10" i="23" s="1" a="1"/>
  <c r="BM10" i="23" s="1"/>
  <c r="BC10" i="23" a="1"/>
  <c r="BC10" i="23"/>
  <c r="BB10" i="23" a="1"/>
  <c r="BB10" i="23"/>
  <c r="BA10" i="23" a="1"/>
  <c r="BA10" i="23"/>
  <c r="AZ10" i="23" a="1"/>
  <c r="AZ10" i="23"/>
  <c r="AY10" i="23" a="1"/>
  <c r="AY10" i="23"/>
  <c r="AX10" i="23" a="1"/>
  <c r="AX10" i="23"/>
  <c r="AW10" i="23" a="1"/>
  <c r="AW10" i="23"/>
  <c r="AV10" i="23" a="1"/>
  <c r="AV10" i="23"/>
  <c r="AU10" i="23" a="1"/>
  <c r="AU10" i="23"/>
  <c r="AT10" i="23" a="1"/>
  <c r="AT10" i="23" s="1"/>
  <c r="AS10" i="23" a="1"/>
  <c r="AS10" i="23" s="1"/>
  <c r="AR10" i="23" a="1"/>
  <c r="AR10" i="23" s="1"/>
  <c r="AQ10" i="23" a="1"/>
  <c r="AQ10" i="23" s="1"/>
  <c r="AP10" i="23" a="1"/>
  <c r="AP10" i="23" s="1"/>
  <c r="AO10" i="23" a="1"/>
  <c r="AO10" i="23" s="1"/>
  <c r="AN10" i="23" a="1"/>
  <c r="AN10" i="23" s="1"/>
  <c r="AM10" i="23" a="1"/>
  <c r="AM10" i="23" s="1"/>
  <c r="AL10" i="23" a="1"/>
  <c r="AL10" i="23" s="1"/>
  <c r="AK10" i="23" a="1"/>
  <c r="AK10" i="23" s="1"/>
  <c r="AJ10" i="23" a="1"/>
  <c r="AJ10" i="23" s="1"/>
  <c r="AI10" i="23" a="1"/>
  <c r="AI10" i="23" s="1"/>
  <c r="AH10" i="23" a="1"/>
  <c r="AH10" i="23" s="1"/>
  <c r="AG10" i="23" a="1"/>
  <c r="AG10" i="23" s="1"/>
  <c r="AF10" i="23" a="1"/>
  <c r="AF10" i="23" s="1"/>
  <c r="AE10" i="23" a="1"/>
  <c r="AE10" i="23" s="1"/>
  <c r="BM9" i="23"/>
  <c r="BL9" i="23"/>
  <c r="BK9" i="23"/>
  <c r="BJ9" i="23"/>
  <c r="BI9" i="23"/>
  <c r="BH9" i="23"/>
  <c r="BG9" i="23"/>
  <c r="BF9" i="23"/>
  <c r="BE9" i="23"/>
  <c r="BD9" i="23" a="1"/>
  <c r="BD9" i="23"/>
  <c r="BC9" i="23"/>
  <c r="BB9" i="23"/>
  <c r="BA9" i="23"/>
  <c r="AZ9" i="23"/>
  <c r="AY9" i="23"/>
  <c r="AX9" i="23"/>
  <c r="AW9" i="23"/>
  <c r="AV9" i="23"/>
  <c r="AU9" i="23"/>
  <c r="AT9" i="23" a="1"/>
  <c r="AT9" i="23" s="1"/>
  <c r="AS9" i="23"/>
  <c r="AR9" i="23"/>
  <c r="AQ9" i="23"/>
  <c r="AP9" i="23"/>
  <c r="AO9" i="23"/>
  <c r="AN9" i="23"/>
  <c r="AM9" i="23"/>
  <c r="AL9" i="23"/>
  <c r="AK9" i="23"/>
  <c r="AJ9" i="23" a="1"/>
  <c r="AJ9" i="23"/>
  <c r="AI9" i="23"/>
  <c r="AH9" i="23"/>
  <c r="AG9" i="23"/>
  <c r="AF9" i="23"/>
  <c r="AE9" i="23"/>
  <c r="BC7" i="23" a="1"/>
  <c r="BC7" i="23"/>
  <c r="BB7" i="23" a="1"/>
  <c r="BB7" i="23"/>
  <c r="BA7" i="23" a="1"/>
  <c r="BA7" i="23"/>
  <c r="AZ7" i="23" a="1"/>
  <c r="AZ7" i="23"/>
  <c r="AY7" i="23" a="1"/>
  <c r="AY7" i="23"/>
  <c r="AX7" i="23" a="1"/>
  <c r="AX7" i="23"/>
  <c r="AW7" i="23" a="1"/>
  <c r="AW7" i="23"/>
  <c r="AV7" i="23" a="1"/>
  <c r="AV7" i="23"/>
  <c r="AU7" i="23" a="1"/>
  <c r="AU7" i="23"/>
  <c r="AT7" i="23" a="1"/>
  <c r="AT7" i="23"/>
  <c r="AS7" i="23" a="1"/>
  <c r="AS7" i="23"/>
  <c r="AR7" i="23" a="1"/>
  <c r="AR7" i="23"/>
  <c r="AQ7" i="23" a="1"/>
  <c r="AQ7" i="23"/>
  <c r="AP7" i="23" a="1"/>
  <c r="AP7" i="23"/>
  <c r="AO7" i="23" a="1"/>
  <c r="AO7" i="23"/>
  <c r="AN7" i="23" a="1"/>
  <c r="AN7" i="23" s="1"/>
  <c r="AM7" i="23" a="1"/>
  <c r="AM7" i="23" s="1"/>
  <c r="AL7" i="23" a="1"/>
  <c r="AL7" i="23" s="1"/>
  <c r="AK7" i="23" a="1"/>
  <c r="AK7" i="23" s="1"/>
  <c r="AJ7" i="23" a="1"/>
  <c r="AJ7" i="23" s="1"/>
  <c r="AI7" i="23" a="1"/>
  <c r="AI7" i="23" s="1"/>
  <c r="AH7" i="23" a="1"/>
  <c r="AH7" i="23" s="1"/>
  <c r="AG7" i="23" a="1"/>
  <c r="AG7" i="23" s="1"/>
  <c r="AF7" i="23" a="1"/>
  <c r="AF7" i="23" s="1"/>
  <c r="AE7" i="23" a="1"/>
  <c r="AE7" i="23" s="1"/>
  <c r="BM6" i="23"/>
  <c r="BL6" i="23"/>
  <c r="BK6" i="23"/>
  <c r="BJ6" i="23"/>
  <c r="BI6" i="23"/>
  <c r="BH6" i="23"/>
  <c r="BG6" i="23"/>
  <c r="BF6" i="23"/>
  <c r="BE6" i="23"/>
  <c r="BD6" i="23" a="1"/>
  <c r="BD6" i="23"/>
  <c r="BC6" i="23"/>
  <c r="BC8" i="23" s="1"/>
  <c r="BB6" i="23"/>
  <c r="BB8" i="23" s="1"/>
  <c r="BA6" i="23"/>
  <c r="BA8" i="23" s="1"/>
  <c r="AZ6" i="23"/>
  <c r="AZ8" i="23" s="1"/>
  <c r="AY6" i="23"/>
  <c r="AY8" i="23" s="1"/>
  <c r="AX6" i="23"/>
  <c r="AX8" i="23" s="1"/>
  <c r="AW6" i="23"/>
  <c r="AW8" i="23" s="1"/>
  <c r="AV6" i="23"/>
  <c r="AV8" i="23" s="1"/>
  <c r="AU6" i="23"/>
  <c r="AU8" i="23" s="1"/>
  <c r="AT6" i="23" a="1"/>
  <c r="AT6" i="23" s="1"/>
  <c r="AS6" i="23"/>
  <c r="AS8" i="23" s="1"/>
  <c r="AR6" i="23"/>
  <c r="AR8" i="23" s="1"/>
  <c r="AQ6" i="23"/>
  <c r="AQ8" i="23" s="1"/>
  <c r="AP6" i="23"/>
  <c r="AP8" i="23" s="1"/>
  <c r="AO6" i="23"/>
  <c r="AO8" i="23" s="1"/>
  <c r="AN6" i="23"/>
  <c r="AN8" i="23" s="1"/>
  <c r="AM6" i="23"/>
  <c r="AM8" i="23" s="1"/>
  <c r="AL6" i="23"/>
  <c r="AL8" i="23" s="1"/>
  <c r="AK6" i="23"/>
  <c r="AK8" i="23" s="1"/>
  <c r="AJ6" i="23" a="1"/>
  <c r="AJ6" i="23"/>
  <c r="AI6" i="23"/>
  <c r="AI8" i="23" s="1"/>
  <c r="AH6" i="23"/>
  <c r="AG6" i="23"/>
  <c r="AG8" i="23" s="1"/>
  <c r="AF6" i="23"/>
  <c r="AE6" i="23"/>
  <c r="AE8" i="23" s="1"/>
  <c r="T49" i="22"/>
  <c r="AG43" i="22" a="1"/>
  <c r="AG43" i="22" s="1"/>
  <c r="AF43" i="22" a="1"/>
  <c r="AF43" i="22" s="1"/>
  <c r="AE43" i="22" a="1"/>
  <c r="AE43" i="22" s="1"/>
  <c r="L43" i="22" a="1"/>
  <c r="L43" i="22" s="1"/>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c r="F37" i="22" s="1" a="1"/>
  <c r="F37" i="22" s="1"/>
  <c r="L34" i="22" a="1"/>
  <c r="L34" i="22" s="1"/>
  <c r="T27" i="22"/>
  <c r="T28" i="22" s="1" a="1"/>
  <c r="T28" i="22" s="1"/>
  <c r="T29" i="22" s="1" a="1"/>
  <c r="T29" i="22" s="1"/>
  <c r="T30" i="22" s="1" a="1"/>
  <c r="T30" i="22" s="1"/>
  <c r="T31" i="22" s="1" a="1"/>
  <c r="T31" i="22" s="1"/>
  <c r="T32" i="22" s="1" a="1"/>
  <c r="T32" i="22" s="1"/>
  <c r="T33" i="22" s="1" a="1"/>
  <c r="T33" i="22" s="1"/>
  <c r="T34" i="22" s="1" a="1"/>
  <c r="T34" i="22" s="1"/>
  <c r="T35" i="22" s="1" a="1"/>
  <c r="T35" i="22" s="1"/>
  <c r="F27" i="22" a="1"/>
  <c r="F27" i="22"/>
  <c r="I27" i="22" s="1" a="1"/>
  <c r="I27"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H13" i="22" a="1"/>
  <c r="AH13" i="22" s="1"/>
  <c r="AG13" i="22" a="1"/>
  <c r="AG13" i="22" s="1"/>
  <c r="AF13" i="22" a="1"/>
  <c r="AF13" i="22" s="1"/>
  <c r="AE13" i="22" a="1"/>
  <c r="AE13" i="22" s="1"/>
  <c r="AH12" i="22"/>
  <c r="AH14" i="22" s="1"/>
  <c r="AG12" i="22"/>
  <c r="AG14" i="22" s="1"/>
  <c r="AF12" i="22"/>
  <c r="AF14" i="22" s="1"/>
  <c r="AE12" i="22"/>
  <c r="AE14" i="22" s="1"/>
  <c r="BP11" i="22" a="1"/>
  <c r="BP11" i="22" s="1"/>
  <c r="BO11" i="22" a="1"/>
  <c r="BO11" i="22" s="1"/>
  <c r="BN11" i="22" a="1"/>
  <c r="BN11"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BM9" i="22"/>
  <c r="BL9" i="22"/>
  <c r="BK9" i="22"/>
  <c r="BJ9" i="22"/>
  <c r="BI9" i="22"/>
  <c r="BH9" i="22"/>
  <c r="BG9" i="22"/>
  <c r="BF9" i="22"/>
  <c r="BE9" i="22"/>
  <c r="BD9" i="22" a="1"/>
  <c r="BD9" i="22"/>
  <c r="BC9" i="22"/>
  <c r="BB9" i="22"/>
  <c r="BA9" i="22"/>
  <c r="AZ9" i="22"/>
  <c r="AY9" i="22"/>
  <c r="AX9" i="22"/>
  <c r="AW9" i="22"/>
  <c r="AV9" i="22"/>
  <c r="AU9" i="22"/>
  <c r="AT9" i="22" a="1"/>
  <c r="AT9" i="22" s="1"/>
  <c r="AS9" i="22"/>
  <c r="AR9" i="22"/>
  <c r="AQ9" i="22"/>
  <c r="AP9" i="22"/>
  <c r="AO9" i="22"/>
  <c r="AN9" i="22"/>
  <c r="AM9" i="22"/>
  <c r="AL9" i="22"/>
  <c r="AK9" i="22"/>
  <c r="AJ9" i="22" a="1"/>
  <c r="AJ9" i="22"/>
  <c r="AI9" i="22"/>
  <c r="BC7" i="22" a="1"/>
  <c r="BC7" i="22"/>
  <c r="BB7" i="22" a="1"/>
  <c r="BB7" i="22"/>
  <c r="BA7" i="22" a="1"/>
  <c r="BA7" i="22"/>
  <c r="AZ7" i="22" a="1"/>
  <c r="AZ7" i="22"/>
  <c r="AY7" i="22" a="1"/>
  <c r="AY7" i="22"/>
  <c r="AX7" i="22" a="1"/>
  <c r="AX7" i="22"/>
  <c r="AW7" i="22" a="1"/>
  <c r="AW7" i="22"/>
  <c r="AV7" i="22" a="1"/>
  <c r="AV7" i="22"/>
  <c r="AU7" i="22" a="1"/>
  <c r="AU7" i="22"/>
  <c r="AT7" i="22" a="1"/>
  <c r="AT7" i="22"/>
  <c r="AS7" i="22" a="1"/>
  <c r="AS7" i="22"/>
  <c r="AR7" i="22" a="1"/>
  <c r="AR7" i="22"/>
  <c r="AQ7" i="22" a="1"/>
  <c r="AQ7" i="22"/>
  <c r="AP7" i="22" a="1"/>
  <c r="AP7" i="22"/>
  <c r="AO7" i="22" a="1"/>
  <c r="AO7" i="22"/>
  <c r="AN7" i="22" a="1"/>
  <c r="AN7" i="22"/>
  <c r="AM7" i="22" a="1"/>
  <c r="AM7" i="22"/>
  <c r="AL7" i="22" a="1"/>
  <c r="AL7" i="22"/>
  <c r="AK7" i="22" a="1"/>
  <c r="AK7" i="22"/>
  <c r="AJ7" i="22" a="1"/>
  <c r="AJ7" i="22"/>
  <c r="AI7" i="22" a="1"/>
  <c r="AI7" i="22" s="1"/>
  <c r="BM6" i="22"/>
  <c r="BL6" i="22"/>
  <c r="BK6" i="22"/>
  <c r="BJ6" i="22"/>
  <c r="BI6" i="22"/>
  <c r="BH6" i="22"/>
  <c r="BG6" i="22"/>
  <c r="BF6" i="22"/>
  <c r="BE6" i="22"/>
  <c r="BD6" i="22" a="1"/>
  <c r="BD6" i="22" s="1"/>
  <c r="BC6" i="22"/>
  <c r="BC8" i="22" s="1"/>
  <c r="BB6" i="22"/>
  <c r="BB8" i="22" s="1"/>
  <c r="BA6" i="22"/>
  <c r="BA8" i="22" s="1"/>
  <c r="AZ6" i="22"/>
  <c r="AZ8" i="22" s="1"/>
  <c r="AY6" i="22"/>
  <c r="AY8" i="22" s="1"/>
  <c r="AX6" i="22"/>
  <c r="AX8" i="22" s="1"/>
  <c r="AW6" i="22"/>
  <c r="AW8" i="22" s="1"/>
  <c r="AV6" i="22"/>
  <c r="AV8" i="22" s="1"/>
  <c r="AU6" i="22"/>
  <c r="AU8" i="22" s="1"/>
  <c r="AT6" i="22" a="1"/>
  <c r="AT6" i="22" s="1"/>
  <c r="AS6" i="22"/>
  <c r="AS8" i="22" s="1"/>
  <c r="AR6" i="22"/>
  <c r="AR8" i="22" s="1"/>
  <c r="AQ6" i="22"/>
  <c r="AQ8" i="22" s="1"/>
  <c r="AP6" i="22"/>
  <c r="AP8" i="22" s="1"/>
  <c r="AO6" i="22"/>
  <c r="AO8" i="22" s="1"/>
  <c r="AN6" i="22"/>
  <c r="AN8" i="22" s="1"/>
  <c r="AM6" i="22"/>
  <c r="AM8" i="22" s="1"/>
  <c r="AL6" i="22"/>
  <c r="AL8" i="22" s="1"/>
  <c r="AK6" i="22"/>
  <c r="AK8" i="22" s="1"/>
  <c r="AJ6" i="22" a="1"/>
  <c r="AJ6" i="22" s="1"/>
  <c r="AI6" i="22"/>
  <c r="AI8" i="22" s="1"/>
  <c r="T80" i="21"/>
  <c r="AT74" i="21" a="1"/>
  <c r="AT74" i="21" s="1"/>
  <c r="AL74" i="21"/>
  <c r="AH74" i="21"/>
  <c r="AB74" i="21"/>
  <c r="AR73" i="21"/>
  <c r="AL72" i="21"/>
  <c r="AK72" i="21"/>
  <c r="AJ72" i="21"/>
  <c r="AI72" i="21"/>
  <c r="AG72" i="21"/>
  <c r="AF72" i="21"/>
  <c r="AH72" i="21" s="1"/>
  <c r="AE72" i="21"/>
  <c r="AR71" i="21"/>
  <c r="AT70" i="21" a="1"/>
  <c r="AT70" i="21"/>
  <c r="AL70" i="21"/>
  <c r="AH70" i="21"/>
  <c r="AB70" i="21"/>
  <c r="AT69" i="21" a="1"/>
  <c r="AT69" i="21" s="1"/>
  <c r="AL69" i="21"/>
  <c r="AH69" i="21"/>
  <c r="AB69" i="21"/>
  <c r="AR68" i="21"/>
  <c r="AK67" i="21"/>
  <c r="AJ67" i="21"/>
  <c r="AI67" i="21"/>
  <c r="AL67" i="21" s="1"/>
  <c r="AG67" i="21"/>
  <c r="AH67" i="21" s="1"/>
  <c r="AF67" i="21"/>
  <c r="AE67" i="21"/>
  <c r="AL64" i="21"/>
  <c r="AH64" i="21"/>
  <c r="AL63" i="21"/>
  <c r="AH63" i="21"/>
  <c r="AL62" i="21"/>
  <c r="AH62" i="21"/>
  <c r="AL61" i="21"/>
  <c r="AH61" i="21"/>
  <c r="AL60" i="21"/>
  <c r="AH60" i="21"/>
  <c r="AL59" i="21"/>
  <c r="AH59" i="21"/>
  <c r="AL58" i="21"/>
  <c r="AH58" i="21"/>
  <c r="AL57" i="21"/>
  <c r="AK57" i="21"/>
  <c r="AJ57" i="21"/>
  <c r="AI57" i="21"/>
  <c r="AG57" i="21"/>
  <c r="AF57" i="21"/>
  <c r="AH57" i="21" s="1"/>
  <c r="AE57" i="21"/>
  <c r="AL56" i="21"/>
  <c r="AH56" i="21"/>
  <c r="AH55" i="21"/>
  <c r="AL54" i="21"/>
  <c r="AH54" i="21"/>
  <c r="AL53" i="21"/>
  <c r="AH53" i="2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F51" i="21" a="1"/>
  <c r="F51" i="21"/>
  <c r="F52" i="21" s="1" a="1"/>
  <c r="F52" i="21" s="1"/>
  <c r="F53" i="21" s="1" a="1"/>
  <c r="F53" i="21" s="1"/>
  <c r="F54" i="21" s="1" a="1"/>
  <c r="F54" i="21" s="1"/>
  <c r="F55" i="21" s="1" a="1"/>
  <c r="F55" i="21" s="1"/>
  <c r="AT49" i="21" a="1"/>
  <c r="AT49" i="21" s="1"/>
  <c r="AL49" i="21"/>
  <c r="AH49" i="21"/>
  <c r="AB49" i="21"/>
  <c r="AR48" i="21"/>
  <c r="AL47" i="21"/>
  <c r="AK47" i="21"/>
  <c r="AJ47" i="21"/>
  <c r="AI47" i="21"/>
  <c r="AG47" i="21"/>
  <c r="AF47" i="21"/>
  <c r="AH47" i="21" s="1"/>
  <c r="AE47" i="21"/>
  <c r="AR46" i="21"/>
  <c r="AT45" i="21" a="1"/>
  <c r="AT45" i="21"/>
  <c r="AL45" i="21"/>
  <c r="AH45" i="21"/>
  <c r="AB45" i="21"/>
  <c r="AR44" i="21"/>
  <c r="AK43" i="21"/>
  <c r="AJ43" i="21"/>
  <c r="AI43" i="21"/>
  <c r="AL43" i="21" s="1"/>
  <c r="AG43" i="21"/>
  <c r="AH43" i="21" s="1"/>
  <c r="AF43" i="21"/>
  <c r="AE43" i="21"/>
  <c r="AL40" i="21"/>
  <c r="AH40" i="21"/>
  <c r="AL39" i="21"/>
  <c r="AH39" i="21"/>
  <c r="AL38" i="21"/>
  <c r="AH38" i="21"/>
  <c r="AL37" i="21"/>
  <c r="AH37" i="21"/>
  <c r="AH43" i="22" s="1" a="1"/>
  <c r="AH43" i="22" s="1"/>
  <c r="AL36" i="21"/>
  <c r="AH36" i="21"/>
  <c r="AL35" i="21"/>
  <c r="AH35" i="21"/>
  <c r="AL34" i="21"/>
  <c r="AH34" i="21"/>
  <c r="AL33" i="21"/>
  <c r="AK33" i="21"/>
  <c r="AJ33" i="21"/>
  <c r="AI33" i="21"/>
  <c r="AG33" i="21"/>
  <c r="AF33" i="21"/>
  <c r="AH33" i="21" s="1"/>
  <c r="AE33" i="21"/>
  <c r="AL32" i="21"/>
  <c r="AH32" i="21"/>
  <c r="AL30" i="21"/>
  <c r="AH30" i="21"/>
  <c r="AL29" i="21"/>
  <c r="AH29" i="2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F27" i="21" a="1"/>
  <c r="F27" i="21"/>
  <c r="F28" i="21" s="1" a="1"/>
  <c r="F28" i="21" s="1"/>
  <c r="F29" i="21" s="1" a="1"/>
  <c r="F29" i="21" s="1"/>
  <c r="F30" i="21" s="1" a="1"/>
  <c r="F30" i="21" s="1"/>
  <c r="F31" i="21" s="1" a="1"/>
  <c r="F31" i="21" s="1"/>
  <c r="AL24" i="21"/>
  <c r="AK24" i="21"/>
  <c r="AJ24" i="21"/>
  <c r="AI24" i="21"/>
  <c r="AH24" i="21"/>
  <c r="AG24" i="21"/>
  <c r="AF24" i="21"/>
  <c r="AE24" i="21"/>
  <c r="AO11" i="21" a="1"/>
  <c r="AO11" i="21"/>
  <c r="AN11" i="21" a="1"/>
  <c r="AN11" i="21"/>
  <c r="AM11" i="21" a="1"/>
  <c r="AM11" i="21"/>
  <c r="AL10" i="21" a="1"/>
  <c r="AL10" i="21"/>
  <c r="AK10" i="21" a="1"/>
  <c r="AK10" i="21"/>
  <c r="AJ10" i="21" a="1"/>
  <c r="AJ10" i="21"/>
  <c r="AI10" i="21" a="1"/>
  <c r="AI10" i="21"/>
  <c r="AH10" i="21" a="1"/>
  <c r="AH10" i="21" s="1"/>
  <c r="AG10" i="21" a="1"/>
  <c r="AG10" i="21" s="1"/>
  <c r="AF10" i="21" a="1"/>
  <c r="AF10" i="21" s="1"/>
  <c r="AE10" i="21" a="1"/>
  <c r="AE10" i="21" s="1"/>
  <c r="AL9" i="21" a="1"/>
  <c r="AL9" i="21" s="1"/>
  <c r="AK9" i="21" a="1"/>
  <c r="AK9" i="21" s="1"/>
  <c r="AJ9" i="21" a="1"/>
  <c r="AJ9" i="21" s="1"/>
  <c r="AI9" i="21"/>
  <c r="AH9" i="21"/>
  <c r="AG9" i="21"/>
  <c r="AF9" i="21"/>
  <c r="AE9" i="21"/>
  <c r="AK7" i="21" a="1"/>
  <c r="AK7" i="21" s="1"/>
  <c r="AJ7" i="21" a="1"/>
  <c r="AJ7" i="21" s="1"/>
  <c r="AI7" i="21" a="1"/>
  <c r="AI7" i="21" s="1"/>
  <c r="AH7" i="21" a="1"/>
  <c r="AH7" i="21" s="1"/>
  <c r="AH8" i="21" s="1"/>
  <c r="AG7" i="21" a="1"/>
  <c r="AG7" i="21" s="1"/>
  <c r="AF7" i="21" a="1"/>
  <c r="AF7" i="21" s="1"/>
  <c r="AF8" i="21" s="1"/>
  <c r="AE7" i="21" a="1"/>
  <c r="AE7" i="21" s="1"/>
  <c r="AL6" i="21" a="1"/>
  <c r="AL6" i="21" s="1"/>
  <c r="AK6" i="21" a="1"/>
  <c r="AK6" i="21" s="1"/>
  <c r="AK8" i="21" s="1"/>
  <c r="AJ6" i="21" a="1"/>
  <c r="AJ6" i="21" s="1"/>
  <c r="AJ8" i="21" s="1"/>
  <c r="AI6" i="21"/>
  <c r="AI8" i="21" s="1"/>
  <c r="AH6" i="21"/>
  <c r="AG6" i="21"/>
  <c r="AG8" i="21" s="1"/>
  <c r="AF6" i="21"/>
  <c r="AE6" i="21"/>
  <c r="AE8" i="21" s="1"/>
  <c r="AJ2" i="21"/>
  <c r="AK2" i="21" s="1" a="1"/>
  <c r="AK2" i="21" s="1"/>
  <c r="AL2" i="21" s="1" a="1"/>
  <c r="AL2" i="21" s="1"/>
  <c r="T47" i="20"/>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s="1"/>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T27" i="20"/>
  <c r="T28" i="20" s="1" a="1"/>
  <c r="T28" i="20" s="1"/>
  <c r="T29" i="20" s="1" a="1"/>
  <c r="T29" i="20" s="1"/>
  <c r="T30" i="20" s="1" a="1"/>
  <c r="T30" i="20" s="1"/>
  <c r="T31" i="20" s="1" a="1"/>
  <c r="T31" i="20" s="1"/>
  <c r="T32" i="20" s="1" a="1"/>
  <c r="T32" i="20" s="1"/>
  <c r="T33" i="20" s="1" a="1"/>
  <c r="T33" i="20" s="1"/>
  <c r="T34" i="20" s="1" a="1"/>
  <c r="T34" i="20" s="1"/>
  <c r="F27" i="20" a="1"/>
  <c r="F27" i="20"/>
  <c r="F28" i="20" s="1" a="1"/>
  <c r="F28" i="20" s="1"/>
  <c r="F29" i="20" s="1" a="1"/>
  <c r="F29" i="20" s="1"/>
  <c r="F30" i="20" s="1" a="1"/>
  <c r="F30" i="20" s="1"/>
  <c r="F31" i="20" s="1" a="1"/>
  <c r="F31" i="20" s="1"/>
  <c r="F32" i="20" s="1" a="1"/>
  <c r="F32" i="20" s="1"/>
  <c r="AX24" i="20"/>
  <c r="AW24" i="20"/>
  <c r="AV24" i="20"/>
  <c r="AU24" i="20"/>
  <c r="AT24" i="20"/>
  <c r="AS24" i="20"/>
  <c r="AR24" i="20"/>
  <c r="AQ24" i="20"/>
  <c r="AP24" i="20"/>
  <c r="AO24" i="20"/>
  <c r="AN24" i="20"/>
  <c r="AM24" i="20"/>
  <c r="AL24" i="20"/>
  <c r="AK24" i="20"/>
  <c r="AJ24" i="20"/>
  <c r="AI24" i="20"/>
  <c r="AH24" i="20"/>
  <c r="AG24" i="20"/>
  <c r="AF24" i="20"/>
  <c r="AE24" i="20"/>
  <c r="AY11" i="20" a="1"/>
  <c r="AY11" i="20" s="1"/>
  <c r="AX10" i="20" a="1"/>
  <c r="AX10" i="20" s="1"/>
  <c r="AW10" i="20" a="1"/>
  <c r="AW10" i="20" s="1"/>
  <c r="AV10" i="20" a="1"/>
  <c r="AV10" i="20" s="1"/>
  <c r="AU10" i="20" a="1"/>
  <c r="AU10" i="20" s="1"/>
  <c r="AT10" i="20" a="1"/>
  <c r="AT10" i="20" s="1"/>
  <c r="AS10" i="20" a="1"/>
  <c r="AS10" i="20" s="1"/>
  <c r="AR10" i="20" a="1"/>
  <c r="AR10" i="20" s="1"/>
  <c r="AQ10" i="20" a="1"/>
  <c r="AQ10" i="20" s="1"/>
  <c r="AP10" i="20" a="1"/>
  <c r="AP10" i="20" s="1"/>
  <c r="AO10" i="20" a="1"/>
  <c r="AO10" i="20" s="1"/>
  <c r="AN10" i="20" a="1"/>
  <c r="AN10" i="20" s="1"/>
  <c r="AM10" i="20" a="1"/>
  <c r="AM10" i="20" s="1"/>
  <c r="AL10" i="20" a="1"/>
  <c r="AL10" i="20" s="1"/>
  <c r="AK10" i="20" a="1"/>
  <c r="AK10" i="20" s="1"/>
  <c r="AJ10" i="20" a="1"/>
  <c r="AJ10" i="20" s="1"/>
  <c r="AI10" i="20" a="1"/>
  <c r="AI10" i="20" s="1"/>
  <c r="AH10" i="20" a="1"/>
  <c r="AH10" i="20" s="1"/>
  <c r="AG10" i="20" a="1"/>
  <c r="AG10" i="20" s="1"/>
  <c r="AF10" i="20" a="1"/>
  <c r="AF10" i="20" s="1"/>
  <c r="AE10" i="20" a="1"/>
  <c r="AE10" i="20" s="1"/>
  <c r="AX9" i="20"/>
  <c r="AW9" i="20"/>
  <c r="AV9" i="20"/>
  <c r="AU9" i="20"/>
  <c r="AT9" i="20"/>
  <c r="AS9" i="20"/>
  <c r="AR9" i="20"/>
  <c r="AQ9" i="20"/>
  <c r="AP9" i="20"/>
  <c r="AO9" i="20" a="1"/>
  <c r="AO9" i="20"/>
  <c r="AN9" i="20"/>
  <c r="AM9" i="20"/>
  <c r="AL9" i="20"/>
  <c r="AK9" i="20"/>
  <c r="AJ9" i="20"/>
  <c r="AI9" i="20"/>
  <c r="AH9" i="20"/>
  <c r="AG9" i="20"/>
  <c r="AF9" i="20"/>
  <c r="AE9" i="20" a="1"/>
  <c r="AE9" i="20" s="1"/>
  <c r="AX7" i="20" a="1"/>
  <c r="AX7" i="20" s="1"/>
  <c r="AW7" i="20" a="1"/>
  <c r="AW7" i="20" s="1"/>
  <c r="AV7" i="20" a="1"/>
  <c r="AV7" i="20" s="1"/>
  <c r="AU7" i="20" a="1"/>
  <c r="AU7" i="20" s="1"/>
  <c r="AT7" i="20" a="1"/>
  <c r="AT7" i="20" s="1"/>
  <c r="AS7" i="20" a="1"/>
  <c r="AS7" i="20" s="1"/>
  <c r="AR7" i="20" a="1"/>
  <c r="AR7" i="20" s="1"/>
  <c r="AQ7" i="20" a="1"/>
  <c r="AQ7" i="20" s="1"/>
  <c r="AP7" i="20" a="1"/>
  <c r="AP7" i="20" s="1"/>
  <c r="AO7" i="20" a="1"/>
  <c r="AO7" i="20" s="1"/>
  <c r="AN7" i="20" a="1"/>
  <c r="AN7" i="20" s="1"/>
  <c r="AM7" i="20" a="1"/>
  <c r="AM7" i="20" s="1"/>
  <c r="AL7" i="20" a="1"/>
  <c r="AL7" i="20" s="1"/>
  <c r="AK7" i="20" a="1"/>
  <c r="AK7" i="20" s="1"/>
  <c r="AJ7" i="20" a="1"/>
  <c r="AJ7" i="20" s="1"/>
  <c r="AI7" i="20" a="1"/>
  <c r="AI7" i="20" s="1"/>
  <c r="AH7" i="20" a="1"/>
  <c r="AH7" i="20" s="1"/>
  <c r="AG7" i="20" a="1"/>
  <c r="AG7" i="20" s="1"/>
  <c r="AF7" i="20" a="1"/>
  <c r="AF7" i="20" s="1"/>
  <c r="AE7" i="20" a="1"/>
  <c r="AE7" i="20" s="1"/>
  <c r="AX6" i="20"/>
  <c r="AW6" i="20"/>
  <c r="AV6" i="20"/>
  <c r="AU6" i="20"/>
  <c r="AT6" i="20"/>
  <c r="AS6" i="20"/>
  <c r="AR6" i="20"/>
  <c r="AQ6" i="20"/>
  <c r="AP6" i="20"/>
  <c r="AO6" i="20" a="1"/>
  <c r="AO6" i="20"/>
  <c r="AN6" i="20"/>
  <c r="AM6" i="20"/>
  <c r="AL6" i="20"/>
  <c r="AK6" i="20"/>
  <c r="AJ6" i="20"/>
  <c r="AI6" i="20"/>
  <c r="AH6" i="20"/>
  <c r="AG6" i="20"/>
  <c r="AF6" i="20"/>
  <c r="AE6" i="20" a="1"/>
  <c r="AE6" i="20" s="1"/>
  <c r="T60" i="19"/>
  <c r="BH54" i="19" a="1"/>
  <c r="BH54" i="19"/>
  <c r="AB54" i="19"/>
  <c r="H54" i="19" a="1"/>
  <c r="H54" i="19"/>
  <c r="BH53" i="19" a="1"/>
  <c r="BH53" i="19"/>
  <c r="AB53" i="19"/>
  <c r="H53" i="19" a="1"/>
  <c r="H53" i="19"/>
  <c r="BF52" i="19"/>
  <c r="BB51" i="19"/>
  <c r="BB42" i="19" s="1"/>
  <c r="BA51" i="19"/>
  <c r="AZ51" i="19"/>
  <c r="AZ42" i="19" s="1"/>
  <c r="AY51" i="19"/>
  <c r="AX51" i="19"/>
  <c r="AX42" i="19" s="1"/>
  <c r="AW51" i="19"/>
  <c r="AV51" i="19"/>
  <c r="AV42" i="19" s="1"/>
  <c r="AU51" i="19"/>
  <c r="AT51" i="19"/>
  <c r="AT42" i="19" s="1"/>
  <c r="AS51" i="19"/>
  <c r="AR51" i="19"/>
  <c r="AR42" i="19" s="1"/>
  <c r="AQ51" i="19"/>
  <c r="AP51" i="19"/>
  <c r="AP42" i="19" s="1"/>
  <c r="AO51" i="19"/>
  <c r="AN51" i="19"/>
  <c r="AN42" i="19" s="1"/>
  <c r="AM51" i="19"/>
  <c r="AL51" i="19"/>
  <c r="AL42" i="19" s="1"/>
  <c r="AK51" i="19"/>
  <c r="AJ51" i="19"/>
  <c r="AJ42" i="19" s="1"/>
  <c r="AI51" i="19"/>
  <c r="AH51" i="19"/>
  <c r="AG51" i="19"/>
  <c r="AF51" i="19"/>
  <c r="AE51" i="19"/>
  <c r="AS43" i="19"/>
  <c r="AI43" i="19"/>
  <c r="AH43" i="19"/>
  <c r="AH42" i="19" s="1"/>
  <c r="AG43" i="19"/>
  <c r="AF43" i="19"/>
  <c r="AF42" i="19" s="1"/>
  <c r="BA42" i="19"/>
  <c r="AY42" i="19"/>
  <c r="AW42" i="19"/>
  <c r="AU42" i="19"/>
  <c r="AS42" i="19"/>
  <c r="AQ42" i="19"/>
  <c r="AO42" i="19"/>
  <c r="AM42" i="19"/>
  <c r="AK42" i="19"/>
  <c r="AI42" i="19"/>
  <c r="AG42" i="19"/>
  <c r="AE42" i="19"/>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s="1"/>
  <c r="F42" i="19" s="1"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F55" i="19" s="1" a="1"/>
  <c r="F55" i="19" s="1"/>
  <c r="BH39" i="19" a="1"/>
  <c r="BH39" i="19" s="1"/>
  <c r="AB39" i="19"/>
  <c r="H39" i="19" a="1"/>
  <c r="H39" i="19" s="1"/>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T27" i="19"/>
  <c r="T28" i="19" s="1" a="1"/>
  <c r="T28" i="19" s="1"/>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F27" i="19" a="1"/>
  <c r="F27" i="19" s="1"/>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s="1"/>
  <c r="BB10" i="19" a="1"/>
  <c r="BB10" i="19" s="1"/>
  <c r="BA10" i="19" a="1"/>
  <c r="BA10" i="19" s="1"/>
  <c r="AZ10" i="19" a="1"/>
  <c r="AZ10" i="19" s="1"/>
  <c r="AY10" i="19" a="1"/>
  <c r="AY10" i="19" s="1"/>
  <c r="AX10" i="19" a="1"/>
  <c r="AX10" i="19" s="1"/>
  <c r="AW10" i="19" a="1"/>
  <c r="AW10" i="19" s="1"/>
  <c r="AV10" i="19" a="1"/>
  <c r="AV10" i="19" s="1"/>
  <c r="AU10" i="19" a="1"/>
  <c r="AU10" i="19" s="1"/>
  <c r="AT10" i="19" a="1"/>
  <c r="AT10" i="19" s="1"/>
  <c r="AS10" i="19" a="1"/>
  <c r="AS10" i="19" s="1"/>
  <c r="AR10" i="19" a="1"/>
  <c r="AR10" i="19" s="1"/>
  <c r="AQ10" i="19" a="1"/>
  <c r="AQ10" i="19" s="1"/>
  <c r="AP10" i="19" a="1"/>
  <c r="AP10" i="19" s="1"/>
  <c r="AO10" i="19" a="1"/>
  <c r="AO10" i="19" s="1"/>
  <c r="AN10" i="19" a="1"/>
  <c r="AN10" i="19" s="1"/>
  <c r="AM10" i="19" a="1"/>
  <c r="AM10" i="19" s="1"/>
  <c r="AL10" i="19" a="1"/>
  <c r="AL10" i="19" s="1"/>
  <c r="AK10" i="19" a="1"/>
  <c r="AK10" i="19" s="1"/>
  <c r="AJ10" i="19" a="1"/>
  <c r="AJ10" i="19" s="1"/>
  <c r="AI10" i="19" a="1"/>
  <c r="AI10" i="19" s="1"/>
  <c r="AH10" i="19" a="1"/>
  <c r="AH10" i="19" s="1"/>
  <c r="AG10" i="19" a="1"/>
  <c r="AG10" i="19" s="1"/>
  <c r="AF10" i="19" a="1"/>
  <c r="AF10" i="19" s="1"/>
  <c r="AE10" i="19" a="1"/>
  <c r="AE10" i="19" s="1"/>
  <c r="BB9" i="19"/>
  <c r="BA9" i="19"/>
  <c r="AZ9" i="19"/>
  <c r="AY9" i="19"/>
  <c r="AX9" i="19"/>
  <c r="AW9" i="19"/>
  <c r="AV9" i="19"/>
  <c r="AU9" i="19"/>
  <c r="AT9" i="19"/>
  <c r="AS9" i="19" a="1"/>
  <c r="AS9" i="19"/>
  <c r="AR9" i="19"/>
  <c r="AQ9" i="19"/>
  <c r="AP9" i="19"/>
  <c r="AO9" i="19"/>
  <c r="AN9" i="19"/>
  <c r="AM9" i="19"/>
  <c r="AL9" i="19"/>
  <c r="AK9" i="19"/>
  <c r="AJ9" i="19"/>
  <c r="AI9" i="19" a="1"/>
  <c r="AI9" i="19" s="1"/>
  <c r="AH9" i="19"/>
  <c r="AG9" i="19"/>
  <c r="AF9" i="19"/>
  <c r="AE9" i="19"/>
  <c r="BB7" i="19" a="1"/>
  <c r="BB7" i="19" s="1"/>
  <c r="BA7" i="19" a="1"/>
  <c r="BA7" i="19" s="1"/>
  <c r="AZ7" i="19" a="1"/>
  <c r="AZ7" i="19" s="1"/>
  <c r="AY7" i="19" a="1"/>
  <c r="AY7" i="19" s="1"/>
  <c r="AX7" i="19" a="1"/>
  <c r="AX7" i="19" s="1"/>
  <c r="AW7" i="19" a="1"/>
  <c r="AW7" i="19" s="1"/>
  <c r="AV7" i="19" a="1"/>
  <c r="AV7" i="19" s="1"/>
  <c r="AU7" i="19" a="1"/>
  <c r="AU7" i="19" s="1"/>
  <c r="AT7" i="19" a="1"/>
  <c r="AT7" i="19" s="1"/>
  <c r="AS7" i="19" a="1"/>
  <c r="AS7" i="19" s="1"/>
  <c r="AR7" i="19" a="1"/>
  <c r="AR7" i="19" s="1"/>
  <c r="AQ7" i="19" a="1"/>
  <c r="AQ7" i="19" s="1"/>
  <c r="AP7" i="19" a="1"/>
  <c r="AP7" i="19" s="1"/>
  <c r="AO7" i="19" a="1"/>
  <c r="AO7" i="19" s="1"/>
  <c r="AN7" i="19" a="1"/>
  <c r="AN7" i="19" s="1"/>
  <c r="AM7" i="19" a="1"/>
  <c r="AM7" i="19" s="1"/>
  <c r="AL7" i="19" a="1"/>
  <c r="AL7" i="19" s="1"/>
  <c r="AK7" i="19" a="1"/>
  <c r="AK7" i="19" s="1"/>
  <c r="AJ7" i="19" a="1"/>
  <c r="AJ7" i="19" s="1"/>
  <c r="AI7" i="19" a="1"/>
  <c r="AI7" i="19" s="1"/>
  <c r="AH7" i="19" a="1"/>
  <c r="AH7" i="19" s="1"/>
  <c r="AG7" i="19" a="1"/>
  <c r="AG7" i="19" s="1"/>
  <c r="AF7" i="19" a="1"/>
  <c r="AF7" i="19" s="1"/>
  <c r="AE7" i="19" a="1"/>
  <c r="AE7" i="19" s="1"/>
  <c r="BB6" i="19"/>
  <c r="BA6" i="19"/>
  <c r="AZ6" i="19"/>
  <c r="AY6" i="19"/>
  <c r="AX6" i="19"/>
  <c r="AW6" i="19"/>
  <c r="AV6" i="19"/>
  <c r="AU6" i="19"/>
  <c r="AT6" i="19"/>
  <c r="AS6" i="19" a="1"/>
  <c r="AS6" i="19"/>
  <c r="AR6" i="19"/>
  <c r="AQ6" i="19"/>
  <c r="AP6" i="19"/>
  <c r="AO6" i="19"/>
  <c r="AN6" i="19"/>
  <c r="AM6" i="19"/>
  <c r="AL6" i="19"/>
  <c r="AK6" i="19"/>
  <c r="AJ6" i="19"/>
  <c r="AI6" i="19" a="1"/>
  <c r="AI6" i="19" s="1"/>
  <c r="AH6" i="19"/>
  <c r="AG6" i="19"/>
  <c r="AF6" i="19"/>
  <c r="AE6" i="19"/>
  <c r="T81" i="18"/>
  <c r="H75" i="18"/>
  <c r="H74" i="18"/>
  <c r="AP73" i="18" a="1"/>
  <c r="AP73" i="18"/>
  <c r="AP74" i="18" s="1" a="1"/>
  <c r="AP74" i="18" s="1"/>
  <c r="AP75" i="18" s="1" a="1"/>
  <c r="AP75" i="18" s="1"/>
  <c r="AJ73" i="18"/>
  <c r="AI73" i="18"/>
  <c r="AI71" i="18" s="1"/>
  <c r="AB73" i="18"/>
  <c r="AB75" i="18" s="1"/>
  <c r="I73" i="18" a="1"/>
  <c r="I73" i="18"/>
  <c r="I74" i="18" s="1" a="1"/>
  <c r="I74" i="18" s="1"/>
  <c r="I75" i="18" s="1" a="1"/>
  <c r="I75" i="18" s="1"/>
  <c r="AJ71" i="18"/>
  <c r="H69" i="18"/>
  <c r="H68" i="18"/>
  <c r="AP67" i="18" a="1"/>
  <c r="AP67" i="18"/>
  <c r="AP68" i="18" s="1" a="1"/>
  <c r="AP68" i="18" s="1"/>
  <c r="AP69" i="18" s="1" a="1"/>
  <c r="AP69" i="18" s="1"/>
  <c r="AJ67" i="18"/>
  <c r="AI67" i="18"/>
  <c r="AI65" i="18" s="1"/>
  <c r="AB67" i="18"/>
  <c r="AB69" i="18" s="1"/>
  <c r="I67" i="18" a="1"/>
  <c r="I67" i="18"/>
  <c r="I68" i="18" s="1" a="1"/>
  <c r="I68" i="18" s="1"/>
  <c r="I69" i="18" s="1" a="1"/>
  <c r="I69" i="18" s="1"/>
  <c r="AJ65" i="18"/>
  <c r="H63" i="18"/>
  <c r="H62" i="18"/>
  <c r="AP61" i="18" a="1"/>
  <c r="AP61" i="18"/>
  <c r="AP62" i="18" s="1" a="1"/>
  <c r="AP62" i="18" s="1"/>
  <c r="AP63" i="18" s="1" a="1"/>
  <c r="AP63" i="18" s="1"/>
  <c r="AJ61" i="18"/>
  <c r="AI61" i="18"/>
  <c r="AI59" i="18" s="1"/>
  <c r="AB61" i="18"/>
  <c r="AB63" i="18" s="1"/>
  <c r="I61" i="18" a="1"/>
  <c r="I61" i="18"/>
  <c r="I62" i="18" s="1" a="1"/>
  <c r="I62" i="18" s="1"/>
  <c r="I63" i="18" s="1" a="1"/>
  <c r="I63" i="18" s="1"/>
  <c r="AJ59" i="18"/>
  <c r="H57" i="18"/>
  <c r="H56" i="18"/>
  <c r="AP55" i="18" a="1"/>
  <c r="AP55" i="18"/>
  <c r="AP56" i="18" s="1" a="1"/>
  <c r="AP56" i="18" s="1"/>
  <c r="AP57" i="18" s="1" a="1"/>
  <c r="AP57" i="18" s="1"/>
  <c r="AJ55" i="18"/>
  <c r="AI55" i="18"/>
  <c r="AB55" i="18"/>
  <c r="AB57" i="18" s="1"/>
  <c r="I55" i="18" a="1"/>
  <c r="I55" i="18" s="1"/>
  <c r="I56" i="18" s="1" a="1"/>
  <c r="I56" i="18" s="1"/>
  <c r="I57" i="18" s="1" a="1"/>
  <c r="I57" i="18" s="1"/>
  <c r="AJ53" i="18"/>
  <c r="AI53" i="18"/>
  <c r="AI52" i="18" s="1"/>
  <c r="AJ52" i="18"/>
  <c r="AH52" i="18"/>
  <c r="AG52" i="18"/>
  <c r="AF52" i="18"/>
  <c r="AE52" i="18"/>
  <c r="F52" i="18" a="1"/>
  <c r="F52" i="18"/>
  <c r="F53" i="18" s="1" a="1"/>
  <c r="F53" i="18" s="1"/>
  <c r="H50" i="18"/>
  <c r="H49" i="18"/>
  <c r="AP48" i="18" a="1"/>
  <c r="AP48" i="18"/>
  <c r="AP49" i="18" s="1" a="1"/>
  <c r="AP49" i="18" s="1"/>
  <c r="AP50" i="18" s="1" a="1"/>
  <c r="AP50" i="18" s="1"/>
  <c r="AJ48" i="18"/>
  <c r="AI48" i="18"/>
  <c r="AI46" i="18" s="1"/>
  <c r="AB48" i="18"/>
  <c r="AB50" i="18" s="1"/>
  <c r="I48" i="18" a="1"/>
  <c r="I48" i="18"/>
  <c r="I49" i="18" s="1" a="1"/>
  <c r="I49" i="18" s="1"/>
  <c r="I50" i="18" s="1" a="1"/>
  <c r="I50" i="18" s="1"/>
  <c r="AJ46" i="18"/>
  <c r="H44" i="18"/>
  <c r="H43" i="18"/>
  <c r="AP42" i="18" a="1"/>
  <c r="AP42" i="18"/>
  <c r="AP43" i="18" s="1" a="1"/>
  <c r="AP43" i="18" s="1"/>
  <c r="AP44" i="18" s="1" a="1"/>
  <c r="AP44" i="18" s="1"/>
  <c r="AJ42" i="18"/>
  <c r="AI42" i="18"/>
  <c r="AI40" i="18" s="1"/>
  <c r="AB42" i="18"/>
  <c r="AB44" i="18" s="1"/>
  <c r="I42" i="18" a="1"/>
  <c r="I42" i="18"/>
  <c r="I43" i="18" s="1" a="1"/>
  <c r="I43" i="18" s="1"/>
  <c r="I44" i="18" s="1" a="1"/>
  <c r="I44" i="18" s="1"/>
  <c r="AJ40" i="18"/>
  <c r="H38" i="18"/>
  <c r="H37" i="18"/>
  <c r="AP36" i="18" a="1"/>
  <c r="AP36" i="18"/>
  <c r="AP37" i="18" s="1" a="1"/>
  <c r="AP37" i="18" s="1"/>
  <c r="AP38" i="18" s="1" a="1"/>
  <c r="AP38" i="18" s="1"/>
  <c r="AJ36" i="18"/>
  <c r="AI36" i="18"/>
  <c r="AI34" i="18" s="1"/>
  <c r="AB36" i="18"/>
  <c r="AB38" i="18" s="1"/>
  <c r="I36" i="18" a="1"/>
  <c r="I36" i="18"/>
  <c r="I37" i="18" s="1" a="1"/>
  <c r="I37" i="18" s="1"/>
  <c r="I38" i="18" s="1" a="1"/>
  <c r="I38" i="18" s="1"/>
  <c r="AJ34" i="18"/>
  <c r="H32" i="18"/>
  <c r="H31" i="18"/>
  <c r="AP30" i="18" a="1"/>
  <c r="AP30" i="18"/>
  <c r="AP31" i="18" s="1" a="1"/>
  <c r="AP31" i="18" s="1"/>
  <c r="AP32" i="18" s="1" a="1"/>
  <c r="AP32" i="18" s="1"/>
  <c r="AJ30" i="18"/>
  <c r="AI30" i="18"/>
  <c r="AI28" i="18" s="1"/>
  <c r="AI27" i="18" s="1"/>
  <c r="AB30" i="18"/>
  <c r="AB32" i="18" s="1"/>
  <c r="I30" i="18" a="1"/>
  <c r="I30" i="18"/>
  <c r="I31" i="18" s="1" a="1"/>
  <c r="I31" i="18" s="1"/>
  <c r="I32" i="18" s="1" a="1"/>
  <c r="I32" i="18" s="1"/>
  <c r="AJ28" i="18"/>
  <c r="AJ27" i="18" s="1"/>
  <c r="AH27" i="18"/>
  <c r="AG27" i="18"/>
  <c r="AF27" i="18"/>
  <c r="AE27" i="18"/>
  <c r="F27" i="18" a="1"/>
  <c r="F27" i="18" s="1"/>
  <c r="AJ24" i="18"/>
  <c r="AI24" i="18"/>
  <c r="AH24" i="18"/>
  <c r="AG24" i="18"/>
  <c r="AF24" i="18"/>
  <c r="AE24" i="18"/>
  <c r="AK11" i="18" a="1"/>
  <c r="AK11" i="18" s="1"/>
  <c r="AJ10" i="18" a="1"/>
  <c r="AJ10" i="18" s="1"/>
  <c r="AI10" i="18" a="1"/>
  <c r="AI10" i="18" s="1"/>
  <c r="AH10" i="18" a="1"/>
  <c r="AH10" i="18" s="1"/>
  <c r="AG10" i="18" a="1"/>
  <c r="AG10" i="18" s="1"/>
  <c r="AF10" i="18" a="1"/>
  <c r="AF10" i="18" s="1"/>
  <c r="AE10" i="18" a="1"/>
  <c r="AE10" i="18" s="1"/>
  <c r="AJ9" i="18" a="1"/>
  <c r="AJ9" i="18" s="1"/>
  <c r="AI9" i="18" a="1"/>
  <c r="AI9" i="18" s="1"/>
  <c r="AH9" i="18"/>
  <c r="AG9" i="18"/>
  <c r="AF9" i="18"/>
  <c r="AE9" i="18"/>
  <c r="AJ7" i="18" a="1"/>
  <c r="AJ7" i="18" s="1"/>
  <c r="AI7" i="18" a="1"/>
  <c r="AI7" i="18" s="1"/>
  <c r="AH7" i="18" a="1"/>
  <c r="AH7" i="18" s="1"/>
  <c r="AG7" i="18" a="1"/>
  <c r="AG7" i="18" s="1"/>
  <c r="AF7" i="18" a="1"/>
  <c r="AF7" i="18" s="1"/>
  <c r="AE7" i="18" a="1"/>
  <c r="AE7" i="18" s="1"/>
  <c r="AJ6" i="18" a="1"/>
  <c r="AJ6" i="18" s="1"/>
  <c r="AI6" i="18" a="1"/>
  <c r="AI6" i="18" s="1"/>
  <c r="AH6" i="18"/>
  <c r="AH8" i="18" s="1"/>
  <c r="AG6" i="18"/>
  <c r="AG8" i="18" s="1"/>
  <c r="AF6" i="18"/>
  <c r="AF8" i="18" s="1"/>
  <c r="AE6" i="18"/>
  <c r="AE8" i="18" s="1"/>
  <c r="T72" i="17"/>
  <c r="AR65" i="17"/>
  <c r="AQ65" i="17"/>
  <c r="AP65" i="17"/>
  <c r="AO65" i="17"/>
  <c r="AN65" i="17"/>
  <c r="AM65" i="17"/>
  <c r="AL65" i="17"/>
  <c r="AK65" i="17"/>
  <c r="AJ65" i="17"/>
  <c r="AI65" i="17"/>
  <c r="AG65" i="17"/>
  <c r="AF65" i="17"/>
  <c r="BI64" i="17" a="1"/>
  <c r="BI64" i="17" s="1"/>
  <c r="BH64" i="17" a="1"/>
  <c r="BH64" i="17" s="1"/>
  <c r="BB64" i="17"/>
  <c r="BA64" i="17"/>
  <c r="AZ64" i="17"/>
  <c r="AY64" i="17"/>
  <c r="AX64" i="17"/>
  <c r="AW64" i="17"/>
  <c r="AV64" i="17"/>
  <c r="AU64" i="17"/>
  <c r="AT64" i="17"/>
  <c r="AS64" i="17"/>
  <c r="AH64" i="17"/>
  <c r="AE64" i="17"/>
  <c r="AB64" i="17"/>
  <c r="AB66" i="17" s="1"/>
  <c r="H64" i="17" a="1"/>
  <c r="H64" i="17" s="1"/>
  <c r="BF63" i="17"/>
  <c r="BB62" i="17"/>
  <c r="BA62" i="17"/>
  <c r="AZ62" i="17"/>
  <c r="AY62" i="17"/>
  <c r="AX62" i="17"/>
  <c r="AW62" i="17"/>
  <c r="AV62" i="17"/>
  <c r="AU62" i="17"/>
  <c r="AT62" i="17"/>
  <c r="AS62" i="17"/>
  <c r="AR62" i="17"/>
  <c r="AQ62" i="17"/>
  <c r="AP62" i="17"/>
  <c r="AO62" i="17"/>
  <c r="AN62" i="17"/>
  <c r="AM62" i="17"/>
  <c r="AL62" i="17"/>
  <c r="AK62" i="17"/>
  <c r="AJ62" i="17"/>
  <c r="AI62" i="17"/>
  <c r="AH62" i="17"/>
  <c r="AG62" i="17"/>
  <c r="AF62" i="17"/>
  <c r="AE62" i="17"/>
  <c r="BF61" i="17"/>
  <c r="AR59" i="17"/>
  <c r="AQ59" i="17"/>
  <c r="AP59" i="17"/>
  <c r="AO59" i="17"/>
  <c r="AN59" i="17"/>
  <c r="AM59" i="17"/>
  <c r="AL59" i="17"/>
  <c r="AK59" i="17"/>
  <c r="AJ59" i="17"/>
  <c r="AI59" i="17"/>
  <c r="AG59" i="17"/>
  <c r="AF59" i="17"/>
  <c r="AB59" i="17"/>
  <c r="BI58" i="17" a="1"/>
  <c r="BI58" i="17"/>
  <c r="BI60" i="17" s="1" a="1"/>
  <c r="BI60" i="17" s="1"/>
  <c r="BH58" i="17" a="1"/>
  <c r="BH58" i="17"/>
  <c r="BH60" i="17" s="1" a="1"/>
  <c r="BH60" i="17" s="1"/>
  <c r="BB58" i="17"/>
  <c r="BA58" i="17"/>
  <c r="AZ58" i="17"/>
  <c r="AY58" i="17"/>
  <c r="AX58" i="17"/>
  <c r="AW58" i="17"/>
  <c r="AV58" i="17"/>
  <c r="AU58" i="17"/>
  <c r="AT58" i="17"/>
  <c r="AS58" i="17"/>
  <c r="AH58" i="17"/>
  <c r="AE58" i="17"/>
  <c r="AB58" i="17"/>
  <c r="AB60" i="17" s="1"/>
  <c r="H58" i="17" a="1"/>
  <c r="H58" i="17"/>
  <c r="H60" i="17" s="1" a="1"/>
  <c r="H60" i="17" s="1"/>
  <c r="AR56" i="17"/>
  <c r="AQ56" i="17"/>
  <c r="AP56" i="17"/>
  <c r="AO56" i="17"/>
  <c r="AN56" i="17"/>
  <c r="AM56" i="17"/>
  <c r="AL56" i="17"/>
  <c r="AK56" i="17"/>
  <c r="AJ56" i="17"/>
  <c r="AI56" i="17"/>
  <c r="AG56" i="17"/>
  <c r="AF56" i="17"/>
  <c r="BI55" i="17" a="1"/>
  <c r="BI55" i="17"/>
  <c r="BI57" i="17" s="1" a="1"/>
  <c r="BI57" i="17" s="1"/>
  <c r="BH55" i="17" a="1"/>
  <c r="BH55" i="17"/>
  <c r="BH57" i="17" s="1" a="1"/>
  <c r="BH57" i="17" s="1"/>
  <c r="BB55" i="17"/>
  <c r="BA55" i="17"/>
  <c r="AZ55" i="17"/>
  <c r="AY55" i="17"/>
  <c r="AX55" i="17"/>
  <c r="AW55" i="17"/>
  <c r="AV55" i="17"/>
  <c r="AU55" i="17"/>
  <c r="AT55" i="17"/>
  <c r="AS55" i="17"/>
  <c r="AH55" i="17"/>
  <c r="AE55" i="17"/>
  <c r="AB55" i="17"/>
  <c r="AB57" i="17" s="1"/>
  <c r="H55" i="17" a="1"/>
  <c r="H55" i="17" s="1"/>
  <c r="BF54" i="17"/>
  <c r="BB53" i="17"/>
  <c r="BA53" i="17"/>
  <c r="AZ53" i="17"/>
  <c r="AY53" i="17"/>
  <c r="AX53" i="17"/>
  <c r="AW53" i="17"/>
  <c r="AV53" i="17"/>
  <c r="AU53" i="17"/>
  <c r="AT53" i="17"/>
  <c r="AS53" i="17"/>
  <c r="AR53" i="17"/>
  <c r="AQ53" i="17"/>
  <c r="AP53" i="17"/>
  <c r="AO53" i="17"/>
  <c r="AN53" i="17"/>
  <c r="AM53" i="17"/>
  <c r="AL53" i="17"/>
  <c r="AK53" i="17"/>
  <c r="AJ53" i="17"/>
  <c r="AI53" i="17"/>
  <c r="AH53" i="17"/>
  <c r="AG53" i="17"/>
  <c r="AF53" i="17"/>
  <c r="AE53" i="17"/>
  <c r="BF52" i="17"/>
  <c r="AR50" i="17"/>
  <c r="AQ50" i="17"/>
  <c r="AP50" i="17"/>
  <c r="AO50" i="17"/>
  <c r="AN50" i="17"/>
  <c r="AM50" i="17"/>
  <c r="AL50" i="17"/>
  <c r="AK50" i="17"/>
  <c r="AJ50" i="17"/>
  <c r="AI50" i="17"/>
  <c r="AG50" i="17"/>
  <c r="AF50" i="17"/>
  <c r="BI49" i="17" a="1"/>
  <c r="BI49" i="17" s="1"/>
  <c r="BH49" i="17" a="1"/>
  <c r="BH49" i="17" s="1"/>
  <c r="BB49" i="17"/>
  <c r="BA49" i="17"/>
  <c r="AZ49" i="17"/>
  <c r="AY49" i="17"/>
  <c r="AX49" i="17"/>
  <c r="AW49" i="17"/>
  <c r="AV49" i="17"/>
  <c r="AU49" i="17"/>
  <c r="AT49" i="17"/>
  <c r="AS49" i="17"/>
  <c r="AH49" i="17"/>
  <c r="AE49" i="17"/>
  <c r="AB49" i="17"/>
  <c r="AB51" i="17" s="1"/>
  <c r="H49" i="17" a="1"/>
  <c r="H49" i="17" s="1"/>
  <c r="BF48" i="17"/>
  <c r="BB47" i="17"/>
  <c r="BA47" i="17"/>
  <c r="AZ47" i="17"/>
  <c r="AY47" i="17"/>
  <c r="AX47" i="17"/>
  <c r="AW47" i="17"/>
  <c r="AV47" i="17"/>
  <c r="AU47" i="17"/>
  <c r="AT47" i="17"/>
  <c r="AS47" i="17"/>
  <c r="AR47" i="17"/>
  <c r="AQ47" i="17"/>
  <c r="AP47" i="17"/>
  <c r="AO47" i="17"/>
  <c r="AN47" i="17"/>
  <c r="AM47" i="17"/>
  <c r="AL47" i="17"/>
  <c r="AK47" i="17"/>
  <c r="AJ47" i="17"/>
  <c r="AI47" i="17"/>
  <c r="AH47" i="17"/>
  <c r="AG47" i="17"/>
  <c r="AF47" i="17"/>
  <c r="AE47" i="17"/>
  <c r="BB46" i="17"/>
  <c r="BA46" i="17"/>
  <c r="AZ46" i="17"/>
  <c r="AY46" i="17"/>
  <c r="AX46" i="17"/>
  <c r="AW46" i="17"/>
  <c r="AV46" i="17"/>
  <c r="AU46" i="17"/>
  <c r="AT46" i="17"/>
  <c r="AS46" i="17"/>
  <c r="AR46" i="17"/>
  <c r="AQ46" i="17"/>
  <c r="AP46" i="17"/>
  <c r="AO46" i="17"/>
  <c r="AN46" i="17"/>
  <c r="AM46" i="17"/>
  <c r="AL46" i="17"/>
  <c r="AK46" i="17"/>
  <c r="AJ46" i="17"/>
  <c r="AI46" i="17"/>
  <c r="AH46" i="17"/>
  <c r="AG46" i="17"/>
  <c r="AF46" i="17"/>
  <c r="AE46" i="17"/>
  <c r="T46" i="17"/>
  <c r="T47" i="17" s="1" a="1"/>
  <c r="T47" i="17" s="1"/>
  <c r="F46" i="17" a="1"/>
  <c r="F46" i="17"/>
  <c r="F47" i="17" s="1" a="1"/>
  <c r="F47" i="17" s="1"/>
  <c r="F48" i="17" s="1" a="1"/>
  <c r="F48" i="17" s="1"/>
  <c r="AR43" i="17"/>
  <c r="AQ43" i="17"/>
  <c r="AP43" i="17"/>
  <c r="AO43" i="17"/>
  <c r="AN43" i="17"/>
  <c r="AM43" i="17"/>
  <c r="AL43" i="17"/>
  <c r="AK43" i="17"/>
  <c r="AJ43" i="17"/>
  <c r="AI43" i="17"/>
  <c r="AG43" i="17"/>
  <c r="AF43" i="17"/>
  <c r="BI42" i="17" a="1"/>
  <c r="BI42" i="17" s="1"/>
  <c r="BH42" i="17" a="1"/>
  <c r="BH42" i="17" s="1"/>
  <c r="BB42" i="17"/>
  <c r="BA42" i="17"/>
  <c r="AZ42" i="17"/>
  <c r="AY42" i="17"/>
  <c r="AX42" i="17"/>
  <c r="AW42" i="17"/>
  <c r="AV42" i="17"/>
  <c r="AU42" i="17"/>
  <c r="AT42" i="17"/>
  <c r="AS42" i="17"/>
  <c r="AH42" i="17"/>
  <c r="AE42" i="17"/>
  <c r="AB42" i="17"/>
  <c r="AB44" i="17" s="1"/>
  <c r="H42" i="17" a="1"/>
  <c r="H42" i="17" s="1"/>
  <c r="BF41" i="17"/>
  <c r="BB40" i="17"/>
  <c r="BA40" i="17"/>
  <c r="AZ40" i="17"/>
  <c r="AY40" i="17"/>
  <c r="AX40" i="17"/>
  <c r="AW40" i="17"/>
  <c r="AV40" i="17"/>
  <c r="AU40" i="17"/>
  <c r="AT40" i="17"/>
  <c r="AS40" i="17"/>
  <c r="AR40" i="17"/>
  <c r="AQ40" i="17"/>
  <c r="AP40" i="17"/>
  <c r="AO40" i="17"/>
  <c r="AN40" i="17"/>
  <c r="AM40" i="17"/>
  <c r="AL40" i="17"/>
  <c r="AK40" i="17"/>
  <c r="AJ40" i="17"/>
  <c r="AI40" i="17"/>
  <c r="AH40" i="17"/>
  <c r="AG40" i="17"/>
  <c r="AF40" i="17"/>
  <c r="AE40" i="17"/>
  <c r="BF39" i="17"/>
  <c r="AR37" i="17"/>
  <c r="AQ37" i="17"/>
  <c r="AP37" i="17"/>
  <c r="AO37" i="17"/>
  <c r="AN37" i="17"/>
  <c r="AM37" i="17"/>
  <c r="AL37" i="17"/>
  <c r="AK37" i="17"/>
  <c r="AJ37" i="17"/>
  <c r="AI37" i="17"/>
  <c r="AG37" i="17"/>
  <c r="AF37" i="17"/>
  <c r="BI36" i="17" a="1"/>
  <c r="BI36" i="17" s="1"/>
  <c r="BH36" i="17" a="1"/>
  <c r="BH36" i="17" s="1"/>
  <c r="BB36" i="17"/>
  <c r="BA36" i="17"/>
  <c r="AZ36" i="17"/>
  <c r="AY36" i="17"/>
  <c r="AX36" i="17"/>
  <c r="AW36" i="17"/>
  <c r="AV36" i="17"/>
  <c r="AU36" i="17"/>
  <c r="AT36" i="17"/>
  <c r="AS36" i="17"/>
  <c r="AH36" i="17"/>
  <c r="AE36" i="17"/>
  <c r="AB36" i="17"/>
  <c r="AB38" i="17" s="1"/>
  <c r="H36" i="17" a="1"/>
  <c r="H36" i="17" s="1"/>
  <c r="BF35" i="17"/>
  <c r="BB34" i="17"/>
  <c r="BA34" i="17"/>
  <c r="AZ34" i="17"/>
  <c r="AY34" i="17"/>
  <c r="AX34" i="17"/>
  <c r="AW34" i="17"/>
  <c r="AV34" i="17"/>
  <c r="AU34" i="17"/>
  <c r="AT34" i="17"/>
  <c r="AS34" i="17"/>
  <c r="AR34" i="17"/>
  <c r="AQ34" i="17"/>
  <c r="AP34" i="17"/>
  <c r="AO34" i="17"/>
  <c r="AN34" i="17"/>
  <c r="AM34" i="17"/>
  <c r="AL34" i="17"/>
  <c r="AK34" i="17"/>
  <c r="AJ34" i="17"/>
  <c r="AI34" i="17"/>
  <c r="AH34" i="17"/>
  <c r="AG34" i="17"/>
  <c r="AF34" i="17"/>
  <c r="AE34" i="17"/>
  <c r="BF33" i="17"/>
  <c r="AR31" i="17"/>
  <c r="AQ31" i="17"/>
  <c r="AP31" i="17"/>
  <c r="AO31" i="17"/>
  <c r="AN31" i="17"/>
  <c r="AM31" i="17"/>
  <c r="AL31" i="17"/>
  <c r="AK31" i="17"/>
  <c r="AJ31" i="17"/>
  <c r="AI31" i="17"/>
  <c r="AG31" i="17"/>
  <c r="AF31" i="17"/>
  <c r="BI30" i="17" a="1"/>
  <c r="BI30" i="17" s="1"/>
  <c r="BH30" i="17" a="1"/>
  <c r="BH30" i="17" s="1"/>
  <c r="BB30" i="17"/>
  <c r="BA30" i="17"/>
  <c r="AZ30" i="17"/>
  <c r="AY30" i="17"/>
  <c r="AX30" i="17"/>
  <c r="AW30" i="17"/>
  <c r="AV30" i="17"/>
  <c r="AU30" i="17"/>
  <c r="AT30" i="17"/>
  <c r="AS30" i="17"/>
  <c r="AH30" i="17"/>
  <c r="AE30" i="17"/>
  <c r="AB30" i="17"/>
  <c r="AB32" i="17" s="1"/>
  <c r="H30" i="17" a="1"/>
  <c r="H30" i="17" s="1"/>
  <c r="BF29" i="17"/>
  <c r="BB28" i="17"/>
  <c r="BA28" i="17"/>
  <c r="AZ28" i="17"/>
  <c r="AY28" i="17"/>
  <c r="AX28" i="17"/>
  <c r="AW28" i="17"/>
  <c r="AV28" i="17"/>
  <c r="AU28" i="17"/>
  <c r="AT28" i="17"/>
  <c r="AS28" i="17"/>
  <c r="AR28" i="17"/>
  <c r="AQ28" i="17"/>
  <c r="AP28" i="17"/>
  <c r="AO28" i="17"/>
  <c r="AN28" i="17"/>
  <c r="AM28" i="17"/>
  <c r="AL28" i="17"/>
  <c r="AK28" i="17"/>
  <c r="AJ28" i="17"/>
  <c r="AI28" i="17"/>
  <c r="AH28" i="17"/>
  <c r="AG28" i="17"/>
  <c r="AF28" i="17"/>
  <c r="AE28" i="17"/>
  <c r="BB27" i="17"/>
  <c r="BA27" i="17"/>
  <c r="AZ27" i="17"/>
  <c r="AY27" i="17"/>
  <c r="AX27" i="17"/>
  <c r="AW27" i="17"/>
  <c r="AV27" i="17"/>
  <c r="AU27" i="17"/>
  <c r="AT27" i="17"/>
  <c r="AS27" i="17"/>
  <c r="AR27" i="17"/>
  <c r="AQ27" i="17"/>
  <c r="AP27" i="17"/>
  <c r="AO27" i="17"/>
  <c r="AN27" i="17"/>
  <c r="AM27" i="17"/>
  <c r="AL27" i="17"/>
  <c r="AK27" i="17"/>
  <c r="AJ27" i="17"/>
  <c r="AI27" i="17"/>
  <c r="AH27" i="17"/>
  <c r="AG27" i="17"/>
  <c r="AF27" i="17"/>
  <c r="AE27" i="17"/>
  <c r="T27" i="17"/>
  <c r="T28" i="17" s="1" a="1"/>
  <c r="T28" i="17" s="1"/>
  <c r="F27" i="17" a="1"/>
  <c r="F27" i="17"/>
  <c r="F28" i="17" s="1" a="1"/>
  <c r="F28" i="17" s="1"/>
  <c r="F29" i="17" s="1" a="1"/>
  <c r="F29" i="17" s="1"/>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s="1"/>
  <c r="BB10" i="17" a="1"/>
  <c r="BB10" i="17" s="1"/>
  <c r="BA10" i="17" a="1"/>
  <c r="BA10" i="17" s="1"/>
  <c r="AZ10" i="17" a="1"/>
  <c r="AZ10" i="17" s="1"/>
  <c r="AY10" i="17" a="1"/>
  <c r="AY10" i="17" s="1"/>
  <c r="AX10" i="17" a="1"/>
  <c r="AX10" i="17" s="1"/>
  <c r="AW10" i="17" a="1"/>
  <c r="AW10" i="17" s="1"/>
  <c r="AV10" i="17" a="1"/>
  <c r="AV10" i="17" s="1"/>
  <c r="AU10" i="17" a="1"/>
  <c r="AU10" i="17" s="1"/>
  <c r="AT10" i="17" a="1"/>
  <c r="AT10" i="17" s="1"/>
  <c r="AS10" i="17" a="1"/>
  <c r="AS10" i="17" s="1"/>
  <c r="AR10" i="17" a="1"/>
  <c r="AR10" i="17" s="1"/>
  <c r="AQ10" i="17" a="1"/>
  <c r="AQ10" i="17" s="1"/>
  <c r="AP10" i="17" a="1"/>
  <c r="AP10" i="17" s="1"/>
  <c r="AO10" i="17" a="1"/>
  <c r="AO10" i="17" s="1"/>
  <c r="AN10" i="17" a="1"/>
  <c r="AN10" i="17" s="1"/>
  <c r="AM10" i="17" a="1"/>
  <c r="AM10" i="17" s="1"/>
  <c r="AL10" i="17" a="1"/>
  <c r="AL10" i="17" s="1"/>
  <c r="AK10" i="17" a="1"/>
  <c r="AK10" i="17" s="1"/>
  <c r="AJ10" i="17" a="1"/>
  <c r="AJ10" i="17" s="1"/>
  <c r="AI10" i="17" a="1"/>
  <c r="AI10" i="17" s="1"/>
  <c r="AH10" i="17" a="1"/>
  <c r="AH10" i="17" s="1"/>
  <c r="AG10" i="17" a="1"/>
  <c r="AG10" i="17" s="1"/>
  <c r="AF10" i="17" a="1"/>
  <c r="AF10" i="17" s="1"/>
  <c r="AE10" i="17" a="1"/>
  <c r="AE10" i="17" s="1"/>
  <c r="BB9" i="17"/>
  <c r="BA9" i="17"/>
  <c r="AZ9" i="17"/>
  <c r="AY9" i="17"/>
  <c r="AX9" i="17"/>
  <c r="AW9" i="17"/>
  <c r="AV9" i="17"/>
  <c r="AU9" i="17"/>
  <c r="AT9" i="17"/>
  <c r="AS9" i="17" a="1"/>
  <c r="AS9" i="17"/>
  <c r="AR9" i="17"/>
  <c r="AQ9" i="17"/>
  <c r="AP9" i="17"/>
  <c r="AO9" i="17"/>
  <c r="AN9" i="17"/>
  <c r="AM9" i="17"/>
  <c r="AL9" i="17"/>
  <c r="AK9" i="17"/>
  <c r="AJ9" i="17"/>
  <c r="AI9" i="17" a="1"/>
  <c r="AI9" i="17" s="1"/>
  <c r="AH9" i="17"/>
  <c r="AG9" i="17"/>
  <c r="AF9" i="17"/>
  <c r="AE9" i="17"/>
  <c r="BB7" i="17" a="1"/>
  <c r="BB7" i="17" s="1"/>
  <c r="BA7" i="17" a="1"/>
  <c r="BA7" i="17" s="1"/>
  <c r="AZ7" i="17" a="1"/>
  <c r="AZ7" i="17" s="1"/>
  <c r="AY7" i="17" a="1"/>
  <c r="AY7" i="17" s="1"/>
  <c r="AX7" i="17" a="1"/>
  <c r="AX7" i="17" s="1"/>
  <c r="AW7" i="17" a="1"/>
  <c r="AW7" i="17" s="1"/>
  <c r="AV7" i="17" a="1"/>
  <c r="AV7" i="17" s="1"/>
  <c r="AU7" i="17" a="1"/>
  <c r="AU7" i="17" s="1"/>
  <c r="AT7" i="17" a="1"/>
  <c r="AT7" i="17" s="1"/>
  <c r="AS7" i="17" a="1"/>
  <c r="AS7" i="17" s="1"/>
  <c r="AR7" i="17" a="1"/>
  <c r="AR7" i="17" s="1"/>
  <c r="AQ7" i="17" a="1"/>
  <c r="AQ7" i="17" s="1"/>
  <c r="AP7" i="17" a="1"/>
  <c r="AP7" i="17" s="1"/>
  <c r="AO7" i="17" a="1"/>
  <c r="AO7" i="17" s="1"/>
  <c r="AN7" i="17" a="1"/>
  <c r="AN7" i="17" s="1"/>
  <c r="AM7" i="17" a="1"/>
  <c r="AM7" i="17" s="1"/>
  <c r="AL7" i="17" a="1"/>
  <c r="AL7" i="17" s="1"/>
  <c r="AK7" i="17" a="1"/>
  <c r="AK7" i="17" s="1"/>
  <c r="AJ7" i="17" a="1"/>
  <c r="AJ7" i="17" s="1"/>
  <c r="AI7" i="17" a="1"/>
  <c r="AI7" i="17" s="1"/>
  <c r="AH7" i="17" a="1"/>
  <c r="AH7" i="17" s="1"/>
  <c r="AG7" i="17" a="1"/>
  <c r="AG7" i="17" s="1"/>
  <c r="AF7" i="17" a="1"/>
  <c r="AF7" i="17" s="1"/>
  <c r="AE7" i="17" a="1"/>
  <c r="AE7" i="17" s="1"/>
  <c r="BB6" i="17"/>
  <c r="BA6" i="17"/>
  <c r="AZ6" i="17"/>
  <c r="AY6" i="17"/>
  <c r="AX6" i="17"/>
  <c r="AW6" i="17"/>
  <c r="AV6" i="17"/>
  <c r="AU6" i="17"/>
  <c r="AT6" i="17"/>
  <c r="AS6" i="17" a="1"/>
  <c r="AS6" i="17"/>
  <c r="AR6" i="17"/>
  <c r="AQ6" i="17"/>
  <c r="AP6" i="17"/>
  <c r="AO6" i="17"/>
  <c r="AN6" i="17"/>
  <c r="AM6" i="17"/>
  <c r="AL6" i="17"/>
  <c r="AK6" i="17"/>
  <c r="AJ6" i="17"/>
  <c r="AI6" i="17" a="1"/>
  <c r="AI6" i="17" s="1"/>
  <c r="AH6" i="17"/>
  <c r="AG6" i="17"/>
  <c r="AF6" i="17"/>
  <c r="AE6" i="17"/>
  <c r="T55"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BB41" i="16"/>
  <c r="BA41" i="16"/>
  <c r="AZ41" i="16"/>
  <c r="AY41" i="16"/>
  <c r="AX41" i="16"/>
  <c r="AW41" i="16"/>
  <c r="AV41" i="16"/>
  <c r="AU41" i="16"/>
  <c r="AT41" i="16"/>
  <c r="AS41" i="16"/>
  <c r="AR41" i="16"/>
  <c r="AQ41" i="16"/>
  <c r="AP41" i="16"/>
  <c r="AO41" i="16"/>
  <c r="AN41" i="16"/>
  <c r="AM41" i="16"/>
  <c r="AL41" i="16"/>
  <c r="AK41" i="16"/>
  <c r="AJ41" i="16"/>
  <c r="AI41" i="16"/>
  <c r="AH41" i="16"/>
  <c r="AG41" i="16"/>
  <c r="AF41" i="16"/>
  <c r="AE41"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T39" i="16"/>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F39" i="16" a="1"/>
  <c r="F39" i="16" s="1"/>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F27" i="16" a="1"/>
  <c r="F27" i="16"/>
  <c r="F28" i="16" s="1"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c r="BB10" i="16" a="1"/>
  <c r="BB10" i="16"/>
  <c r="BA10" i="16" a="1"/>
  <c r="BA10" i="16"/>
  <c r="AZ10" i="16" a="1"/>
  <c r="AZ10" i="16"/>
  <c r="AY10" i="16" a="1"/>
  <c r="AY10" i="16"/>
  <c r="AX10" i="16" a="1"/>
  <c r="AX10" i="16"/>
  <c r="AW10" i="16" a="1"/>
  <c r="AW10" i="16"/>
  <c r="AV10" i="16" a="1"/>
  <c r="AV10" i="16"/>
  <c r="AU10" i="16" a="1"/>
  <c r="AU10" i="16"/>
  <c r="AT10" i="16" a="1"/>
  <c r="AT10" i="16"/>
  <c r="AS10" i="16" a="1"/>
  <c r="AS10" i="16"/>
  <c r="AR10" i="16" a="1"/>
  <c r="AR10" i="16"/>
  <c r="AQ10" i="16" a="1"/>
  <c r="AQ10" i="16"/>
  <c r="AP10" i="16" a="1"/>
  <c r="AP10" i="16"/>
  <c r="AO10" i="16" a="1"/>
  <c r="AO10" i="16"/>
  <c r="AN10" i="16" a="1"/>
  <c r="AN10" i="16"/>
  <c r="AM10" i="16" a="1"/>
  <c r="AM10" i="16"/>
  <c r="AL10" i="16" a="1"/>
  <c r="AL10" i="16"/>
  <c r="AK10" i="16" a="1"/>
  <c r="AK10" i="16"/>
  <c r="AJ10" i="16" a="1"/>
  <c r="AJ10" i="16"/>
  <c r="AI10" i="16" a="1"/>
  <c r="AI10" i="16"/>
  <c r="AH10" i="16" a="1"/>
  <c r="AH10" i="16"/>
  <c r="AG10" i="16" a="1"/>
  <c r="AG10" i="16"/>
  <c r="AF10" i="16" a="1"/>
  <c r="AF10" i="16"/>
  <c r="AE10" i="16" a="1"/>
  <c r="AE10" i="16"/>
  <c r="BB9" i="16"/>
  <c r="BA9" i="16"/>
  <c r="AZ9" i="16"/>
  <c r="AY9" i="16"/>
  <c r="AX9" i="16"/>
  <c r="AW9" i="16"/>
  <c r="AV9" i="16"/>
  <c r="AU9" i="16"/>
  <c r="AT9" i="16"/>
  <c r="AS9" i="16" a="1"/>
  <c r="AS9" i="16" s="1"/>
  <c r="AR9" i="16"/>
  <c r="AQ9" i="16"/>
  <c r="AP9" i="16"/>
  <c r="AO9" i="16"/>
  <c r="AN9" i="16"/>
  <c r="AM9" i="16"/>
  <c r="AL9" i="16"/>
  <c r="AK9" i="16"/>
  <c r="AJ9" i="16"/>
  <c r="AI9" i="16" a="1"/>
  <c r="AI9" i="16"/>
  <c r="AH9" i="16"/>
  <c r="AG9" i="16"/>
  <c r="AF9" i="16"/>
  <c r="AE9" i="16"/>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T229" i="15"/>
  <c r="AB224" i="15"/>
  <c r="AB223" i="15"/>
  <c r="AB222" i="15"/>
  <c r="AB221" i="15"/>
  <c r="BB215" i="15"/>
  <c r="BA215" i="15"/>
  <c r="AZ215" i="15"/>
  <c r="AY215" i="15"/>
  <c r="AX215" i="15"/>
  <c r="AW215" i="15"/>
  <c r="AV215" i="15"/>
  <c r="AU215" i="15"/>
  <c r="AT215" i="15"/>
  <c r="AS215" i="15"/>
  <c r="AR215" i="15"/>
  <c r="AR211" i="15" s="1"/>
  <c r="AQ215" i="15"/>
  <c r="AP215" i="15"/>
  <c r="AP211" i="15" s="1"/>
  <c r="AO215" i="15"/>
  <c r="AN215" i="15"/>
  <c r="AN211" i="15" s="1"/>
  <c r="AM215" i="15"/>
  <c r="AL215" i="15"/>
  <c r="AL211" i="15" s="1"/>
  <c r="AK215" i="15"/>
  <c r="AJ215" i="15"/>
  <c r="AJ211" i="15" s="1"/>
  <c r="AI215" i="15"/>
  <c r="AH215" i="15"/>
  <c r="AG215" i="15"/>
  <c r="AF215" i="15"/>
  <c r="AE215" i="15"/>
  <c r="AB215" i="15"/>
  <c r="AB219" i="15" s="1"/>
  <c r="AB214" i="15"/>
  <c r="AB213" i="15"/>
  <c r="AB212" i="15"/>
  <c r="BB211" i="15"/>
  <c r="BA211" i="15"/>
  <c r="AZ211" i="15"/>
  <c r="AY211" i="15"/>
  <c r="AX211" i="15"/>
  <c r="AW211" i="15"/>
  <c r="AV211" i="15"/>
  <c r="AU211" i="15"/>
  <c r="AT211" i="15"/>
  <c r="AQ211" i="15"/>
  <c r="AO211" i="15"/>
  <c r="AM211" i="15"/>
  <c r="AK211" i="15"/>
  <c r="AB210" i="15"/>
  <c r="AB209" i="15"/>
  <c r="AB208" i="15"/>
  <c r="AB207" i="15"/>
  <c r="AB206" i="15"/>
  <c r="AB204" i="15"/>
  <c r="AB202" i="15"/>
  <c r="AB201" i="15"/>
  <c r="AB205" i="15" s="1"/>
  <c r="AB200" i="15"/>
  <c r="AB199" i="15"/>
  <c r="AB198" i="15"/>
  <c r="BB196" i="15"/>
  <c r="BB210" i="15" s="1"/>
  <c r="BA196" i="15"/>
  <c r="BA210" i="15" s="1"/>
  <c r="AZ196" i="15"/>
  <c r="AZ210" i="15" s="1"/>
  <c r="AY196" i="15"/>
  <c r="AY210" i="15" s="1"/>
  <c r="AX196" i="15"/>
  <c r="AX210" i="15" s="1"/>
  <c r="AW196" i="15"/>
  <c r="AW210" i="15" s="1"/>
  <c r="AV196" i="15"/>
  <c r="AV210" i="15" s="1"/>
  <c r="AU196" i="15"/>
  <c r="AU210" i="15" s="1"/>
  <c r="AT196" i="15"/>
  <c r="AT210" i="15" s="1"/>
  <c r="AS196" i="15"/>
  <c r="AS210" i="15" s="1"/>
  <c r="AR196" i="15"/>
  <c r="AR210" i="15" s="1"/>
  <c r="AQ196" i="15"/>
  <c r="AQ210" i="15" s="1"/>
  <c r="AP196" i="15"/>
  <c r="AP210" i="15" s="1"/>
  <c r="AO196" i="15"/>
  <c r="AO210" i="15" s="1"/>
  <c r="AN196" i="15"/>
  <c r="AN210" i="15" s="1"/>
  <c r="AM196" i="15"/>
  <c r="AM210" i="15" s="1"/>
  <c r="AL196" i="15"/>
  <c r="AL210" i="15" s="1"/>
  <c r="AK196" i="15"/>
  <c r="AK210" i="15" s="1"/>
  <c r="AJ196" i="15"/>
  <c r="AJ210" i="15" s="1"/>
  <c r="AI196" i="15"/>
  <c r="AI210" i="15" s="1"/>
  <c r="AH196" i="15"/>
  <c r="AH210" i="15" s="1"/>
  <c r="AG196" i="15"/>
  <c r="AG210" i="15" s="1"/>
  <c r="AF196" i="15"/>
  <c r="AF210" i="15" s="1"/>
  <c r="AE196" i="15"/>
  <c r="AE210" i="15" s="1"/>
  <c r="AB196" i="15"/>
  <c r="BB195" i="15"/>
  <c r="BB209" i="15" s="1"/>
  <c r="BA195" i="15"/>
  <c r="BA209" i="15" s="1"/>
  <c r="AZ195" i="15"/>
  <c r="AZ209" i="15" s="1"/>
  <c r="AY195" i="15"/>
  <c r="AY209" i="15" s="1"/>
  <c r="AX195" i="15"/>
  <c r="AX209" i="15" s="1"/>
  <c r="AW195" i="15"/>
  <c r="AW209" i="15" s="1"/>
  <c r="AV195" i="15"/>
  <c r="AV209" i="15" s="1"/>
  <c r="AU195" i="15"/>
  <c r="AU209" i="15" s="1"/>
  <c r="AT195" i="15"/>
  <c r="AT209" i="15" s="1"/>
  <c r="AS195" i="15"/>
  <c r="AS209" i="15" s="1"/>
  <c r="AR195" i="15"/>
  <c r="AR209" i="15" s="1"/>
  <c r="AQ195" i="15"/>
  <c r="AQ209" i="15" s="1"/>
  <c r="AP195" i="15"/>
  <c r="AP209" i="15" s="1"/>
  <c r="AO195" i="15"/>
  <c r="AO209" i="15" s="1"/>
  <c r="AN195" i="15"/>
  <c r="AN209" i="15" s="1"/>
  <c r="AM195" i="15"/>
  <c r="AM209" i="15" s="1"/>
  <c r="AL195" i="15"/>
  <c r="AL209" i="15" s="1"/>
  <c r="AK195" i="15"/>
  <c r="AK209" i="15" s="1"/>
  <c r="AJ195" i="15"/>
  <c r="AJ209" i="15" s="1"/>
  <c r="AI195" i="15"/>
  <c r="AI209" i="15" s="1"/>
  <c r="AH195" i="15"/>
  <c r="AH209" i="15" s="1"/>
  <c r="AG195" i="15"/>
  <c r="AG209" i="15" s="1"/>
  <c r="AF195" i="15"/>
  <c r="AF209" i="15" s="1"/>
  <c r="AE195" i="15"/>
  <c r="AE209" i="15" s="1"/>
  <c r="AB195" i="15"/>
  <c r="BB194" i="15"/>
  <c r="BB208" i="15" s="1"/>
  <c r="BA194" i="15"/>
  <c r="BA208" i="15" s="1"/>
  <c r="AZ194" i="15"/>
  <c r="AZ208" i="15" s="1"/>
  <c r="AY194" i="15"/>
  <c r="AY208" i="15" s="1"/>
  <c r="AX194" i="15"/>
  <c r="AX208" i="15" s="1"/>
  <c r="AW194" i="15"/>
  <c r="AW208" i="15" s="1"/>
  <c r="AV194" i="15"/>
  <c r="AV208" i="15" s="1"/>
  <c r="AU194" i="15"/>
  <c r="AU208" i="15" s="1"/>
  <c r="AT194" i="15"/>
  <c r="AT208" i="15" s="1"/>
  <c r="AS194" i="15"/>
  <c r="AS208" i="15" s="1"/>
  <c r="AR194" i="15"/>
  <c r="AR208" i="15" s="1"/>
  <c r="AQ194" i="15"/>
  <c r="AQ208" i="15" s="1"/>
  <c r="AP194" i="15"/>
  <c r="AP208" i="15" s="1"/>
  <c r="AO194" i="15"/>
  <c r="AO208" i="15" s="1"/>
  <c r="AN194" i="15"/>
  <c r="AN208" i="15" s="1"/>
  <c r="AM194" i="15"/>
  <c r="AM208" i="15" s="1"/>
  <c r="AL194" i="15"/>
  <c r="AL208" i="15" s="1"/>
  <c r="AK194" i="15"/>
  <c r="AK208" i="15" s="1"/>
  <c r="AJ194" i="15"/>
  <c r="AJ208" i="15" s="1"/>
  <c r="AI194" i="15"/>
  <c r="AI208" i="15" s="1"/>
  <c r="AH194" i="15"/>
  <c r="AH208" i="15" s="1"/>
  <c r="AG194" i="15"/>
  <c r="AG208" i="15" s="1"/>
  <c r="AF194" i="15"/>
  <c r="AF208" i="15" s="1"/>
  <c r="AE194" i="15"/>
  <c r="AE208" i="15" s="1"/>
  <c r="AB194" i="15"/>
  <c r="BB193" i="15"/>
  <c r="BB207" i="15" s="1"/>
  <c r="BA193" i="15"/>
  <c r="BA207" i="15" s="1"/>
  <c r="AZ193" i="15"/>
  <c r="AZ207" i="15" s="1"/>
  <c r="AY193" i="15"/>
  <c r="AY207" i="15" s="1"/>
  <c r="AX193" i="15"/>
  <c r="AX207" i="15" s="1"/>
  <c r="AW193" i="15"/>
  <c r="AW207" i="15" s="1"/>
  <c r="AV193" i="15"/>
  <c r="AV207" i="15" s="1"/>
  <c r="AU193" i="15"/>
  <c r="AU207" i="15" s="1"/>
  <c r="AT193" i="15"/>
  <c r="AT207" i="15" s="1"/>
  <c r="AS193" i="15"/>
  <c r="AS207" i="15" s="1"/>
  <c r="AR193" i="15"/>
  <c r="AR207" i="15" s="1"/>
  <c r="AQ193" i="15"/>
  <c r="AQ207" i="15" s="1"/>
  <c r="AP193" i="15"/>
  <c r="AP207" i="15" s="1"/>
  <c r="AO193" i="15"/>
  <c r="AO207" i="15" s="1"/>
  <c r="AN193" i="15"/>
  <c r="AN207" i="15" s="1"/>
  <c r="AM193" i="15"/>
  <c r="AM207" i="15" s="1"/>
  <c r="AL193" i="15"/>
  <c r="AL207" i="15" s="1"/>
  <c r="AK193" i="15"/>
  <c r="AK207" i="15" s="1"/>
  <c r="AJ193" i="15"/>
  <c r="AJ207" i="15" s="1"/>
  <c r="AI193" i="15"/>
  <c r="AI207" i="15" s="1"/>
  <c r="AH193" i="15"/>
  <c r="AH207" i="15" s="1"/>
  <c r="AG193" i="15"/>
  <c r="AG207" i="15" s="1"/>
  <c r="AF193" i="15"/>
  <c r="AF207" i="15" s="1"/>
  <c r="AE193" i="15"/>
  <c r="AE207" i="15" s="1"/>
  <c r="AB193" i="15"/>
  <c r="BB192" i="15"/>
  <c r="BB206" i="15" s="1"/>
  <c r="BA192" i="15"/>
  <c r="BA206" i="15" s="1"/>
  <c r="AZ192" i="15"/>
  <c r="AZ206" i="15" s="1"/>
  <c r="AY192" i="15"/>
  <c r="AY206" i="15" s="1"/>
  <c r="AX192" i="15"/>
  <c r="AX206" i="15" s="1"/>
  <c r="AW192" i="15"/>
  <c r="AW206" i="15" s="1"/>
  <c r="AV192" i="15"/>
  <c r="AV206" i="15" s="1"/>
  <c r="AU192" i="15"/>
  <c r="AU206" i="15" s="1"/>
  <c r="AT192" i="15"/>
  <c r="AT206" i="15" s="1"/>
  <c r="AS192" i="15"/>
  <c r="AS206" i="15" s="1"/>
  <c r="AR192" i="15"/>
  <c r="AR206" i="15" s="1"/>
  <c r="AQ192" i="15"/>
  <c r="AQ206" i="15" s="1"/>
  <c r="AP192" i="15"/>
  <c r="AP206" i="15" s="1"/>
  <c r="AO192" i="15"/>
  <c r="AO206" i="15" s="1"/>
  <c r="AN192" i="15"/>
  <c r="AN206" i="15" s="1"/>
  <c r="AM192" i="15"/>
  <c r="AM206" i="15" s="1"/>
  <c r="AL192" i="15"/>
  <c r="AL206" i="15" s="1"/>
  <c r="AK192" i="15"/>
  <c r="AK206" i="15" s="1"/>
  <c r="AJ192" i="15"/>
  <c r="AJ206" i="15" s="1"/>
  <c r="AI192" i="15"/>
  <c r="AI206" i="15" s="1"/>
  <c r="AH192" i="15"/>
  <c r="AH206" i="15" s="1"/>
  <c r="AG192" i="15"/>
  <c r="AG206" i="15" s="1"/>
  <c r="AF192" i="15"/>
  <c r="AF206" i="15" s="1"/>
  <c r="AE192" i="15"/>
  <c r="AE206" i="15" s="1"/>
  <c r="BB191" i="15"/>
  <c r="BB205" i="15" s="1"/>
  <c r="BA191" i="15"/>
  <c r="BA205" i="15" s="1"/>
  <c r="AZ191" i="15"/>
  <c r="AZ205" i="15" s="1"/>
  <c r="AY191" i="15"/>
  <c r="AY205" i="15" s="1"/>
  <c r="AX191" i="15"/>
  <c r="AX205" i="15" s="1"/>
  <c r="AW191" i="15"/>
  <c r="AW205" i="15" s="1"/>
  <c r="AV191" i="15"/>
  <c r="AV205" i="15" s="1"/>
  <c r="AU191" i="15"/>
  <c r="AU205" i="15" s="1"/>
  <c r="AT191" i="15"/>
  <c r="AT205" i="15" s="1"/>
  <c r="AS191" i="15"/>
  <c r="AS205" i="15" s="1"/>
  <c r="AR191" i="15"/>
  <c r="AR205" i="15" s="1"/>
  <c r="AQ191" i="15"/>
  <c r="AQ205" i="15" s="1"/>
  <c r="AP191" i="15"/>
  <c r="AP205" i="15" s="1"/>
  <c r="AO191" i="15"/>
  <c r="AO205" i="15" s="1"/>
  <c r="AN191" i="15"/>
  <c r="AN205" i="15" s="1"/>
  <c r="AM191" i="15"/>
  <c r="AM205" i="15" s="1"/>
  <c r="AL191" i="15"/>
  <c r="AL205" i="15" s="1"/>
  <c r="AK191" i="15"/>
  <c r="AK205" i="15" s="1"/>
  <c r="AJ191" i="15"/>
  <c r="AJ205" i="15" s="1"/>
  <c r="AI191" i="15"/>
  <c r="AI205" i="15" s="1"/>
  <c r="AH191" i="15"/>
  <c r="AH205" i="15" s="1"/>
  <c r="AG191" i="15"/>
  <c r="AG205" i="15" s="1"/>
  <c r="AF191" i="15"/>
  <c r="AF205" i="15" s="1"/>
  <c r="AE191" i="15"/>
  <c r="AE205" i="15" s="1"/>
  <c r="BB190" i="15"/>
  <c r="BB204" i="15" s="1"/>
  <c r="BA190" i="15"/>
  <c r="BA204" i="15" s="1"/>
  <c r="AZ190" i="15"/>
  <c r="AZ204" i="15" s="1"/>
  <c r="AY190" i="15"/>
  <c r="AY204" i="15" s="1"/>
  <c r="AX190" i="15"/>
  <c r="AX204" i="15" s="1"/>
  <c r="AW190" i="15"/>
  <c r="AW204" i="15" s="1"/>
  <c r="AV190" i="15"/>
  <c r="AV204" i="15" s="1"/>
  <c r="AU190" i="15"/>
  <c r="AU204" i="15" s="1"/>
  <c r="AT190" i="15"/>
  <c r="AT204" i="15" s="1"/>
  <c r="AS190" i="15"/>
  <c r="AS204" i="15" s="1"/>
  <c r="AR190" i="15"/>
  <c r="AR204" i="15" s="1"/>
  <c r="AQ190" i="15"/>
  <c r="AQ204" i="15" s="1"/>
  <c r="AP190" i="15"/>
  <c r="AP204" i="15" s="1"/>
  <c r="AO190" i="15"/>
  <c r="AO204" i="15" s="1"/>
  <c r="AN190" i="15"/>
  <c r="AN204" i="15" s="1"/>
  <c r="AM190" i="15"/>
  <c r="AM204" i="15" s="1"/>
  <c r="AL190" i="15"/>
  <c r="AL204" i="15" s="1"/>
  <c r="AK190" i="15"/>
  <c r="AK204" i="15" s="1"/>
  <c r="AJ190" i="15"/>
  <c r="AJ204" i="15" s="1"/>
  <c r="AI190" i="15"/>
  <c r="AI204" i="15" s="1"/>
  <c r="AH190" i="15"/>
  <c r="AH204" i="15" s="1"/>
  <c r="AG190" i="15"/>
  <c r="AG204" i="15" s="1"/>
  <c r="AF190" i="15"/>
  <c r="AF204" i="15" s="1"/>
  <c r="AE190" i="15"/>
  <c r="AE204" i="15" s="1"/>
  <c r="BB189" i="15"/>
  <c r="BB203" i="15" s="1"/>
  <c r="BA189" i="15"/>
  <c r="BA203" i="15" s="1"/>
  <c r="AZ189" i="15"/>
  <c r="AZ203" i="15" s="1"/>
  <c r="AY189" i="15"/>
  <c r="AY203" i="15" s="1"/>
  <c r="AX189" i="15"/>
  <c r="AX203" i="15" s="1"/>
  <c r="AW189" i="15"/>
  <c r="AW203" i="15" s="1"/>
  <c r="AV189" i="15"/>
  <c r="AV203" i="15" s="1"/>
  <c r="AU189" i="15"/>
  <c r="AU203" i="15" s="1"/>
  <c r="AT189" i="15"/>
  <c r="AT203" i="15" s="1"/>
  <c r="AS189" i="15"/>
  <c r="AS203" i="15" s="1"/>
  <c r="AR189" i="15"/>
  <c r="AR203" i="15" s="1"/>
  <c r="AQ189" i="15"/>
  <c r="AQ203" i="15" s="1"/>
  <c r="AP189" i="15"/>
  <c r="AP203" i="15" s="1"/>
  <c r="AO189" i="15"/>
  <c r="AO203" i="15" s="1"/>
  <c r="AN189" i="15"/>
  <c r="AN203" i="15" s="1"/>
  <c r="AM189" i="15"/>
  <c r="AM203" i="15" s="1"/>
  <c r="AL189" i="15"/>
  <c r="AL203" i="15" s="1"/>
  <c r="AK189" i="15"/>
  <c r="AK203" i="15" s="1"/>
  <c r="AJ189" i="15"/>
  <c r="AJ203" i="15" s="1"/>
  <c r="AI189" i="15"/>
  <c r="AI203" i="15" s="1"/>
  <c r="AH189" i="15"/>
  <c r="AH203" i="15" s="1"/>
  <c r="AG189" i="15"/>
  <c r="AG203" i="15" s="1"/>
  <c r="AF189" i="15"/>
  <c r="AF203" i="15" s="1"/>
  <c r="AE189" i="15"/>
  <c r="AE203" i="15" s="1"/>
  <c r="BB188" i="15"/>
  <c r="BB202" i="15" s="1"/>
  <c r="BA188" i="15"/>
  <c r="BA202" i="15" s="1"/>
  <c r="AZ188" i="15"/>
  <c r="AZ202" i="15" s="1"/>
  <c r="AY188" i="15"/>
  <c r="AY202" i="15" s="1"/>
  <c r="AX188" i="15"/>
  <c r="AX202" i="15" s="1"/>
  <c r="AW188" i="15"/>
  <c r="AW202" i="15" s="1"/>
  <c r="AV188" i="15"/>
  <c r="AV202" i="15" s="1"/>
  <c r="AU188" i="15"/>
  <c r="AU202" i="15" s="1"/>
  <c r="AT188" i="15"/>
  <c r="AT202" i="15" s="1"/>
  <c r="AS188" i="15"/>
  <c r="AS202" i="15" s="1"/>
  <c r="AR188" i="15"/>
  <c r="AR202" i="15" s="1"/>
  <c r="AQ188" i="15"/>
  <c r="AQ202" i="15" s="1"/>
  <c r="AP188" i="15"/>
  <c r="AP202" i="15" s="1"/>
  <c r="AO188" i="15"/>
  <c r="AO202" i="15" s="1"/>
  <c r="AN188" i="15"/>
  <c r="AN202" i="15" s="1"/>
  <c r="AM188" i="15"/>
  <c r="AM202" i="15" s="1"/>
  <c r="AL188" i="15"/>
  <c r="AL202" i="15" s="1"/>
  <c r="AK188" i="15"/>
  <c r="AK202" i="15" s="1"/>
  <c r="AJ188" i="15"/>
  <c r="AJ202" i="15" s="1"/>
  <c r="AI188" i="15"/>
  <c r="AI202" i="15" s="1"/>
  <c r="AH188" i="15"/>
  <c r="AH202" i="15" s="1"/>
  <c r="AG188" i="15"/>
  <c r="AG202" i="15" s="1"/>
  <c r="AF188" i="15"/>
  <c r="AF202" i="15" s="1"/>
  <c r="AE188" i="15"/>
  <c r="AE202" i="15" s="1"/>
  <c r="BB187" i="15"/>
  <c r="BB201" i="15" s="1"/>
  <c r="AZ187" i="15"/>
  <c r="AZ201" i="15" s="1"/>
  <c r="AX187" i="15"/>
  <c r="AX201" i="15" s="1"/>
  <c r="AV187" i="15"/>
  <c r="AV201" i="15" s="1"/>
  <c r="AT187" i="15"/>
  <c r="AT201" i="15" s="1"/>
  <c r="AR187" i="15"/>
  <c r="AR201" i="15" s="1"/>
  <c r="AP187" i="15"/>
  <c r="AP201" i="15" s="1"/>
  <c r="AN187" i="15"/>
  <c r="AN201" i="15" s="1"/>
  <c r="AL187" i="15"/>
  <c r="AL201" i="15" s="1"/>
  <c r="AJ187" i="15"/>
  <c r="AJ201" i="15" s="1"/>
  <c r="AH187" i="15"/>
  <c r="AH201" i="15" s="1"/>
  <c r="AF187" i="15"/>
  <c r="AF201" i="15" s="1"/>
  <c r="AB187" i="15"/>
  <c r="AB191" i="15" s="1"/>
  <c r="BB186" i="15"/>
  <c r="BB200" i="15" s="1"/>
  <c r="BA186" i="15"/>
  <c r="BA200" i="15" s="1"/>
  <c r="AZ186" i="15"/>
  <c r="AZ200" i="15" s="1"/>
  <c r="AY186" i="15"/>
  <c r="AY200" i="15" s="1"/>
  <c r="AX186" i="15"/>
  <c r="AX200" i="15" s="1"/>
  <c r="AW186" i="15"/>
  <c r="AW200" i="15" s="1"/>
  <c r="AV186" i="15"/>
  <c r="AV200" i="15" s="1"/>
  <c r="AU186" i="15"/>
  <c r="AU200" i="15" s="1"/>
  <c r="AT186" i="15"/>
  <c r="AT200" i="15" s="1"/>
  <c r="AS186" i="15"/>
  <c r="AS200" i="15" s="1"/>
  <c r="AR186" i="15"/>
  <c r="AR200" i="15" s="1"/>
  <c r="AQ186" i="15"/>
  <c r="AQ200" i="15" s="1"/>
  <c r="AP186" i="15"/>
  <c r="AP200" i="15" s="1"/>
  <c r="AO186" i="15"/>
  <c r="AO200" i="15" s="1"/>
  <c r="AN186" i="15"/>
  <c r="AN200" i="15" s="1"/>
  <c r="AM186" i="15"/>
  <c r="AM200" i="15" s="1"/>
  <c r="AL186" i="15"/>
  <c r="AL200" i="15" s="1"/>
  <c r="AK186" i="15"/>
  <c r="AK200" i="15" s="1"/>
  <c r="AJ186" i="15"/>
  <c r="AJ200" i="15" s="1"/>
  <c r="AI186" i="15"/>
  <c r="AI200" i="15" s="1"/>
  <c r="AH186" i="15"/>
  <c r="AH200" i="15" s="1"/>
  <c r="AG186" i="15"/>
  <c r="AG200" i="15" s="1"/>
  <c r="AF186" i="15"/>
  <c r="AF200" i="15" s="1"/>
  <c r="AE186" i="15"/>
  <c r="AE200" i="15" s="1"/>
  <c r="AB186" i="15"/>
  <c r="BB185" i="15"/>
  <c r="BB199" i="15" s="1"/>
  <c r="BA185" i="15"/>
  <c r="BA199" i="15" s="1"/>
  <c r="AZ185" i="15"/>
  <c r="AZ199" i="15" s="1"/>
  <c r="AY185" i="15"/>
  <c r="AY199" i="15" s="1"/>
  <c r="AX185" i="15"/>
  <c r="AX199" i="15" s="1"/>
  <c r="AW185" i="15"/>
  <c r="AW199" i="15" s="1"/>
  <c r="AV185" i="15"/>
  <c r="AV199" i="15" s="1"/>
  <c r="AU185" i="15"/>
  <c r="AU199" i="15" s="1"/>
  <c r="AT185" i="15"/>
  <c r="AT199" i="15" s="1"/>
  <c r="AS185" i="15"/>
  <c r="AS199" i="15" s="1"/>
  <c r="AR185" i="15"/>
  <c r="AR199" i="15" s="1"/>
  <c r="AQ185" i="15"/>
  <c r="AQ199" i="15" s="1"/>
  <c r="AP185" i="15"/>
  <c r="AP199" i="15" s="1"/>
  <c r="AO185" i="15"/>
  <c r="AO199" i="15" s="1"/>
  <c r="AN185" i="15"/>
  <c r="AN199" i="15" s="1"/>
  <c r="AM185" i="15"/>
  <c r="AM199" i="15" s="1"/>
  <c r="AL185" i="15"/>
  <c r="AL199" i="15" s="1"/>
  <c r="AK185" i="15"/>
  <c r="AK199" i="15" s="1"/>
  <c r="AJ185" i="15"/>
  <c r="AJ199" i="15" s="1"/>
  <c r="AI185" i="15"/>
  <c r="AI199" i="15" s="1"/>
  <c r="AH185" i="15"/>
  <c r="AH199" i="15" s="1"/>
  <c r="AG185" i="15"/>
  <c r="AG199" i="15" s="1"/>
  <c r="AF185" i="15"/>
  <c r="AF199" i="15" s="1"/>
  <c r="AE185" i="15"/>
  <c r="AE199" i="15" s="1"/>
  <c r="AB185" i="15"/>
  <c r="BB184" i="15"/>
  <c r="BB198" i="15" s="1"/>
  <c r="BA184" i="15"/>
  <c r="BA198" i="15" s="1"/>
  <c r="AZ184" i="15"/>
  <c r="AZ198" i="15" s="1"/>
  <c r="AY184" i="15"/>
  <c r="AY198" i="15" s="1"/>
  <c r="AX184" i="15"/>
  <c r="AX198" i="15" s="1"/>
  <c r="AW184" i="15"/>
  <c r="AW198" i="15" s="1"/>
  <c r="AV184" i="15"/>
  <c r="AV198" i="15" s="1"/>
  <c r="AU184" i="15"/>
  <c r="AU198" i="15" s="1"/>
  <c r="AT184" i="15"/>
  <c r="AT198" i="15" s="1"/>
  <c r="AS184" i="15"/>
  <c r="AS198" i="15" s="1"/>
  <c r="AR184" i="15"/>
  <c r="AR198" i="15" s="1"/>
  <c r="AQ184" i="15"/>
  <c r="AQ198" i="15" s="1"/>
  <c r="AP184" i="15"/>
  <c r="AP198" i="15" s="1"/>
  <c r="AO184" i="15"/>
  <c r="AO198" i="15" s="1"/>
  <c r="AN184" i="15"/>
  <c r="AN198" i="15" s="1"/>
  <c r="AM184" i="15"/>
  <c r="AM198" i="15" s="1"/>
  <c r="AL184" i="15"/>
  <c r="AL198" i="15" s="1"/>
  <c r="AK184" i="15"/>
  <c r="AK198" i="15" s="1"/>
  <c r="AJ184" i="15"/>
  <c r="AJ198" i="15" s="1"/>
  <c r="AI184" i="15"/>
  <c r="AI198" i="15" s="1"/>
  <c r="AH184" i="15"/>
  <c r="AH198" i="15" s="1"/>
  <c r="AG184" i="15"/>
  <c r="AG198" i="15" s="1"/>
  <c r="AF184" i="15"/>
  <c r="AF198" i="15" s="1"/>
  <c r="AE184" i="15"/>
  <c r="AE198" i="15" s="1"/>
  <c r="AB184" i="15"/>
  <c r="BB183" i="15"/>
  <c r="AZ183" i="15"/>
  <c r="AX183" i="15"/>
  <c r="AV183" i="15"/>
  <c r="AT183" i="15"/>
  <c r="AR183" i="15"/>
  <c r="AP183" i="15"/>
  <c r="AN183" i="15"/>
  <c r="AL183" i="15"/>
  <c r="AJ183" i="15"/>
  <c r="AH183" i="15"/>
  <c r="AF183" i="15"/>
  <c r="AB182" i="15"/>
  <c r="AB181" i="15"/>
  <c r="AB180" i="15"/>
  <c r="AB179" i="15"/>
  <c r="AB178" i="15"/>
  <c r="AB176" i="15"/>
  <c r="AB174"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7" i="15" s="1"/>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63" i="15" s="1"/>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AB150" i="15"/>
  <c r="AB148" i="15"/>
  <c r="AB146"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9" i="15" s="1"/>
  <c r="AB144" i="15"/>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F126" i="15" a="1"/>
  <c r="F126" i="15" s="1"/>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AB125" i="15"/>
  <c r="AB124" i="15"/>
  <c r="AB123" i="15"/>
  <c r="AB122" i="15"/>
  <c r="AB121" i="15"/>
  <c r="AB119" i="15"/>
  <c r="AB117"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20" i="15" s="1"/>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AB111" i="15"/>
  <c r="AB110" i="15"/>
  <c r="AB109" i="15"/>
  <c r="AB108" i="15"/>
  <c r="AB102" i="15"/>
  <c r="AB106" i="15" s="1"/>
  <c r="AB101" i="15"/>
  <c r="AB100" i="15"/>
  <c r="AB99" i="15"/>
  <c r="BB97" i="15"/>
  <c r="BB111" i="15" s="1"/>
  <c r="BA97" i="15"/>
  <c r="BA111" i="15" s="1"/>
  <c r="AZ97" i="15"/>
  <c r="AZ111" i="15" s="1"/>
  <c r="AY97" i="15"/>
  <c r="AY111" i="15" s="1"/>
  <c r="AX97" i="15"/>
  <c r="AX111" i="15" s="1"/>
  <c r="AW97" i="15"/>
  <c r="AW111" i="15" s="1"/>
  <c r="AV97" i="15"/>
  <c r="AV111" i="15" s="1"/>
  <c r="AU97" i="15"/>
  <c r="AU111" i="15" s="1"/>
  <c r="AT97" i="15"/>
  <c r="AT111" i="15" s="1"/>
  <c r="AS97" i="15"/>
  <c r="AS111" i="15" s="1"/>
  <c r="AR97" i="15"/>
  <c r="AR111" i="15" s="1"/>
  <c r="AQ97" i="15"/>
  <c r="AQ111" i="15" s="1"/>
  <c r="AP97" i="15"/>
  <c r="AP111" i="15" s="1"/>
  <c r="AO97" i="15"/>
  <c r="AO111" i="15" s="1"/>
  <c r="AN97" i="15"/>
  <c r="AN111" i="15" s="1"/>
  <c r="AM97" i="15"/>
  <c r="AM111" i="15" s="1"/>
  <c r="AL97" i="15"/>
  <c r="AL111" i="15" s="1"/>
  <c r="AK97" i="15"/>
  <c r="AK111" i="15" s="1"/>
  <c r="AJ97" i="15"/>
  <c r="AJ111" i="15" s="1"/>
  <c r="AI97" i="15"/>
  <c r="AI111" i="15" s="1"/>
  <c r="AH97" i="15"/>
  <c r="AH111" i="15" s="1"/>
  <c r="AG97" i="15"/>
  <c r="AG111" i="15" s="1"/>
  <c r="AF97" i="15"/>
  <c r="AF111" i="15" s="1"/>
  <c r="AE97" i="15"/>
  <c r="AE111" i="15" s="1"/>
  <c r="AB97" i="15"/>
  <c r="BB96" i="15"/>
  <c r="BB110" i="15" s="1"/>
  <c r="BA96" i="15"/>
  <c r="BA110" i="15" s="1"/>
  <c r="AZ96" i="15"/>
  <c r="AZ110" i="15" s="1"/>
  <c r="AY96" i="15"/>
  <c r="AY110" i="15" s="1"/>
  <c r="AX96" i="15"/>
  <c r="AX110" i="15" s="1"/>
  <c r="AW96" i="15"/>
  <c r="AW110" i="15" s="1"/>
  <c r="AV96" i="15"/>
  <c r="AV110" i="15" s="1"/>
  <c r="AU96" i="15"/>
  <c r="AU110" i="15" s="1"/>
  <c r="AT96" i="15"/>
  <c r="AT110" i="15" s="1"/>
  <c r="AS96" i="15"/>
  <c r="AS110" i="15" s="1"/>
  <c r="AR96" i="15"/>
  <c r="AR110" i="15" s="1"/>
  <c r="AQ96" i="15"/>
  <c r="AQ110" i="15" s="1"/>
  <c r="AP96" i="15"/>
  <c r="AP110" i="15" s="1"/>
  <c r="AO96" i="15"/>
  <c r="AO110" i="15" s="1"/>
  <c r="AN96" i="15"/>
  <c r="AN110" i="15" s="1"/>
  <c r="AM96" i="15"/>
  <c r="AM110" i="15" s="1"/>
  <c r="AL96" i="15"/>
  <c r="AL110" i="15" s="1"/>
  <c r="AK96" i="15"/>
  <c r="AK110" i="15" s="1"/>
  <c r="AJ96" i="15"/>
  <c r="AJ110" i="15" s="1"/>
  <c r="AI96" i="15"/>
  <c r="AI110" i="15" s="1"/>
  <c r="AH96" i="15"/>
  <c r="AH110" i="15" s="1"/>
  <c r="AG96" i="15"/>
  <c r="AG110" i="15" s="1"/>
  <c r="AF96" i="15"/>
  <c r="AF110" i="15" s="1"/>
  <c r="AE96" i="15"/>
  <c r="AE110" i="15" s="1"/>
  <c r="AB96" i="15"/>
  <c r="BB95" i="15"/>
  <c r="BB109" i="15" s="1"/>
  <c r="BA95" i="15"/>
  <c r="BA109" i="15" s="1"/>
  <c r="AZ95" i="15"/>
  <c r="AZ109" i="15" s="1"/>
  <c r="AY95" i="15"/>
  <c r="AY109" i="15" s="1"/>
  <c r="AX95" i="15"/>
  <c r="AX109" i="15" s="1"/>
  <c r="AW95" i="15"/>
  <c r="AW109" i="15" s="1"/>
  <c r="AV95" i="15"/>
  <c r="AV109" i="15" s="1"/>
  <c r="AU95" i="15"/>
  <c r="AU109" i="15" s="1"/>
  <c r="AT95" i="15"/>
  <c r="AT109" i="15" s="1"/>
  <c r="AS95" i="15"/>
  <c r="AS109" i="15" s="1"/>
  <c r="AR95" i="15"/>
  <c r="AR109" i="15" s="1"/>
  <c r="AQ95" i="15"/>
  <c r="AQ109" i="15" s="1"/>
  <c r="AP95" i="15"/>
  <c r="AP109" i="15" s="1"/>
  <c r="AO95" i="15"/>
  <c r="AO109" i="15" s="1"/>
  <c r="AN95" i="15"/>
  <c r="AN109" i="15" s="1"/>
  <c r="AM95" i="15"/>
  <c r="AM109" i="15" s="1"/>
  <c r="AL95" i="15"/>
  <c r="AL109" i="15" s="1"/>
  <c r="AK95" i="15"/>
  <c r="AK109" i="15" s="1"/>
  <c r="AJ95" i="15"/>
  <c r="AJ109" i="15" s="1"/>
  <c r="AI95" i="15"/>
  <c r="AI109" i="15" s="1"/>
  <c r="AH95" i="15"/>
  <c r="AH109" i="15" s="1"/>
  <c r="AG95" i="15"/>
  <c r="AG109" i="15" s="1"/>
  <c r="AF95" i="15"/>
  <c r="AF109" i="15" s="1"/>
  <c r="AE95" i="15"/>
  <c r="AE109" i="15" s="1"/>
  <c r="AB95" i="15"/>
  <c r="BB94" i="15"/>
  <c r="BB108" i="15" s="1"/>
  <c r="BA94" i="15"/>
  <c r="BA108" i="15" s="1"/>
  <c r="AZ94" i="15"/>
  <c r="AZ108" i="15" s="1"/>
  <c r="AY94" i="15"/>
  <c r="AY108" i="15" s="1"/>
  <c r="AX94" i="15"/>
  <c r="AX108" i="15" s="1"/>
  <c r="AW94" i="15"/>
  <c r="AW108" i="15" s="1"/>
  <c r="AV94" i="15"/>
  <c r="AV108" i="15" s="1"/>
  <c r="AU94" i="15"/>
  <c r="AU108" i="15" s="1"/>
  <c r="AT94" i="15"/>
  <c r="AT108" i="15" s="1"/>
  <c r="AS94" i="15"/>
  <c r="AS108" i="15" s="1"/>
  <c r="AR94" i="15"/>
  <c r="AR108" i="15" s="1"/>
  <c r="AQ94" i="15"/>
  <c r="AQ108" i="15" s="1"/>
  <c r="AP94" i="15"/>
  <c r="AP108" i="15" s="1"/>
  <c r="AO94" i="15"/>
  <c r="AO108" i="15" s="1"/>
  <c r="AN94" i="15"/>
  <c r="AN108" i="15" s="1"/>
  <c r="AM94" i="15"/>
  <c r="AM108" i="15" s="1"/>
  <c r="AL94" i="15"/>
  <c r="AL108" i="15" s="1"/>
  <c r="AK94" i="15"/>
  <c r="AK108" i="15" s="1"/>
  <c r="AJ94" i="15"/>
  <c r="AJ108" i="15" s="1"/>
  <c r="AI94" i="15"/>
  <c r="AI108" i="15" s="1"/>
  <c r="AH94" i="15"/>
  <c r="AH108" i="15" s="1"/>
  <c r="AG94" i="15"/>
  <c r="AG108" i="15" s="1"/>
  <c r="AF94" i="15"/>
  <c r="AF108" i="15" s="1"/>
  <c r="AE94" i="15"/>
  <c r="AE108" i="15" s="1"/>
  <c r="AB94" i="15"/>
  <c r="BB93" i="15"/>
  <c r="BB107" i="15" s="1"/>
  <c r="BA93" i="15"/>
  <c r="BA107" i="15" s="1"/>
  <c r="AZ93" i="15"/>
  <c r="AZ107" i="15" s="1"/>
  <c r="AY93" i="15"/>
  <c r="AY107" i="15" s="1"/>
  <c r="AX93" i="15"/>
  <c r="AX107" i="15" s="1"/>
  <c r="AW93" i="15"/>
  <c r="AW107" i="15" s="1"/>
  <c r="AV93" i="15"/>
  <c r="AV107" i="15" s="1"/>
  <c r="AU93" i="15"/>
  <c r="AU107" i="15" s="1"/>
  <c r="AT93" i="15"/>
  <c r="AT107" i="15" s="1"/>
  <c r="AS93" i="15"/>
  <c r="AS107" i="15" s="1"/>
  <c r="AR93" i="15"/>
  <c r="AR107" i="15" s="1"/>
  <c r="AQ93" i="15"/>
  <c r="AQ107" i="15" s="1"/>
  <c r="AP93" i="15"/>
  <c r="AP107" i="15" s="1"/>
  <c r="AO93" i="15"/>
  <c r="AO107" i="15" s="1"/>
  <c r="AN93" i="15"/>
  <c r="AN107" i="15" s="1"/>
  <c r="AM93" i="15"/>
  <c r="AM107" i="15" s="1"/>
  <c r="AL93" i="15"/>
  <c r="AL107" i="15" s="1"/>
  <c r="AK93" i="15"/>
  <c r="AK107" i="15" s="1"/>
  <c r="AJ93" i="15"/>
  <c r="AJ107" i="15" s="1"/>
  <c r="AI93" i="15"/>
  <c r="AI107" i="15" s="1"/>
  <c r="AH93" i="15"/>
  <c r="AH107" i="15" s="1"/>
  <c r="AG93" i="15"/>
  <c r="AG107" i="15" s="1"/>
  <c r="AF93" i="15"/>
  <c r="AF107" i="15" s="1"/>
  <c r="AE93" i="15"/>
  <c r="AE107" i="15" s="1"/>
  <c r="BB92" i="15"/>
  <c r="BB106" i="15" s="1"/>
  <c r="BA92" i="15"/>
  <c r="BA106" i="15" s="1"/>
  <c r="AZ92" i="15"/>
  <c r="AZ106" i="15" s="1"/>
  <c r="AY92" i="15"/>
  <c r="AY106" i="15" s="1"/>
  <c r="AX92" i="15"/>
  <c r="AX106" i="15" s="1"/>
  <c r="AW92" i="15"/>
  <c r="AW106" i="15" s="1"/>
  <c r="AV92" i="15"/>
  <c r="AV106" i="15" s="1"/>
  <c r="AU92" i="15"/>
  <c r="AU106" i="15" s="1"/>
  <c r="AT92" i="15"/>
  <c r="AT106" i="15" s="1"/>
  <c r="AS92" i="15"/>
  <c r="AS106" i="15" s="1"/>
  <c r="AR92" i="15"/>
  <c r="AR106" i="15" s="1"/>
  <c r="AQ92" i="15"/>
  <c r="AQ106" i="15" s="1"/>
  <c r="AP92" i="15"/>
  <c r="AP106" i="15" s="1"/>
  <c r="AO92" i="15"/>
  <c r="AO106" i="15" s="1"/>
  <c r="AN92" i="15"/>
  <c r="AN106" i="15" s="1"/>
  <c r="AM92" i="15"/>
  <c r="AM106" i="15" s="1"/>
  <c r="AL92" i="15"/>
  <c r="AL106" i="15" s="1"/>
  <c r="AK92" i="15"/>
  <c r="AK106" i="15" s="1"/>
  <c r="AJ92" i="15"/>
  <c r="AJ106" i="15" s="1"/>
  <c r="AI92" i="15"/>
  <c r="AI106" i="15" s="1"/>
  <c r="AH92" i="15"/>
  <c r="AH106" i="15" s="1"/>
  <c r="AG92" i="15"/>
  <c r="AG106" i="15" s="1"/>
  <c r="AF92" i="15"/>
  <c r="AF106" i="15" s="1"/>
  <c r="AE92" i="15"/>
  <c r="AE106" i="15" s="1"/>
  <c r="BB91" i="15"/>
  <c r="BB105" i="15" s="1"/>
  <c r="BA91" i="15"/>
  <c r="BA105" i="15" s="1"/>
  <c r="AZ91" i="15"/>
  <c r="AZ105" i="15" s="1"/>
  <c r="AY91" i="15"/>
  <c r="AY105" i="15" s="1"/>
  <c r="AX91" i="15"/>
  <c r="AX105" i="15" s="1"/>
  <c r="AW91" i="15"/>
  <c r="AW105" i="15" s="1"/>
  <c r="AV91" i="15"/>
  <c r="AV105" i="15" s="1"/>
  <c r="AU91" i="15"/>
  <c r="AU105" i="15" s="1"/>
  <c r="AT91" i="15"/>
  <c r="AT105" i="15" s="1"/>
  <c r="AS91" i="15"/>
  <c r="AS105" i="15" s="1"/>
  <c r="AR91" i="15"/>
  <c r="AR105" i="15" s="1"/>
  <c r="AQ91" i="15"/>
  <c r="AQ105" i="15" s="1"/>
  <c r="AP91" i="15"/>
  <c r="AP105" i="15" s="1"/>
  <c r="AO91" i="15"/>
  <c r="AO105" i="15" s="1"/>
  <c r="AN91" i="15"/>
  <c r="AN105" i="15" s="1"/>
  <c r="AM91" i="15"/>
  <c r="AM105" i="15" s="1"/>
  <c r="AL91" i="15"/>
  <c r="AL105" i="15" s="1"/>
  <c r="AK91" i="15"/>
  <c r="AK105" i="15" s="1"/>
  <c r="AJ91" i="15"/>
  <c r="AJ105" i="15" s="1"/>
  <c r="AI91" i="15"/>
  <c r="AI105" i="15" s="1"/>
  <c r="AH91" i="15"/>
  <c r="AH105" i="15" s="1"/>
  <c r="AG91" i="15"/>
  <c r="AG105" i="15" s="1"/>
  <c r="AF91" i="15"/>
  <c r="AF105" i="15" s="1"/>
  <c r="AE91" i="15"/>
  <c r="AE105" i="15" s="1"/>
  <c r="BB90" i="15"/>
  <c r="BB104" i="15" s="1"/>
  <c r="BA90" i="15"/>
  <c r="BA104" i="15" s="1"/>
  <c r="AZ90" i="15"/>
  <c r="AZ104" i="15" s="1"/>
  <c r="AY90" i="15"/>
  <c r="AY104" i="15" s="1"/>
  <c r="AX90" i="15"/>
  <c r="AX104" i="15" s="1"/>
  <c r="AW90" i="15"/>
  <c r="AW104" i="15" s="1"/>
  <c r="AV90" i="15"/>
  <c r="AV104" i="15" s="1"/>
  <c r="AU90" i="15"/>
  <c r="AU104" i="15" s="1"/>
  <c r="AT90" i="15"/>
  <c r="AT104" i="15" s="1"/>
  <c r="AS90" i="15"/>
  <c r="AS104" i="15" s="1"/>
  <c r="AR90" i="15"/>
  <c r="AR104" i="15" s="1"/>
  <c r="AQ90" i="15"/>
  <c r="AQ104" i="15" s="1"/>
  <c r="AP90" i="15"/>
  <c r="AP104" i="15" s="1"/>
  <c r="AO90" i="15"/>
  <c r="AO104" i="15" s="1"/>
  <c r="AN90" i="15"/>
  <c r="AN104" i="15" s="1"/>
  <c r="AM90" i="15"/>
  <c r="AM104" i="15" s="1"/>
  <c r="AL90" i="15"/>
  <c r="AL104" i="15" s="1"/>
  <c r="AK90" i="15"/>
  <c r="AK104" i="15" s="1"/>
  <c r="AJ90" i="15"/>
  <c r="AJ104" i="15" s="1"/>
  <c r="AI90" i="15"/>
  <c r="AI104" i="15" s="1"/>
  <c r="AH90" i="15"/>
  <c r="AH104" i="15" s="1"/>
  <c r="AG90" i="15"/>
  <c r="AG104" i="15" s="1"/>
  <c r="AF90" i="15"/>
  <c r="AF104" i="15" s="1"/>
  <c r="AE90" i="15"/>
  <c r="AE104" i="15" s="1"/>
  <c r="BB89" i="15"/>
  <c r="BB103" i="15" s="1"/>
  <c r="BA89" i="15"/>
  <c r="BA103" i="15" s="1"/>
  <c r="AZ89" i="15"/>
  <c r="AZ103" i="15" s="1"/>
  <c r="AY89" i="15"/>
  <c r="AY103" i="15" s="1"/>
  <c r="AX89" i="15"/>
  <c r="AX103" i="15" s="1"/>
  <c r="AW89" i="15"/>
  <c r="AW103" i="15" s="1"/>
  <c r="AV89" i="15"/>
  <c r="AV103" i="15" s="1"/>
  <c r="AU89" i="15"/>
  <c r="AU103" i="15" s="1"/>
  <c r="AT89" i="15"/>
  <c r="AT103" i="15" s="1"/>
  <c r="AS89" i="15"/>
  <c r="AS103" i="15" s="1"/>
  <c r="AR89" i="15"/>
  <c r="AR103" i="15" s="1"/>
  <c r="AQ89" i="15"/>
  <c r="AQ103" i="15" s="1"/>
  <c r="AP89" i="15"/>
  <c r="AP103" i="15" s="1"/>
  <c r="AO89" i="15"/>
  <c r="AO103" i="15" s="1"/>
  <c r="AN89" i="15"/>
  <c r="AN103" i="15" s="1"/>
  <c r="AM89" i="15"/>
  <c r="AM103" i="15" s="1"/>
  <c r="AL89" i="15"/>
  <c r="AL103" i="15" s="1"/>
  <c r="AK89" i="15"/>
  <c r="AK103" i="15" s="1"/>
  <c r="AJ89" i="15"/>
  <c r="AJ103" i="15" s="1"/>
  <c r="AI89" i="15"/>
  <c r="AI103" i="15" s="1"/>
  <c r="AH89" i="15"/>
  <c r="AH103" i="15" s="1"/>
  <c r="AG89" i="15"/>
  <c r="AG103" i="15" s="1"/>
  <c r="AF89" i="15"/>
  <c r="AF103" i="15" s="1"/>
  <c r="AE89" i="15"/>
  <c r="AE103" i="15" s="1"/>
  <c r="AB89" i="15"/>
  <c r="BA88" i="15"/>
  <c r="BA102" i="15" s="1"/>
  <c r="AY88" i="15"/>
  <c r="AY102" i="15" s="1"/>
  <c r="AW88" i="15"/>
  <c r="AW102" i="15" s="1"/>
  <c r="AU88" i="15"/>
  <c r="AU102" i="15" s="1"/>
  <c r="AS88" i="15"/>
  <c r="AS102" i="15" s="1"/>
  <c r="AQ88" i="15"/>
  <c r="AQ102" i="15" s="1"/>
  <c r="AO88" i="15"/>
  <c r="AO102" i="15" s="1"/>
  <c r="AM88" i="15"/>
  <c r="AM102" i="15" s="1"/>
  <c r="AK88" i="15"/>
  <c r="AK102" i="15" s="1"/>
  <c r="AI88" i="15"/>
  <c r="AI102" i="15" s="1"/>
  <c r="AG88" i="15"/>
  <c r="AG102" i="15" s="1"/>
  <c r="AE88" i="15"/>
  <c r="AE102" i="15" s="1"/>
  <c r="AB88" i="15"/>
  <c r="AB93" i="15" s="1"/>
  <c r="BB87" i="15"/>
  <c r="BB101" i="15" s="1"/>
  <c r="BA87" i="15"/>
  <c r="BA101" i="15" s="1"/>
  <c r="AZ87" i="15"/>
  <c r="AZ101" i="15" s="1"/>
  <c r="AY87" i="15"/>
  <c r="AY101" i="15" s="1"/>
  <c r="AX87" i="15"/>
  <c r="AX101" i="15" s="1"/>
  <c r="AW87" i="15"/>
  <c r="AW101" i="15" s="1"/>
  <c r="AV87" i="15"/>
  <c r="AV101" i="15" s="1"/>
  <c r="AU87" i="15"/>
  <c r="AU101" i="15" s="1"/>
  <c r="AT87" i="15"/>
  <c r="AT101" i="15" s="1"/>
  <c r="AS87" i="15"/>
  <c r="AS101" i="15" s="1"/>
  <c r="AR87" i="15"/>
  <c r="AR101" i="15" s="1"/>
  <c r="AQ87" i="15"/>
  <c r="AQ101" i="15" s="1"/>
  <c r="AP87" i="15"/>
  <c r="AP101" i="15" s="1"/>
  <c r="AO87" i="15"/>
  <c r="AO101" i="15" s="1"/>
  <c r="AN87" i="15"/>
  <c r="AN101" i="15" s="1"/>
  <c r="AM87" i="15"/>
  <c r="AM101" i="15" s="1"/>
  <c r="AL87" i="15"/>
  <c r="AL101" i="15" s="1"/>
  <c r="AK87" i="15"/>
  <c r="AK101" i="15" s="1"/>
  <c r="AJ87" i="15"/>
  <c r="AJ101" i="15" s="1"/>
  <c r="AI87" i="15"/>
  <c r="AI101" i="15" s="1"/>
  <c r="AH87" i="15"/>
  <c r="AH101" i="15" s="1"/>
  <c r="AG87" i="15"/>
  <c r="AG101" i="15" s="1"/>
  <c r="AF87" i="15"/>
  <c r="AF101" i="15" s="1"/>
  <c r="AE87" i="15"/>
  <c r="AE101" i="15" s="1"/>
  <c r="AB87" i="15"/>
  <c r="BB86" i="15"/>
  <c r="BB100" i="15" s="1"/>
  <c r="BA86" i="15"/>
  <c r="BA100" i="15" s="1"/>
  <c r="AZ86" i="15"/>
  <c r="AZ100" i="15" s="1"/>
  <c r="AY86" i="15"/>
  <c r="AY100" i="15" s="1"/>
  <c r="AX86" i="15"/>
  <c r="AX100" i="15" s="1"/>
  <c r="AW86" i="15"/>
  <c r="AW100" i="15" s="1"/>
  <c r="AV86" i="15"/>
  <c r="AV100" i="15" s="1"/>
  <c r="AU86" i="15"/>
  <c r="AU100" i="15" s="1"/>
  <c r="AT86" i="15"/>
  <c r="AT100" i="15" s="1"/>
  <c r="AS86" i="15"/>
  <c r="AS100" i="15" s="1"/>
  <c r="AR86" i="15"/>
  <c r="AR100" i="15" s="1"/>
  <c r="AQ86" i="15"/>
  <c r="AQ100" i="15" s="1"/>
  <c r="AP86" i="15"/>
  <c r="AP100" i="15" s="1"/>
  <c r="AO86" i="15"/>
  <c r="AO100" i="15" s="1"/>
  <c r="AN86" i="15"/>
  <c r="AN100" i="15" s="1"/>
  <c r="AM86" i="15"/>
  <c r="AM100" i="15" s="1"/>
  <c r="AL86" i="15"/>
  <c r="AL100" i="15" s="1"/>
  <c r="AK86" i="15"/>
  <c r="AK100" i="15" s="1"/>
  <c r="AJ86" i="15"/>
  <c r="AJ100" i="15" s="1"/>
  <c r="AI86" i="15"/>
  <c r="AI100" i="15" s="1"/>
  <c r="AH86" i="15"/>
  <c r="AH100" i="15" s="1"/>
  <c r="AG86" i="15"/>
  <c r="AG100" i="15" s="1"/>
  <c r="AF86" i="15"/>
  <c r="AF100" i="15" s="1"/>
  <c r="AE86" i="15"/>
  <c r="AE100" i="15" s="1"/>
  <c r="AB86" i="15"/>
  <c r="BB85" i="15"/>
  <c r="BB99" i="15" s="1"/>
  <c r="BA85" i="15"/>
  <c r="BA99" i="15" s="1"/>
  <c r="AZ85" i="15"/>
  <c r="AZ99" i="15" s="1"/>
  <c r="AY85" i="15"/>
  <c r="AY99" i="15" s="1"/>
  <c r="AX85" i="15"/>
  <c r="AX99" i="15" s="1"/>
  <c r="AW85" i="15"/>
  <c r="AW99" i="15" s="1"/>
  <c r="AV85" i="15"/>
  <c r="AV99" i="15" s="1"/>
  <c r="AU85" i="15"/>
  <c r="AU99" i="15" s="1"/>
  <c r="AT85" i="15"/>
  <c r="AT99" i="15" s="1"/>
  <c r="AS85" i="15"/>
  <c r="AS99" i="15" s="1"/>
  <c r="AR85" i="15"/>
  <c r="AR99" i="15" s="1"/>
  <c r="AQ85" i="15"/>
  <c r="AQ99" i="15" s="1"/>
  <c r="AP85" i="15"/>
  <c r="AP99" i="15" s="1"/>
  <c r="AO85" i="15"/>
  <c r="AO99" i="15" s="1"/>
  <c r="AN85" i="15"/>
  <c r="AN99" i="15" s="1"/>
  <c r="AM85" i="15"/>
  <c r="AM99" i="15" s="1"/>
  <c r="AL85" i="15"/>
  <c r="AL99" i="15" s="1"/>
  <c r="AK85" i="15"/>
  <c r="AK99" i="15" s="1"/>
  <c r="AJ85" i="15"/>
  <c r="AJ99" i="15" s="1"/>
  <c r="AI85" i="15"/>
  <c r="AI99" i="15" s="1"/>
  <c r="AH85" i="15"/>
  <c r="AH99" i="15" s="1"/>
  <c r="AG85" i="15"/>
  <c r="AG99" i="15" s="1"/>
  <c r="AF85" i="15"/>
  <c r="AF99" i="15" s="1"/>
  <c r="AE85" i="15"/>
  <c r="AE99" i="15" s="1"/>
  <c r="AB85" i="15"/>
  <c r="BA84" i="15"/>
  <c r="AY84" i="15"/>
  <c r="AW84" i="15"/>
  <c r="AU84" i="15"/>
  <c r="AS84" i="15"/>
  <c r="AQ84" i="15"/>
  <c r="AO84" i="15"/>
  <c r="AM84" i="15"/>
  <c r="AK84" i="15"/>
  <c r="AI84" i="15"/>
  <c r="AG84" i="15"/>
  <c r="AE84" i="15"/>
  <c r="AB83" i="15"/>
  <c r="AB82" i="15"/>
  <c r="AB81" i="15"/>
  <c r="AB80"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8" i="15" s="1"/>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AB65" i="15"/>
  <c r="AB63" i="15"/>
  <c r="AB61"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64" i="15" s="1"/>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50" i="15" s="1"/>
  <c r="AB45" i="15"/>
  <c r="AB44" i="15"/>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F27" i="15" a="1"/>
  <c r="F27" i="15"/>
  <c r="F28" i="15" s="1"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c r="BA10" i="15" a="1"/>
  <c r="BA10" i="15"/>
  <c r="AZ10" i="15" a="1"/>
  <c r="AZ10" i="15"/>
  <c r="AY10" i="15" a="1"/>
  <c r="AY10" i="15"/>
  <c r="AX10" i="15" a="1"/>
  <c r="AX10" i="15"/>
  <c r="AW10" i="15" a="1"/>
  <c r="AW10" i="15"/>
  <c r="AV10" i="15" a="1"/>
  <c r="AV10" i="15"/>
  <c r="AU10" i="15" a="1"/>
  <c r="AU10" i="15"/>
  <c r="AT10" i="15" a="1"/>
  <c r="AT10" i="15"/>
  <c r="AS10" i="15" a="1"/>
  <c r="AS10" i="15" s="1"/>
  <c r="AR10" i="15" a="1"/>
  <c r="AR10" i="15" s="1"/>
  <c r="AQ10" i="15" a="1"/>
  <c r="AQ10" i="15" s="1"/>
  <c r="AP10" i="15" a="1"/>
  <c r="AP10" i="15" s="1"/>
  <c r="AO10" i="15" a="1"/>
  <c r="AO10" i="15" s="1"/>
  <c r="AN10" i="15" a="1"/>
  <c r="AN10" i="15" s="1"/>
  <c r="AM10" i="15" a="1"/>
  <c r="AM10" i="15" s="1"/>
  <c r="AL10" i="15" a="1"/>
  <c r="AL10" i="15" s="1"/>
  <c r="AK10" i="15" a="1"/>
  <c r="AK10" i="15" s="1"/>
  <c r="AJ10" i="15" a="1"/>
  <c r="AJ10" i="15" s="1"/>
  <c r="AI10" i="15" a="1"/>
  <c r="AI10" i="15" s="1"/>
  <c r="AH10" i="15" a="1"/>
  <c r="AH10" i="15" s="1"/>
  <c r="AG10" i="15" a="1"/>
  <c r="AG10" i="15" s="1"/>
  <c r="AF10" i="15" a="1"/>
  <c r="AF10" i="15" s="1"/>
  <c r="AE10" i="15" a="1"/>
  <c r="AE10" i="15" s="1"/>
  <c r="BB9" i="15"/>
  <c r="BA9" i="15"/>
  <c r="AZ9" i="15"/>
  <c r="AY9" i="15"/>
  <c r="AX9" i="15"/>
  <c r="AW9" i="15"/>
  <c r="AV9" i="15"/>
  <c r="AU9" i="15"/>
  <c r="AT9" i="15"/>
  <c r="AS9" i="15" a="1"/>
  <c r="AS9" i="15"/>
  <c r="AR9" i="15"/>
  <c r="AQ9" i="15"/>
  <c r="AP9" i="15"/>
  <c r="AO9" i="15"/>
  <c r="AN9" i="15"/>
  <c r="AM9" i="15"/>
  <c r="AL9" i="15"/>
  <c r="AK9" i="15"/>
  <c r="AJ9" i="15"/>
  <c r="AI9" i="15" a="1"/>
  <c r="AI9" i="15" s="1"/>
  <c r="AH9" i="15"/>
  <c r="AG9" i="15"/>
  <c r="AF9" i="15"/>
  <c r="AE9" i="15"/>
  <c r="BB7" i="15" a="1"/>
  <c r="BB7" i="15" s="1"/>
  <c r="BA7" i="15" a="1"/>
  <c r="BA7" i="15" s="1"/>
  <c r="AZ7" i="15" a="1"/>
  <c r="AZ7" i="15" s="1"/>
  <c r="AY7" i="15" a="1"/>
  <c r="AY7" i="15" s="1"/>
  <c r="AX7" i="15" a="1"/>
  <c r="AX7" i="15" s="1"/>
  <c r="AW7" i="15" a="1"/>
  <c r="AW7" i="15" s="1"/>
  <c r="AV7" i="15" a="1"/>
  <c r="AV7" i="15" s="1"/>
  <c r="AU7" i="15" a="1"/>
  <c r="AU7" i="15" s="1"/>
  <c r="AT7" i="15" a="1"/>
  <c r="AT7" i="15" s="1"/>
  <c r="AS7" i="15" a="1"/>
  <c r="AS7" i="15" s="1"/>
  <c r="AR7" i="15" a="1"/>
  <c r="AR7" i="15" s="1"/>
  <c r="AQ7" i="15" a="1"/>
  <c r="AQ7" i="15" s="1"/>
  <c r="AP7" i="15" a="1"/>
  <c r="AP7" i="15" s="1"/>
  <c r="AO7" i="15" a="1"/>
  <c r="AO7" i="15" s="1"/>
  <c r="AN7" i="15" a="1"/>
  <c r="AN7" i="15" s="1"/>
  <c r="AM7" i="15" a="1"/>
  <c r="AM7" i="15" s="1"/>
  <c r="AL7" i="15" a="1"/>
  <c r="AL7" i="15" s="1"/>
  <c r="AK7" i="15" a="1"/>
  <c r="AK7" i="15" s="1"/>
  <c r="AJ7" i="15" a="1"/>
  <c r="AJ7" i="15" s="1"/>
  <c r="AI7" i="15" a="1"/>
  <c r="AI7" i="15" s="1"/>
  <c r="AH7" i="15" a="1"/>
  <c r="AH7" i="15" s="1"/>
  <c r="AG7" i="15" a="1"/>
  <c r="AG7" i="15" s="1"/>
  <c r="AF7" i="15" a="1"/>
  <c r="AF7" i="15" s="1"/>
  <c r="AE7" i="15" a="1"/>
  <c r="AE7" i="15" s="1"/>
  <c r="BB6" i="15"/>
  <c r="BA6" i="15"/>
  <c r="AZ6" i="15"/>
  <c r="AY6" i="15"/>
  <c r="AX6" i="15"/>
  <c r="AW6" i="15"/>
  <c r="AV6" i="15"/>
  <c r="AU6" i="15"/>
  <c r="AT6" i="15"/>
  <c r="AS6" i="15" a="1"/>
  <c r="AS6" i="15"/>
  <c r="AR6" i="15"/>
  <c r="AQ6" i="15"/>
  <c r="AP6" i="15"/>
  <c r="AO6" i="15"/>
  <c r="AN6" i="15"/>
  <c r="AM6" i="15"/>
  <c r="AL6" i="15"/>
  <c r="AK6" i="15"/>
  <c r="AJ6" i="15"/>
  <c r="AI6" i="15" a="1"/>
  <c r="AI6" i="15" s="1"/>
  <c r="AH6" i="15"/>
  <c r="AG6" i="15"/>
  <c r="AF6" i="15"/>
  <c r="AE6" i="15"/>
  <c r="T63" i="14"/>
  <c r="AB57" i="14"/>
  <c r="AR56" i="14"/>
  <c r="AQ56" i="14"/>
  <c r="AP56" i="14"/>
  <c r="AO56" i="14"/>
  <c r="AN56" i="14"/>
  <c r="AM56" i="14"/>
  <c r="AL56" i="14"/>
  <c r="AK56" i="14"/>
  <c r="AJ56" i="14"/>
  <c r="AI56" i="14"/>
  <c r="AG56" i="14"/>
  <c r="AF56" i="14"/>
  <c r="AB56" i="14"/>
  <c r="BH55" i="14" a="1"/>
  <c r="BH55" i="14"/>
  <c r="BH57" i="14" s="1" a="1"/>
  <c r="BH57" i="14" s="1"/>
  <c r="BB55" i="14"/>
  <c r="BA55" i="14"/>
  <c r="AZ55" i="14"/>
  <c r="AY55" i="14"/>
  <c r="AX55" i="14"/>
  <c r="AW55" i="14"/>
  <c r="AV55" i="14"/>
  <c r="AU55" i="14"/>
  <c r="AT55" i="14"/>
  <c r="AS55" i="14"/>
  <c r="AH55" i="14"/>
  <c r="AE55" i="14"/>
  <c r="AB55" i="14"/>
  <c r="H55" i="14" a="1"/>
  <c r="H55" i="14"/>
  <c r="H57" i="14" s="1" a="1"/>
  <c r="H57" i="14" s="1"/>
  <c r="AB54" i="14"/>
  <c r="AR53" i="14"/>
  <c r="AQ53" i="14"/>
  <c r="AP53" i="14"/>
  <c r="AO53" i="14"/>
  <c r="AN53" i="14"/>
  <c r="AM53" i="14"/>
  <c r="AL53" i="14"/>
  <c r="AK53" i="14"/>
  <c r="AJ53" i="14"/>
  <c r="AI53" i="14"/>
  <c r="AG53" i="14"/>
  <c r="AF53" i="14"/>
  <c r="AB53" i="14"/>
  <c r="BH52" i="14" a="1"/>
  <c r="BH52" i="14"/>
  <c r="BH54" i="14" s="1" a="1"/>
  <c r="BH54" i="14" s="1"/>
  <c r="BB52" i="14"/>
  <c r="BA52" i="14"/>
  <c r="BA50" i="14" s="1"/>
  <c r="BA40" i="14" s="1"/>
  <c r="AZ52" i="14"/>
  <c r="AY52" i="14"/>
  <c r="AX52" i="14"/>
  <c r="AW52" i="14"/>
  <c r="AV52" i="14"/>
  <c r="AU52" i="14"/>
  <c r="AT52" i="14"/>
  <c r="AS52" i="14"/>
  <c r="AH52" i="14"/>
  <c r="AE52" i="14"/>
  <c r="AB52" i="14"/>
  <c r="H52" i="14" a="1"/>
  <c r="H52" i="14"/>
  <c r="H54" i="14" s="1" a="1"/>
  <c r="H54" i="14" s="1"/>
  <c r="BF51" i="14"/>
  <c r="BB50" i="14"/>
  <c r="AZ50" i="14"/>
  <c r="AY50" i="14"/>
  <c r="AX50" i="14"/>
  <c r="AW50" i="14"/>
  <c r="AV50" i="14"/>
  <c r="AU50" i="14"/>
  <c r="AT50" i="14"/>
  <c r="AS50" i="14"/>
  <c r="AR50" i="14"/>
  <c r="AQ50" i="14"/>
  <c r="AP50" i="14"/>
  <c r="AO50" i="14"/>
  <c r="AN50" i="14"/>
  <c r="AM50" i="14"/>
  <c r="AL50" i="14"/>
  <c r="AK50" i="14"/>
  <c r="AJ50" i="14"/>
  <c r="AI50" i="14"/>
  <c r="AH50" i="14"/>
  <c r="AG50" i="14"/>
  <c r="AF50" i="14"/>
  <c r="AE50" i="14"/>
  <c r="BF49" i="14"/>
  <c r="AR47" i="14"/>
  <c r="AQ47" i="14"/>
  <c r="AP47" i="14"/>
  <c r="AO47" i="14"/>
  <c r="AN47" i="14"/>
  <c r="AM47" i="14"/>
  <c r="AL47" i="14"/>
  <c r="AK47" i="14"/>
  <c r="AJ47" i="14"/>
  <c r="AI47" i="14"/>
  <c r="AG47" i="14"/>
  <c r="AF47" i="14"/>
  <c r="BH46" i="14" a="1"/>
  <c r="BH46" i="14" s="1"/>
  <c r="BB46" i="14"/>
  <c r="BA46" i="14"/>
  <c r="AZ46" i="14"/>
  <c r="AY46" i="14"/>
  <c r="AX46" i="14"/>
  <c r="AW46" i="14"/>
  <c r="AV46" i="14"/>
  <c r="AU46" i="14"/>
  <c r="AT46" i="14"/>
  <c r="AS46" i="14"/>
  <c r="AH46" i="14"/>
  <c r="AE46" i="14"/>
  <c r="AB46" i="14"/>
  <c r="AB48" i="14" s="1"/>
  <c r="H46" i="14" a="1"/>
  <c r="H46" i="14" s="1"/>
  <c r="AR44" i="14"/>
  <c r="AQ44" i="14"/>
  <c r="AP44" i="14"/>
  <c r="AO44" i="14"/>
  <c r="AN44" i="14"/>
  <c r="AM44" i="14"/>
  <c r="AL44" i="14"/>
  <c r="AK44" i="14"/>
  <c r="AJ44" i="14"/>
  <c r="AI44" i="14"/>
  <c r="AG44" i="14"/>
  <c r="AF44" i="14"/>
  <c r="BH43" i="14" a="1"/>
  <c r="BH43" i="14" s="1"/>
  <c r="BB43" i="14"/>
  <c r="BA43" i="14"/>
  <c r="AZ43" i="14"/>
  <c r="AY43" i="14"/>
  <c r="AX43" i="14"/>
  <c r="AW43" i="14"/>
  <c r="AV43" i="14"/>
  <c r="AU43" i="14"/>
  <c r="AT43" i="14"/>
  <c r="AS43" i="14"/>
  <c r="AH43" i="14"/>
  <c r="AE43" i="14"/>
  <c r="AB43" i="14"/>
  <c r="AB45" i="14" s="1"/>
  <c r="H43" i="14" a="1"/>
  <c r="H43" i="14" s="1"/>
  <c r="BF42"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BB40" i="14"/>
  <c r="AZ40" i="14"/>
  <c r="AY40" i="14"/>
  <c r="AX40" i="14"/>
  <c r="AW40" i="14"/>
  <c r="AV40" i="14"/>
  <c r="AU40" i="14"/>
  <c r="AT40" i="14"/>
  <c r="AS40" i="14"/>
  <c r="AR40" i="14"/>
  <c r="AQ40" i="14"/>
  <c r="AP40" i="14"/>
  <c r="AO40" i="14"/>
  <c r="AN40" i="14"/>
  <c r="AM40" i="14"/>
  <c r="AL40" i="14"/>
  <c r="AK40" i="14"/>
  <c r="AJ40" i="14"/>
  <c r="AI40" i="14"/>
  <c r="AH40" i="14"/>
  <c r="AG40" i="14"/>
  <c r="AF40" i="14"/>
  <c r="AE40" i="14"/>
  <c r="T40" i="14"/>
  <c r="T41" i="14" s="1" a="1"/>
  <c r="T41" i="14" s="1"/>
  <c r="T42" i="14" s="1" a="1"/>
  <c r="T42" i="14" s="1"/>
  <c r="F40" i="14" a="1"/>
  <c r="F40" i="14"/>
  <c r="F41" i="14" s="1" a="1"/>
  <c r="F41" i="14" s="1"/>
  <c r="F42" i="14" s="1" a="1"/>
  <c r="F42" i="14" s="1"/>
  <c r="AR37" i="14"/>
  <c r="AQ37" i="14"/>
  <c r="AP37" i="14"/>
  <c r="AO37" i="14"/>
  <c r="AN37" i="14"/>
  <c r="AM37" i="14"/>
  <c r="AL37" i="14"/>
  <c r="AK37" i="14"/>
  <c r="AJ37" i="14"/>
  <c r="AI37" i="14"/>
  <c r="AG37" i="14"/>
  <c r="AF37" i="14"/>
  <c r="AB37" i="14"/>
  <c r="BH36" i="14" a="1"/>
  <c r="BH36" i="14"/>
  <c r="BH38" i="14" s="1" a="1"/>
  <c r="BH38" i="14" s="1"/>
  <c r="BB36" i="14"/>
  <c r="BA36" i="14"/>
  <c r="AZ36" i="14"/>
  <c r="AY36" i="14"/>
  <c r="AX36" i="14"/>
  <c r="AW36" i="14"/>
  <c r="AV36" i="14"/>
  <c r="AU36" i="14"/>
  <c r="AT36" i="14"/>
  <c r="AS36" i="14"/>
  <c r="AH36" i="14"/>
  <c r="AE36" i="14"/>
  <c r="AB36" i="14"/>
  <c r="AB38" i="14" s="1"/>
  <c r="H36" i="14" a="1"/>
  <c r="H36" i="14"/>
  <c r="H38" i="14" s="1" a="1"/>
  <c r="H38" i="14" s="1"/>
  <c r="BF35" i="14"/>
  <c r="BB34" i="14"/>
  <c r="BA34" i="14"/>
  <c r="AZ34" i="14"/>
  <c r="AY34" i="14"/>
  <c r="AX34" i="14"/>
  <c r="AW34" i="14"/>
  <c r="AV34" i="14"/>
  <c r="AU34" i="14"/>
  <c r="AT34" i="14"/>
  <c r="AS34" i="14"/>
  <c r="AR34" i="14"/>
  <c r="AQ34" i="14"/>
  <c r="AP34" i="14"/>
  <c r="AO34" i="14"/>
  <c r="AN34" i="14"/>
  <c r="AM34" i="14"/>
  <c r="AL34" i="14"/>
  <c r="AK34" i="14"/>
  <c r="AJ34" i="14"/>
  <c r="AI34" i="14"/>
  <c r="AH34" i="14"/>
  <c r="AG34" i="14"/>
  <c r="AF34" i="14"/>
  <c r="AE34" i="14"/>
  <c r="BF33" i="14"/>
  <c r="AR31" i="14"/>
  <c r="AQ31" i="14"/>
  <c r="AP31" i="14"/>
  <c r="AO31" i="14"/>
  <c r="AN31" i="14"/>
  <c r="AM31" i="14"/>
  <c r="AL31" i="14"/>
  <c r="AK31" i="14"/>
  <c r="AJ31" i="14"/>
  <c r="AI31" i="14"/>
  <c r="AG31" i="14"/>
  <c r="AF31" i="14"/>
  <c r="BH30" i="14" a="1"/>
  <c r="BH30" i="14" s="1"/>
  <c r="BB30" i="14"/>
  <c r="BA30" i="14"/>
  <c r="AZ30" i="14"/>
  <c r="AY30" i="14"/>
  <c r="AX30" i="14"/>
  <c r="AW30" i="14"/>
  <c r="AV30" i="14"/>
  <c r="AU30" i="14"/>
  <c r="AT30" i="14"/>
  <c r="AS30" i="14"/>
  <c r="AH30" i="14"/>
  <c r="AE30" i="14"/>
  <c r="AB30" i="14"/>
  <c r="AB32" i="14" s="1"/>
  <c r="H30" i="14" a="1"/>
  <c r="H30" i="14" s="1"/>
  <c r="BF29"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BB27" i="14"/>
  <c r="BA27" i="14"/>
  <c r="AZ27" i="14"/>
  <c r="AY27" i="14"/>
  <c r="AX27" i="14"/>
  <c r="AW27" i="14"/>
  <c r="AV27" i="14"/>
  <c r="AU27" i="14"/>
  <c r="AT27" i="14"/>
  <c r="AS27" i="14"/>
  <c r="AR27" i="14"/>
  <c r="AQ27" i="14"/>
  <c r="AP27" i="14"/>
  <c r="AO27" i="14"/>
  <c r="AN27" i="14"/>
  <c r="AM27" i="14"/>
  <c r="AL27" i="14"/>
  <c r="AK27" i="14"/>
  <c r="AJ27" i="14"/>
  <c r="AI27" i="14"/>
  <c r="AH27" i="14"/>
  <c r="AG27" i="14"/>
  <c r="AF27" i="14"/>
  <c r="AE27" i="14"/>
  <c r="T27" i="14"/>
  <c r="T28" i="14" s="1" a="1"/>
  <c r="T28" i="14" s="1"/>
  <c r="T29" i="14" s="1" a="1"/>
  <c r="T29" i="14" s="1"/>
  <c r="F27" i="14" a="1"/>
  <c r="F27" i="14"/>
  <c r="F28" i="14" s="1" a="1"/>
  <c r="F28" i="14" s="1"/>
  <c r="F29" i="14" s="1" a="1"/>
  <c r="F29"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s="1"/>
  <c r="BA10" i="14" a="1"/>
  <c r="BA10" i="14" s="1"/>
  <c r="AZ10" i="14" a="1"/>
  <c r="AZ10" i="14" s="1"/>
  <c r="AY10" i="14" a="1"/>
  <c r="AY10" i="14" s="1"/>
  <c r="AX10" i="14" a="1"/>
  <c r="AX10" i="14" s="1"/>
  <c r="AW10" i="14" a="1"/>
  <c r="AW10" i="14" s="1"/>
  <c r="AV10" i="14" a="1"/>
  <c r="AV10" i="14" s="1"/>
  <c r="AU10" i="14" a="1"/>
  <c r="AU10" i="14" s="1"/>
  <c r="AT10" i="14" a="1"/>
  <c r="AT10" i="14" s="1"/>
  <c r="AS10" i="14" a="1"/>
  <c r="AS10" i="14" s="1"/>
  <c r="AR10" i="14" a="1"/>
  <c r="AR10" i="14" s="1"/>
  <c r="AQ10" i="14" a="1"/>
  <c r="AQ10" i="14" s="1"/>
  <c r="AP10" i="14" a="1"/>
  <c r="AP10" i="14" s="1"/>
  <c r="AO10" i="14" a="1"/>
  <c r="AO10" i="14" s="1"/>
  <c r="AN10" i="14" a="1"/>
  <c r="AN10" i="14" s="1"/>
  <c r="AM10" i="14" a="1"/>
  <c r="AM10" i="14" s="1"/>
  <c r="AL10" i="14" a="1"/>
  <c r="AL10" i="14" s="1"/>
  <c r="AK10" i="14" a="1"/>
  <c r="AK10" i="14" s="1"/>
  <c r="AJ10" i="14" a="1"/>
  <c r="AJ10" i="14" s="1"/>
  <c r="AI10" i="14" a="1"/>
  <c r="AI10" i="14" s="1"/>
  <c r="AH10" i="14" a="1"/>
  <c r="AH10" i="14" s="1"/>
  <c r="AG10" i="14" a="1"/>
  <c r="AG10" i="14" s="1"/>
  <c r="AF10" i="14" a="1"/>
  <c r="AF10" i="14" s="1"/>
  <c r="AE10" i="14" a="1"/>
  <c r="AE10" i="14" s="1"/>
  <c r="BB9" i="14"/>
  <c r="BA9" i="14"/>
  <c r="AZ9" i="14"/>
  <c r="AY9" i="14"/>
  <c r="AX9" i="14"/>
  <c r="AW9" i="14"/>
  <c r="AV9" i="14"/>
  <c r="AU9" i="14"/>
  <c r="AT9" i="14"/>
  <c r="AS9" i="14" a="1"/>
  <c r="AS9" i="14"/>
  <c r="AR9" i="14"/>
  <c r="AQ9" i="14"/>
  <c r="AP9" i="14"/>
  <c r="AO9" i="14"/>
  <c r="AN9" i="14"/>
  <c r="AM9" i="14"/>
  <c r="AL9" i="14"/>
  <c r="AK9" i="14"/>
  <c r="AJ9" i="14"/>
  <c r="AI9" i="14" a="1"/>
  <c r="AI9" i="14" s="1"/>
  <c r="AH9" i="14"/>
  <c r="AG9" i="14"/>
  <c r="AF9" i="14"/>
  <c r="AE9" i="14"/>
  <c r="BB7" i="14" a="1"/>
  <c r="BB7" i="14" s="1"/>
  <c r="BA7" i="14" a="1"/>
  <c r="BA7" i="14" s="1"/>
  <c r="AZ7" i="14" a="1"/>
  <c r="AZ7" i="14" s="1"/>
  <c r="AY7" i="14" a="1"/>
  <c r="AY7" i="14" s="1"/>
  <c r="AX7" i="14" a="1"/>
  <c r="AX7" i="14" s="1"/>
  <c r="AW7" i="14" a="1"/>
  <c r="AW7" i="14" s="1"/>
  <c r="AV7" i="14" a="1"/>
  <c r="AV7" i="14" s="1"/>
  <c r="AU7" i="14" a="1"/>
  <c r="AU7" i="14" s="1"/>
  <c r="AT7" i="14" a="1"/>
  <c r="AT7" i="14" s="1"/>
  <c r="AS7" i="14" a="1"/>
  <c r="AS7" i="14" s="1"/>
  <c r="AR7" i="14" a="1"/>
  <c r="AR7" i="14" s="1"/>
  <c r="AQ7" i="14" a="1"/>
  <c r="AQ7" i="14" s="1"/>
  <c r="AP7" i="14" a="1"/>
  <c r="AP7" i="14" s="1"/>
  <c r="AO7" i="14" a="1"/>
  <c r="AO7" i="14" s="1"/>
  <c r="AN7" i="14" a="1"/>
  <c r="AN7" i="14" s="1"/>
  <c r="AM7" i="14" a="1"/>
  <c r="AM7" i="14" s="1"/>
  <c r="AL7" i="14" a="1"/>
  <c r="AL7" i="14" s="1"/>
  <c r="AK7" i="14" a="1"/>
  <c r="AK7" i="14" s="1"/>
  <c r="AJ7" i="14" a="1"/>
  <c r="AJ7" i="14" s="1"/>
  <c r="AI7" i="14" a="1"/>
  <c r="AI7" i="14" s="1"/>
  <c r="AH7" i="14" a="1"/>
  <c r="AH7" i="14" s="1"/>
  <c r="AG7" i="14" a="1"/>
  <c r="AG7" i="14" s="1"/>
  <c r="AF7" i="14" a="1"/>
  <c r="AF7" i="14" s="1"/>
  <c r="AE7" i="14" a="1"/>
  <c r="AE7" i="14" s="1"/>
  <c r="BB6" i="14"/>
  <c r="BA6" i="14"/>
  <c r="AZ6" i="14"/>
  <c r="AY6" i="14"/>
  <c r="AX6" i="14"/>
  <c r="AW6" i="14"/>
  <c r="AV6" i="14"/>
  <c r="AU6" i="14"/>
  <c r="AT6" i="14"/>
  <c r="AS6" i="14" a="1"/>
  <c r="AS6" i="14"/>
  <c r="AR6" i="14"/>
  <c r="AQ6" i="14"/>
  <c r="AP6" i="14"/>
  <c r="AO6" i="14"/>
  <c r="AN6" i="14"/>
  <c r="AM6" i="14"/>
  <c r="AL6" i="14"/>
  <c r="AK6" i="14"/>
  <c r="AJ6" i="14"/>
  <c r="AI6" i="14" a="1"/>
  <c r="AI6" i="14" s="1"/>
  <c r="AH6" i="14"/>
  <c r="AG6" i="14"/>
  <c r="AF6" i="14"/>
  <c r="AE6" i="14"/>
  <c r="T116" i="13"/>
  <c r="AR106" i="13"/>
  <c r="AQ106" i="13"/>
  <c r="AP106" i="13"/>
  <c r="AO106" i="13"/>
  <c r="AN106" i="13"/>
  <c r="AM106" i="13"/>
  <c r="AL106" i="13"/>
  <c r="AK106" i="13"/>
  <c r="AJ106" i="13"/>
  <c r="AI106" i="13"/>
  <c r="AG106" i="13"/>
  <c r="AF106" i="13"/>
  <c r="BH104" i="13" a="1"/>
  <c r="BH104" i="13" s="1"/>
  <c r="BH105" i="13" s="1" a="1"/>
  <c r="BH105" i="13" s="1"/>
  <c r="BB104" i="13"/>
  <c r="BA104" i="13"/>
  <c r="AZ104" i="13"/>
  <c r="AY104" i="13"/>
  <c r="AX104" i="13"/>
  <c r="AW104" i="13"/>
  <c r="AV104" i="13"/>
  <c r="AU104" i="13"/>
  <c r="AT104" i="13"/>
  <c r="AS104" i="13"/>
  <c r="AR104" i="13"/>
  <c r="AQ104" i="13"/>
  <c r="AP104" i="13"/>
  <c r="AO104" i="13"/>
  <c r="AN104" i="13"/>
  <c r="AM104" i="13"/>
  <c r="AL104" i="13"/>
  <c r="AK104" i="13"/>
  <c r="AJ104" i="13"/>
  <c r="AI104" i="13"/>
  <c r="AH104" i="13"/>
  <c r="AG104" i="13"/>
  <c r="AF104" i="13"/>
  <c r="AE104" i="13"/>
  <c r="AB104" i="13"/>
  <c r="AB109" i="13" s="1"/>
  <c r="AB110" i="13" s="1"/>
  <c r="H104" i="13" a="1"/>
  <c r="H104" i="13" s="1"/>
  <c r="AR99" i="13"/>
  <c r="AQ99" i="13"/>
  <c r="AP99" i="13"/>
  <c r="AO99" i="13"/>
  <c r="AN99" i="13"/>
  <c r="AM99" i="13"/>
  <c r="AL99" i="13"/>
  <c r="AK99" i="13"/>
  <c r="AJ99" i="13"/>
  <c r="AI99" i="13"/>
  <c r="AG99" i="13"/>
  <c r="AF99" i="13"/>
  <c r="BH97" i="13" a="1"/>
  <c r="BH97" i="13"/>
  <c r="BH98" i="13" s="1" a="1"/>
  <c r="BH98" i="13" s="1"/>
  <c r="BB97" i="13"/>
  <c r="BA97" i="13"/>
  <c r="AZ97" i="13"/>
  <c r="AY97" i="13"/>
  <c r="AX97" i="13"/>
  <c r="AW97" i="13"/>
  <c r="AV97" i="13"/>
  <c r="AU97" i="13"/>
  <c r="AT97" i="13"/>
  <c r="AS97" i="13"/>
  <c r="AH97" i="13"/>
  <c r="AE97" i="13"/>
  <c r="AB97" i="13"/>
  <c r="AB100" i="13" s="1"/>
  <c r="H97" i="13" a="1"/>
  <c r="H97" i="13"/>
  <c r="H100" i="13" s="1" a="1"/>
  <c r="H100" i="13" s="1"/>
  <c r="BB93" i="13"/>
  <c r="BB94" i="13" s="1"/>
  <c r="BA93" i="13"/>
  <c r="BA94" i="13" s="1"/>
  <c r="AZ93" i="13"/>
  <c r="AZ94" i="13" s="1"/>
  <c r="AY93" i="13"/>
  <c r="AY94" i="13" s="1"/>
  <c r="AX93" i="13"/>
  <c r="AX94" i="13" s="1"/>
  <c r="AW93" i="13"/>
  <c r="AW94" i="13" s="1"/>
  <c r="AV93" i="13"/>
  <c r="AV94" i="13" s="1"/>
  <c r="AU93" i="13"/>
  <c r="AU94" i="13" s="1"/>
  <c r="AT93" i="13"/>
  <c r="AT94" i="13" s="1"/>
  <c r="AS93" i="13"/>
  <c r="AS94" i="13" s="1"/>
  <c r="AR93" i="13"/>
  <c r="AR94" i="13" s="1"/>
  <c r="AQ93" i="13"/>
  <c r="AQ94" i="13" s="1"/>
  <c r="AP93" i="13"/>
  <c r="AP94" i="13" s="1"/>
  <c r="AO93" i="13"/>
  <c r="AO94" i="13" s="1"/>
  <c r="AN93" i="13"/>
  <c r="AN94" i="13" s="1"/>
  <c r="AM93" i="13"/>
  <c r="AM94" i="13" s="1"/>
  <c r="AL93" i="13"/>
  <c r="AL94" i="13" s="1"/>
  <c r="AK93" i="13"/>
  <c r="AK94" i="13" s="1"/>
  <c r="AJ93" i="13"/>
  <c r="AJ94" i="13" s="1"/>
  <c r="AI93" i="13"/>
  <c r="AI94" i="13" s="1"/>
  <c r="AH93" i="13"/>
  <c r="AH94" i="13" s="1"/>
  <c r="AG93" i="13"/>
  <c r="AG94" i="13" s="1"/>
  <c r="AF93" i="13"/>
  <c r="AF94" i="13" s="1"/>
  <c r="AE93" i="13"/>
  <c r="AE94" i="13" s="1"/>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BB91" i="13"/>
  <c r="BA91" i="13"/>
  <c r="AZ91" i="13"/>
  <c r="AY91" i="13"/>
  <c r="AX91" i="13"/>
  <c r="AW91" i="13"/>
  <c r="AV91" i="13"/>
  <c r="AU91" i="13"/>
  <c r="AT91" i="13"/>
  <c r="AS91" i="13"/>
  <c r="AR91" i="13"/>
  <c r="AQ91" i="13"/>
  <c r="AP91" i="13"/>
  <c r="AO91" i="13"/>
  <c r="AN91" i="13"/>
  <c r="AM91" i="13"/>
  <c r="AL91" i="13"/>
  <c r="AK91" i="13"/>
  <c r="AJ91" i="13"/>
  <c r="AI91" i="13"/>
  <c r="AH91" i="13"/>
  <c r="AG91" i="13"/>
  <c r="AF91" i="13"/>
  <c r="AE91" i="13"/>
  <c r="AB88" i="13"/>
  <c r="AB87" i="13"/>
  <c r="AB86" i="13"/>
  <c r="AB85" i="13"/>
  <c r="AR84" i="13"/>
  <c r="AQ84" i="13"/>
  <c r="AP84" i="13"/>
  <c r="AO84" i="13"/>
  <c r="AN84" i="13"/>
  <c r="AM84" i="13"/>
  <c r="AL84" i="13"/>
  <c r="AK84" i="13"/>
  <c r="AJ84" i="13"/>
  <c r="AI84" i="13"/>
  <c r="AG84" i="13"/>
  <c r="AF84" i="13"/>
  <c r="AB84" i="13"/>
  <c r="BH83" i="13" a="1"/>
  <c r="BH83" i="13"/>
  <c r="BH85" i="13" s="1" a="1"/>
  <c r="BH85" i="13" s="1"/>
  <c r="BH86" i="13" s="1" a="1"/>
  <c r="BH86" i="13" s="1"/>
  <c r="BH87" i="13" s="1" a="1"/>
  <c r="BH87" i="13" s="1"/>
  <c r="BH88" i="13" s="1" a="1"/>
  <c r="BH88" i="13" s="1"/>
  <c r="BB83" i="13"/>
  <c r="BA83" i="13"/>
  <c r="AZ83" i="13"/>
  <c r="AY83" i="13"/>
  <c r="AX83" i="13"/>
  <c r="AW83" i="13"/>
  <c r="AV83" i="13"/>
  <c r="AU83" i="13"/>
  <c r="AT83" i="13"/>
  <c r="AS83" i="13"/>
  <c r="AR83" i="13"/>
  <c r="AQ83" i="13"/>
  <c r="AP83" i="13"/>
  <c r="AO83" i="13"/>
  <c r="AN83" i="13"/>
  <c r="AM83" i="13"/>
  <c r="AL83" i="13"/>
  <c r="AK83" i="13"/>
  <c r="AJ83" i="13"/>
  <c r="AI83" i="13"/>
  <c r="AH83" i="13"/>
  <c r="AG83" i="13"/>
  <c r="AF83" i="13"/>
  <c r="AE83" i="13"/>
  <c r="AB83" i="13"/>
  <c r="H83" i="13" a="1"/>
  <c r="H83" i="13"/>
  <c r="H85" i="13" s="1" a="1"/>
  <c r="H85" i="13" s="1"/>
  <c r="H86" i="13" s="1" a="1"/>
  <c r="H86" i="13" s="1"/>
  <c r="H87" i="13" s="1" a="1"/>
  <c r="H87" i="13" s="1"/>
  <c r="H88" i="13" s="1" a="1"/>
  <c r="H88" i="13" s="1"/>
  <c r="AR79" i="13"/>
  <c r="AQ79" i="13"/>
  <c r="AP79" i="13"/>
  <c r="AO79" i="13"/>
  <c r="AN79" i="13"/>
  <c r="AM79" i="13"/>
  <c r="AL79" i="13"/>
  <c r="AK79" i="13"/>
  <c r="AJ79" i="13"/>
  <c r="AI79" i="13"/>
  <c r="AG79" i="13"/>
  <c r="AF79" i="13"/>
  <c r="BH78" i="13" a="1"/>
  <c r="BH78" i="13" s="1"/>
  <c r="BB78" i="13"/>
  <c r="BA78" i="13"/>
  <c r="AZ78" i="13"/>
  <c r="AY78" i="13"/>
  <c r="AX78" i="13"/>
  <c r="AW78" i="13"/>
  <c r="AV78" i="13"/>
  <c r="AU78" i="13"/>
  <c r="AT78" i="13"/>
  <c r="AS78" i="13"/>
  <c r="AH78" i="13"/>
  <c r="AE78" i="13"/>
  <c r="AB78" i="13"/>
  <c r="AB80" i="13" s="1"/>
  <c r="H78" i="13" a="1"/>
  <c r="H78" i="13" s="1"/>
  <c r="AR76" i="13"/>
  <c r="AQ76" i="13"/>
  <c r="AP76" i="13"/>
  <c r="AO76" i="13"/>
  <c r="AN76" i="13"/>
  <c r="AM76" i="13"/>
  <c r="AL76" i="13"/>
  <c r="AK76" i="13"/>
  <c r="AJ76" i="13"/>
  <c r="AI76" i="13"/>
  <c r="AG76" i="13"/>
  <c r="AF76" i="13"/>
  <c r="BH75" i="13" a="1"/>
  <c r="BH75" i="13" s="1"/>
  <c r="BB75" i="13"/>
  <c r="BA75" i="13"/>
  <c r="AZ75" i="13"/>
  <c r="AY75" i="13"/>
  <c r="AX75" i="13"/>
  <c r="AW75" i="13"/>
  <c r="AV75" i="13"/>
  <c r="AU75" i="13"/>
  <c r="AT75" i="13"/>
  <c r="AS75" i="13"/>
  <c r="AH75" i="13"/>
  <c r="AE75" i="13"/>
  <c r="AB75" i="13"/>
  <c r="AB77" i="13" s="1"/>
  <c r="H75" i="13" a="1"/>
  <c r="H75" i="13" s="1"/>
  <c r="BB70" i="13"/>
  <c r="BB72" i="13" s="1"/>
  <c r="BA70" i="13"/>
  <c r="BA72" i="13" s="1"/>
  <c r="AZ70" i="13"/>
  <c r="AZ72" i="13" s="1"/>
  <c r="AY70" i="13"/>
  <c r="AY72" i="13" s="1"/>
  <c r="AX70" i="13"/>
  <c r="AX72" i="13" s="1"/>
  <c r="AW70" i="13"/>
  <c r="AW72" i="13" s="1"/>
  <c r="AV70" i="13"/>
  <c r="AV72" i="13" s="1"/>
  <c r="AU70" i="13"/>
  <c r="AU72" i="13" s="1"/>
  <c r="AT70" i="13"/>
  <c r="AT72" i="13" s="1"/>
  <c r="AS70" i="13"/>
  <c r="AS72" i="13" s="1"/>
  <c r="AR70" i="13"/>
  <c r="AR72" i="13" s="1"/>
  <c r="AQ70" i="13"/>
  <c r="AQ72" i="13" s="1"/>
  <c r="AP70" i="13"/>
  <c r="AP72" i="13" s="1"/>
  <c r="AO70" i="13"/>
  <c r="AO72" i="13" s="1"/>
  <c r="AN70" i="13"/>
  <c r="AN72" i="13" s="1"/>
  <c r="AM70" i="13"/>
  <c r="AM72" i="13" s="1"/>
  <c r="AL70" i="13"/>
  <c r="AL72" i="13" s="1"/>
  <c r="AK70" i="13"/>
  <c r="AK72" i="13" s="1"/>
  <c r="AJ70" i="13"/>
  <c r="AJ72" i="13" s="1"/>
  <c r="AI70" i="13"/>
  <c r="AI72" i="13" s="1"/>
  <c r="AH70" i="13"/>
  <c r="AH72" i="13" s="1"/>
  <c r="AG70" i="13"/>
  <c r="AG72" i="13" s="1"/>
  <c r="AF70" i="13"/>
  <c r="AF72" i="13" s="1"/>
  <c r="AE70" i="13"/>
  <c r="AE72" i="13" s="1"/>
  <c r="BB69" i="13"/>
  <c r="BA69" i="13"/>
  <c r="AZ69" i="13"/>
  <c r="AY69" i="13"/>
  <c r="AX69" i="13"/>
  <c r="AW69" i="13"/>
  <c r="AV69" i="13"/>
  <c r="AU69" i="13"/>
  <c r="AT69" i="13"/>
  <c r="AS69" i="13"/>
  <c r="AR69" i="13"/>
  <c r="AQ69" i="13"/>
  <c r="AP69" i="13"/>
  <c r="AO69" i="13"/>
  <c r="AN69" i="13"/>
  <c r="AM69" i="13"/>
  <c r="AL69" i="13"/>
  <c r="AK69" i="13"/>
  <c r="AJ69" i="13"/>
  <c r="AI69" i="13"/>
  <c r="AH69" i="13"/>
  <c r="AG69" i="13"/>
  <c r="AF69" i="13"/>
  <c r="AE69" i="13"/>
  <c r="BB68" i="13"/>
  <c r="BA68" i="13"/>
  <c r="AZ68" i="13"/>
  <c r="AY68" i="13"/>
  <c r="AX68" i="13"/>
  <c r="AW68" i="13"/>
  <c r="AV68" i="13"/>
  <c r="AU68" i="13"/>
  <c r="AT68" i="13"/>
  <c r="AS68" i="13"/>
  <c r="AR68" i="13"/>
  <c r="AQ68" i="13"/>
  <c r="AP68" i="13"/>
  <c r="AO68" i="13"/>
  <c r="AN68" i="13"/>
  <c r="AM68" i="13"/>
  <c r="AL68" i="13"/>
  <c r="AK68" i="13"/>
  <c r="AJ68" i="13"/>
  <c r="AI68" i="13"/>
  <c r="AH68" i="13"/>
  <c r="AG68" i="13"/>
  <c r="AF68" i="13"/>
  <c r="AE68" i="13"/>
  <c r="T68" i="13"/>
  <c r="T69" i="13" s="1" a="1"/>
  <c r="T69" i="13" s="1"/>
  <c r="T70" i="13" s="1" a="1"/>
  <c r="T70" i="13" s="1"/>
  <c r="T71" i="13" s="1" a="1"/>
  <c r="T71" i="13" s="1"/>
  <c r="T72" i="13" s="1" a="1"/>
  <c r="T72" i="13" s="1"/>
  <c r="T73" i="13" s="1" a="1"/>
  <c r="T73" i="13" s="1"/>
  <c r="T74" i="13" s="1" a="1"/>
  <c r="T74" i="13" s="1"/>
  <c r="F68" i="13" a="1"/>
  <c r="F68" i="13" s="1"/>
  <c r="AR62" i="13"/>
  <c r="AQ62" i="13"/>
  <c r="AP62" i="13"/>
  <c r="AO62" i="13"/>
  <c r="AN62" i="13"/>
  <c r="AM62" i="13"/>
  <c r="AL62" i="13"/>
  <c r="AK62" i="13"/>
  <c r="AJ62" i="13"/>
  <c r="AI62" i="13"/>
  <c r="AG62" i="13"/>
  <c r="AF62" i="13"/>
  <c r="BH60" i="13" a="1"/>
  <c r="BH60" i="13"/>
  <c r="BH61" i="13" s="1" a="1"/>
  <c r="BH61" i="13" s="1"/>
  <c r="BB60" i="13"/>
  <c r="BA60" i="13"/>
  <c r="AZ60" i="13"/>
  <c r="AY60" i="13"/>
  <c r="AX60" i="13"/>
  <c r="AW60" i="13"/>
  <c r="AV60" i="13"/>
  <c r="AU60" i="13"/>
  <c r="AT60" i="13"/>
  <c r="AS60" i="13"/>
  <c r="AR60" i="13"/>
  <c r="AQ60" i="13"/>
  <c r="AP60" i="13"/>
  <c r="AO60" i="13"/>
  <c r="AN60" i="13"/>
  <c r="AM60" i="13"/>
  <c r="AL60" i="13"/>
  <c r="AK60" i="13"/>
  <c r="AJ60" i="13"/>
  <c r="AI60" i="13"/>
  <c r="AH60" i="13"/>
  <c r="AG60" i="13"/>
  <c r="AF60" i="13"/>
  <c r="AE60" i="13"/>
  <c r="AB60" i="13"/>
  <c r="AB65" i="13" s="1"/>
  <c r="AB66" i="13" s="1"/>
  <c r="H60" i="13" a="1"/>
  <c r="H60" i="13"/>
  <c r="H66" i="13" s="1" a="1"/>
  <c r="H66" i="13" s="1"/>
  <c r="AR55" i="13"/>
  <c r="AQ55" i="13"/>
  <c r="AP55" i="13"/>
  <c r="AO55" i="13"/>
  <c r="AN55" i="13"/>
  <c r="AM55" i="13"/>
  <c r="AL55" i="13"/>
  <c r="AK55" i="13"/>
  <c r="AJ55" i="13"/>
  <c r="AI55" i="13"/>
  <c r="AG55" i="13"/>
  <c r="AF55" i="13"/>
  <c r="BH53" i="13" a="1"/>
  <c r="BH53" i="13" s="1"/>
  <c r="BH54" i="13" s="1" a="1"/>
  <c r="BH54" i="13" s="1"/>
  <c r="BB53" i="13"/>
  <c r="BA53" i="13"/>
  <c r="AZ53" i="13"/>
  <c r="AY53" i="13"/>
  <c r="AX53" i="13"/>
  <c r="AW53" i="13"/>
  <c r="AV53" i="13"/>
  <c r="AU53" i="13"/>
  <c r="AT53" i="13"/>
  <c r="AS53" i="13"/>
  <c r="AH53" i="13"/>
  <c r="AE53" i="13"/>
  <c r="AB53" i="13"/>
  <c r="AB56" i="13" s="1"/>
  <c r="H53" i="13" a="1"/>
  <c r="H53" i="13" s="1"/>
  <c r="BB49" i="13"/>
  <c r="BB50" i="13" s="1"/>
  <c r="BA49" i="13"/>
  <c r="BA50" i="13" s="1"/>
  <c r="AZ49" i="13"/>
  <c r="AZ50" i="13" s="1"/>
  <c r="AY49" i="13"/>
  <c r="AY50" i="13" s="1"/>
  <c r="AX49" i="13"/>
  <c r="AX50" i="13" s="1"/>
  <c r="AW49" i="13"/>
  <c r="AW50" i="13" s="1"/>
  <c r="AV49" i="13"/>
  <c r="AV50" i="13" s="1"/>
  <c r="AU49" i="13"/>
  <c r="AU50" i="13" s="1"/>
  <c r="AT49" i="13"/>
  <c r="AT50" i="13" s="1"/>
  <c r="AS49" i="13"/>
  <c r="AS50" i="13" s="1"/>
  <c r="AR49" i="13"/>
  <c r="AR50" i="13" s="1"/>
  <c r="AQ49" i="13"/>
  <c r="AQ50" i="13" s="1"/>
  <c r="AP49" i="13"/>
  <c r="AP50" i="13" s="1"/>
  <c r="AO49" i="13"/>
  <c r="AO50" i="13" s="1"/>
  <c r="AN49" i="13"/>
  <c r="AN50" i="13" s="1"/>
  <c r="AM49" i="13"/>
  <c r="AM50" i="13" s="1"/>
  <c r="AL49" i="13"/>
  <c r="AL50" i="13" s="1"/>
  <c r="AK49" i="13"/>
  <c r="AK50" i="13" s="1"/>
  <c r="AJ49" i="13"/>
  <c r="AJ50" i="13" s="1"/>
  <c r="AI49" i="13"/>
  <c r="AI50" i="13" s="1"/>
  <c r="AH49" i="13"/>
  <c r="AH50" i="13" s="1"/>
  <c r="AG49" i="13"/>
  <c r="AG50" i="13" s="1"/>
  <c r="AF49" i="13"/>
  <c r="AF50" i="13" s="1"/>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B47" i="13"/>
  <c r="BA47" i="13"/>
  <c r="AZ47" i="13"/>
  <c r="AY47" i="13"/>
  <c r="AX47" i="13"/>
  <c r="AW47" i="13"/>
  <c r="AV47" i="13"/>
  <c r="AU47" i="13"/>
  <c r="AT47" i="13"/>
  <c r="AS47" i="13"/>
  <c r="AR47" i="13"/>
  <c r="AQ47" i="13"/>
  <c r="AP47" i="13"/>
  <c r="AO47" i="13"/>
  <c r="AN47" i="13"/>
  <c r="AM47" i="13"/>
  <c r="AL47" i="13"/>
  <c r="AK47" i="13"/>
  <c r="AJ47" i="13"/>
  <c r="AI47" i="13"/>
  <c r="AH47" i="13"/>
  <c r="AG47" i="13"/>
  <c r="AF47" i="13"/>
  <c r="AE47" i="13"/>
  <c r="AR40" i="13"/>
  <c r="AQ40" i="13"/>
  <c r="AP40" i="13"/>
  <c r="AO40" i="13"/>
  <c r="AN40" i="13"/>
  <c r="AM40" i="13"/>
  <c r="AL40" i="13"/>
  <c r="AK40" i="13"/>
  <c r="AJ40" i="13"/>
  <c r="AI40" i="13"/>
  <c r="AG40" i="13"/>
  <c r="AF40" i="13"/>
  <c r="BH39" i="13" a="1"/>
  <c r="BH39" i="13" s="1"/>
  <c r="BB39" i="13"/>
  <c r="BA39" i="13"/>
  <c r="AZ39" i="13"/>
  <c r="AY39" i="13"/>
  <c r="AX39" i="13"/>
  <c r="AW39" i="13"/>
  <c r="AV39" i="13"/>
  <c r="AU39" i="13"/>
  <c r="AT39" i="13"/>
  <c r="AS39" i="13"/>
  <c r="AR39" i="13"/>
  <c r="AQ39" i="13"/>
  <c r="AP39" i="13"/>
  <c r="AO39" i="13"/>
  <c r="AN39" i="13"/>
  <c r="AM39" i="13"/>
  <c r="AL39" i="13"/>
  <c r="AK39" i="13"/>
  <c r="AJ39" i="13"/>
  <c r="AI39" i="13"/>
  <c r="AH39" i="13"/>
  <c r="AG39" i="13"/>
  <c r="AF39" i="13"/>
  <c r="AE39" i="13"/>
  <c r="AB39" i="13"/>
  <c r="AB44" i="13" s="1"/>
  <c r="H39" i="13" a="1"/>
  <c r="H39" i="13" s="1"/>
  <c r="AR35" i="13"/>
  <c r="AQ35" i="13"/>
  <c r="AP35" i="13"/>
  <c r="AO35" i="13"/>
  <c r="AN35" i="13"/>
  <c r="AM35" i="13"/>
  <c r="AL35" i="13"/>
  <c r="AK35" i="13"/>
  <c r="AJ35" i="13"/>
  <c r="AI35" i="13"/>
  <c r="AG35" i="13"/>
  <c r="AF35" i="13"/>
  <c r="AB35" i="13"/>
  <c r="BH34" i="13" a="1"/>
  <c r="BH34" i="13"/>
  <c r="BH36" i="13" s="1" a="1"/>
  <c r="BH36" i="13" s="1"/>
  <c r="BB34" i="13"/>
  <c r="BA34" i="13"/>
  <c r="AZ34" i="13"/>
  <c r="AY34" i="13"/>
  <c r="AX34" i="13"/>
  <c r="AW34" i="13"/>
  <c r="AV34" i="13"/>
  <c r="AU34" i="13"/>
  <c r="AT34" i="13"/>
  <c r="AS34" i="13"/>
  <c r="AH34" i="13"/>
  <c r="AE34" i="13"/>
  <c r="AB34" i="13"/>
  <c r="AB36" i="13" s="1"/>
  <c r="H34" i="13" a="1"/>
  <c r="H34" i="13"/>
  <c r="H36" i="13" s="1" a="1"/>
  <c r="H36" i="13" s="1"/>
  <c r="BB29" i="13"/>
  <c r="BB31" i="13" s="1"/>
  <c r="BA29" i="13"/>
  <c r="BA31" i="13" s="1"/>
  <c r="AZ29" i="13"/>
  <c r="AZ31" i="13" s="1"/>
  <c r="AY29" i="13"/>
  <c r="AY31" i="13" s="1"/>
  <c r="AX29" i="13"/>
  <c r="AX31" i="13" s="1"/>
  <c r="AW29" i="13"/>
  <c r="AW31" i="13" s="1"/>
  <c r="AV29" i="13"/>
  <c r="AV31" i="13" s="1"/>
  <c r="AU29" i="13"/>
  <c r="AU31" i="13" s="1"/>
  <c r="AT29" i="13"/>
  <c r="AT31" i="13" s="1"/>
  <c r="AS29" i="13"/>
  <c r="AS31" i="13" s="1"/>
  <c r="AR29" i="13"/>
  <c r="AR31" i="13" s="1"/>
  <c r="AQ29" i="13"/>
  <c r="AQ31" i="13" s="1"/>
  <c r="AP29" i="13"/>
  <c r="AP31" i="13" s="1"/>
  <c r="AO29" i="13"/>
  <c r="AO31" i="13" s="1"/>
  <c r="AN29" i="13"/>
  <c r="AN31" i="13" s="1"/>
  <c r="AM29" i="13"/>
  <c r="AM31" i="13" s="1"/>
  <c r="AL29" i="13"/>
  <c r="AL31" i="13" s="1"/>
  <c r="AK29" i="13"/>
  <c r="AK31" i="13" s="1"/>
  <c r="AJ29" i="13"/>
  <c r="AJ31" i="13" s="1"/>
  <c r="AI29" i="13"/>
  <c r="AI31" i="13" s="1"/>
  <c r="AH29" i="13"/>
  <c r="AH31" i="13" s="1"/>
  <c r="AG29" i="13"/>
  <c r="AG31" i="13" s="1"/>
  <c r="AF29" i="13"/>
  <c r="AF31" i="13" s="1"/>
  <c r="AE29" i="13"/>
  <c r="AE31" i="13" s="1"/>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BB27" i="13"/>
  <c r="BA27" i="13"/>
  <c r="AZ27" i="13"/>
  <c r="AY27" i="13"/>
  <c r="AX27" i="13"/>
  <c r="AW27" i="13"/>
  <c r="AV27" i="13"/>
  <c r="AU27" i="13"/>
  <c r="AT27" i="13"/>
  <c r="AS27" i="13"/>
  <c r="AR27" i="13"/>
  <c r="AQ27" i="13"/>
  <c r="AP27" i="13"/>
  <c r="AO27" i="13"/>
  <c r="AN27" i="13"/>
  <c r="AM27" i="13"/>
  <c r="AL27" i="13"/>
  <c r="AK27" i="13"/>
  <c r="AJ27" i="13"/>
  <c r="AI27" i="13"/>
  <c r="AH27" i="13"/>
  <c r="AG27" i="13"/>
  <c r="AF27" i="13"/>
  <c r="AE27" i="13"/>
  <c r="T27" i="13"/>
  <c r="T28" i="13" s="1" a="1"/>
  <c r="T28" i="13" s="1"/>
  <c r="T29" i="13" s="1" a="1"/>
  <c r="T29" i="13" s="1"/>
  <c r="T30" i="13" s="1" a="1"/>
  <c r="T30" i="13" s="1"/>
  <c r="T31" i="13" s="1" a="1"/>
  <c r="T31" i="13" s="1"/>
  <c r="T32" i="13" s="1" a="1"/>
  <c r="T32" i="13" s="1"/>
  <c r="T33" i="13" s="1" a="1"/>
  <c r="T33" i="13" s="1"/>
  <c r="F27" i="13" a="1"/>
  <c r="F27" i="13"/>
  <c r="F28" i="13" s="1" a="1"/>
  <c r="F28" i="13" s="1"/>
  <c r="F29" i="13" s="1" a="1"/>
  <c r="F29" i="13" s="1"/>
  <c r="F30" i="13" s="1" a="1"/>
  <c r="F30" i="13" s="1"/>
  <c r="F31" i="13" s="1" a="1"/>
  <c r="F31" i="13" s="1"/>
  <c r="F32" i="13" s="1" a="1"/>
  <c r="F32" i="13" s="1"/>
  <c r="F33" i="13" s="1" a="1"/>
  <c r="F33" i="13" s="1"/>
  <c r="F34" i="13" s="1" a="1"/>
  <c r="F34"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s="1"/>
  <c r="BA10" i="13" a="1"/>
  <c r="BA10" i="13" s="1"/>
  <c r="AZ10" i="13" a="1"/>
  <c r="AZ10" i="13" s="1"/>
  <c r="AY10" i="13" a="1"/>
  <c r="AY10" i="13" s="1"/>
  <c r="AX10" i="13" a="1"/>
  <c r="AX10" i="13" s="1"/>
  <c r="AW10" i="13" a="1"/>
  <c r="AW10" i="13" s="1"/>
  <c r="AV10" i="13" a="1"/>
  <c r="AV10" i="13" s="1"/>
  <c r="AU10" i="13" a="1"/>
  <c r="AU10" i="13" s="1"/>
  <c r="AT10" i="13" a="1"/>
  <c r="AT10" i="13" s="1"/>
  <c r="AS10" i="13" a="1"/>
  <c r="AS10" i="13" s="1"/>
  <c r="AR10" i="13" a="1"/>
  <c r="AR10" i="13" s="1"/>
  <c r="AQ10" i="13" a="1"/>
  <c r="AQ10" i="13" s="1"/>
  <c r="AP10" i="13" a="1"/>
  <c r="AP10" i="13" s="1"/>
  <c r="AO10" i="13" a="1"/>
  <c r="AO10" i="13" s="1"/>
  <c r="AN10" i="13" a="1"/>
  <c r="AN10" i="13" s="1"/>
  <c r="AM10" i="13" a="1"/>
  <c r="AM10" i="13" s="1"/>
  <c r="AL10" i="13" a="1"/>
  <c r="AL10" i="13" s="1"/>
  <c r="AK10" i="13" a="1"/>
  <c r="AK10" i="13" s="1"/>
  <c r="AJ10" i="13" a="1"/>
  <c r="AJ10" i="13" s="1"/>
  <c r="AI10" i="13" a="1"/>
  <c r="AI10" i="13" s="1"/>
  <c r="AH10" i="13" a="1"/>
  <c r="AH10" i="13" s="1"/>
  <c r="AG10" i="13" a="1"/>
  <c r="AG10" i="13" s="1"/>
  <c r="AF10" i="13" a="1"/>
  <c r="AF10" i="13" s="1"/>
  <c r="AE10" i="13" a="1"/>
  <c r="AE10" i="13" s="1"/>
  <c r="BB9" i="13"/>
  <c r="BA9" i="13"/>
  <c r="AZ9" i="13"/>
  <c r="AY9" i="13"/>
  <c r="AX9" i="13"/>
  <c r="AW9" i="13"/>
  <c r="AV9" i="13"/>
  <c r="AU9" i="13"/>
  <c r="AT9" i="13"/>
  <c r="AS9" i="13" a="1"/>
  <c r="AS9" i="13"/>
  <c r="AR9" i="13"/>
  <c r="AQ9" i="13"/>
  <c r="AP9" i="13"/>
  <c r="AO9" i="13"/>
  <c r="AN9" i="13"/>
  <c r="AM9" i="13"/>
  <c r="AL9" i="13"/>
  <c r="AK9" i="13"/>
  <c r="AJ9" i="13"/>
  <c r="AI9" i="13" a="1"/>
  <c r="AI9" i="13" s="1"/>
  <c r="AH9" i="13"/>
  <c r="AG9" i="13"/>
  <c r="AF9" i="13"/>
  <c r="AE9" i="13"/>
  <c r="BB7" i="13" a="1"/>
  <c r="BB7" i="13" s="1"/>
  <c r="BA7" i="13" a="1"/>
  <c r="BA7" i="13" s="1"/>
  <c r="AZ7" i="13" a="1"/>
  <c r="AZ7" i="13" s="1"/>
  <c r="AY7" i="13" a="1"/>
  <c r="AY7" i="13" s="1"/>
  <c r="AX7" i="13" a="1"/>
  <c r="AX7" i="13" s="1"/>
  <c r="AW7" i="13" a="1"/>
  <c r="AW7" i="13" s="1"/>
  <c r="AV7" i="13" a="1"/>
  <c r="AV7" i="13" s="1"/>
  <c r="AU7" i="13" a="1"/>
  <c r="AU7" i="13" s="1"/>
  <c r="AT7" i="13" a="1"/>
  <c r="AT7" i="13" s="1"/>
  <c r="AS7" i="13" a="1"/>
  <c r="AS7" i="13" s="1"/>
  <c r="AR7" i="13" a="1"/>
  <c r="AR7" i="13" s="1"/>
  <c r="AR8" i="13" s="1"/>
  <c r="AQ7" i="13" a="1"/>
  <c r="AQ7" i="13" s="1"/>
  <c r="AP7" i="13" a="1"/>
  <c r="AP7" i="13" s="1"/>
  <c r="AP8" i="13" s="1"/>
  <c r="AO7" i="13" a="1"/>
  <c r="AO7" i="13" s="1"/>
  <c r="AN7" i="13" a="1"/>
  <c r="AN7" i="13" s="1"/>
  <c r="AN8" i="13" s="1"/>
  <c r="AM7" i="13" a="1"/>
  <c r="AM7" i="13" s="1"/>
  <c r="AL7" i="13" a="1"/>
  <c r="AL7" i="13" s="1"/>
  <c r="AL8" i="13" s="1"/>
  <c r="AK7" i="13" a="1"/>
  <c r="AK7" i="13" s="1"/>
  <c r="AJ7" i="13" a="1"/>
  <c r="AJ7" i="13" s="1"/>
  <c r="AJ8" i="13" s="1"/>
  <c r="AI7" i="13" a="1"/>
  <c r="AI7" i="13" s="1"/>
  <c r="AH7" i="13" a="1"/>
  <c r="AH7" i="13" s="1"/>
  <c r="AG7" i="13" a="1"/>
  <c r="AG7" i="13" s="1"/>
  <c r="AF7" i="13" a="1"/>
  <c r="AF7" i="13" s="1"/>
  <c r="AE7" i="13" a="1"/>
  <c r="AE7" i="13" s="1"/>
  <c r="BB6" i="13"/>
  <c r="BB8" i="13" s="1"/>
  <c r="BA6" i="13"/>
  <c r="BA8" i="13" s="1"/>
  <c r="AZ6" i="13"/>
  <c r="AZ8" i="13" s="1"/>
  <c r="AY6" i="13"/>
  <c r="AY8" i="13" s="1"/>
  <c r="AX6" i="13"/>
  <c r="AX8" i="13" s="1"/>
  <c r="AW6" i="13"/>
  <c r="AW8" i="13" s="1"/>
  <c r="AV6" i="13"/>
  <c r="AV8" i="13" s="1"/>
  <c r="AU6" i="13"/>
  <c r="AU8" i="13" s="1"/>
  <c r="AT6" i="13"/>
  <c r="AT8" i="13" s="1"/>
  <c r="AS6" i="13" a="1"/>
  <c r="AS6" i="13"/>
  <c r="AR6" i="13"/>
  <c r="AQ6" i="13"/>
  <c r="AP6" i="13"/>
  <c r="AO6" i="13"/>
  <c r="AN6" i="13"/>
  <c r="AM6" i="13"/>
  <c r="AL6" i="13"/>
  <c r="AK6" i="13"/>
  <c r="AJ6" i="13"/>
  <c r="AI6" i="13" a="1"/>
  <c r="AI6" i="13" s="1"/>
  <c r="AH6" i="13"/>
  <c r="AH8" i="13" s="1"/>
  <c r="AG6" i="13"/>
  <c r="AF6" i="13"/>
  <c r="AF8" i="13" s="1"/>
  <c r="AE6" i="13"/>
  <c r="CW273" i="12"/>
  <c r="X273" i="12"/>
  <c r="T272" i="12"/>
  <c r="CZ271" i="12" a="1"/>
  <c r="CZ271" i="12" s="1"/>
  <c r="CY271" i="12" a="1"/>
  <c r="CY271" i="12" s="1"/>
  <c r="AG271" i="12"/>
  <c r="T271" i="12"/>
  <c r="CW269" i="12"/>
  <c r="X269" i="12"/>
  <c r="T268" i="12"/>
  <c r="CZ267" i="12" a="1"/>
  <c r="CZ267" i="12" s="1"/>
  <c r="CY267" i="12" a="1"/>
  <c r="CY267" i="12" s="1"/>
  <c r="T267" i="12"/>
  <c r="AD266" i="12"/>
  <c r="CW264" i="12"/>
  <c r="X264" i="12"/>
  <c r="AJ263" i="12"/>
  <c r="AJ272" i="12" s="1"/>
  <c r="T263" i="12"/>
  <c r="CZ262" i="12" a="1"/>
  <c r="CZ262" i="12"/>
  <c r="CY262" i="12" a="1"/>
  <c r="CY262" i="12"/>
  <c r="AK262" i="12"/>
  <c r="AJ262" i="12"/>
  <c r="AJ271" i="12" s="1"/>
  <c r="AI262" i="12"/>
  <c r="AI271" i="12" s="1"/>
  <c r="AH262" i="12"/>
  <c r="T262" i="12"/>
  <c r="AD259" i="12"/>
  <c r="CW257" i="12"/>
  <c r="X257" i="12"/>
  <c r="CZ255" i="12" a="1"/>
  <c r="CZ255" i="12"/>
  <c r="CY255" i="12" a="1"/>
  <c r="CY255" i="12"/>
  <c r="CW253" i="12"/>
  <c r="X253" i="12"/>
  <c r="CQ252" i="12"/>
  <c r="CN252" i="12"/>
  <c r="CN249" i="12" s="1"/>
  <c r="CK252" i="12"/>
  <c r="CH252" i="12"/>
  <c r="CH249" i="12" s="1"/>
  <c r="CE252" i="12"/>
  <c r="CB252" i="12"/>
  <c r="CB249" i="12" s="1"/>
  <c r="BY252" i="12"/>
  <c r="BV252" i="12"/>
  <c r="BV249" i="12" s="1"/>
  <c r="BS252" i="12"/>
  <c r="BP252" i="12"/>
  <c r="BP249" i="12" s="1"/>
  <c r="BM252" i="12"/>
  <c r="BJ252" i="12"/>
  <c r="BJ249" i="12" s="1"/>
  <c r="BG252" i="12"/>
  <c r="BD252" i="12"/>
  <c r="BD249" i="12" s="1"/>
  <c r="BA252" i="12"/>
  <c r="AX252" i="12"/>
  <c r="AX249" i="12" s="1"/>
  <c r="AU252" i="12"/>
  <c r="AR252" i="12"/>
  <c r="AR249" i="12" s="1"/>
  <c r="AO252" i="12"/>
  <c r="AL252" i="12"/>
  <c r="AL249" i="12" s="1"/>
  <c r="T252" i="12"/>
  <c r="CZ251" i="12" a="1"/>
  <c r="CZ251" i="12" s="1"/>
  <c r="CY251" i="12" a="1"/>
  <c r="CY251" i="12" s="1"/>
  <c r="CQ251" i="12"/>
  <c r="CN251" i="12"/>
  <c r="CK251" i="12"/>
  <c r="CH251" i="12"/>
  <c r="CE251" i="12"/>
  <c r="CB251" i="12"/>
  <c r="BY251" i="12"/>
  <c r="BV251" i="12"/>
  <c r="BS251" i="12"/>
  <c r="BP251" i="12"/>
  <c r="BM251" i="12"/>
  <c r="BJ251" i="12"/>
  <c r="BG251" i="12"/>
  <c r="BD251" i="12"/>
  <c r="BA251" i="12"/>
  <c r="AX251" i="12"/>
  <c r="AU251" i="12"/>
  <c r="AR251" i="12"/>
  <c r="AO251" i="12"/>
  <c r="AL251" i="12"/>
  <c r="T251" i="12"/>
  <c r="AD250" i="12"/>
  <c r="CS249" i="12"/>
  <c r="CR249" i="12"/>
  <c r="CQ249" i="12"/>
  <c r="CP249" i="12"/>
  <c r="CO249" i="12"/>
  <c r="CM249" i="12"/>
  <c r="CL249" i="12"/>
  <c r="CK249" i="12"/>
  <c r="CJ249" i="12"/>
  <c r="CI249" i="12"/>
  <c r="CG249" i="12"/>
  <c r="CF249" i="12"/>
  <c r="CE249" i="12"/>
  <c r="CD249" i="12"/>
  <c r="CC249" i="12"/>
  <c r="CA249" i="12"/>
  <c r="BZ249" i="12"/>
  <c r="BY249" i="12"/>
  <c r="BX249" i="12"/>
  <c r="BW249" i="12"/>
  <c r="BU249" i="12"/>
  <c r="BT249" i="12"/>
  <c r="BS249" i="12"/>
  <c r="BR249" i="12"/>
  <c r="BQ249" i="12"/>
  <c r="BO249" i="12"/>
  <c r="BN249" i="12"/>
  <c r="BM249" i="12"/>
  <c r="BL249" i="12"/>
  <c r="BK249" i="12"/>
  <c r="BI249" i="12"/>
  <c r="BH249" i="12"/>
  <c r="BG249" i="12"/>
  <c r="BF249" i="12"/>
  <c r="BE249" i="12"/>
  <c r="BC249" i="12"/>
  <c r="BB249" i="12"/>
  <c r="BA249" i="12"/>
  <c r="AZ249" i="12"/>
  <c r="AY249" i="12"/>
  <c r="AW249" i="12"/>
  <c r="AV249" i="12"/>
  <c r="AU249" i="12"/>
  <c r="AT249" i="12"/>
  <c r="AS249" i="12"/>
  <c r="AQ249" i="12"/>
  <c r="AP249" i="12"/>
  <c r="AO249" i="12"/>
  <c r="AN249" i="12"/>
  <c r="AM249" i="12"/>
  <c r="AK249" i="12"/>
  <c r="AJ249" i="12"/>
  <c r="AI249" i="12"/>
  <c r="AH249" i="12"/>
  <c r="CW248" i="12"/>
  <c r="X248" i="12"/>
  <c r="CZ246" i="12" a="1"/>
  <c r="CZ246" i="12"/>
  <c r="CY246" i="12" a="1"/>
  <c r="CY246" i="12"/>
  <c r="CW244" i="12"/>
  <c r="X244" i="12"/>
  <c r="AK243" i="12"/>
  <c r="AK263" i="12" s="1"/>
  <c r="AI243" i="12"/>
  <c r="AI263" i="12" s="1"/>
  <c r="AH243" i="12"/>
  <c r="AH263" i="12" s="1"/>
  <c r="T243" i="12"/>
  <c r="CZ242" i="12" a="1"/>
  <c r="CZ242" i="12"/>
  <c r="CY242" i="12" a="1"/>
  <c r="CY242" i="12"/>
  <c r="T242" i="12"/>
  <c r="AD241" i="12"/>
  <c r="AK240" i="12"/>
  <c r="AJ240" i="12"/>
  <c r="AI240" i="12"/>
  <c r="AH240" i="12"/>
  <c r="CW239" i="12"/>
  <c r="X239" i="12"/>
  <c r="BR238" i="12"/>
  <c r="BQ238" i="12"/>
  <c r="AN238" i="12"/>
  <c r="AM238" i="12"/>
  <c r="AJ238" i="12"/>
  <c r="AI238" i="12"/>
  <c r="T238" i="12"/>
  <c r="CZ237" i="12" a="1"/>
  <c r="CZ237" i="12" s="1"/>
  <c r="CY237" i="12" a="1"/>
  <c r="CY237" i="12" s="1"/>
  <c r="AJ237" i="12"/>
  <c r="AI237" i="12"/>
  <c r="AG237" i="12"/>
  <c r="T237" i="12"/>
  <c r="CW235" i="12"/>
  <c r="X235" i="12"/>
  <c r="T234" i="12"/>
  <c r="CZ233" i="12" a="1"/>
  <c r="CZ233" i="12" s="1"/>
  <c r="CY233" i="12" a="1"/>
  <c r="CY233" i="12" s="1"/>
  <c r="T233" i="12"/>
  <c r="CW231" i="12"/>
  <c r="X231" i="12"/>
  <c r="CZ229" i="12" a="1"/>
  <c r="CZ229" i="12"/>
  <c r="CY229" i="12" a="1"/>
  <c r="CY229" i="12"/>
  <c r="CW227" i="12"/>
  <c r="X227" i="12"/>
  <c r="T226" i="12"/>
  <c r="CZ225" i="12" a="1"/>
  <c r="CZ225" i="12" s="1"/>
  <c r="CY225" i="12" a="1"/>
  <c r="CY225" i="12" s="1"/>
  <c r="T225" i="12"/>
  <c r="AD224" i="12"/>
  <c r="AK223" i="12"/>
  <c r="AJ223" i="12"/>
  <c r="AI223" i="12"/>
  <c r="AH223" i="12"/>
  <c r="CW222" i="12"/>
  <c r="X222" i="12"/>
  <c r="AJ221" i="12"/>
  <c r="AI221" i="12"/>
  <c r="T221" i="12"/>
  <c r="CZ220" i="12" a="1"/>
  <c r="CZ220" i="12" s="1"/>
  <c r="CY220" i="12" a="1"/>
  <c r="CY220" i="12" s="1"/>
  <c r="AJ220" i="12"/>
  <c r="AI220" i="12"/>
  <c r="AG220" i="12"/>
  <c r="T220" i="12"/>
  <c r="CW218" i="12"/>
  <c r="X218" i="12"/>
  <c r="T217" i="12"/>
  <c r="CZ216" i="12" a="1"/>
  <c r="CZ216" i="12" s="1"/>
  <c r="CY216" i="12" a="1"/>
  <c r="CY216" i="12" s="1"/>
  <c r="T216" i="12"/>
  <c r="CW214" i="12"/>
  <c r="X214" i="12"/>
  <c r="CZ212" i="12" a="1"/>
  <c r="CZ212" i="12"/>
  <c r="CY212" i="12" a="1"/>
  <c r="CY212" i="12"/>
  <c r="CW210" i="12"/>
  <c r="X210" i="12"/>
  <c r="T209" i="12"/>
  <c r="CZ208" i="12" a="1"/>
  <c r="CZ208" i="12" s="1"/>
  <c r="CY208" i="12" a="1"/>
  <c r="CY208" i="12" s="1"/>
  <c r="T208" i="12"/>
  <c r="AD207" i="12"/>
  <c r="AK206" i="12"/>
  <c r="AJ206" i="12"/>
  <c r="AI206" i="12"/>
  <c r="AH206" i="12"/>
  <c r="CW205" i="12"/>
  <c r="X205" i="12"/>
  <c r="AJ204" i="12"/>
  <c r="AI204" i="12"/>
  <c r="T204" i="12"/>
  <c r="CZ203" i="12" a="1"/>
  <c r="CZ203" i="12" s="1"/>
  <c r="CY203" i="12" a="1"/>
  <c r="CY203" i="12" s="1"/>
  <c r="AJ203" i="12"/>
  <c r="AI203" i="12"/>
  <c r="AG203" i="12"/>
  <c r="T203" i="12"/>
  <c r="CW201" i="12"/>
  <c r="X201" i="12"/>
  <c r="T200" i="12"/>
  <c r="CZ199" i="12" a="1"/>
  <c r="CZ199" i="12" s="1"/>
  <c r="CY199" i="12" a="1"/>
  <c r="CY199" i="12" s="1"/>
  <c r="T199" i="12"/>
  <c r="CW197" i="12"/>
  <c r="X197" i="12"/>
  <c r="CZ195" i="12" a="1"/>
  <c r="CZ195" i="12"/>
  <c r="CY195" i="12" a="1"/>
  <c r="CY195" i="12"/>
  <c r="CW193" i="12"/>
  <c r="X193" i="12"/>
  <c r="T192" i="12"/>
  <c r="CZ191" i="12" a="1"/>
  <c r="CZ191" i="12" s="1"/>
  <c r="CY191" i="12" a="1"/>
  <c r="CY191" i="12" s="1"/>
  <c r="T191" i="12"/>
  <c r="AD190" i="12"/>
  <c r="AK189" i="12"/>
  <c r="AJ189" i="12"/>
  <c r="AI189" i="12"/>
  <c r="AH189" i="12"/>
  <c r="CW188" i="12"/>
  <c r="X188" i="12"/>
  <c r="AJ187" i="12"/>
  <c r="AI187" i="12"/>
  <c r="T187" i="12"/>
  <c r="CZ186" i="12" a="1"/>
  <c r="CZ186" i="12" s="1"/>
  <c r="CY186" i="12" a="1"/>
  <c r="CY186" i="12" s="1"/>
  <c r="AJ186" i="12"/>
  <c r="AI186" i="12"/>
  <c r="AG186" i="12"/>
  <c r="T186" i="12"/>
  <c r="CW184" i="12"/>
  <c r="X184" i="12"/>
  <c r="T183" i="12"/>
  <c r="CZ182" i="12" a="1"/>
  <c r="CZ182" i="12" s="1"/>
  <c r="CY182" i="12" a="1"/>
  <c r="CY182" i="12" s="1"/>
  <c r="T182" i="12"/>
  <c r="CW180" i="12"/>
  <c r="X180" i="12"/>
  <c r="T179" i="12"/>
  <c r="CZ178" i="12" a="1"/>
  <c r="CZ178" i="12" s="1"/>
  <c r="CY178" i="12" a="1"/>
  <c r="CY178" i="12" s="1"/>
  <c r="AG178" i="12"/>
  <c r="T178" i="12"/>
  <c r="CW176" i="12"/>
  <c r="X176" i="12"/>
  <c r="CS175" i="12" a="1"/>
  <c r="CS175" i="12"/>
  <c r="CP175" i="12" a="1"/>
  <c r="CP175" i="12" s="1"/>
  <c r="CM175" i="12" a="1"/>
  <c r="CM175" i="12"/>
  <c r="CJ175" i="12" a="1"/>
  <c r="CJ175" i="12" s="1"/>
  <c r="CG175" i="12" a="1"/>
  <c r="CG175" i="12"/>
  <c r="CD175" i="12" a="1"/>
  <c r="CD175" i="12" s="1"/>
  <c r="CA175" i="12" a="1"/>
  <c r="CA175" i="12"/>
  <c r="BX175" i="12" a="1"/>
  <c r="BX175" i="12" s="1"/>
  <c r="BU175" i="12" a="1"/>
  <c r="BU175" i="12"/>
  <c r="BR175" i="12" a="1"/>
  <c r="BR175" i="12" s="1"/>
  <c r="BO175" i="12" a="1"/>
  <c r="BO175" i="12"/>
  <c r="BL175" i="12" a="1"/>
  <c r="BL175" i="12" s="1"/>
  <c r="BI175" i="12" a="1"/>
  <c r="BI175" i="12"/>
  <c r="BF175" i="12" a="1"/>
  <c r="BF175" i="12" s="1"/>
  <c r="BC175" i="12" a="1"/>
  <c r="BC175" i="12"/>
  <c r="AZ175" i="12" a="1"/>
  <c r="AZ175" i="12" s="1"/>
  <c r="AW175" i="12" a="1"/>
  <c r="AW175" i="12"/>
  <c r="AT175" i="12" a="1"/>
  <c r="AT175" i="12" s="1"/>
  <c r="AQ175" i="12" a="1"/>
  <c r="AQ175" i="12"/>
  <c r="AN175" i="12" a="1"/>
  <c r="AN175" i="12" s="1"/>
  <c r="T175" i="12"/>
  <c r="CZ174" i="12" a="1"/>
  <c r="CZ174" i="12" s="1"/>
  <c r="CY174" i="12" a="1"/>
  <c r="CY174" i="12" s="1"/>
  <c r="CS174" i="12" a="1"/>
  <c r="CS174" i="12" s="1"/>
  <c r="CP174" i="12" a="1"/>
  <c r="CP174" i="12"/>
  <c r="CM174" i="12" a="1"/>
  <c r="CM174" i="12" s="1"/>
  <c r="CJ174" i="12" a="1"/>
  <c r="CJ174" i="12"/>
  <c r="CG174" i="12" a="1"/>
  <c r="CG174" i="12" s="1"/>
  <c r="CD174" i="12" a="1"/>
  <c r="CD174" i="12"/>
  <c r="CA174" i="12" a="1"/>
  <c r="CA174" i="12" s="1"/>
  <c r="BX174" i="12" a="1"/>
  <c r="BX174" i="12"/>
  <c r="BU174" i="12" a="1"/>
  <c r="BU174" i="12" s="1"/>
  <c r="BR174" i="12" a="1"/>
  <c r="BR174" i="12"/>
  <c r="BO174" i="12" a="1"/>
  <c r="BO174" i="12" s="1"/>
  <c r="BL174" i="12" a="1"/>
  <c r="BL174" i="12"/>
  <c r="BI174" i="12" a="1"/>
  <c r="BI174" i="12" s="1"/>
  <c r="BF174" i="12" a="1"/>
  <c r="BF174" i="12"/>
  <c r="BC174" i="12" a="1"/>
  <c r="BC174" i="12" s="1"/>
  <c r="AZ174" i="12" a="1"/>
  <c r="AZ174" i="12"/>
  <c r="AW174" i="12" a="1"/>
  <c r="AW174" i="12" s="1"/>
  <c r="AT174" i="12" a="1"/>
  <c r="AT174" i="12"/>
  <c r="AQ174" i="12" a="1"/>
  <c r="AQ174" i="12" s="1"/>
  <c r="AN174" i="12" a="1"/>
  <c r="AN174" i="12"/>
  <c r="T174" i="12"/>
  <c r="CW172" i="12"/>
  <c r="X172" i="12"/>
  <c r="AF171" i="12"/>
  <c r="CZ171" i="12" s="1" a="1"/>
  <c r="CZ171" i="12" s="1"/>
  <c r="AE171" i="12" a="1"/>
  <c r="AE171" i="12"/>
  <c r="CY171" i="12" s="1" a="1"/>
  <c r="CY171" i="12" s="1"/>
  <c r="X171" i="12"/>
  <c r="T171" i="12"/>
  <c r="CZ170" i="12" a="1"/>
  <c r="CZ170" i="12" s="1"/>
  <c r="CY170" i="12" a="1"/>
  <c r="CY170" i="12" s="1"/>
  <c r="T170" i="12"/>
  <c r="CS169" i="12"/>
  <c r="CR169" i="12"/>
  <c r="CP169" i="12"/>
  <c r="CO169" i="12"/>
  <c r="CM169" i="12"/>
  <c r="CL169" i="12"/>
  <c r="CJ169" i="12"/>
  <c r="CI169" i="12"/>
  <c r="CG169" i="12"/>
  <c r="CF169" i="12"/>
  <c r="CD169" i="12"/>
  <c r="CC169" i="12"/>
  <c r="CA169" i="12"/>
  <c r="BZ169" i="12"/>
  <c r="BX169" i="12"/>
  <c r="BW169" i="12"/>
  <c r="BU169" i="12"/>
  <c r="BT169" i="12"/>
  <c r="BR169" i="12"/>
  <c r="BQ169" i="12"/>
  <c r="BO169" i="12"/>
  <c r="BN169" i="12"/>
  <c r="BL169" i="12"/>
  <c r="BK169" i="12"/>
  <c r="BI169" i="12"/>
  <c r="BH169" i="12"/>
  <c r="BF169" i="12"/>
  <c r="BE169" i="12"/>
  <c r="BC169" i="12"/>
  <c r="BB169" i="12"/>
  <c r="AZ169" i="12"/>
  <c r="AY169" i="12"/>
  <c r="AW169" i="12"/>
  <c r="AV169" i="12"/>
  <c r="AT169" i="12"/>
  <c r="AS169" i="12"/>
  <c r="AQ169" i="12"/>
  <c r="AP169" i="12"/>
  <c r="AN169" i="12"/>
  <c r="AM169" i="12"/>
  <c r="AK169" i="12"/>
  <c r="AH169" i="12"/>
  <c r="CW168" i="12"/>
  <c r="X168" i="12"/>
  <c r="CZ167" i="12" a="1"/>
  <c r="CZ167" i="12" s="1"/>
  <c r="CY167" i="12" a="1"/>
  <c r="CY167" i="12" s="1"/>
  <c r="AJ167" i="12"/>
  <c r="AJ268" i="12" s="1"/>
  <c r="AI167" i="12"/>
  <c r="T167" i="12"/>
  <c r="CZ166" i="12" a="1"/>
  <c r="CZ166" i="12" s="1"/>
  <c r="CY166" i="12" a="1"/>
  <c r="CY166" i="12" s="1"/>
  <c r="AJ166" i="12"/>
  <c r="AI166" i="12"/>
  <c r="AI267" i="12" s="1"/>
  <c r="T166" i="12"/>
  <c r="AJ164" i="12"/>
  <c r="AJ170" i="12" s="1"/>
  <c r="AJ169" i="12" s="1"/>
  <c r="CS160" i="12" a="1"/>
  <c r="CS160" i="12"/>
  <c r="CR160" i="12" a="1"/>
  <c r="CR160" i="12"/>
  <c r="CR161" i="12" s="1"/>
  <c r="CP160" i="12" a="1"/>
  <c r="CP160" i="12"/>
  <c r="CO160" i="12" a="1"/>
  <c r="CO160" i="12"/>
  <c r="CM160" i="12" a="1"/>
  <c r="CM160" i="12"/>
  <c r="CL160" i="12" a="1"/>
  <c r="CL160" i="12"/>
  <c r="CL161" i="12" s="1"/>
  <c r="CJ160" i="12" a="1"/>
  <c r="CJ160" i="12"/>
  <c r="CI160" i="12" a="1"/>
  <c r="CI160" i="12"/>
  <c r="CG160" i="12" a="1"/>
  <c r="CG160" i="12"/>
  <c r="CF160" i="12" a="1"/>
  <c r="CF160" i="12"/>
  <c r="CF161" i="12" s="1"/>
  <c r="CD160" i="12" a="1"/>
  <c r="CD160" i="12"/>
  <c r="CC160" i="12" a="1"/>
  <c r="CC160" i="12"/>
  <c r="CA160" i="12" a="1"/>
  <c r="CA160" i="12"/>
  <c r="BZ160" i="12" a="1"/>
  <c r="BZ160" i="12"/>
  <c r="BZ161" i="12" s="1"/>
  <c r="BX160" i="12" a="1"/>
  <c r="BX160" i="12"/>
  <c r="BW160" i="12" a="1"/>
  <c r="BW160" i="12"/>
  <c r="BU160" i="12" a="1"/>
  <c r="BU160" i="12"/>
  <c r="BT160" i="12" a="1"/>
  <c r="BT160" i="12"/>
  <c r="BT161" i="12" s="1"/>
  <c r="BR160" i="12" a="1"/>
  <c r="BR160" i="12"/>
  <c r="BQ160" i="12" a="1"/>
  <c r="BQ160" i="12"/>
  <c r="BO160" i="12" a="1"/>
  <c r="BO160" i="12"/>
  <c r="BN160" i="12" a="1"/>
  <c r="BN160" i="12"/>
  <c r="BN161" i="12" s="1"/>
  <c r="BL160" i="12" a="1"/>
  <c r="BL160" i="12"/>
  <c r="BK160" i="12" a="1"/>
  <c r="BK160" i="12"/>
  <c r="BI160" i="12" a="1"/>
  <c r="BI160" i="12"/>
  <c r="BH160" i="12" a="1"/>
  <c r="BH160" i="12"/>
  <c r="BH161" i="12" s="1"/>
  <c r="BF160" i="12" a="1"/>
  <c r="BF160" i="12"/>
  <c r="BE160" i="12" a="1"/>
  <c r="BE160" i="12"/>
  <c r="BC160" i="12" a="1"/>
  <c r="BC160" i="12"/>
  <c r="BB160" i="12" a="1"/>
  <c r="BB160" i="12"/>
  <c r="BB161" i="12" s="1"/>
  <c r="AZ160" i="12" a="1"/>
  <c r="AZ160" i="12"/>
  <c r="AY160" i="12" a="1"/>
  <c r="AY160" i="12"/>
  <c r="AW160" i="12" a="1"/>
  <c r="AW160" i="12"/>
  <c r="AV160" i="12" a="1"/>
  <c r="AV160" i="12"/>
  <c r="AV161" i="12" s="1"/>
  <c r="AT160" i="12" a="1"/>
  <c r="AT160" i="12"/>
  <c r="AS160" i="12" a="1"/>
  <c r="AS160" i="12"/>
  <c r="AQ160" i="12" a="1"/>
  <c r="AQ160" i="12"/>
  <c r="AP160" i="12" a="1"/>
  <c r="AP160" i="12"/>
  <c r="AP161" i="12" s="1"/>
  <c r="AN160" i="12" a="1"/>
  <c r="AN160" i="12"/>
  <c r="AM160" i="12" a="1"/>
  <c r="AM160" i="12"/>
  <c r="CR159" i="12" a="1"/>
  <c r="CR159" i="12" s="1"/>
  <c r="CO159" i="12" a="1"/>
  <c r="CO159" i="12" s="1"/>
  <c r="CL159" i="12" a="1"/>
  <c r="CL159" i="12" s="1"/>
  <c r="CI159" i="12" a="1"/>
  <c r="CI159" i="12" s="1"/>
  <c r="CF159" i="12" a="1"/>
  <c r="CF159" i="12" s="1"/>
  <c r="CC159" i="12" a="1"/>
  <c r="CC159" i="12" s="1"/>
  <c r="BZ159" i="12" a="1"/>
  <c r="BZ159" i="12" s="1"/>
  <c r="BW159" i="12" a="1"/>
  <c r="BW159" i="12" s="1"/>
  <c r="BT159" i="12" a="1"/>
  <c r="BT159" i="12" s="1"/>
  <c r="BQ159" i="12" a="1"/>
  <c r="BQ159" i="12" s="1"/>
  <c r="BN159" i="12" a="1"/>
  <c r="BN159" i="12" s="1"/>
  <c r="BK159" i="12" a="1"/>
  <c r="BK159" i="12" s="1"/>
  <c r="BH159" i="12" a="1"/>
  <c r="BH159" i="12" s="1"/>
  <c r="BE159" i="12" a="1"/>
  <c r="BE159" i="12" s="1"/>
  <c r="BB159" i="12" a="1"/>
  <c r="BB159" i="12" s="1"/>
  <c r="AY159" i="12" a="1"/>
  <c r="AY159" i="12" s="1"/>
  <c r="AV159" i="12" a="1"/>
  <c r="AV159" i="12" s="1"/>
  <c r="AS159" i="12" a="1"/>
  <c r="AS159" i="12" s="1"/>
  <c r="AP159" i="12" a="1"/>
  <c r="AP159" i="12" s="1"/>
  <c r="AM159" i="12" a="1"/>
  <c r="AM159" i="12" s="1"/>
  <c r="CR158" i="12"/>
  <c r="CO158" i="12"/>
  <c r="CL158" i="12"/>
  <c r="CI158" i="12"/>
  <c r="CF158" i="12"/>
  <c r="CC158" i="12"/>
  <c r="BZ158" i="12"/>
  <c r="BW158" i="12"/>
  <c r="BT158" i="12"/>
  <c r="BQ158" i="12"/>
  <c r="BN158" i="12"/>
  <c r="BK158" i="12"/>
  <c r="BH158" i="12"/>
  <c r="BE158" i="12"/>
  <c r="BB158" i="12"/>
  <c r="AY158" i="12"/>
  <c r="AV158" i="12"/>
  <c r="AS158" i="12"/>
  <c r="AP158" i="12"/>
  <c r="AM158" i="12"/>
  <c r="AK158" i="12"/>
  <c r="AK162" i="12" s="1"/>
  <c r="AJ158" i="12"/>
  <c r="AJ162" i="12" s="1"/>
  <c r="AJ163" i="12" s="1"/>
  <c r="AI158" i="12"/>
  <c r="AI162" i="12" s="1"/>
  <c r="AI163" i="12" s="1"/>
  <c r="AH158" i="12"/>
  <c r="AH162" i="12" s="1"/>
  <c r="CS157" i="12" a="1"/>
  <c r="CS157" i="12" s="1"/>
  <c r="CS158" i="12" s="1"/>
  <c r="CP157" i="12" a="1"/>
  <c r="CP157" i="12"/>
  <c r="CP158" i="12" s="1"/>
  <c r="CN158" i="12" s="1"/>
  <c r="CN157" i="12" s="1"/>
  <c r="CM157" i="12" a="1"/>
  <c r="CM157" i="12" s="1"/>
  <c r="CM158" i="12" s="1"/>
  <c r="CJ157" i="12" a="1"/>
  <c r="CJ157" i="12"/>
  <c r="CJ158" i="12" s="1"/>
  <c r="CH158" i="12" s="1"/>
  <c r="CH157" i="12" s="1"/>
  <c r="CG157" i="12" a="1"/>
  <c r="CG157" i="12" s="1"/>
  <c r="CG158" i="12" s="1"/>
  <c r="CD157" i="12" a="1"/>
  <c r="CD157" i="12"/>
  <c r="CD158" i="12" s="1"/>
  <c r="CB158" i="12" s="1"/>
  <c r="CB157" i="12" s="1"/>
  <c r="CA157" i="12" a="1"/>
  <c r="CA157" i="12" s="1"/>
  <c r="CA158" i="12" s="1"/>
  <c r="BX157" i="12" a="1"/>
  <c r="BX157" i="12"/>
  <c r="BX158" i="12" s="1"/>
  <c r="BV158" i="12" s="1"/>
  <c r="BV157" i="12" s="1"/>
  <c r="BU157" i="12" a="1"/>
  <c r="BU157" i="12" s="1"/>
  <c r="BU158" i="12" s="1"/>
  <c r="BR157" i="12" a="1"/>
  <c r="BR157" i="12"/>
  <c r="BR158" i="12" s="1"/>
  <c r="BP158" i="12" s="1"/>
  <c r="BP157" i="12" s="1"/>
  <c r="BO157" i="12" a="1"/>
  <c r="BO157" i="12" s="1"/>
  <c r="BO158" i="12" s="1"/>
  <c r="BL157" i="12" a="1"/>
  <c r="BL157" i="12"/>
  <c r="BL158" i="12" s="1"/>
  <c r="BJ158" i="12" s="1"/>
  <c r="BJ157" i="12" s="1"/>
  <c r="BI157" i="12" a="1"/>
  <c r="BI157" i="12" s="1"/>
  <c r="BI158" i="12" s="1"/>
  <c r="BF157" i="12" a="1"/>
  <c r="BF157" i="12"/>
  <c r="BF158" i="12" s="1"/>
  <c r="BD158" i="12" s="1"/>
  <c r="BD157" i="12" s="1"/>
  <c r="BC157" i="12" a="1"/>
  <c r="BC157" i="12" s="1"/>
  <c r="BC158" i="12" s="1"/>
  <c r="AZ157" i="12" a="1"/>
  <c r="AZ157" i="12"/>
  <c r="AZ158" i="12" s="1"/>
  <c r="AX158" i="12" s="1"/>
  <c r="AX157" i="12" s="1"/>
  <c r="AW157" i="12" a="1"/>
  <c r="AW157" i="12" s="1"/>
  <c r="AW158" i="12" s="1"/>
  <c r="AT157" i="12" a="1"/>
  <c r="AT157" i="12"/>
  <c r="AT158" i="12" s="1"/>
  <c r="AR158" i="12" s="1"/>
  <c r="AR157" i="12" s="1"/>
  <c r="AQ157" i="12" a="1"/>
  <c r="AQ157" i="12" s="1"/>
  <c r="AQ158" i="12" s="1"/>
  <c r="AN157" i="12" a="1"/>
  <c r="AN157" i="12"/>
  <c r="AN158" i="12" s="1"/>
  <c r="AL158" i="12" s="1"/>
  <c r="AL157" i="12" s="1"/>
  <c r="CQ156" i="12"/>
  <c r="CN156" i="12"/>
  <c r="CK156" i="12"/>
  <c r="CH156" i="12"/>
  <c r="CE156" i="12"/>
  <c r="CB156" i="12"/>
  <c r="BY156" i="12"/>
  <c r="BV156" i="12"/>
  <c r="BS156" i="12"/>
  <c r="BP156" i="12"/>
  <c r="BM156" i="12"/>
  <c r="BJ156" i="12"/>
  <c r="BG156" i="12"/>
  <c r="BD156" i="12"/>
  <c r="BA156" i="12"/>
  <c r="AX156" i="12"/>
  <c r="AU156" i="12"/>
  <c r="AR156" i="12"/>
  <c r="AO156" i="12"/>
  <c r="AL156" i="12"/>
  <c r="CR155" i="12"/>
  <c r="CO155" i="12"/>
  <c r="CL155" i="12"/>
  <c r="CI155" i="12"/>
  <c r="CF155" i="12"/>
  <c r="CC155" i="12"/>
  <c r="BZ155" i="12"/>
  <c r="BW155" i="12"/>
  <c r="BT155" i="12"/>
  <c r="BQ155" i="12"/>
  <c r="BN155" i="12"/>
  <c r="BK155" i="12"/>
  <c r="BH155" i="12"/>
  <c r="BE155" i="12"/>
  <c r="BB155" i="12"/>
  <c r="AY155" i="12"/>
  <c r="AV155" i="12"/>
  <c r="AS155" i="12"/>
  <c r="AP155" i="12"/>
  <c r="AM155" i="12"/>
  <c r="CR154" i="12"/>
  <c r="CO154" i="12"/>
  <c r="CL154" i="12"/>
  <c r="CI154" i="12"/>
  <c r="CF154" i="12"/>
  <c r="CC154" i="12"/>
  <c r="BZ154" i="12"/>
  <c r="BW154" i="12"/>
  <c r="BT154" i="12"/>
  <c r="BQ154" i="12"/>
  <c r="BN154" i="12"/>
  <c r="BK154" i="12"/>
  <c r="BH154" i="12"/>
  <c r="BE154" i="12"/>
  <c r="BB154" i="12"/>
  <c r="AY154" i="12"/>
  <c r="AV154" i="12"/>
  <c r="AS154" i="12"/>
  <c r="AP154" i="12"/>
  <c r="AM154" i="12"/>
  <c r="CQ149" i="12"/>
  <c r="CN149" i="12"/>
  <c r="CK149" i="12"/>
  <c r="CH149" i="12"/>
  <c r="CE149" i="12"/>
  <c r="CB149" i="12"/>
  <c r="BY149" i="12"/>
  <c r="BV149" i="12"/>
  <c r="BS149" i="12"/>
  <c r="BP149" i="12"/>
  <c r="BM149" i="12"/>
  <c r="BJ149" i="12"/>
  <c r="BG149" i="12"/>
  <c r="BD149" i="12"/>
  <c r="BA149" i="12"/>
  <c r="AX149" i="12"/>
  <c r="AU149" i="12"/>
  <c r="AR149" i="12"/>
  <c r="AO149" i="12"/>
  <c r="AL149" i="12"/>
  <c r="CQ147" i="12"/>
  <c r="CN147" i="12"/>
  <c r="CK147" i="12"/>
  <c r="CH147" i="12"/>
  <c r="CE147" i="12"/>
  <c r="CB147" i="12"/>
  <c r="BY147" i="12"/>
  <c r="BV147" i="12"/>
  <c r="BS147" i="12"/>
  <c r="BP147" i="12"/>
  <c r="BM147" i="12"/>
  <c r="BJ147" i="12"/>
  <c r="BG147" i="12"/>
  <c r="BD147" i="12"/>
  <c r="BA147" i="12"/>
  <c r="AX147" i="12"/>
  <c r="AU147" i="12"/>
  <c r="AR147" i="12"/>
  <c r="AO147" i="12"/>
  <c r="AL147" i="12"/>
  <c r="CS146" i="12"/>
  <c r="CS151" i="12" s="1"/>
  <c r="CO146" i="12"/>
  <c r="CO151" i="12" s="1"/>
  <c r="CM146" i="12"/>
  <c r="CM151" i="12" s="1"/>
  <c r="CI146" i="12"/>
  <c r="CI151" i="12" s="1"/>
  <c r="CG146" i="12"/>
  <c r="CG151" i="12" s="1"/>
  <c r="CC146" i="12"/>
  <c r="CC151" i="12" s="1"/>
  <c r="CA146" i="12"/>
  <c r="CA151" i="12" s="1"/>
  <c r="BW146" i="12"/>
  <c r="BW151" i="12" s="1"/>
  <c r="BU146" i="12"/>
  <c r="BU151" i="12" s="1"/>
  <c r="BQ146" i="12"/>
  <c r="BQ151" i="12" s="1"/>
  <c r="BO146" i="12"/>
  <c r="BO151" i="12" s="1"/>
  <c r="BK146" i="12"/>
  <c r="BK151" i="12" s="1"/>
  <c r="BI146" i="12"/>
  <c r="BI151" i="12" s="1"/>
  <c r="BE146" i="12"/>
  <c r="BE151" i="12" s="1"/>
  <c r="BC146" i="12"/>
  <c r="BC151" i="12" s="1"/>
  <c r="AY146" i="12"/>
  <c r="AY151" i="12" s="1"/>
  <c r="AW146" i="12"/>
  <c r="AW151" i="12" s="1"/>
  <c r="AS146" i="12"/>
  <c r="AS151" i="12" s="1"/>
  <c r="AQ146" i="12"/>
  <c r="AQ151" i="12" s="1"/>
  <c r="AM146" i="12"/>
  <c r="AM151" i="12" s="1"/>
  <c r="AK146" i="12"/>
  <c r="AK151" i="12" s="1"/>
  <c r="AI146" i="12"/>
  <c r="AI151" i="12" s="1"/>
  <c r="CQ144" i="12"/>
  <c r="CN144" i="12"/>
  <c r="CK144" i="12"/>
  <c r="CH144" i="12"/>
  <c r="CE144" i="12"/>
  <c r="CB144" i="12"/>
  <c r="BY144" i="12"/>
  <c r="BV144" i="12"/>
  <c r="BS144" i="12"/>
  <c r="BP144" i="12"/>
  <c r="BM144" i="12"/>
  <c r="BJ144" i="12"/>
  <c r="BG144" i="12"/>
  <c r="BD144" i="12"/>
  <c r="BA144" i="12"/>
  <c r="AX144" i="12"/>
  <c r="AU144" i="12"/>
  <c r="AR144" i="12"/>
  <c r="AO144" i="12"/>
  <c r="AL144" i="12"/>
  <c r="CS143" i="12"/>
  <c r="CR143" i="12"/>
  <c r="CP143" i="12"/>
  <c r="CO143" i="12"/>
  <c r="CN143" i="12"/>
  <c r="CM143" i="12"/>
  <c r="CL143" i="12"/>
  <c r="CJ143" i="12"/>
  <c r="CI143" i="12"/>
  <c r="CH143" i="12"/>
  <c r="CG143" i="12"/>
  <c r="CF143" i="12"/>
  <c r="CD143" i="12"/>
  <c r="CC143" i="12"/>
  <c r="CB143" i="12"/>
  <c r="CA143" i="12"/>
  <c r="BZ143" i="12"/>
  <c r="BX143" i="12"/>
  <c r="BW143" i="12"/>
  <c r="BV143" i="12"/>
  <c r="BU143" i="12"/>
  <c r="BT143" i="12"/>
  <c r="BR143" i="12"/>
  <c r="BQ143" i="12"/>
  <c r="BP143" i="12"/>
  <c r="BO143" i="12"/>
  <c r="BN143" i="12"/>
  <c r="BL143" i="12"/>
  <c r="BK143" i="12"/>
  <c r="BJ143" i="12"/>
  <c r="BI143" i="12"/>
  <c r="BH143" i="12"/>
  <c r="BF143" i="12"/>
  <c r="BE143" i="12"/>
  <c r="BD143" i="12"/>
  <c r="BC143" i="12"/>
  <c r="BB143" i="12"/>
  <c r="AZ143" i="12"/>
  <c r="AY143" i="12"/>
  <c r="AX143" i="12"/>
  <c r="AW143" i="12"/>
  <c r="AV143" i="12"/>
  <c r="AT143" i="12"/>
  <c r="AS143" i="12"/>
  <c r="AR143" i="12"/>
  <c r="AQ143" i="12"/>
  <c r="AP143" i="12"/>
  <c r="AN143" i="12"/>
  <c r="AM143" i="12"/>
  <c r="AL143" i="12"/>
  <c r="AK143" i="12"/>
  <c r="AJ143" i="12"/>
  <c r="AI143" i="12"/>
  <c r="AH143" i="12"/>
  <c r="CQ142" i="12"/>
  <c r="CQ143" i="12" s="1"/>
  <c r="CN142" i="12"/>
  <c r="CK142" i="12"/>
  <c r="CK143" i="12" s="1"/>
  <c r="CH142" i="12"/>
  <c r="CE142" i="12"/>
  <c r="CE143" i="12" s="1"/>
  <c r="CB142" i="12"/>
  <c r="BY142" i="12"/>
  <c r="BY143" i="12" s="1"/>
  <c r="BV142" i="12"/>
  <c r="BS142" i="12"/>
  <c r="BS143" i="12" s="1"/>
  <c r="BP142" i="12"/>
  <c r="BM142" i="12"/>
  <c r="BM143" i="12" s="1"/>
  <c r="BJ142" i="12"/>
  <c r="BG142" i="12"/>
  <c r="BG143" i="12" s="1"/>
  <c r="BD142" i="12"/>
  <c r="BA142" i="12"/>
  <c r="BA143" i="12" s="1"/>
  <c r="AX142" i="12"/>
  <c r="AU142" i="12"/>
  <c r="AU143" i="12" s="1"/>
  <c r="AR142" i="12"/>
  <c r="AO142" i="12"/>
  <c r="AO143" i="12" s="1"/>
  <c r="AL142" i="12"/>
  <c r="CS141" i="12"/>
  <c r="CR141" i="12"/>
  <c r="CR146" i="12" s="1"/>
  <c r="CP141" i="12"/>
  <c r="CP146" i="12" s="1"/>
  <c r="CO141" i="12"/>
  <c r="CN141" i="12"/>
  <c r="CM141" i="12"/>
  <c r="CL141" i="12"/>
  <c r="CL146" i="12" s="1"/>
  <c r="CJ141" i="12"/>
  <c r="CJ146" i="12" s="1"/>
  <c r="CI141" i="12"/>
  <c r="CH141" i="12"/>
  <c r="CG141" i="12"/>
  <c r="CF141" i="12"/>
  <c r="CF146" i="12" s="1"/>
  <c r="CD141" i="12"/>
  <c r="CD146" i="12" s="1"/>
  <c r="CC141" i="12"/>
  <c r="CB141" i="12"/>
  <c r="CA141" i="12"/>
  <c r="BZ141" i="12"/>
  <c r="BZ146" i="12" s="1"/>
  <c r="BX141" i="12"/>
  <c r="BX146" i="12" s="1"/>
  <c r="BW141" i="12"/>
  <c r="BV141" i="12"/>
  <c r="BU141" i="12"/>
  <c r="BT141" i="12"/>
  <c r="BT146" i="12" s="1"/>
  <c r="BR141" i="12"/>
  <c r="BR146" i="12" s="1"/>
  <c r="BQ141" i="12"/>
  <c r="BP141" i="12"/>
  <c r="BO141" i="12"/>
  <c r="BN141" i="12"/>
  <c r="BN146" i="12" s="1"/>
  <c r="BL141" i="12"/>
  <c r="BL146" i="12" s="1"/>
  <c r="BK141" i="12"/>
  <c r="BJ141" i="12"/>
  <c r="BI141" i="12"/>
  <c r="BH141" i="12"/>
  <c r="BH146" i="12" s="1"/>
  <c r="BF141" i="12"/>
  <c r="BF146" i="12" s="1"/>
  <c r="BE141" i="12"/>
  <c r="BD141" i="12"/>
  <c r="BC141" i="12"/>
  <c r="BB141" i="12"/>
  <c r="BB146" i="12" s="1"/>
  <c r="AZ141" i="12"/>
  <c r="AZ146" i="12" s="1"/>
  <c r="AY141" i="12"/>
  <c r="AX141" i="12"/>
  <c r="AW141" i="12"/>
  <c r="AV141" i="12"/>
  <c r="AV146" i="12" s="1"/>
  <c r="AT141" i="12"/>
  <c r="AT146" i="12" s="1"/>
  <c r="AS141" i="12"/>
  <c r="AR141" i="12"/>
  <c r="AQ141" i="12"/>
  <c r="AP141" i="12"/>
  <c r="AP146" i="12" s="1"/>
  <c r="AN141" i="12"/>
  <c r="AN146" i="12" s="1"/>
  <c r="AM141" i="12"/>
  <c r="AL141" i="12"/>
  <c r="AK141" i="12"/>
  <c r="AJ141" i="12"/>
  <c r="AJ146" i="12" s="1"/>
  <c r="AI141" i="12"/>
  <c r="AH141" i="12"/>
  <c r="AH146" i="12" s="1"/>
  <c r="CQ140" i="12"/>
  <c r="CN140" i="12"/>
  <c r="CN146" i="12" s="1"/>
  <c r="CN151" i="12" s="1"/>
  <c r="CK140" i="12"/>
  <c r="CH140" i="12"/>
  <c r="CH146" i="12" s="1"/>
  <c r="CH151" i="12" s="1"/>
  <c r="CE140" i="12"/>
  <c r="CB140" i="12"/>
  <c r="CB146" i="12" s="1"/>
  <c r="CB151" i="12" s="1"/>
  <c r="BY140" i="12"/>
  <c r="BV140" i="12"/>
  <c r="BV146" i="12" s="1"/>
  <c r="BV151" i="12" s="1"/>
  <c r="BS140" i="12"/>
  <c r="BP140" i="12"/>
  <c r="BP146" i="12" s="1"/>
  <c r="BP151" i="12" s="1"/>
  <c r="BM140" i="12"/>
  <c r="BJ140" i="12"/>
  <c r="BJ146" i="12" s="1"/>
  <c r="BJ151" i="12" s="1"/>
  <c r="BG140" i="12"/>
  <c r="BD140" i="12"/>
  <c r="BD146" i="12" s="1"/>
  <c r="BD151" i="12" s="1"/>
  <c r="BA140" i="12"/>
  <c r="AX140" i="12"/>
  <c r="AX146" i="12" s="1"/>
  <c r="AX151" i="12" s="1"/>
  <c r="AU140" i="12"/>
  <c r="AR140" i="12"/>
  <c r="AR146" i="12" s="1"/>
  <c r="AR151" i="12" s="1"/>
  <c r="AO140" i="12"/>
  <c r="AL140" i="12"/>
  <c r="AL146" i="12" s="1"/>
  <c r="AL151" i="12" s="1"/>
  <c r="CW139" i="12"/>
  <c r="U139" i="12"/>
  <c r="S139" i="12"/>
  <c r="S140" i="12" s="1"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F139" i="12" a="1"/>
  <c r="F139" i="12" s="1"/>
  <c r="CW137" i="12"/>
  <c r="X137" i="12"/>
  <c r="CZ136" i="12" a="1"/>
  <c r="CZ136" i="12" s="1"/>
  <c r="CY136" i="12" a="1"/>
  <c r="CY136" i="12" s="1"/>
  <c r="AI136" i="12"/>
  <c r="AG136" i="12"/>
  <c r="T136" i="12"/>
  <c r="CW134" i="12"/>
  <c r="X134" i="12"/>
  <c r="CZ133" i="12" a="1"/>
  <c r="CZ133" i="12"/>
  <c r="CY133" i="12" a="1"/>
  <c r="CY133" i="12"/>
  <c r="T133" i="12"/>
  <c r="AD132" i="12"/>
  <c r="CW130" i="12"/>
  <c r="X130" i="12"/>
  <c r="CZ129" i="12" a="1"/>
  <c r="CZ129" i="12"/>
  <c r="CY129" i="12" a="1"/>
  <c r="CY129" i="12"/>
  <c r="AK129" i="12"/>
  <c r="AJ129" i="12"/>
  <c r="AJ136" i="12" s="1"/>
  <c r="AI129" i="12"/>
  <c r="AI133" i="12" s="1"/>
  <c r="AH129" i="12"/>
  <c r="T129" i="12"/>
  <c r="AD126" i="12"/>
  <c r="AK125" i="12"/>
  <c r="AI125" i="12"/>
  <c r="AI131" i="12" s="1"/>
  <c r="CW124" i="12"/>
  <c r="X124" i="12"/>
  <c r="CZ123" i="12" a="1"/>
  <c r="CZ123" i="12" s="1"/>
  <c r="CY123" i="12" a="1"/>
  <c r="CY123" i="12" s="1"/>
  <c r="CW121" i="12"/>
  <c r="X121" i="12"/>
  <c r="CZ120" i="12" a="1"/>
  <c r="CZ120" i="12" s="1"/>
  <c r="CY120" i="12" a="1"/>
  <c r="CY120" i="12" s="1"/>
  <c r="CQ120" i="12"/>
  <c r="CN120" i="12"/>
  <c r="CK120" i="12"/>
  <c r="CH120" i="12"/>
  <c r="CE120" i="12"/>
  <c r="CB120" i="12"/>
  <c r="BY120" i="12"/>
  <c r="BV120" i="12"/>
  <c r="BS120" i="12"/>
  <c r="BP120" i="12"/>
  <c r="BM120" i="12"/>
  <c r="BJ120" i="12"/>
  <c r="BG120" i="12"/>
  <c r="BD120" i="12"/>
  <c r="BA120" i="12"/>
  <c r="AX120" i="12"/>
  <c r="AU120" i="12"/>
  <c r="AR120" i="12"/>
  <c r="AO120" i="12"/>
  <c r="AL120" i="12"/>
  <c r="T120" i="12"/>
  <c r="AD119" i="12"/>
  <c r="CS118" i="12"/>
  <c r="CR118" i="12"/>
  <c r="CQ118" i="12"/>
  <c r="CP118" i="12"/>
  <c r="CO118" i="12"/>
  <c r="CN118" i="12"/>
  <c r="CM118" i="12"/>
  <c r="CL118" i="12"/>
  <c r="CK118" i="12"/>
  <c r="CJ118" i="12"/>
  <c r="CI118" i="12"/>
  <c r="CH118" i="12"/>
  <c r="CG118" i="12"/>
  <c r="CF118" i="12"/>
  <c r="CE118" i="12"/>
  <c r="CD118" i="12"/>
  <c r="CC118" i="12"/>
  <c r="CB118" i="12"/>
  <c r="CA118" i="12"/>
  <c r="BZ118" i="12"/>
  <c r="BY118" i="12"/>
  <c r="BX118" i="12"/>
  <c r="BW118" i="12"/>
  <c r="BV118" i="12"/>
  <c r="BU118" i="12"/>
  <c r="BT118" i="12"/>
  <c r="BS118" i="12"/>
  <c r="BR118" i="12"/>
  <c r="BQ118" i="12"/>
  <c r="BP118" i="12"/>
  <c r="BO118" i="12"/>
  <c r="BN118" i="12"/>
  <c r="BM118" i="12"/>
  <c r="BL118" i="12"/>
  <c r="BK118" i="12"/>
  <c r="BJ118" i="12"/>
  <c r="BI118" i="12"/>
  <c r="BH118" i="12"/>
  <c r="BG118" i="12"/>
  <c r="BF118" i="12"/>
  <c r="BE118" i="12"/>
  <c r="BD118" i="12"/>
  <c r="BC118" i="12"/>
  <c r="BB118" i="12"/>
  <c r="BA118" i="12"/>
  <c r="AZ118" i="12"/>
  <c r="AY118" i="12"/>
  <c r="AX118" i="12"/>
  <c r="AW118" i="12"/>
  <c r="AV118" i="12"/>
  <c r="AU118" i="12"/>
  <c r="AT118" i="12"/>
  <c r="AS118" i="12"/>
  <c r="AR118" i="12"/>
  <c r="AQ118" i="12"/>
  <c r="AP118" i="12"/>
  <c r="AO118" i="12"/>
  <c r="AN118" i="12"/>
  <c r="AM118" i="12"/>
  <c r="AL118" i="12"/>
  <c r="AK118" i="12"/>
  <c r="AJ118" i="12"/>
  <c r="AI118" i="12"/>
  <c r="AH118" i="12"/>
  <c r="CW117" i="12"/>
  <c r="X117" i="12"/>
  <c r="CZ116" i="12" a="1"/>
  <c r="CZ116" i="12" s="1"/>
  <c r="CY116" i="12" a="1"/>
  <c r="CY116" i="12" s="1"/>
  <c r="CW114" i="12"/>
  <c r="X114" i="12"/>
  <c r="CZ113" i="12" a="1"/>
  <c r="CZ113" i="12" s="1"/>
  <c r="CY113" i="12" a="1"/>
  <c r="CY113" i="12" s="1"/>
  <c r="T113" i="12"/>
  <c r="AD112" i="12"/>
  <c r="AK111" i="12"/>
  <c r="AJ111" i="12"/>
  <c r="AI111" i="12"/>
  <c r="AH111" i="12"/>
  <c r="CW110" i="12"/>
  <c r="X110" i="12"/>
  <c r="CZ109" i="12" a="1"/>
  <c r="CZ109" i="12" s="1"/>
  <c r="CY109" i="12" a="1"/>
  <c r="CY109" i="12" s="1"/>
  <c r="AJ109" i="12"/>
  <c r="AI109" i="12"/>
  <c r="AG109" i="12"/>
  <c r="T109" i="12"/>
  <c r="CW107" i="12"/>
  <c r="X107" i="12"/>
  <c r="CZ106" i="12" a="1"/>
  <c r="CZ106" i="12"/>
  <c r="CY106" i="12" a="1"/>
  <c r="CY106" i="12"/>
  <c r="T106" i="12"/>
  <c r="CW104" i="12"/>
  <c r="X104" i="12"/>
  <c r="CZ103" i="12" a="1"/>
  <c r="CZ103" i="12"/>
  <c r="CY103" i="12" a="1"/>
  <c r="CY103" i="12"/>
  <c r="CW101" i="12"/>
  <c r="X101" i="12"/>
  <c r="CZ100" i="12" a="1"/>
  <c r="CZ100" i="12"/>
  <c r="CY100" i="12" a="1"/>
  <c r="CY100" i="12"/>
  <c r="T100" i="12"/>
  <c r="AD99" i="12"/>
  <c r="AK98" i="12"/>
  <c r="AJ98" i="12"/>
  <c r="AI98" i="12"/>
  <c r="AH98" i="12"/>
  <c r="CW97" i="12"/>
  <c r="X97" i="12"/>
  <c r="CZ96" i="12" a="1"/>
  <c r="CZ96" i="12"/>
  <c r="CY96" i="12" a="1"/>
  <c r="CY96" i="12"/>
  <c r="AJ96" i="12"/>
  <c r="AI96" i="12"/>
  <c r="AG96" i="12"/>
  <c r="T96" i="12"/>
  <c r="CW94" i="12"/>
  <c r="X94" i="12"/>
  <c r="CZ93" i="12" a="1"/>
  <c r="CZ93" i="12" s="1"/>
  <c r="CY93" i="12" a="1"/>
  <c r="CY93" i="12" s="1"/>
  <c r="T93" i="12"/>
  <c r="CW91" i="12"/>
  <c r="X91" i="12"/>
  <c r="CZ90" i="12" a="1"/>
  <c r="CZ90" i="12" s="1"/>
  <c r="CY90" i="12" a="1"/>
  <c r="CY90" i="12" s="1"/>
  <c r="CW88" i="12"/>
  <c r="X88" i="12"/>
  <c r="CZ87" i="12" a="1"/>
  <c r="CZ87" i="12" s="1"/>
  <c r="CY87" i="12" a="1"/>
  <c r="CY87" i="12" s="1"/>
  <c r="T87" i="12"/>
  <c r="AD86" i="12"/>
  <c r="AK85" i="12"/>
  <c r="AJ85" i="12"/>
  <c r="AI85" i="12"/>
  <c r="AH85" i="12"/>
  <c r="CW84" i="12"/>
  <c r="X84" i="12"/>
  <c r="CZ83" i="12" a="1"/>
  <c r="CZ83" i="12" s="1"/>
  <c r="CY83" i="12" a="1"/>
  <c r="CY83" i="12" s="1"/>
  <c r="AJ83" i="12"/>
  <c r="AI83" i="12"/>
  <c r="AG83" i="12"/>
  <c r="T83" i="12"/>
  <c r="CW81" i="12"/>
  <c r="X81" i="12"/>
  <c r="CZ80" i="12" a="1"/>
  <c r="CZ80" i="12"/>
  <c r="CY80" i="12" a="1"/>
  <c r="CY80" i="12"/>
  <c r="T80" i="12"/>
  <c r="CW78" i="12"/>
  <c r="X78" i="12"/>
  <c r="CZ77" i="12" a="1"/>
  <c r="CZ77" i="12"/>
  <c r="CY77" i="12" a="1"/>
  <c r="CY77" i="12"/>
  <c r="CW75" i="12"/>
  <c r="X75" i="12"/>
  <c r="CZ74" i="12" a="1"/>
  <c r="CZ74" i="12"/>
  <c r="CY74" i="12" a="1"/>
  <c r="CY74" i="12"/>
  <c r="T74" i="12"/>
  <c r="AD73" i="12"/>
  <c r="AK72" i="12"/>
  <c r="AJ72" i="12"/>
  <c r="AI72" i="12"/>
  <c r="AH72" i="12"/>
  <c r="CW71" i="12"/>
  <c r="X71" i="12"/>
  <c r="CZ70" i="12" a="1"/>
  <c r="CZ70" i="12"/>
  <c r="CY70" i="12" a="1"/>
  <c r="CY70" i="12"/>
  <c r="AJ70" i="12"/>
  <c r="AI70" i="12"/>
  <c r="AG70" i="12"/>
  <c r="T70" i="12"/>
  <c r="CW68" i="12"/>
  <c r="X68" i="12"/>
  <c r="CZ67" i="12" a="1"/>
  <c r="CZ67" i="12" s="1"/>
  <c r="CY67" i="12" a="1"/>
  <c r="CY67" i="12" s="1"/>
  <c r="T67" i="12"/>
  <c r="CW65" i="12"/>
  <c r="X65" i="12"/>
  <c r="CZ64" i="12" a="1"/>
  <c r="CZ64" i="12" s="1"/>
  <c r="CY64" i="12" a="1"/>
  <c r="CY64" i="12" s="1"/>
  <c r="AG64" i="12"/>
  <c r="T64" i="12"/>
  <c r="CW62" i="12"/>
  <c r="X62" i="12"/>
  <c r="CZ61" i="12" a="1"/>
  <c r="CZ61" i="12"/>
  <c r="CY61" i="12" a="1"/>
  <c r="CY61" i="12"/>
  <c r="CS61" i="12" a="1"/>
  <c r="CS61" i="12"/>
  <c r="CP61" i="12" a="1"/>
  <c r="CP61" i="12" s="1"/>
  <c r="CM61" i="12" a="1"/>
  <c r="CM61" i="12"/>
  <c r="CJ61" i="12" a="1"/>
  <c r="CJ61" i="12" s="1"/>
  <c r="CG61" i="12" a="1"/>
  <c r="CG61" i="12"/>
  <c r="CD61" i="12" a="1"/>
  <c r="CD61" i="12" s="1"/>
  <c r="CA61" i="12" a="1"/>
  <c r="CA61" i="12"/>
  <c r="BX61" i="12" a="1"/>
  <c r="BX61" i="12" s="1"/>
  <c r="BU61" i="12" a="1"/>
  <c r="BU61" i="12"/>
  <c r="BR61" i="12" a="1"/>
  <c r="BR61" i="12" s="1"/>
  <c r="BO61" i="12" a="1"/>
  <c r="BO61" i="12"/>
  <c r="BL61" i="12" a="1"/>
  <c r="BL61" i="12" s="1"/>
  <c r="BI61" i="12" a="1"/>
  <c r="BI61" i="12"/>
  <c r="BF61" i="12" a="1"/>
  <c r="BF61" i="12" s="1"/>
  <c r="BC61" i="12" a="1"/>
  <c r="BC61" i="12"/>
  <c r="AZ61" i="12" a="1"/>
  <c r="AZ61" i="12" s="1"/>
  <c r="AW61" i="12" a="1"/>
  <c r="AW61" i="12"/>
  <c r="AT61" i="12" a="1"/>
  <c r="AT61" i="12" s="1"/>
  <c r="AQ61" i="12" a="1"/>
  <c r="AQ61" i="12"/>
  <c r="AN61" i="12" a="1"/>
  <c r="AN61" i="12" s="1"/>
  <c r="T61" i="12"/>
  <c r="CW59" i="12"/>
  <c r="X59" i="12"/>
  <c r="CZ58" i="12" a="1"/>
  <c r="CZ58" i="12"/>
  <c r="CY58" i="12" a="1"/>
  <c r="CY58" i="12"/>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c r="CY55" i="12" a="1"/>
  <c r="CY55" i="12"/>
  <c r="AJ55" i="12"/>
  <c r="AI55" i="12"/>
  <c r="T55" i="12"/>
  <c r="AI53" i="12"/>
  <c r="AI58" i="12" s="1"/>
  <c r="AI57" i="12" s="1"/>
  <c r="CS49" i="12" a="1"/>
  <c r="CS49" i="12" s="1"/>
  <c r="CR49" i="12" a="1"/>
  <c r="CR49" i="12" s="1"/>
  <c r="CR50" i="12" s="1"/>
  <c r="CP49" i="12" a="1"/>
  <c r="CP49" i="12" s="1"/>
  <c r="CO49" i="12" a="1"/>
  <c r="CO49" i="12" s="1"/>
  <c r="CO50" i="12" s="1"/>
  <c r="CM49" i="12" a="1"/>
  <c r="CM49" i="12" s="1"/>
  <c r="CL49" i="12" a="1"/>
  <c r="CL49" i="12" s="1"/>
  <c r="CL50" i="12" s="1"/>
  <c r="CJ49" i="12" a="1"/>
  <c r="CJ49" i="12" s="1"/>
  <c r="CI49" i="12" a="1"/>
  <c r="CI49" i="12" s="1"/>
  <c r="CI50" i="12" s="1"/>
  <c r="CG49" i="12" a="1"/>
  <c r="CG49" i="12" s="1"/>
  <c r="CF49" i="12" a="1"/>
  <c r="CF49" i="12" s="1"/>
  <c r="CF50" i="12" s="1"/>
  <c r="CD49" i="12" a="1"/>
  <c r="CD49" i="12" s="1"/>
  <c r="CC49" i="12" a="1"/>
  <c r="CC49" i="12" s="1"/>
  <c r="CC50" i="12" s="1"/>
  <c r="CA49" i="12" a="1"/>
  <c r="CA49" i="12" s="1"/>
  <c r="BZ49" i="12" a="1"/>
  <c r="BZ49" i="12" s="1"/>
  <c r="BZ50" i="12" s="1"/>
  <c r="BX49" i="12" a="1"/>
  <c r="BX49" i="12" s="1"/>
  <c r="BW49" i="12" a="1"/>
  <c r="BW49" i="12" s="1"/>
  <c r="BW50" i="12" s="1"/>
  <c r="BU49" i="12" a="1"/>
  <c r="BU49" i="12" s="1"/>
  <c r="BT49" i="12" a="1"/>
  <c r="BT49" i="12" s="1"/>
  <c r="BT50" i="12" s="1"/>
  <c r="BR49" i="12" a="1"/>
  <c r="BR49" i="12" s="1"/>
  <c r="BQ49" i="12" a="1"/>
  <c r="BQ49" i="12" s="1"/>
  <c r="BQ50" i="12" s="1"/>
  <c r="BO49" i="12" a="1"/>
  <c r="BO49" i="12" s="1"/>
  <c r="BN49" i="12" a="1"/>
  <c r="BN49" i="12" s="1"/>
  <c r="BN50" i="12" s="1"/>
  <c r="BL49" i="12" a="1"/>
  <c r="BL49" i="12" s="1"/>
  <c r="BK49" i="12" a="1"/>
  <c r="BK49" i="12" s="1"/>
  <c r="BK50" i="12" s="1"/>
  <c r="BI49" i="12" a="1"/>
  <c r="BI49" i="12" s="1"/>
  <c r="BH49" i="12" a="1"/>
  <c r="BH49" i="12" s="1"/>
  <c r="BH50" i="12" s="1"/>
  <c r="BF49" i="12" a="1"/>
  <c r="BF49" i="12" s="1"/>
  <c r="BE49" i="12" a="1"/>
  <c r="BE49" i="12" s="1"/>
  <c r="BE50" i="12" s="1"/>
  <c r="BC49" i="12" a="1"/>
  <c r="BC49" i="12" s="1"/>
  <c r="BB49" i="12" a="1"/>
  <c r="BB49" i="12" s="1"/>
  <c r="BB50" i="12" s="1"/>
  <c r="AZ49" i="12" a="1"/>
  <c r="AZ49" i="12" s="1"/>
  <c r="AY49" i="12" a="1"/>
  <c r="AY49" i="12" s="1"/>
  <c r="AY50" i="12" s="1"/>
  <c r="AW49" i="12" a="1"/>
  <c r="AW49" i="12" s="1"/>
  <c r="AV49" i="12" a="1"/>
  <c r="AV49" i="12" s="1"/>
  <c r="AV50" i="12" s="1"/>
  <c r="AT49" i="12" a="1"/>
  <c r="AT49" i="12" s="1"/>
  <c r="AS49" i="12" a="1"/>
  <c r="AS49" i="12" s="1"/>
  <c r="AS50" i="12" s="1"/>
  <c r="AQ49" i="12" a="1"/>
  <c r="AQ49" i="12" s="1"/>
  <c r="AP49" i="12" a="1"/>
  <c r="AP49" i="12" s="1"/>
  <c r="AP50" i="12" s="1"/>
  <c r="AN49" i="12" a="1"/>
  <c r="AN49" i="12" s="1"/>
  <c r="AM49" i="12" a="1"/>
  <c r="AM49" i="12" s="1"/>
  <c r="AM50" i="12" s="1"/>
  <c r="CR48" i="12" a="1"/>
  <c r="CR48" i="12"/>
  <c r="CO48" i="12" a="1"/>
  <c r="CO48" i="12"/>
  <c r="CL48" i="12" a="1"/>
  <c r="CL48" i="12"/>
  <c r="CI48" i="12" a="1"/>
  <c r="CI48" i="12"/>
  <c r="CF48" i="12" a="1"/>
  <c r="CF48" i="12"/>
  <c r="CC48" i="12" a="1"/>
  <c r="CC48" i="12"/>
  <c r="BZ48" i="12" a="1"/>
  <c r="BZ48" i="12"/>
  <c r="BW48" i="12" a="1"/>
  <c r="BW48" i="12"/>
  <c r="BT48" i="12" a="1"/>
  <c r="BT48" i="12"/>
  <c r="BQ48" i="12" a="1"/>
  <c r="BQ48" i="12"/>
  <c r="BN48" i="12" a="1"/>
  <c r="BN48" i="12"/>
  <c r="BK48" i="12" a="1"/>
  <c r="BK48" i="12"/>
  <c r="BH48" i="12" a="1"/>
  <c r="BH48" i="12"/>
  <c r="BE48" i="12" a="1"/>
  <c r="BE48" i="12"/>
  <c r="BB48" i="12" a="1"/>
  <c r="BB48" i="12"/>
  <c r="AY48" i="12" a="1"/>
  <c r="AY48" i="12"/>
  <c r="AV48" i="12" a="1"/>
  <c r="AV48" i="12"/>
  <c r="AS48" i="12" a="1"/>
  <c r="AS48" i="12"/>
  <c r="AP48" i="12" a="1"/>
  <c r="AP48" i="12"/>
  <c r="AM48" i="12" a="1"/>
  <c r="AM48" i="12"/>
  <c r="CR47" i="12"/>
  <c r="CO47" i="12"/>
  <c r="CL47" i="12"/>
  <c r="CI47" i="12"/>
  <c r="CF47" i="12"/>
  <c r="CC47" i="12"/>
  <c r="BZ47" i="12"/>
  <c r="BW47" i="12"/>
  <c r="BT47" i="12"/>
  <c r="BQ47" i="12"/>
  <c r="BN47" i="12"/>
  <c r="BK47" i="12"/>
  <c r="BH47" i="12"/>
  <c r="BE47" i="12"/>
  <c r="BB47" i="12"/>
  <c r="AY47" i="12"/>
  <c r="AV47" i="12"/>
  <c r="AS47" i="12"/>
  <c r="AP47" i="12"/>
  <c r="AM47" i="12"/>
  <c r="AK47" i="12"/>
  <c r="AK51" i="12" s="1"/>
  <c r="AJ47" i="12"/>
  <c r="AJ51" i="12" s="1"/>
  <c r="AJ52" i="12" s="1"/>
  <c r="AI47" i="12"/>
  <c r="AI51" i="12" s="1"/>
  <c r="AI52" i="12" s="1"/>
  <c r="AH47" i="12"/>
  <c r="AH51" i="12" s="1"/>
  <c r="CS46" i="12" a="1"/>
  <c r="CS46" i="12"/>
  <c r="CS47" i="12" s="1"/>
  <c r="CQ47" i="12" s="1"/>
  <c r="CQ46" i="12" s="1"/>
  <c r="CP46" i="12" a="1"/>
  <c r="CP46" i="12" s="1"/>
  <c r="CP47" i="12" s="1"/>
  <c r="CM46" i="12" a="1"/>
  <c r="CM46" i="12"/>
  <c r="CM47" i="12" s="1"/>
  <c r="CK47" i="12" s="1"/>
  <c r="CK46" i="12" s="1"/>
  <c r="CJ46" i="12" a="1"/>
  <c r="CJ46" i="12" s="1"/>
  <c r="CJ47" i="12" s="1"/>
  <c r="CG46" i="12" a="1"/>
  <c r="CG46" i="12"/>
  <c r="CG47" i="12" s="1"/>
  <c r="CE47" i="12" s="1"/>
  <c r="CE46" i="12" s="1"/>
  <c r="CD46" i="12" a="1"/>
  <c r="CD46" i="12" s="1"/>
  <c r="CD47" i="12" s="1"/>
  <c r="CA46" i="12" a="1"/>
  <c r="CA46" i="12"/>
  <c r="CA47" i="12" s="1"/>
  <c r="BY47" i="12" s="1"/>
  <c r="BY46" i="12" s="1"/>
  <c r="BX46" i="12" a="1"/>
  <c r="BX46" i="12" s="1"/>
  <c r="BX47" i="12" s="1"/>
  <c r="BU46" i="12" a="1"/>
  <c r="BU46" i="12"/>
  <c r="BU47" i="12" s="1"/>
  <c r="BS47" i="12" s="1"/>
  <c r="BS46" i="12" s="1"/>
  <c r="BR46" i="12" a="1"/>
  <c r="BR46" i="12" s="1"/>
  <c r="BR47" i="12" s="1"/>
  <c r="BO46" i="12" a="1"/>
  <c r="BO46" i="12"/>
  <c r="BO47" i="12" s="1"/>
  <c r="BM47" i="12" s="1"/>
  <c r="BM46" i="12" s="1"/>
  <c r="BL46" i="12" a="1"/>
  <c r="BL46" i="12" s="1"/>
  <c r="BL47" i="12" s="1"/>
  <c r="BI46" i="12" a="1"/>
  <c r="BI46" i="12"/>
  <c r="BI47" i="12" s="1"/>
  <c r="BG47" i="12" s="1"/>
  <c r="BG46" i="12" s="1"/>
  <c r="BF46" i="12" a="1"/>
  <c r="BF46" i="12" s="1"/>
  <c r="BF47" i="12" s="1"/>
  <c r="BC46" i="12" a="1"/>
  <c r="BC46" i="12"/>
  <c r="BC47" i="12" s="1"/>
  <c r="BA47" i="12" s="1"/>
  <c r="BA46" i="12" s="1"/>
  <c r="AZ46" i="12" a="1"/>
  <c r="AZ46" i="12" s="1"/>
  <c r="AZ47" i="12" s="1"/>
  <c r="AW46" i="12" a="1"/>
  <c r="AW46" i="12"/>
  <c r="AW47" i="12" s="1"/>
  <c r="AU47" i="12" s="1"/>
  <c r="AU46" i="12" s="1"/>
  <c r="AT46" i="12" a="1"/>
  <c r="AT46" i="12" s="1"/>
  <c r="AT47" i="12" s="1"/>
  <c r="AQ46" i="12" a="1"/>
  <c r="AQ46" i="12"/>
  <c r="AQ47" i="12" s="1"/>
  <c r="AO47" i="12" s="1"/>
  <c r="AO46" i="12" s="1"/>
  <c r="AN46" i="12" a="1"/>
  <c r="AN46" i="12" s="1"/>
  <c r="AN47"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CQ38" i="12"/>
  <c r="CN38" i="12"/>
  <c r="CK38" i="12"/>
  <c r="CH38" i="12"/>
  <c r="CE38" i="12"/>
  <c r="CB38" i="12"/>
  <c r="BY38" i="12"/>
  <c r="BV38" i="12"/>
  <c r="BS38" i="12"/>
  <c r="BP38" i="12"/>
  <c r="BM38" i="12"/>
  <c r="BJ38" i="12"/>
  <c r="BG38" i="12"/>
  <c r="BD38" i="12"/>
  <c r="BA38" i="12"/>
  <c r="AX38" i="12"/>
  <c r="AU38" i="12"/>
  <c r="AR38" i="12"/>
  <c r="AO38" i="12"/>
  <c r="AL38" i="12"/>
  <c r="CQ36" i="12"/>
  <c r="CN36" i="12"/>
  <c r="CK36" i="12"/>
  <c r="CH36" i="12"/>
  <c r="CE36" i="12"/>
  <c r="CB36" i="12"/>
  <c r="BY36" i="12"/>
  <c r="BV36" i="12"/>
  <c r="BS36" i="12"/>
  <c r="BP36" i="12"/>
  <c r="BM36" i="12"/>
  <c r="BJ36" i="12"/>
  <c r="BG36" i="12"/>
  <c r="BD36" i="12"/>
  <c r="BA36" i="12"/>
  <c r="AX36" i="12"/>
  <c r="AU36" i="12"/>
  <c r="AR36" i="12"/>
  <c r="AO36" i="12"/>
  <c r="AL36" i="12"/>
  <c r="CS35" i="12"/>
  <c r="CS40" i="12" s="1"/>
  <c r="CO35" i="12"/>
  <c r="CO40" i="12" s="1"/>
  <c r="CM35" i="12"/>
  <c r="CM40" i="12" s="1"/>
  <c r="CI35" i="12"/>
  <c r="CI40" i="12" s="1"/>
  <c r="CG35" i="12"/>
  <c r="CG40" i="12" s="1"/>
  <c r="CC35" i="12"/>
  <c r="CC40" i="12" s="1"/>
  <c r="CA35" i="12"/>
  <c r="CA40" i="12" s="1"/>
  <c r="BW35" i="12"/>
  <c r="BW40" i="12" s="1"/>
  <c r="BU35" i="12"/>
  <c r="BU40" i="12" s="1"/>
  <c r="BQ35" i="12"/>
  <c r="BQ40" i="12" s="1"/>
  <c r="BO35" i="12"/>
  <c r="BO40" i="12" s="1"/>
  <c r="BK35" i="12"/>
  <c r="BK40" i="12" s="1"/>
  <c r="BI35" i="12"/>
  <c r="BI40" i="12" s="1"/>
  <c r="BE35" i="12"/>
  <c r="BE40" i="12" s="1"/>
  <c r="BC35" i="12"/>
  <c r="BC40" i="12" s="1"/>
  <c r="AY35" i="12"/>
  <c r="AY40" i="12" s="1"/>
  <c r="AW35" i="12"/>
  <c r="AW40" i="12" s="1"/>
  <c r="AS35" i="12"/>
  <c r="AS40" i="12" s="1"/>
  <c r="AQ35" i="12"/>
  <c r="AQ40" i="12" s="1"/>
  <c r="AM35" i="12"/>
  <c r="AM40" i="12" s="1"/>
  <c r="AK35" i="12"/>
  <c r="AK40" i="12" s="1"/>
  <c r="AI35" i="12"/>
  <c r="AI40" i="12" s="1"/>
  <c r="CQ33" i="12"/>
  <c r="CN33" i="12"/>
  <c r="CK33" i="12"/>
  <c r="CH33" i="12"/>
  <c r="CE33" i="12"/>
  <c r="CB33" i="12"/>
  <c r="BY33" i="12"/>
  <c r="BV33" i="12"/>
  <c r="BS33" i="12"/>
  <c r="BP33" i="12"/>
  <c r="BM33" i="12"/>
  <c r="BJ33" i="12"/>
  <c r="BG33" i="12"/>
  <c r="BD33" i="12"/>
  <c r="BA33" i="12"/>
  <c r="AX33" i="12"/>
  <c r="AU33" i="12"/>
  <c r="AR33" i="12"/>
  <c r="AO33" i="12"/>
  <c r="AL33" i="12"/>
  <c r="CS32" i="12"/>
  <c r="CR32" i="12"/>
  <c r="CP32" i="12"/>
  <c r="CO32" i="12"/>
  <c r="CN32" i="12"/>
  <c r="CM32" i="12"/>
  <c r="CL32" i="12"/>
  <c r="CJ32" i="12"/>
  <c r="CI32" i="12"/>
  <c r="CH32" i="12"/>
  <c r="CG32" i="12"/>
  <c r="CF32" i="12"/>
  <c r="CD32" i="12"/>
  <c r="CC32" i="12"/>
  <c r="CB32" i="12"/>
  <c r="CA32" i="12"/>
  <c r="BZ32" i="12"/>
  <c r="BX32" i="12"/>
  <c r="BW32" i="12"/>
  <c r="BV32" i="12"/>
  <c r="BU32" i="12"/>
  <c r="BT32" i="12"/>
  <c r="BR32" i="12"/>
  <c r="BQ32" i="12"/>
  <c r="BP32" i="12"/>
  <c r="BO32" i="12"/>
  <c r="BN32" i="12"/>
  <c r="BL32" i="12"/>
  <c r="BK32" i="12"/>
  <c r="BJ32" i="12"/>
  <c r="BI32" i="12"/>
  <c r="BH32" i="12"/>
  <c r="BF32" i="12"/>
  <c r="BE32" i="12"/>
  <c r="BD32" i="12"/>
  <c r="BC32" i="12"/>
  <c r="BB32" i="12"/>
  <c r="AZ32" i="12"/>
  <c r="AY32" i="12"/>
  <c r="AX32" i="12"/>
  <c r="AW32" i="12"/>
  <c r="AV32" i="12"/>
  <c r="AT32" i="12"/>
  <c r="AS32" i="12"/>
  <c r="AR32" i="12"/>
  <c r="AQ32" i="12"/>
  <c r="AP32" i="12"/>
  <c r="AN32" i="12"/>
  <c r="AM32" i="12"/>
  <c r="AL32" i="12"/>
  <c r="AK32" i="12"/>
  <c r="AJ32" i="12"/>
  <c r="AI32" i="12"/>
  <c r="AH32" i="12"/>
  <c r="CQ31" i="12"/>
  <c r="CQ32" i="12" s="1"/>
  <c r="CN31" i="12"/>
  <c r="CK31" i="12"/>
  <c r="CK32" i="12" s="1"/>
  <c r="CH31" i="12"/>
  <c r="CE31" i="12"/>
  <c r="CE32" i="12" s="1"/>
  <c r="CB31" i="12"/>
  <c r="BY31" i="12"/>
  <c r="BY32" i="12" s="1"/>
  <c r="BV31" i="12"/>
  <c r="BS31" i="12"/>
  <c r="BS32" i="12" s="1"/>
  <c r="BP31" i="12"/>
  <c r="BM31" i="12"/>
  <c r="BM32" i="12" s="1"/>
  <c r="BJ31" i="12"/>
  <c r="BG31" i="12"/>
  <c r="BG32" i="12" s="1"/>
  <c r="BD31" i="12"/>
  <c r="BA31" i="12"/>
  <c r="BA32" i="12" s="1"/>
  <c r="AX31" i="12"/>
  <c r="AU31" i="12"/>
  <c r="AU32" i="12" s="1"/>
  <c r="AR31" i="12"/>
  <c r="AO31" i="12"/>
  <c r="AO32" i="12" s="1"/>
  <c r="AL31" i="12"/>
  <c r="CS30" i="12"/>
  <c r="CR30" i="12"/>
  <c r="CR35" i="12" s="1"/>
  <c r="CP30" i="12"/>
  <c r="CP35" i="12" s="1"/>
  <c r="CO30" i="12"/>
  <c r="CN30" i="12"/>
  <c r="CM30" i="12"/>
  <c r="CL30" i="12"/>
  <c r="CL35" i="12" s="1"/>
  <c r="CJ30" i="12"/>
  <c r="CJ35" i="12" s="1"/>
  <c r="CI30" i="12"/>
  <c r="CH30" i="12"/>
  <c r="CG30" i="12"/>
  <c r="CF30" i="12"/>
  <c r="CF35" i="12" s="1"/>
  <c r="CD30" i="12"/>
  <c r="CD35" i="12" s="1"/>
  <c r="CC30" i="12"/>
  <c r="CB30" i="12"/>
  <c r="CA30" i="12"/>
  <c r="BZ30" i="12"/>
  <c r="BZ35" i="12" s="1"/>
  <c r="BX30" i="12"/>
  <c r="BX35" i="12" s="1"/>
  <c r="BW30" i="12"/>
  <c r="BV30" i="12"/>
  <c r="BU30" i="12"/>
  <c r="BT30" i="12"/>
  <c r="BT35" i="12" s="1"/>
  <c r="BR30" i="12"/>
  <c r="BR35" i="12" s="1"/>
  <c r="BQ30" i="12"/>
  <c r="BP30" i="12"/>
  <c r="BO30" i="12"/>
  <c r="BN30" i="12"/>
  <c r="BN35" i="12" s="1"/>
  <c r="BL30" i="12"/>
  <c r="BL35" i="12" s="1"/>
  <c r="BK30" i="12"/>
  <c r="BJ30" i="12"/>
  <c r="BI30" i="12"/>
  <c r="BH30" i="12"/>
  <c r="BH35" i="12" s="1"/>
  <c r="BF30" i="12"/>
  <c r="BF35" i="12" s="1"/>
  <c r="BE30" i="12"/>
  <c r="BD30" i="12"/>
  <c r="BC30" i="12"/>
  <c r="BB30" i="12"/>
  <c r="BB35" i="12" s="1"/>
  <c r="AZ30" i="12"/>
  <c r="AZ35" i="12" s="1"/>
  <c r="AY30" i="12"/>
  <c r="AX30" i="12"/>
  <c r="AW30" i="12"/>
  <c r="AV30" i="12"/>
  <c r="AV35" i="12" s="1"/>
  <c r="AT30" i="12"/>
  <c r="AT35" i="12" s="1"/>
  <c r="AS30" i="12"/>
  <c r="AR30" i="12"/>
  <c r="AQ30" i="12"/>
  <c r="AP30" i="12"/>
  <c r="AP35" i="12" s="1"/>
  <c r="AN30" i="12"/>
  <c r="AN35" i="12" s="1"/>
  <c r="AM30" i="12"/>
  <c r="AL30" i="12"/>
  <c r="AK30" i="12"/>
  <c r="AJ30" i="12"/>
  <c r="AJ35" i="12" s="1"/>
  <c r="AI30" i="12"/>
  <c r="AH30" i="12"/>
  <c r="AH35" i="12" s="1"/>
  <c r="CQ29" i="12"/>
  <c r="CN29" i="12"/>
  <c r="CN35" i="12" s="1"/>
  <c r="CN40" i="12" s="1"/>
  <c r="CK29" i="12"/>
  <c r="CH29" i="12"/>
  <c r="CH35" i="12" s="1"/>
  <c r="CH40" i="12" s="1"/>
  <c r="CE29" i="12"/>
  <c r="CB29" i="12"/>
  <c r="CB35" i="12" s="1"/>
  <c r="CB40" i="12" s="1"/>
  <c r="BY29" i="12"/>
  <c r="BV29" i="12"/>
  <c r="BV35" i="12" s="1"/>
  <c r="BV40" i="12" s="1"/>
  <c r="BS29" i="12"/>
  <c r="BP29" i="12"/>
  <c r="BP35" i="12" s="1"/>
  <c r="BP40" i="12" s="1"/>
  <c r="BM29" i="12"/>
  <c r="BJ29" i="12"/>
  <c r="BJ35" i="12" s="1"/>
  <c r="BJ40" i="12" s="1"/>
  <c r="BG29" i="12"/>
  <c r="BD29" i="12"/>
  <c r="BD35" i="12" s="1"/>
  <c r="BD40" i="12" s="1"/>
  <c r="BA29" i="12"/>
  <c r="AX29" i="12"/>
  <c r="AX35" i="12" s="1"/>
  <c r="AX40" i="12" s="1"/>
  <c r="AU29" i="12"/>
  <c r="AR29" i="12"/>
  <c r="AR35" i="12" s="1"/>
  <c r="AR40" i="12" s="1"/>
  <c r="AO29" i="12"/>
  <c r="AL29" i="12"/>
  <c r="AL35" i="12" s="1"/>
  <c r="AL40" i="12" s="1"/>
  <c r="CW28" i="12"/>
  <c r="U28" i="12"/>
  <c r="S28" i="12"/>
  <c r="S29" i="12" s="1" a="1"/>
  <c r="S29" i="12" s="1"/>
  <c r="S30" i="12" s="1"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F28" i="12" a="1"/>
  <c r="F28" i="12" s="1"/>
  <c r="BU25" i="12"/>
  <c r="BT25" i="12"/>
  <c r="BR25" i="12"/>
  <c r="BR7" i="12" s="1"/>
  <c r="BQ25" i="12"/>
  <c r="AQ25" i="12"/>
  <c r="AP25" i="12"/>
  <c r="AN25" i="12"/>
  <c r="AN7" i="12" s="1"/>
  <c r="AM25" i="12"/>
  <c r="CQ24" i="12"/>
  <c r="CR24" i="12" s="1" a="1"/>
  <c r="CR24" i="12" s="1"/>
  <c r="CS24" i="12" s="1" a="1"/>
  <c r="CS24" i="12" s="1"/>
  <c r="CN24" i="12"/>
  <c r="CO24" i="12" s="1" a="1"/>
  <c r="CO24" i="12" s="1"/>
  <c r="CP24" i="12" s="1" a="1"/>
  <c r="CP24" i="12" s="1"/>
  <c r="CK24" i="12"/>
  <c r="CL24" i="12" s="1" a="1"/>
  <c r="CL24" i="12" s="1"/>
  <c r="CM24" i="12" s="1" a="1"/>
  <c r="CM24" i="12" s="1"/>
  <c r="CH24" i="12"/>
  <c r="CI24" i="12" s="1" a="1"/>
  <c r="CI24" i="12" s="1"/>
  <c r="CJ24" i="12" s="1" a="1"/>
  <c r="CJ24" i="12" s="1"/>
  <c r="CE24" i="12"/>
  <c r="CF24" i="12" s="1" a="1"/>
  <c r="CF24" i="12" s="1"/>
  <c r="CG24" i="12" s="1" a="1"/>
  <c r="CG24" i="12" s="1"/>
  <c r="CB24" i="12"/>
  <c r="CC24" i="12" s="1" a="1"/>
  <c r="CC24" i="12" s="1"/>
  <c r="CD24" i="12" s="1" a="1"/>
  <c r="CD24" i="12" s="1"/>
  <c r="BY24" i="12"/>
  <c r="BZ24" i="12" s="1" a="1"/>
  <c r="BZ24" i="12" s="1"/>
  <c r="CA24" i="12" s="1" a="1"/>
  <c r="CA24" i="12" s="1"/>
  <c r="BV24" i="12"/>
  <c r="BW24" i="12" s="1" a="1"/>
  <c r="BW24" i="12" s="1"/>
  <c r="BX24" i="12" s="1" a="1"/>
  <c r="BX24" i="12" s="1"/>
  <c r="BS24" i="12"/>
  <c r="BT24" i="12" s="1" a="1"/>
  <c r="BT24" i="12" s="1"/>
  <c r="BU24" i="12" s="1" a="1"/>
  <c r="BU24" i="12" s="1"/>
  <c r="BP24" i="12"/>
  <c r="BQ24" i="12" s="1" a="1"/>
  <c r="BQ24" i="12" s="1"/>
  <c r="BR24" i="12" s="1" a="1"/>
  <c r="BR24" i="12" s="1"/>
  <c r="BM24" i="12"/>
  <c r="BN24" i="12" s="1" a="1"/>
  <c r="BN24" i="12" s="1"/>
  <c r="BO24" i="12" s="1" a="1"/>
  <c r="BO24" i="12" s="1"/>
  <c r="BJ24" i="12"/>
  <c r="BK24" i="12" s="1" a="1"/>
  <c r="BK24" i="12" s="1"/>
  <c r="BL24" i="12" s="1" a="1"/>
  <c r="BL24" i="12" s="1"/>
  <c r="BG24" i="12"/>
  <c r="BH24" i="12" s="1" a="1"/>
  <c r="BH24" i="12" s="1"/>
  <c r="BI24" i="12" s="1" a="1"/>
  <c r="BI24" i="12" s="1"/>
  <c r="BD24" i="12"/>
  <c r="BE24" i="12" s="1" a="1"/>
  <c r="BE24" i="12" s="1"/>
  <c r="BF24" i="12" s="1" a="1"/>
  <c r="BF24" i="12" s="1"/>
  <c r="BA24" i="12"/>
  <c r="BB24" i="12" s="1" a="1"/>
  <c r="BB24" i="12" s="1"/>
  <c r="BC24" i="12" s="1" a="1"/>
  <c r="BC24" i="12" s="1"/>
  <c r="AX24" i="12"/>
  <c r="AY24" i="12" s="1" a="1"/>
  <c r="AY24" i="12" s="1"/>
  <c r="AZ24" i="12" s="1" a="1"/>
  <c r="AZ24" i="12" s="1"/>
  <c r="AV24" i="12" a="1"/>
  <c r="AV24" i="12" s="1"/>
  <c r="AW24" i="12" s="1" a="1"/>
  <c r="AW24" i="12" s="1"/>
  <c r="AU24" i="12"/>
  <c r="AR24" i="12"/>
  <c r="AS24" i="12" s="1" a="1"/>
  <c r="AS24" i="12" s="1"/>
  <c r="AT24" i="12" s="1" a="1"/>
  <c r="AT24" i="12" s="1"/>
  <c r="AP24" i="12" a="1"/>
  <c r="AP24" i="12" s="1"/>
  <c r="AQ24" i="12" s="1" a="1"/>
  <c r="AQ24" i="12" s="1"/>
  <c r="AO24" i="12"/>
  <c r="AL24" i="12"/>
  <c r="AM24" i="12" s="1" a="1"/>
  <c r="AM24" i="12" s="1"/>
  <c r="AN24" i="12" s="1" a="1"/>
  <c r="AN24" i="12" s="1"/>
  <c r="AK24" i="12"/>
  <c r="AJ24" i="12"/>
  <c r="AI24" i="12"/>
  <c r="AH24" i="12"/>
  <c r="CT11" i="12" a="1"/>
  <c r="CT11" i="12" s="1"/>
  <c r="CS11" i="12" a="1"/>
  <c r="CS11" i="12" s="1"/>
  <c r="CR11" i="12" a="1"/>
  <c r="CR11" i="12" s="1"/>
  <c r="CQ11" i="12" a="1"/>
  <c r="CQ11" i="12" s="1"/>
  <c r="CP11" i="12" a="1"/>
  <c r="CP11" i="12" s="1"/>
  <c r="CO11" i="12" a="1"/>
  <c r="CO11" i="12" s="1"/>
  <c r="CN11" i="12" a="1"/>
  <c r="CN11" i="12" s="1"/>
  <c r="CM11" i="12" a="1"/>
  <c r="CM11" i="12" s="1"/>
  <c r="CL11" i="12" a="1"/>
  <c r="CL11" i="12" s="1"/>
  <c r="CK11" i="12" a="1"/>
  <c r="CK11" i="12" s="1"/>
  <c r="CJ11" i="12" a="1"/>
  <c r="CJ11" i="12" s="1"/>
  <c r="CI11" i="12" a="1"/>
  <c r="CI11" i="12" s="1"/>
  <c r="CH11" i="12" a="1"/>
  <c r="CH11" i="12" s="1"/>
  <c r="CG11" i="12" a="1"/>
  <c r="CG11" i="12" s="1"/>
  <c r="CF11" i="12" a="1"/>
  <c r="CF11" i="12" s="1"/>
  <c r="CE11" i="12" a="1"/>
  <c r="CE11" i="12" s="1"/>
  <c r="CD11" i="12" a="1"/>
  <c r="CD11" i="12" s="1"/>
  <c r="CC11" i="12" a="1"/>
  <c r="CC11" i="12" s="1"/>
  <c r="CB11" i="12" a="1"/>
  <c r="CB11" i="12" s="1"/>
  <c r="CA11" i="12" a="1"/>
  <c r="CA11" i="12" s="1"/>
  <c r="BZ11" i="12" a="1"/>
  <c r="BZ11" i="12" s="1"/>
  <c r="BY11" i="12" a="1"/>
  <c r="BY11" i="12" s="1"/>
  <c r="BX11" i="12" a="1"/>
  <c r="BX11" i="12" s="1"/>
  <c r="BW11" i="12" a="1"/>
  <c r="BW11" i="12" s="1"/>
  <c r="BV11" i="12" a="1"/>
  <c r="BV11" i="12" s="1"/>
  <c r="BU11" i="12" a="1"/>
  <c r="BU11" i="12" s="1"/>
  <c r="BT11" i="12" a="1"/>
  <c r="BT11" i="12" s="1"/>
  <c r="BS11" i="12" a="1"/>
  <c r="BS11" i="12" s="1"/>
  <c r="BR11" i="12" a="1"/>
  <c r="BR11" i="12" s="1"/>
  <c r="BQ11" i="12" a="1"/>
  <c r="BQ11" i="12" s="1"/>
  <c r="BP11" i="12" a="1"/>
  <c r="BP11" i="12" s="1"/>
  <c r="BO11" i="12" a="1"/>
  <c r="BO11" i="12" s="1"/>
  <c r="BN11" i="12" a="1"/>
  <c r="BN11" i="12" s="1"/>
  <c r="BM11" i="12" a="1"/>
  <c r="BM11" i="12" s="1"/>
  <c r="BL11" i="12" a="1"/>
  <c r="BL11" i="12" s="1"/>
  <c r="BK11" i="12" a="1"/>
  <c r="BK11" i="12" s="1"/>
  <c r="BJ11" i="12" a="1"/>
  <c r="BJ11" i="12" s="1"/>
  <c r="BI11" i="12" a="1"/>
  <c r="BI11" i="12" s="1"/>
  <c r="BH11" i="12" a="1"/>
  <c r="BH11" i="12" s="1"/>
  <c r="BG11" i="12" a="1"/>
  <c r="BG11" i="12" s="1"/>
  <c r="BF11" i="12" a="1"/>
  <c r="BF11" i="12" s="1"/>
  <c r="BE11" i="12" a="1"/>
  <c r="BE11" i="12" s="1"/>
  <c r="BD11" i="12" a="1"/>
  <c r="BD11" i="12" s="1"/>
  <c r="BC11" i="12" a="1"/>
  <c r="BC11" i="12" s="1"/>
  <c r="BB11" i="12" a="1"/>
  <c r="BB11" i="12" s="1"/>
  <c r="BA11" i="12" a="1"/>
  <c r="BA11" i="12" s="1"/>
  <c r="AZ11" i="12" a="1"/>
  <c r="AZ11" i="12" s="1"/>
  <c r="AY11" i="12" a="1"/>
  <c r="AY11" i="12" s="1"/>
  <c r="AX11" i="12" a="1"/>
  <c r="AX11" i="12" s="1"/>
  <c r="AW11" i="12" a="1"/>
  <c r="AW11" i="12" s="1"/>
  <c r="AV11" i="12" a="1"/>
  <c r="AV11" i="12" s="1"/>
  <c r="AU11" i="12" a="1"/>
  <c r="AU11" i="12" s="1"/>
  <c r="AT11" i="12" a="1"/>
  <c r="AT11" i="12" s="1"/>
  <c r="AS11" i="12" a="1"/>
  <c r="AS11" i="12" s="1"/>
  <c r="AR11" i="12" a="1"/>
  <c r="AR11" i="12" s="1"/>
  <c r="AQ11" i="12" a="1"/>
  <c r="AQ11" i="12" s="1"/>
  <c r="AP11" i="12" a="1"/>
  <c r="AP11" i="12" s="1"/>
  <c r="AO11" i="12" a="1"/>
  <c r="AO11" i="12" s="1"/>
  <c r="AN11" i="12" a="1"/>
  <c r="AN11" i="12" s="1"/>
  <c r="AM11" i="12" a="1"/>
  <c r="AM11" i="12" s="1"/>
  <c r="AL11" i="12" a="1"/>
  <c r="AL11" i="12" s="1"/>
  <c r="AK11" i="12" a="1"/>
  <c r="AK11" i="12" s="1"/>
  <c r="AJ11" i="12" a="1"/>
  <c r="AJ11" i="12" s="1"/>
  <c r="AI11" i="12" a="1"/>
  <c r="AI11" i="12" s="1"/>
  <c r="AH11" i="12" a="1"/>
  <c r="AH11" i="12" s="1"/>
  <c r="CS10" i="12" a="1"/>
  <c r="CS10" i="12" s="1"/>
  <c r="CR10" i="12" a="1"/>
  <c r="CR10" i="12" s="1"/>
  <c r="CQ10" i="12" a="1"/>
  <c r="CQ10" i="12" s="1"/>
  <c r="CP10" i="12" a="1"/>
  <c r="CP10" i="12" s="1"/>
  <c r="CO10" i="12" a="1"/>
  <c r="CO10" i="12" s="1"/>
  <c r="CN10" i="12" a="1"/>
  <c r="CN10" i="12" s="1"/>
  <c r="CM10" i="12" a="1"/>
  <c r="CM10" i="12" s="1"/>
  <c r="CL10" i="12" a="1"/>
  <c r="CL10" i="12" s="1"/>
  <c r="CK10" i="12" a="1"/>
  <c r="CK10" i="12" s="1"/>
  <c r="CJ10" i="12" a="1"/>
  <c r="CJ10" i="12" s="1"/>
  <c r="CI10" i="12" a="1"/>
  <c r="CI10" i="12" s="1"/>
  <c r="CH10" i="12" a="1"/>
  <c r="CH10" i="12" s="1"/>
  <c r="CG10" i="12" a="1"/>
  <c r="CG10" i="12" s="1"/>
  <c r="CF10" i="12" a="1"/>
  <c r="CF10" i="12" s="1"/>
  <c r="CE10" i="12" a="1"/>
  <c r="CE10" i="12" s="1"/>
  <c r="CD10" i="12" a="1"/>
  <c r="CD10" i="12" s="1"/>
  <c r="CC10" i="12" a="1"/>
  <c r="CC10" i="12" s="1"/>
  <c r="CB10" i="12" a="1"/>
  <c r="CB10" i="12" s="1"/>
  <c r="CA10" i="12" a="1"/>
  <c r="CA10" i="12" s="1"/>
  <c r="BZ10" i="12" a="1"/>
  <c r="BZ10" i="12" s="1"/>
  <c r="BY10" i="12" a="1"/>
  <c r="BY10" i="12" s="1"/>
  <c r="BX10" i="12" a="1"/>
  <c r="BX10" i="12" s="1"/>
  <c r="BW10" i="12" a="1"/>
  <c r="BW10" i="12" s="1"/>
  <c r="BV10" i="12" a="1"/>
  <c r="BV10" i="12" s="1"/>
  <c r="BU10" i="12" a="1"/>
  <c r="BU10" i="12" s="1"/>
  <c r="BT10" i="12" a="1"/>
  <c r="BT10" i="12" s="1"/>
  <c r="BS10" i="12" a="1"/>
  <c r="BS10" i="12" s="1"/>
  <c r="BR10" i="12" a="1"/>
  <c r="BR10" i="12" s="1"/>
  <c r="BQ10" i="12" a="1"/>
  <c r="BQ10" i="12" s="1"/>
  <c r="BP10" i="12" a="1"/>
  <c r="BP10" i="12" s="1"/>
  <c r="BO10" i="12" a="1"/>
  <c r="BO10" i="12" s="1"/>
  <c r="BN10" i="12" a="1"/>
  <c r="BN10" i="12" s="1"/>
  <c r="BM10" i="12" a="1"/>
  <c r="BM10" i="12" s="1"/>
  <c r="BL10" i="12" a="1"/>
  <c r="BL10" i="12" s="1"/>
  <c r="BK10" i="12" a="1"/>
  <c r="BK10" i="12" s="1"/>
  <c r="BJ10" i="12" a="1"/>
  <c r="BJ10" i="12" s="1"/>
  <c r="BI10" i="12" a="1"/>
  <c r="BI10" i="12" s="1"/>
  <c r="BH10" i="12" a="1"/>
  <c r="BH10" i="12" s="1"/>
  <c r="BG10" i="12" a="1"/>
  <c r="BG10" i="12" s="1"/>
  <c r="BF10" i="12" a="1"/>
  <c r="BF10" i="12" s="1"/>
  <c r="BE10" i="12" a="1"/>
  <c r="BE10" i="12" s="1"/>
  <c r="BD10" i="12" a="1"/>
  <c r="BD10" i="12" s="1"/>
  <c r="BC10" i="12" a="1"/>
  <c r="BC10" i="12" s="1"/>
  <c r="BB10" i="12" a="1"/>
  <c r="BB10" i="12" s="1"/>
  <c r="BA10" i="12" a="1"/>
  <c r="BA10" i="12" s="1"/>
  <c r="AZ10" i="12" a="1"/>
  <c r="AZ10" i="12" s="1"/>
  <c r="AY10" i="12" a="1"/>
  <c r="AY10" i="12" s="1"/>
  <c r="AX10" i="12" a="1"/>
  <c r="AX10" i="12" s="1"/>
  <c r="AW10" i="12" a="1"/>
  <c r="AW10" i="12" s="1"/>
  <c r="AV10" i="12" a="1"/>
  <c r="AV10" i="12" s="1"/>
  <c r="AU10" i="12" a="1"/>
  <c r="AU10" i="12" s="1"/>
  <c r="AT10" i="12" a="1"/>
  <c r="AT10" i="12" s="1"/>
  <c r="AS10" i="12" a="1"/>
  <c r="AS10" i="12" s="1"/>
  <c r="AR10" i="12" a="1"/>
  <c r="AR10" i="12" s="1"/>
  <c r="AQ10" i="12" a="1"/>
  <c r="AQ10" i="12" s="1"/>
  <c r="AP10" i="12" a="1"/>
  <c r="AP10" i="12" s="1"/>
  <c r="AO10" i="12" a="1"/>
  <c r="AO10" i="12" s="1"/>
  <c r="AN10" i="12" a="1"/>
  <c r="AN10" i="12" s="1"/>
  <c r="AM10" i="12" a="1"/>
  <c r="AM10" i="12" s="1"/>
  <c r="AL10" i="12" a="1"/>
  <c r="AL10" i="12" s="1"/>
  <c r="AK10" i="12" a="1"/>
  <c r="AK10" i="12" s="1"/>
  <c r="AJ10" i="12" a="1"/>
  <c r="AJ10" i="12" s="1"/>
  <c r="AI10" i="12" a="1"/>
  <c r="AI10" i="12" s="1"/>
  <c r="AH10" i="12" a="1"/>
  <c r="AH10" i="12" s="1"/>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c r="BQ9" i="12" a="1"/>
  <c r="BQ9" i="12"/>
  <c r="BP9" i="12" a="1"/>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s="1"/>
  <c r="AM9" i="12" a="1"/>
  <c r="AM9" i="12" s="1"/>
  <c r="AL9" i="12" a="1"/>
  <c r="AL9" i="12" s="1"/>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T7" i="12"/>
  <c r="BS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M7" i="12"/>
  <c r="AL7" i="12"/>
  <c r="AK7" i="12"/>
  <c r="AJ7" i="12"/>
  <c r="AI7" i="12"/>
  <c r="AH7" i="12"/>
  <c r="CS6" i="12"/>
  <c r="CS2" i="12" s="1"/>
  <c r="CR6" i="12"/>
  <c r="CQ6" i="12"/>
  <c r="CP6" i="12"/>
  <c r="CO6" i="12"/>
  <c r="CO2" i="12" s="1"/>
  <c r="CN6" i="12"/>
  <c r="CM6" i="12"/>
  <c r="CL6" i="12"/>
  <c r="CK6" i="12"/>
  <c r="CK2" i="12" s="1"/>
  <c r="CJ6" i="12"/>
  <c r="CI6" i="12"/>
  <c r="CH6" i="12"/>
  <c r="CG6" i="12"/>
  <c r="CG2" i="12" s="1"/>
  <c r="CF6" i="12"/>
  <c r="CE6" i="12"/>
  <c r="CD6" i="12"/>
  <c r="CC6" i="12"/>
  <c r="CC2" i="12" s="1"/>
  <c r="CB6" i="12"/>
  <c r="CA6" i="12"/>
  <c r="BZ6" i="12"/>
  <c r="BY6" i="12"/>
  <c r="BY2" i="12" s="1"/>
  <c r="BX6" i="12"/>
  <c r="BW6" i="12"/>
  <c r="BV6" i="12"/>
  <c r="BU6" i="12"/>
  <c r="BU2" i="12" s="1"/>
  <c r="BT6" i="12"/>
  <c r="BS6" i="12"/>
  <c r="BR6" i="12" a="1"/>
  <c r="BR6" i="12"/>
  <c r="BQ6" i="12" a="1"/>
  <c r="BQ6" i="12"/>
  <c r="BQ2" i="12" s="1"/>
  <c r="BP6" i="12" a="1"/>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a="1"/>
  <c r="AN6" i="12" s="1"/>
  <c r="AM6" i="12" a="1"/>
  <c r="AM6" i="12" s="1"/>
  <c r="AL6" i="12" a="1"/>
  <c r="AL6" i="12" s="1"/>
  <c r="AK6" i="12"/>
  <c r="AJ6" i="12"/>
  <c r="AI6" i="12"/>
  <c r="AH6" i="12"/>
  <c r="T46" i="11"/>
  <c r="AZ41" i="11"/>
  <c r="AV41" i="11"/>
  <c r="AR41" i="11"/>
  <c r="AN41" i="11"/>
  <c r="AJ41" i="11"/>
  <c r="AF41" i="11"/>
  <c r="BB39" i="11"/>
  <c r="BB41" i="11" s="1"/>
  <c r="BA39" i="11"/>
  <c r="BA41" i="11" s="1"/>
  <c r="AZ39" i="11"/>
  <c r="AY39" i="11"/>
  <c r="AY41" i="11" s="1"/>
  <c r="AX39" i="11"/>
  <c r="AX41" i="11" s="1"/>
  <c r="AW39" i="11"/>
  <c r="AW41" i="11" s="1"/>
  <c r="AV39" i="11"/>
  <c r="AU39" i="11"/>
  <c r="AU41" i="11" s="1"/>
  <c r="AT39" i="11"/>
  <c r="AT41" i="11" s="1"/>
  <c r="AS39" i="11"/>
  <c r="AS41" i="11" s="1"/>
  <c r="AR39" i="11"/>
  <c r="AQ39" i="11"/>
  <c r="AQ41" i="11" s="1"/>
  <c r="AP39" i="11"/>
  <c r="AP41" i="11" s="1"/>
  <c r="AO39" i="11"/>
  <c r="AO41" i="11" s="1"/>
  <c r="AN39" i="11"/>
  <c r="AM39" i="11"/>
  <c r="AM41" i="11" s="1"/>
  <c r="AL39" i="11"/>
  <c r="AL41" i="11" s="1"/>
  <c r="AK39" i="11"/>
  <c r="AK41" i="11" s="1"/>
  <c r="AJ39" i="11"/>
  <c r="AI39" i="11"/>
  <c r="AI41" i="11" s="1"/>
  <c r="AH39" i="11"/>
  <c r="AH41" i="11" s="1"/>
  <c r="AG39" i="11"/>
  <c r="AG41" i="11" s="1"/>
  <c r="AF39" i="1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5" i="11" a="1"/>
  <c r="F35" i="11"/>
  <c r="BB32" i="11"/>
  <c r="BB34" i="11" s="1"/>
  <c r="BA32" i="11"/>
  <c r="BA34" i="11" s="1"/>
  <c r="AZ32" i="11"/>
  <c r="AZ34" i="11" s="1"/>
  <c r="AY32" i="11"/>
  <c r="AY34" i="11" s="1"/>
  <c r="AX32" i="11"/>
  <c r="AX34" i="11" s="1"/>
  <c r="AW32" i="11"/>
  <c r="AW34" i="11" s="1"/>
  <c r="AV32" i="11"/>
  <c r="AV34" i="11" s="1"/>
  <c r="AU32" i="11"/>
  <c r="AU34" i="11" s="1"/>
  <c r="AT32" i="11"/>
  <c r="AT34" i="11" s="1"/>
  <c r="AS32" i="11"/>
  <c r="AS34" i="11" s="1"/>
  <c r="AR32" i="11"/>
  <c r="AR34" i="11" s="1"/>
  <c r="AQ32" i="11"/>
  <c r="AQ34" i="11" s="1"/>
  <c r="AP32" i="11"/>
  <c r="AP34" i="11" s="1"/>
  <c r="AO32" i="11"/>
  <c r="AO34" i="11" s="1"/>
  <c r="AN32" i="11"/>
  <c r="AN34" i="11" s="1"/>
  <c r="AM32" i="11"/>
  <c r="AM34" i="11" s="1"/>
  <c r="AL32" i="11"/>
  <c r="AL34" i="11" s="1"/>
  <c r="AK32" i="11"/>
  <c r="AK34" i="11" s="1"/>
  <c r="AJ32" i="11"/>
  <c r="AJ34" i="11" s="1"/>
  <c r="AI32" i="11"/>
  <c r="AI34" i="11" s="1"/>
  <c r="AH32" i="11"/>
  <c r="AH34" i="11" s="1"/>
  <c r="AG32" i="11"/>
  <c r="AG34" i="11" s="1"/>
  <c r="AF32" i="11"/>
  <c r="AF34" i="11" s="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G28" i="11" a="1"/>
  <c r="G28" i="11" s="1"/>
  <c r="T28" i="11" s="1"/>
  <c r="T29" i="11" s="1" a="1"/>
  <c r="T29" i="11" s="1"/>
  <c r="F28" i="11" a="1"/>
  <c r="F28" i="11" s="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B9" i="11"/>
  <c r="BA9" i="11"/>
  <c r="AZ9" i="11"/>
  <c r="AY9" i="11"/>
  <c r="AX9" i="11"/>
  <c r="AW9" i="11"/>
  <c r="AV9" i="11"/>
  <c r="AU9" i="11"/>
  <c r="AT9" i="11"/>
  <c r="AS9" i="11" a="1"/>
  <c r="AS9" i="11"/>
  <c r="AR9" i="11"/>
  <c r="AQ9" i="11"/>
  <c r="AP9" i="11"/>
  <c r="AO9" i="11"/>
  <c r="AN9" i="11"/>
  <c r="AM9" i="11"/>
  <c r="AL9" i="11"/>
  <c r="AK9" i="11"/>
  <c r="AJ9" i="11"/>
  <c r="AI9" i="11" a="1"/>
  <c r="AI9" i="11" s="1"/>
  <c r="AH9" i="11"/>
  <c r="AG9" i="11"/>
  <c r="AF9" i="11"/>
  <c r="AE9" i="11"/>
  <c r="AZ8" i="11"/>
  <c r="AV8" i="11"/>
  <c r="AR8" i="11"/>
  <c r="AN8" i="11"/>
  <c r="AJ8" i="1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Q7" i="11" a="1"/>
  <c r="AQ7" i="11" s="1"/>
  <c r="AP7" i="11" a="1"/>
  <c r="AP7" i="11" s="1"/>
  <c r="AP8" i="11" s="1"/>
  <c r="AO7" i="11" a="1"/>
  <c r="AO7" i="11" s="1"/>
  <c r="AN7" i="11" a="1"/>
  <c r="AN7" i="11" s="1"/>
  <c r="AM7" i="11" a="1"/>
  <c r="AM7" i="11" s="1"/>
  <c r="AL7" i="11" a="1"/>
  <c r="AL7" i="11" s="1"/>
  <c r="AL8" i="11" s="1"/>
  <c r="AK7" i="11" a="1"/>
  <c r="AK7" i="11" s="1"/>
  <c r="AJ7" i="11" a="1"/>
  <c r="AJ7" i="11" s="1"/>
  <c r="AI7" i="11" a="1"/>
  <c r="AI7" i="11" s="1"/>
  <c r="AH7" i="11" a="1"/>
  <c r="AH7" i="11" s="1"/>
  <c r="AG7" i="11" a="1"/>
  <c r="AG7" i="11" s="1"/>
  <c r="AF7" i="11" a="1"/>
  <c r="AF7" i="11" s="1"/>
  <c r="AE7" i="11" a="1"/>
  <c r="AE7" i="11" s="1"/>
  <c r="BB6" i="11"/>
  <c r="BB8" i="11" s="1"/>
  <c r="BA6" i="11"/>
  <c r="BA8" i="11" s="1"/>
  <c r="AZ6" i="11"/>
  <c r="AY6" i="11"/>
  <c r="AY8" i="11" s="1"/>
  <c r="AX6" i="11"/>
  <c r="AX8" i="11" s="1"/>
  <c r="AW6" i="11"/>
  <c r="AW8" i="11" s="1"/>
  <c r="AV6" i="11"/>
  <c r="AU6" i="11"/>
  <c r="AU8" i="11" s="1"/>
  <c r="AT6" i="11"/>
  <c r="AT8" i="11" s="1"/>
  <c r="AS6" i="11" a="1"/>
  <c r="AS6" i="11"/>
  <c r="AR6" i="11"/>
  <c r="AQ6" i="11"/>
  <c r="AP6" i="11"/>
  <c r="AO6" i="11"/>
  <c r="AN6" i="11"/>
  <c r="AM6" i="11"/>
  <c r="AL6" i="11"/>
  <c r="AK6" i="11"/>
  <c r="AJ6" i="11"/>
  <c r="AI6" i="11" a="1"/>
  <c r="AI6" i="11" s="1"/>
  <c r="AH6" i="11"/>
  <c r="AH8" i="11" s="1"/>
  <c r="AG6" i="11"/>
  <c r="AF6" i="11"/>
  <c r="AF8" i="11" s="1"/>
  <c r="AE6" i="11"/>
  <c r="T168" i="10"/>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AB151"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B144" i="10"/>
  <c r="AB145" i="10" s="1"/>
  <c r="AB141" i="10"/>
  <c r="AB142" i="10" s="1"/>
  <c r="AB139" i="10"/>
  <c r="AB140" i="10" s="1"/>
  <c r="BB138"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BB137" i="10"/>
  <c r="BB151" i="10" s="1"/>
  <c r="BA137" i="10"/>
  <c r="BA142" i="10" s="1"/>
  <c r="AZ137" i="10"/>
  <c r="AZ151" i="10" s="1"/>
  <c r="AY137" i="10"/>
  <c r="AY151" i="10" s="1"/>
  <c r="AX137" i="10"/>
  <c r="AX151" i="10" s="1"/>
  <c r="AW137" i="10"/>
  <c r="AW142" i="10" s="1"/>
  <c r="AV137" i="10"/>
  <c r="AV151" i="10" s="1"/>
  <c r="AU137" i="10"/>
  <c r="AU151" i="10" s="1"/>
  <c r="AT137" i="10"/>
  <c r="AT151" i="10" s="1"/>
  <c r="AS137" i="10"/>
  <c r="AS142" i="10" s="1"/>
  <c r="AR137" i="10"/>
  <c r="AR151" i="10" s="1"/>
  <c r="AQ137" i="10"/>
  <c r="AQ151" i="10" s="1"/>
  <c r="AP137" i="10"/>
  <c r="AP151" i="10" s="1"/>
  <c r="AO137" i="10"/>
  <c r="AO142" i="10" s="1"/>
  <c r="AN137" i="10"/>
  <c r="AN151" i="10" s="1"/>
  <c r="AM137" i="10"/>
  <c r="AM151" i="10" s="1"/>
  <c r="AL137" i="10"/>
  <c r="AL151" i="10" s="1"/>
  <c r="AK137" i="10"/>
  <c r="AK142" i="10" s="1"/>
  <c r="AJ137" i="10"/>
  <c r="AJ151" i="10" s="1"/>
  <c r="AI137" i="10"/>
  <c r="AI151" i="10" s="1"/>
  <c r="AH137" i="10"/>
  <c r="AH151" i="10" s="1"/>
  <c r="AG137" i="10"/>
  <c r="AG142" i="10" s="1"/>
  <c r="AF137" i="10"/>
  <c r="AF151" i="10" s="1"/>
  <c r="AE137" i="10"/>
  <c r="AE151" i="10" s="1"/>
  <c r="AB137" i="10"/>
  <c r="AB136" i="10"/>
  <c r="AB134" i="10"/>
  <c r="AB133" i="10"/>
  <c r="BB128"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B127" i="10"/>
  <c r="AB126" i="10"/>
  <c r="AB128" i="10" s="1"/>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A119" i="10"/>
  <c r="AZ119" i="10"/>
  <c r="AY119" i="10"/>
  <c r="AX119" i="10"/>
  <c r="AW119" i="10"/>
  <c r="AV119" i="10"/>
  <c r="AU119" i="10"/>
  <c r="AT119" i="10"/>
  <c r="AS119" i="10"/>
  <c r="AR119" i="10"/>
  <c r="AQ119" i="10"/>
  <c r="AP119" i="10"/>
  <c r="AO119" i="10"/>
  <c r="AN119" i="10"/>
  <c r="AM119" i="10"/>
  <c r="AL119" i="10"/>
  <c r="AK119" i="10"/>
  <c r="AJ119" i="10"/>
  <c r="AI119" i="10"/>
  <c r="AH119" i="10"/>
  <c r="AG119" i="10"/>
  <c r="AF119" i="10"/>
  <c r="AE119" i="10"/>
  <c r="BB118" i="10"/>
  <c r="BB117" i="10" s="1"/>
  <c r="BA118" i="10"/>
  <c r="AZ118" i="10"/>
  <c r="AZ117" i="10" s="1"/>
  <c r="AY118" i="10"/>
  <c r="AX118" i="10"/>
  <c r="AX117" i="10" s="1"/>
  <c r="AW118" i="10"/>
  <c r="AV118" i="10"/>
  <c r="AV117" i="10" s="1"/>
  <c r="AU118" i="10"/>
  <c r="AT118" i="10"/>
  <c r="AT117" i="10" s="1"/>
  <c r="AS118" i="10"/>
  <c r="AR118" i="10"/>
  <c r="AR117" i="10" s="1"/>
  <c r="AQ118" i="10"/>
  <c r="AP118" i="10"/>
  <c r="AP117" i="10" s="1"/>
  <c r="AO118" i="10"/>
  <c r="AN118" i="10"/>
  <c r="AN117" i="10" s="1"/>
  <c r="AM118" i="10"/>
  <c r="AL118" i="10"/>
  <c r="AL117" i="10" s="1"/>
  <c r="AK118" i="10"/>
  <c r="AJ118" i="10"/>
  <c r="AJ117" i="10" s="1"/>
  <c r="AI118" i="10"/>
  <c r="AH118" i="10"/>
  <c r="AH117" i="10" s="1"/>
  <c r="AG118" i="10"/>
  <c r="AF118" i="10"/>
  <c r="AF117" i="10" s="1"/>
  <c r="AE118" i="10"/>
  <c r="AB118" i="10"/>
  <c r="BA117" i="10"/>
  <c r="AY117" i="10"/>
  <c r="AW117" i="10"/>
  <c r="AU117" i="10"/>
  <c r="AS117" i="10"/>
  <c r="AQ117" i="10"/>
  <c r="AO117" i="10"/>
  <c r="AM117" i="10"/>
  <c r="AK117" i="10"/>
  <c r="AI117" i="10"/>
  <c r="AG117" i="10"/>
  <c r="AE117" i="10"/>
  <c r="AB117" i="10"/>
  <c r="AB119" i="10" s="1"/>
  <c r="BB116" i="10"/>
  <c r="BB114" i="10" s="1"/>
  <c r="BB113" i="10" s="1"/>
  <c r="BB125" i="10" s="1"/>
  <c r="BB126" i="10" s="1"/>
  <c r="BB133" i="10" s="1"/>
  <c r="BB136" i="10" s="1"/>
  <c r="BA116" i="10"/>
  <c r="AZ116" i="10"/>
  <c r="AY116" i="10"/>
  <c r="AX116" i="10"/>
  <c r="AX114" i="10" s="1"/>
  <c r="AX113" i="10" s="1"/>
  <c r="AX125" i="10" s="1"/>
  <c r="AX126" i="10" s="1"/>
  <c r="AX133" i="10" s="1"/>
  <c r="AX136" i="10" s="1"/>
  <c r="AW116" i="10"/>
  <c r="AV116" i="10"/>
  <c r="AU116" i="10"/>
  <c r="AT116" i="10"/>
  <c r="AT114" i="10" s="1"/>
  <c r="AT113" i="10" s="1"/>
  <c r="AT125" i="10" s="1"/>
  <c r="AT126" i="10" s="1"/>
  <c r="AT133" i="10" s="1"/>
  <c r="AT136" i="10" s="1"/>
  <c r="AS116" i="10"/>
  <c r="AR116" i="10"/>
  <c r="AQ116" i="10"/>
  <c r="AP116" i="10"/>
  <c r="AP114" i="10" s="1"/>
  <c r="AP113" i="10" s="1"/>
  <c r="AP125" i="10" s="1"/>
  <c r="AP126" i="10" s="1"/>
  <c r="AP133" i="10" s="1"/>
  <c r="AP136" i="10" s="1"/>
  <c r="AO116" i="10"/>
  <c r="AN116" i="10"/>
  <c r="AM116" i="10"/>
  <c r="AL116" i="10"/>
  <c r="AL114" i="10" s="1"/>
  <c r="AL113" i="10" s="1"/>
  <c r="AL125" i="10" s="1"/>
  <c r="AL126" i="10" s="1"/>
  <c r="AL133" i="10" s="1"/>
  <c r="AL136" i="10" s="1"/>
  <c r="AK116" i="10"/>
  <c r="AJ116" i="10"/>
  <c r="AI116" i="10"/>
  <c r="AH116" i="10"/>
  <c r="AH114" i="10" s="1"/>
  <c r="AH113" i="10" s="1"/>
  <c r="AH125" i="10" s="1"/>
  <c r="AH126" i="10" s="1"/>
  <c r="AH133" i="10" s="1"/>
  <c r="AH136" i="10" s="1"/>
  <c r="AG116" i="10"/>
  <c r="AF116" i="10"/>
  <c r="AE116" i="10"/>
  <c r="AB116" i="10"/>
  <c r="BB115" i="10"/>
  <c r="BA115" i="10"/>
  <c r="BA114" i="10" s="1"/>
  <c r="AZ115" i="10"/>
  <c r="AY115" i="10"/>
  <c r="AY114" i="10" s="1"/>
  <c r="AY113" i="10" s="1"/>
  <c r="AY125" i="10" s="1"/>
  <c r="AY126" i="10" s="1"/>
  <c r="AY133" i="10" s="1"/>
  <c r="AY136" i="10" s="1"/>
  <c r="AX115" i="10"/>
  <c r="AW115" i="10"/>
  <c r="AW114" i="10" s="1"/>
  <c r="AV115" i="10"/>
  <c r="AU115" i="10"/>
  <c r="AU114" i="10" s="1"/>
  <c r="AU113" i="10" s="1"/>
  <c r="AU125" i="10" s="1"/>
  <c r="AU126" i="10" s="1"/>
  <c r="AU133" i="10" s="1"/>
  <c r="AU136" i="10" s="1"/>
  <c r="AT115" i="10"/>
  <c r="AS115" i="10"/>
  <c r="AS114" i="10" s="1"/>
  <c r="AR115" i="10"/>
  <c r="AQ115" i="10"/>
  <c r="AQ114" i="10" s="1"/>
  <c r="AQ113" i="10" s="1"/>
  <c r="AQ125" i="10" s="1"/>
  <c r="AQ126" i="10" s="1"/>
  <c r="AQ133" i="10" s="1"/>
  <c r="AQ136" i="10" s="1"/>
  <c r="AP115" i="10"/>
  <c r="AO115" i="10"/>
  <c r="AO114" i="10" s="1"/>
  <c r="AN115" i="10"/>
  <c r="AM115" i="10"/>
  <c r="AM114" i="10" s="1"/>
  <c r="AM113" i="10" s="1"/>
  <c r="AM125" i="10" s="1"/>
  <c r="AM126" i="10" s="1"/>
  <c r="AM133" i="10" s="1"/>
  <c r="AM136" i="10" s="1"/>
  <c r="AL115" i="10"/>
  <c r="AK115" i="10"/>
  <c r="AK114" i="10" s="1"/>
  <c r="AJ115" i="10"/>
  <c r="AI115" i="10"/>
  <c r="AI114" i="10" s="1"/>
  <c r="AI113" i="10" s="1"/>
  <c r="AI125" i="10" s="1"/>
  <c r="AI126" i="10" s="1"/>
  <c r="AI133" i="10" s="1"/>
  <c r="AI136" i="10" s="1"/>
  <c r="AH115" i="10"/>
  <c r="AG115" i="10"/>
  <c r="AG114" i="10" s="1"/>
  <c r="AF115" i="10"/>
  <c r="AE115" i="10"/>
  <c r="AE114" i="10" s="1"/>
  <c r="AE113" i="10" s="1"/>
  <c r="AE125" i="10" s="1"/>
  <c r="AE126" i="10" s="1"/>
  <c r="AE133" i="10" s="1"/>
  <c r="AE136" i="10" s="1"/>
  <c r="AZ114" i="10"/>
  <c r="AZ113" i="10" s="1"/>
  <c r="AZ125" i="10" s="1"/>
  <c r="AZ126" i="10" s="1"/>
  <c r="AZ133" i="10" s="1"/>
  <c r="AZ136" i="10" s="1"/>
  <c r="AV114" i="10"/>
  <c r="AV113" i="10" s="1"/>
  <c r="AV125" i="10" s="1"/>
  <c r="AV126" i="10" s="1"/>
  <c r="AV133" i="10" s="1"/>
  <c r="AV136" i="10" s="1"/>
  <c r="AR114" i="10"/>
  <c r="AR113" i="10" s="1"/>
  <c r="AR125" i="10" s="1"/>
  <c r="AR126" i="10" s="1"/>
  <c r="AR133" i="10" s="1"/>
  <c r="AR136" i="10" s="1"/>
  <c r="AN114" i="10"/>
  <c r="AN113" i="10" s="1"/>
  <c r="AN125" i="10" s="1"/>
  <c r="AN126" i="10" s="1"/>
  <c r="AN133" i="10" s="1"/>
  <c r="AN136" i="10" s="1"/>
  <c r="AJ114" i="10"/>
  <c r="AJ113" i="10" s="1"/>
  <c r="AJ125" i="10" s="1"/>
  <c r="AJ126" i="10" s="1"/>
  <c r="AJ133" i="10" s="1"/>
  <c r="AJ136" i="10" s="1"/>
  <c r="AF114" i="10"/>
  <c r="AF113" i="10" s="1"/>
  <c r="AF125" i="10" s="1"/>
  <c r="AF126" i="10" s="1"/>
  <c r="AF133" i="10" s="1"/>
  <c r="AF136" i="10" s="1"/>
  <c r="AB114" i="10"/>
  <c r="AB115" i="10" s="1"/>
  <c r="BA113" i="10"/>
  <c r="BA125" i="10" s="1"/>
  <c r="BA126" i="10" s="1"/>
  <c r="BA133" i="10" s="1"/>
  <c r="BA136" i="10" s="1"/>
  <c r="AW113" i="10"/>
  <c r="AW125" i="10" s="1"/>
  <c r="AW126" i="10" s="1"/>
  <c r="AW133" i="10" s="1"/>
  <c r="AW136" i="10" s="1"/>
  <c r="AS113" i="10"/>
  <c r="AS125" i="10" s="1"/>
  <c r="AS126" i="10" s="1"/>
  <c r="AS133" i="10" s="1"/>
  <c r="AS136" i="10" s="1"/>
  <c r="AO113" i="10"/>
  <c r="AO125" i="10" s="1"/>
  <c r="AO126" i="10" s="1"/>
  <c r="AO133" i="10" s="1"/>
  <c r="AO136" i="10" s="1"/>
  <c r="AK113" i="10"/>
  <c r="AK125" i="10" s="1"/>
  <c r="AK126" i="10" s="1"/>
  <c r="AK133" i="10" s="1"/>
  <c r="AK136" i="10" s="1"/>
  <c r="AG113" i="10"/>
  <c r="AG125" i="10" s="1"/>
  <c r="AG126" i="10" s="1"/>
  <c r="AG133" i="10" s="1"/>
  <c r="AG136" i="10" s="1"/>
  <c r="AB112" i="10"/>
  <c r="BB109" i="10"/>
  <c r="BB105" i="10" s="1"/>
  <c r="BA109" i="10"/>
  <c r="AZ109" i="10"/>
  <c r="AY109" i="10"/>
  <c r="AX109" i="10"/>
  <c r="AX105" i="10" s="1"/>
  <c r="AW109" i="10"/>
  <c r="AV109" i="10"/>
  <c r="AU109" i="10"/>
  <c r="AT109" i="10"/>
  <c r="AT105" i="10" s="1"/>
  <c r="AS109" i="10"/>
  <c r="AR109" i="10"/>
  <c r="AQ109" i="10"/>
  <c r="AP109" i="10"/>
  <c r="AP105" i="10" s="1"/>
  <c r="AO109" i="10"/>
  <c r="AN109" i="10"/>
  <c r="AM109" i="10"/>
  <c r="AL109" i="10"/>
  <c r="AL105" i="10" s="1"/>
  <c r="AK109" i="10"/>
  <c r="AJ109" i="10"/>
  <c r="AI109" i="10"/>
  <c r="AH109" i="10"/>
  <c r="AH105" i="10" s="1"/>
  <c r="AG109" i="10"/>
  <c r="AF109" i="10"/>
  <c r="AE109" i="10"/>
  <c r="AB109" i="10"/>
  <c r="AB110" i="10" s="1"/>
  <c r="AB107" i="10"/>
  <c r="BB106" i="10"/>
  <c r="BA106" i="10"/>
  <c r="BA105" i="10" s="1"/>
  <c r="AZ106" i="10"/>
  <c r="AY106" i="10"/>
  <c r="AY105" i="10" s="1"/>
  <c r="AX106" i="10"/>
  <c r="AW106" i="10"/>
  <c r="AW105" i="10" s="1"/>
  <c r="AV106" i="10"/>
  <c r="AU106" i="10"/>
  <c r="AU105" i="10" s="1"/>
  <c r="AT106" i="10"/>
  <c r="AS106" i="10"/>
  <c r="AS105" i="10" s="1"/>
  <c r="AR106" i="10"/>
  <c r="AQ106" i="10"/>
  <c r="AQ105" i="10" s="1"/>
  <c r="AP106" i="10"/>
  <c r="AO106" i="10"/>
  <c r="AO105" i="10" s="1"/>
  <c r="AN106" i="10"/>
  <c r="AM106" i="10"/>
  <c r="AM105" i="10" s="1"/>
  <c r="AL106" i="10"/>
  <c r="AK106" i="10"/>
  <c r="AK105" i="10" s="1"/>
  <c r="AJ106" i="10"/>
  <c r="AI106" i="10"/>
  <c r="AI105" i="10" s="1"/>
  <c r="AH106" i="10"/>
  <c r="AG106" i="10"/>
  <c r="AG105" i="10" s="1"/>
  <c r="AF106" i="10"/>
  <c r="AE106" i="10"/>
  <c r="AE105" i="10" s="1"/>
  <c r="AB106" i="10"/>
  <c r="AB108" i="10" s="1"/>
  <c r="AZ105" i="10"/>
  <c r="AV105" i="10"/>
  <c r="AR105" i="10"/>
  <c r="AN105" i="10"/>
  <c r="AJ105" i="10"/>
  <c r="AF105" i="10"/>
  <c r="AB104" i="10"/>
  <c r="AB102" i="10"/>
  <c r="BB101" i="10"/>
  <c r="BA101" i="10"/>
  <c r="AZ101" i="10"/>
  <c r="AY101" i="10"/>
  <c r="AY97" i="10" s="1"/>
  <c r="AX101" i="10"/>
  <c r="AW101" i="10"/>
  <c r="AV101" i="10"/>
  <c r="AU101" i="10"/>
  <c r="AU97" i="10" s="1"/>
  <c r="AT101" i="10"/>
  <c r="AS101" i="10"/>
  <c r="AR101" i="10"/>
  <c r="AQ101" i="10"/>
  <c r="AQ97" i="10" s="1"/>
  <c r="AP101" i="10"/>
  <c r="AO101" i="10"/>
  <c r="AN101" i="10"/>
  <c r="AM101" i="10"/>
  <c r="AM97" i="10" s="1"/>
  <c r="AL101" i="10"/>
  <c r="AK101" i="10"/>
  <c r="AJ101" i="10"/>
  <c r="AI101" i="10"/>
  <c r="AI97" i="10" s="1"/>
  <c r="AH101" i="10"/>
  <c r="AG101" i="10"/>
  <c r="AF101" i="10"/>
  <c r="AE101" i="10"/>
  <c r="AE97" i="10" s="1"/>
  <c r="AB101" i="10"/>
  <c r="AB103" i="10" s="1"/>
  <c r="AB100" i="10"/>
  <c r="BB98" i="10"/>
  <c r="BB97" i="10" s="1"/>
  <c r="BA98" i="10"/>
  <c r="AZ98" i="10"/>
  <c r="AZ97" i="10" s="1"/>
  <c r="AY98" i="10"/>
  <c r="AX98" i="10"/>
  <c r="AX97" i="10" s="1"/>
  <c r="AW98" i="10"/>
  <c r="AV98" i="10"/>
  <c r="AV97" i="10" s="1"/>
  <c r="AU98" i="10"/>
  <c r="AT98" i="10"/>
  <c r="AT97" i="10" s="1"/>
  <c r="AS98" i="10"/>
  <c r="AR98" i="10"/>
  <c r="AR97" i="10" s="1"/>
  <c r="AQ98" i="10"/>
  <c r="AP98" i="10"/>
  <c r="AP97" i="10" s="1"/>
  <c r="AO98" i="10"/>
  <c r="AN98" i="10"/>
  <c r="AN97" i="10" s="1"/>
  <c r="AM98" i="10"/>
  <c r="AL98" i="10"/>
  <c r="AL97" i="10" s="1"/>
  <c r="AK98" i="10"/>
  <c r="AJ98" i="10"/>
  <c r="AJ97" i="10" s="1"/>
  <c r="AI98" i="10"/>
  <c r="AH98" i="10"/>
  <c r="AH97" i="10" s="1"/>
  <c r="AG98" i="10"/>
  <c r="AF98" i="10"/>
  <c r="AF97" i="10" s="1"/>
  <c r="AE98" i="10"/>
  <c r="AB98" i="10"/>
  <c r="AB99" i="10" s="1"/>
  <c r="BA97" i="10"/>
  <c r="AW97" i="10"/>
  <c r="AS97" i="10"/>
  <c r="AO97" i="10"/>
  <c r="AK97" i="10"/>
  <c r="AG97" i="10"/>
  <c r="F96" i="10" a="1"/>
  <c r="F96" i="10" s="1"/>
  <c r="F97" i="10" s="1"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Y83" i="10"/>
  <c r="AU83" i="10"/>
  <c r="AQ83" i="10"/>
  <c r="AM83" i="10"/>
  <c r="AI83" i="10"/>
  <c r="AE83"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8" i="10"/>
  <c r="AB82" i="10" s="1"/>
  <c r="AB76" i="10"/>
  <c r="AB77" i="10" s="1"/>
  <c r="BA74" i="10"/>
  <c r="AW74" i="10"/>
  <c r="AS74" i="10"/>
  <c r="AO74" i="10"/>
  <c r="AK74" i="10"/>
  <c r="AG74" i="10"/>
  <c r="AB73" i="10"/>
  <c r="AB74" i="10" s="1"/>
  <c r="AB71" i="10"/>
  <c r="AB72" i="10" s="1"/>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74" i="10" s="1"/>
  <c r="AX69" i="10"/>
  <c r="AX83" i="10" s="1"/>
  <c r="AW69" i="10"/>
  <c r="AW83" i="10" s="1"/>
  <c r="AV69" i="10"/>
  <c r="AV83" i="10" s="1"/>
  <c r="AU69" i="10"/>
  <c r="AU74" i="10" s="1"/>
  <c r="AT69" i="10"/>
  <c r="AT83" i="10" s="1"/>
  <c r="AS69" i="10"/>
  <c r="AS83" i="10" s="1"/>
  <c r="AR69" i="10"/>
  <c r="AR83" i="10" s="1"/>
  <c r="AQ69" i="10"/>
  <c r="AQ74" i="10" s="1"/>
  <c r="AP69" i="10"/>
  <c r="AP83" i="10" s="1"/>
  <c r="AO69" i="10"/>
  <c r="AO83" i="10" s="1"/>
  <c r="AN69" i="10"/>
  <c r="AN83" i="10" s="1"/>
  <c r="AM69" i="10"/>
  <c r="AM74" i="10" s="1"/>
  <c r="AL69" i="10"/>
  <c r="AL83" i="10" s="1"/>
  <c r="AK69" i="10"/>
  <c r="AK83" i="10" s="1"/>
  <c r="AJ69" i="10"/>
  <c r="AJ83" i="10" s="1"/>
  <c r="AI69" i="10"/>
  <c r="AI74" i="10" s="1"/>
  <c r="AH69" i="10"/>
  <c r="AH83" i="10" s="1"/>
  <c r="AG69" i="10"/>
  <c r="AG83" i="10" s="1"/>
  <c r="AF69" i="10"/>
  <c r="AF83" i="10" s="1"/>
  <c r="AE69" i="10"/>
  <c r="AE74" i="10" s="1"/>
  <c r="AB69" i="10"/>
  <c r="AB68" i="10"/>
  <c r="AB66" i="10"/>
  <c r="AB65" i="10"/>
  <c r="AB63"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59" i="10"/>
  <c r="AB58" i="10"/>
  <c r="AB60" i="10" s="1"/>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AZ51" i="10"/>
  <c r="AY51" i="10"/>
  <c r="AY49" i="10" s="1"/>
  <c r="AY45" i="10" s="1"/>
  <c r="AY57" i="10" s="1"/>
  <c r="AY58" i="10" s="1"/>
  <c r="AY65" i="10" s="1"/>
  <c r="AY68" i="10" s="1"/>
  <c r="AX51" i="10"/>
  <c r="AW51" i="10"/>
  <c r="AV51" i="10"/>
  <c r="AU51" i="10"/>
  <c r="AU49" i="10" s="1"/>
  <c r="AU45" i="10" s="1"/>
  <c r="AU57" i="10" s="1"/>
  <c r="AU58" i="10" s="1"/>
  <c r="AU65" i="10" s="1"/>
  <c r="AU68" i="10" s="1"/>
  <c r="AT51" i="10"/>
  <c r="AS51" i="10"/>
  <c r="AR51" i="10"/>
  <c r="AQ51" i="10"/>
  <c r="AQ49" i="10" s="1"/>
  <c r="AQ45" i="10" s="1"/>
  <c r="AQ57" i="10" s="1"/>
  <c r="AQ58" i="10" s="1"/>
  <c r="AQ65" i="10" s="1"/>
  <c r="AQ68" i="10" s="1"/>
  <c r="AP51" i="10"/>
  <c r="AO51" i="10"/>
  <c r="AN51" i="10"/>
  <c r="AM51" i="10"/>
  <c r="AM49" i="10" s="1"/>
  <c r="AM45" i="10" s="1"/>
  <c r="AM57" i="10" s="1"/>
  <c r="AM58" i="10" s="1"/>
  <c r="AM65" i="10" s="1"/>
  <c r="AM68" i="10" s="1"/>
  <c r="AL51" i="10"/>
  <c r="AK51" i="10"/>
  <c r="AJ51" i="10"/>
  <c r="AI51" i="10"/>
  <c r="AI49" i="10" s="1"/>
  <c r="AI45" i="10" s="1"/>
  <c r="AI57" i="10" s="1"/>
  <c r="AI58" i="10" s="1"/>
  <c r="AI65" i="10" s="1"/>
  <c r="AI68" i="10" s="1"/>
  <c r="AH51" i="10"/>
  <c r="AG51" i="10"/>
  <c r="AF51" i="10"/>
  <c r="AE51" i="10"/>
  <c r="AE49" i="10" s="1"/>
  <c r="AE45" i="10" s="1"/>
  <c r="AE57" i="10" s="1"/>
  <c r="AE58" i="10" s="1"/>
  <c r="AE65" i="10" s="1"/>
  <c r="AE68" i="10" s="1"/>
  <c r="BB50" i="10"/>
  <c r="BB49" i="10" s="1"/>
  <c r="BA50" i="10"/>
  <c r="AZ50" i="10"/>
  <c r="AZ49" i="10" s="1"/>
  <c r="AY50" i="10"/>
  <c r="AX50" i="10"/>
  <c r="AX49" i="10" s="1"/>
  <c r="AW50" i="10"/>
  <c r="AV50" i="10"/>
  <c r="AV49" i="10" s="1"/>
  <c r="AU50" i="10"/>
  <c r="AT50" i="10"/>
  <c r="AT49" i="10" s="1"/>
  <c r="AS50" i="10"/>
  <c r="AR50" i="10"/>
  <c r="AR49" i="10" s="1"/>
  <c r="AQ50" i="10"/>
  <c r="AP50" i="10"/>
  <c r="AP49" i="10" s="1"/>
  <c r="AO50" i="10"/>
  <c r="AN50" i="10"/>
  <c r="AN49" i="10" s="1"/>
  <c r="AM50" i="10"/>
  <c r="AL50" i="10"/>
  <c r="AL49" i="10" s="1"/>
  <c r="AK50" i="10"/>
  <c r="AJ50" i="10"/>
  <c r="AJ49" i="10" s="1"/>
  <c r="AI50" i="10"/>
  <c r="AH50" i="10"/>
  <c r="AH49" i="10" s="1"/>
  <c r="AG50" i="10"/>
  <c r="AF50" i="10"/>
  <c r="AF49" i="10" s="1"/>
  <c r="AE50" i="10"/>
  <c r="AB50" i="10"/>
  <c r="BA49" i="10"/>
  <c r="BA45" i="10" s="1"/>
  <c r="BA57" i="10" s="1"/>
  <c r="BA58" i="10" s="1"/>
  <c r="BA65" i="10" s="1"/>
  <c r="BA68" i="10" s="1"/>
  <c r="AW49" i="10"/>
  <c r="AW45" i="10" s="1"/>
  <c r="AW57" i="10" s="1"/>
  <c r="AW58" i="10" s="1"/>
  <c r="AW65" i="10" s="1"/>
  <c r="AW68" i="10" s="1"/>
  <c r="AS49" i="10"/>
  <c r="AS45" i="10" s="1"/>
  <c r="AS57" i="10" s="1"/>
  <c r="AS58" i="10" s="1"/>
  <c r="AS65" i="10" s="1"/>
  <c r="AS68" i="10" s="1"/>
  <c r="AO49" i="10"/>
  <c r="AO45" i="10" s="1"/>
  <c r="AO57" i="10" s="1"/>
  <c r="AO58" i="10" s="1"/>
  <c r="AO65" i="10" s="1"/>
  <c r="AO68" i="10" s="1"/>
  <c r="AK49" i="10"/>
  <c r="AK45" i="10" s="1"/>
  <c r="AK57" i="10" s="1"/>
  <c r="AK58" i="10" s="1"/>
  <c r="AK65" i="10" s="1"/>
  <c r="AK68" i="10" s="1"/>
  <c r="AG49" i="10"/>
  <c r="AG45" i="10" s="1"/>
  <c r="AG57" i="10" s="1"/>
  <c r="AG58" i="10" s="1"/>
  <c r="AG65" i="10" s="1"/>
  <c r="AG68" i="10" s="1"/>
  <c r="AB49" i="10"/>
  <c r="AB51" i="10" s="1"/>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BB47" i="10"/>
  <c r="BA47" i="10"/>
  <c r="BA46" i="10" s="1"/>
  <c r="AZ47" i="10"/>
  <c r="AY47" i="10"/>
  <c r="AY46" i="10" s="1"/>
  <c r="AX47" i="10"/>
  <c r="AW47" i="10"/>
  <c r="AW46" i="10" s="1"/>
  <c r="AV47" i="10"/>
  <c r="AU47" i="10"/>
  <c r="AU46" i="10" s="1"/>
  <c r="AT47" i="10"/>
  <c r="AS47" i="10"/>
  <c r="AS46" i="10" s="1"/>
  <c r="AR47" i="10"/>
  <c r="AQ47" i="10"/>
  <c r="AQ46" i="10" s="1"/>
  <c r="AP47" i="10"/>
  <c r="AO47" i="10"/>
  <c r="AO46" i="10" s="1"/>
  <c r="AN47" i="10"/>
  <c r="AM47" i="10"/>
  <c r="AM46" i="10" s="1"/>
  <c r="AL47" i="10"/>
  <c r="AK47" i="10"/>
  <c r="AK46" i="10" s="1"/>
  <c r="AJ47" i="10"/>
  <c r="AI47" i="10"/>
  <c r="AI46" i="10" s="1"/>
  <c r="AH47" i="10"/>
  <c r="AG47" i="10"/>
  <c r="AG46" i="10" s="1"/>
  <c r="AF47" i="10"/>
  <c r="AE47" i="10"/>
  <c r="AE46" i="10" s="1"/>
  <c r="BB46" i="10"/>
  <c r="BB45" i="10" s="1"/>
  <c r="BB57" i="10" s="1"/>
  <c r="BB58" i="10" s="1"/>
  <c r="BB65" i="10" s="1"/>
  <c r="BB68" i="10" s="1"/>
  <c r="AZ46" i="10"/>
  <c r="AZ45" i="10" s="1"/>
  <c r="AZ57" i="10" s="1"/>
  <c r="AZ58" i="10" s="1"/>
  <c r="AZ65" i="10" s="1"/>
  <c r="AZ68" i="10" s="1"/>
  <c r="AX46" i="10"/>
  <c r="AX45" i="10" s="1"/>
  <c r="AX57" i="10" s="1"/>
  <c r="AX58" i="10" s="1"/>
  <c r="AX65" i="10" s="1"/>
  <c r="AX68" i="10" s="1"/>
  <c r="AV46" i="10"/>
  <c r="AV45" i="10" s="1"/>
  <c r="AV57" i="10" s="1"/>
  <c r="AV58" i="10" s="1"/>
  <c r="AV65" i="10" s="1"/>
  <c r="AV68" i="10" s="1"/>
  <c r="AT46" i="10"/>
  <c r="AT45" i="10" s="1"/>
  <c r="AT57" i="10" s="1"/>
  <c r="AT58" i="10" s="1"/>
  <c r="AT65" i="10" s="1"/>
  <c r="AT68" i="10" s="1"/>
  <c r="AR46" i="10"/>
  <c r="AR45" i="10" s="1"/>
  <c r="AR57" i="10" s="1"/>
  <c r="AR58" i="10" s="1"/>
  <c r="AR65" i="10" s="1"/>
  <c r="AR68" i="10" s="1"/>
  <c r="AP46" i="10"/>
  <c r="AP45" i="10" s="1"/>
  <c r="AP57" i="10" s="1"/>
  <c r="AP58" i="10" s="1"/>
  <c r="AP65" i="10" s="1"/>
  <c r="AP68" i="10" s="1"/>
  <c r="AN46" i="10"/>
  <c r="AN45" i="10" s="1"/>
  <c r="AN57" i="10" s="1"/>
  <c r="AN58" i="10" s="1"/>
  <c r="AN65" i="10" s="1"/>
  <c r="AN68" i="10" s="1"/>
  <c r="AL46" i="10"/>
  <c r="AL45" i="10" s="1"/>
  <c r="AL57" i="10" s="1"/>
  <c r="AL58" i="10" s="1"/>
  <c r="AL65" i="10" s="1"/>
  <c r="AL68" i="10" s="1"/>
  <c r="AJ46" i="10"/>
  <c r="AJ45" i="10" s="1"/>
  <c r="AJ57" i="10" s="1"/>
  <c r="AJ58" i="10" s="1"/>
  <c r="AJ65" i="10" s="1"/>
  <c r="AJ68" i="10" s="1"/>
  <c r="AH46" i="10"/>
  <c r="AH45" i="10" s="1"/>
  <c r="AH57" i="10" s="1"/>
  <c r="AH58" i="10" s="1"/>
  <c r="AH65" i="10" s="1"/>
  <c r="AH68" i="10" s="1"/>
  <c r="AF46" i="10"/>
  <c r="AF45" i="10" s="1"/>
  <c r="AF57" i="10" s="1"/>
  <c r="AF58" i="10" s="1"/>
  <c r="AF65" i="10" s="1"/>
  <c r="AF68" i="10" s="1"/>
  <c r="AB46" i="10"/>
  <c r="AB47" i="10" s="1"/>
  <c r="AB44" i="10"/>
  <c r="AB43"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AB41" i="10"/>
  <c r="AB42" i="10" s="1"/>
  <c r="AB39" i="10"/>
  <c r="BB38" i="10"/>
  <c r="BA38" i="10"/>
  <c r="BA37" i="10" s="1"/>
  <c r="AZ38" i="10"/>
  <c r="AY38" i="10"/>
  <c r="AY37" i="10" s="1"/>
  <c r="AX38" i="10"/>
  <c r="AW38" i="10"/>
  <c r="AW37" i="10" s="1"/>
  <c r="AV38" i="10"/>
  <c r="AU38" i="10"/>
  <c r="AU37" i="10" s="1"/>
  <c r="AT38" i="10"/>
  <c r="AS38" i="10"/>
  <c r="AS37" i="10" s="1"/>
  <c r="AR38" i="10"/>
  <c r="AQ38" i="10"/>
  <c r="AQ37" i="10" s="1"/>
  <c r="AP38" i="10"/>
  <c r="AO38" i="10"/>
  <c r="AO37" i="10" s="1"/>
  <c r="AN38" i="10"/>
  <c r="AM38" i="10"/>
  <c r="AM37" i="10" s="1"/>
  <c r="AL38" i="10"/>
  <c r="AK38" i="10"/>
  <c r="AK37" i="10" s="1"/>
  <c r="AJ38" i="10"/>
  <c r="AI38" i="10"/>
  <c r="AI37" i="10" s="1"/>
  <c r="AH38" i="10"/>
  <c r="AG38" i="10"/>
  <c r="AG37" i="10" s="1"/>
  <c r="AF38" i="10"/>
  <c r="AE38" i="10"/>
  <c r="AE37" i="10" s="1"/>
  <c r="AB38" i="10"/>
  <c r="AB40" i="10" s="1"/>
  <c r="BB37" i="10"/>
  <c r="AZ37" i="10"/>
  <c r="AX37" i="10"/>
  <c r="AV37" i="10"/>
  <c r="AT37" i="10"/>
  <c r="AR37" i="10"/>
  <c r="AP37" i="10"/>
  <c r="AN37" i="10"/>
  <c r="AL37" i="10"/>
  <c r="AJ37" i="10"/>
  <c r="AH37" i="10"/>
  <c r="AF37" i="10"/>
  <c r="AB36" i="10"/>
  <c r="AB34"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AB35" i="10" s="1"/>
  <c r="BB30" i="10"/>
  <c r="BB29" i="10" s="1"/>
  <c r="BA30" i="10"/>
  <c r="AZ30" i="10"/>
  <c r="AZ29" i="10" s="1"/>
  <c r="AY30" i="10"/>
  <c r="AX30" i="10"/>
  <c r="AX29" i="10" s="1"/>
  <c r="AW30" i="10"/>
  <c r="AV30" i="10"/>
  <c r="AV29" i="10" s="1"/>
  <c r="AU30" i="10"/>
  <c r="AT30" i="10"/>
  <c r="AT29" i="10" s="1"/>
  <c r="AS30" i="10"/>
  <c r="AR30" i="10"/>
  <c r="AR29" i="10" s="1"/>
  <c r="AQ30" i="10"/>
  <c r="AP30" i="10"/>
  <c r="AP29" i="10" s="1"/>
  <c r="AO30" i="10"/>
  <c r="AN30" i="10"/>
  <c r="AN29" i="10" s="1"/>
  <c r="AM30" i="10"/>
  <c r="AL30" i="10"/>
  <c r="AL29" i="10" s="1"/>
  <c r="AK30" i="10"/>
  <c r="AJ30" i="10"/>
  <c r="AJ29" i="10" s="1"/>
  <c r="AI30" i="10"/>
  <c r="AH30" i="10"/>
  <c r="AH29" i="10" s="1"/>
  <c r="AG30" i="10"/>
  <c r="AF30" i="10"/>
  <c r="AF29" i="10" s="1"/>
  <c r="AE30" i="10"/>
  <c r="AB30" i="10"/>
  <c r="AB31" i="10" s="1"/>
  <c r="BA29" i="10"/>
  <c r="AY29" i="10"/>
  <c r="AW29" i="10"/>
  <c r="AU29" i="10"/>
  <c r="AS29" i="10"/>
  <c r="AQ29" i="10"/>
  <c r="AO29" i="10"/>
  <c r="AM29" i="10"/>
  <c r="AK29" i="10"/>
  <c r="AI29" i="10"/>
  <c r="AG29" i="10"/>
  <c r="AE29" i="10"/>
  <c r="F28" i="10" a="1"/>
  <c r="F28" i="10" s="1"/>
  <c r="H28" i="10" s="1" a="1"/>
  <c r="H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s="1"/>
  <c r="BB10" i="10" a="1"/>
  <c r="BB10" i="10" s="1"/>
  <c r="BA10" i="10" a="1"/>
  <c r="BA10" i="10" s="1"/>
  <c r="AZ10" i="10" a="1"/>
  <c r="AZ10" i="10" s="1"/>
  <c r="AY10" i="10" a="1"/>
  <c r="AY10" i="10" s="1"/>
  <c r="AX10" i="10" a="1"/>
  <c r="AX10" i="10" s="1"/>
  <c r="AW10" i="10" a="1"/>
  <c r="AW10" i="10" s="1"/>
  <c r="AV10" i="10" a="1"/>
  <c r="AV10" i="10" s="1"/>
  <c r="AU10" i="10" a="1"/>
  <c r="AU10" i="10" s="1"/>
  <c r="AT10" i="10" a="1"/>
  <c r="AT10" i="10" s="1"/>
  <c r="AS10" i="10" a="1"/>
  <c r="AS10" i="10" s="1"/>
  <c r="AR10" i="10" a="1"/>
  <c r="AR10" i="10" s="1"/>
  <c r="AQ10" i="10" a="1"/>
  <c r="AQ10" i="10" s="1"/>
  <c r="AP10" i="10" a="1"/>
  <c r="AP10" i="10" s="1"/>
  <c r="AO10" i="10" a="1"/>
  <c r="AO10" i="10" s="1"/>
  <c r="AN10" i="10" a="1"/>
  <c r="AN10" i="10" s="1"/>
  <c r="AM10" i="10" a="1"/>
  <c r="AM10" i="10" s="1"/>
  <c r="AL10" i="10" a="1"/>
  <c r="AL10" i="10" s="1"/>
  <c r="AK10" i="10" a="1"/>
  <c r="AK10" i="10" s="1"/>
  <c r="AJ10" i="10" a="1"/>
  <c r="AJ10" i="10" s="1"/>
  <c r="AI10" i="10" a="1"/>
  <c r="AI10" i="10" s="1"/>
  <c r="AH10" i="10" a="1"/>
  <c r="AH10" i="10" s="1"/>
  <c r="AG10" i="10" a="1"/>
  <c r="AG10" i="10" s="1"/>
  <c r="AF10" i="10" a="1"/>
  <c r="AF10" i="10" s="1"/>
  <c r="AE10" i="10" a="1"/>
  <c r="AE10" i="10" s="1"/>
  <c r="BB9" i="10"/>
  <c r="BA9" i="10"/>
  <c r="AZ9" i="10"/>
  <c r="AY9" i="10"/>
  <c r="AX9" i="10"/>
  <c r="AW9" i="10"/>
  <c r="AV9" i="10"/>
  <c r="AU9" i="10"/>
  <c r="AT9" i="10"/>
  <c r="AS9" i="10" a="1"/>
  <c r="AS9" i="10"/>
  <c r="AR9" i="10"/>
  <c r="AQ9" i="10"/>
  <c r="AP9" i="10"/>
  <c r="AO9" i="10"/>
  <c r="AN9" i="10"/>
  <c r="AM9" i="10"/>
  <c r="AL9" i="10"/>
  <c r="AK9" i="10"/>
  <c r="AJ9" i="10"/>
  <c r="AI9" i="10" a="1"/>
  <c r="AI9" i="10" s="1"/>
  <c r="AH9" i="10"/>
  <c r="AG9" i="10"/>
  <c r="AF9" i="10"/>
  <c r="AE9" i="10"/>
  <c r="BB7" i="10" a="1"/>
  <c r="BB7" i="10" s="1"/>
  <c r="BA7" i="10" a="1"/>
  <c r="BA7" i="10" s="1"/>
  <c r="AZ7" i="10" a="1"/>
  <c r="AZ7" i="10" s="1"/>
  <c r="AY7" i="10" a="1"/>
  <c r="AY7" i="10" s="1"/>
  <c r="AX7" i="10" a="1"/>
  <c r="AX7" i="10" s="1"/>
  <c r="AW7" i="10" a="1"/>
  <c r="AW7" i="10" s="1"/>
  <c r="AV7" i="10" a="1"/>
  <c r="AV7" i="10" s="1"/>
  <c r="AU7" i="10" a="1"/>
  <c r="AU7" i="10" s="1"/>
  <c r="AT7" i="10" a="1"/>
  <c r="AT7" i="10" s="1"/>
  <c r="AS7" i="10" a="1"/>
  <c r="AS7" i="10" s="1"/>
  <c r="AR7" i="10" a="1"/>
  <c r="AR7" i="10" s="1"/>
  <c r="AR8" i="10" s="1"/>
  <c r="AQ7" i="10" a="1"/>
  <c r="AQ7" i="10" s="1"/>
  <c r="AP7" i="10" a="1"/>
  <c r="AP7" i="10" s="1"/>
  <c r="AP8" i="10" s="1"/>
  <c r="AO7" i="10" a="1"/>
  <c r="AO7" i="10" s="1"/>
  <c r="AN7" i="10" a="1"/>
  <c r="AN7" i="10" s="1"/>
  <c r="AN8" i="10" s="1"/>
  <c r="AM7" i="10" a="1"/>
  <c r="AM7" i="10" s="1"/>
  <c r="AL7" i="10" a="1"/>
  <c r="AL7" i="10" s="1"/>
  <c r="AL8" i="10" s="1"/>
  <c r="AK7" i="10" a="1"/>
  <c r="AK7" i="10" s="1"/>
  <c r="AJ7" i="10" a="1"/>
  <c r="AJ7" i="10" s="1"/>
  <c r="AJ8" i="10" s="1"/>
  <c r="AI7" i="10" a="1"/>
  <c r="AI7" i="10" s="1"/>
  <c r="AH7" i="10" a="1"/>
  <c r="AH7" i="10" s="1"/>
  <c r="AH8" i="10" s="1"/>
  <c r="AG7" i="10" a="1"/>
  <c r="AG7" i="10" s="1"/>
  <c r="AF7" i="10" a="1"/>
  <c r="AF7" i="10" s="1"/>
  <c r="AE7" i="10" a="1"/>
  <c r="AE7" i="10" s="1"/>
  <c r="BB6" i="10"/>
  <c r="BB2" i="10" s="1"/>
  <c r="BA6" i="10"/>
  <c r="BA8" i="10" s="1"/>
  <c r="AZ6" i="10"/>
  <c r="AZ8" i="10" s="1"/>
  <c r="AY6" i="10"/>
  <c r="AY8" i="10" s="1"/>
  <c r="AX6" i="10"/>
  <c r="AX2" i="10" s="1"/>
  <c r="AW6" i="10"/>
  <c r="AW8" i="10" s="1"/>
  <c r="AV6" i="10"/>
  <c r="AV8" i="10" s="1"/>
  <c r="AU6" i="10"/>
  <c r="AU8" i="10" s="1"/>
  <c r="AT6" i="10"/>
  <c r="AT2" i="10" s="1"/>
  <c r="AS6" i="10" a="1"/>
  <c r="AS6" i="10"/>
  <c r="AR6" i="10"/>
  <c r="AQ6" i="10"/>
  <c r="AP6" i="10"/>
  <c r="AO6" i="10"/>
  <c r="AN6" i="10"/>
  <c r="AM6" i="10"/>
  <c r="AL6" i="10"/>
  <c r="AK6" i="10"/>
  <c r="AJ6" i="10"/>
  <c r="AI6" i="10" a="1"/>
  <c r="AI6" i="10" s="1"/>
  <c r="AH6" i="10"/>
  <c r="AG6" i="10"/>
  <c r="AG8" i="10" s="1"/>
  <c r="AF6" i="10"/>
  <c r="AF8" i="10" s="1"/>
  <c r="AE6" i="10"/>
  <c r="AE8" i="10" s="1"/>
  <c r="AS40" i="9"/>
  <c r="AT40" i="9" s="1"/>
  <c r="AU40" i="9" s="1"/>
  <c r="AV40" i="9" s="1"/>
  <c r="AW40" i="9" s="1"/>
  <c r="AX40" i="9" s="1"/>
  <c r="AY40" i="9" s="1"/>
  <c r="AQ40" i="9" a="1"/>
  <c r="AQ40" i="9" s="1"/>
  <c r="AR40" i="9" s="1"/>
  <c r="AG40" i="9" a="1"/>
  <c r="AG40" i="9" s="1"/>
  <c r="AH40" i="9" s="1"/>
  <c r="AI40" i="9" s="1"/>
  <c r="AJ40" i="9" s="1"/>
  <c r="AK40" i="9" s="1"/>
  <c r="AL40" i="9" s="1"/>
  <c r="AM40" i="9" s="1"/>
  <c r="AN40" i="9" s="1"/>
  <c r="AO40" i="9" s="1"/>
  <c r="AQ38" i="9" a="1"/>
  <c r="AQ38" i="9" s="1"/>
  <c r="AR38" i="9" s="1"/>
  <c r="AS38" i="9" s="1"/>
  <c r="AT38" i="9" s="1"/>
  <c r="AU38" i="9" s="1"/>
  <c r="AV38" i="9" s="1"/>
  <c r="AW38" i="9" s="1"/>
  <c r="AX38" i="9" s="1"/>
  <c r="AY38" i="9" s="1"/>
  <c r="AI38" i="9"/>
  <c r="AJ38" i="9" s="1"/>
  <c r="AK38" i="9" s="1"/>
  <c r="AL38" i="9" s="1"/>
  <c r="AM38" i="9" s="1"/>
  <c r="AN38" i="9" s="1"/>
  <c r="AO38" i="9" s="1"/>
  <c r="AG38" i="9" a="1"/>
  <c r="AG38" i="9" s="1"/>
  <c r="AH38" i="9" s="1"/>
  <c r="F35" i="9" a="1"/>
  <c r="F35" i="9" s="1"/>
  <c r="AQ33" i="9" a="1"/>
  <c r="AQ33" i="9"/>
  <c r="AR33" i="9" s="1"/>
  <c r="AS33" i="9" s="1"/>
  <c r="AT33" i="9" s="1"/>
  <c r="AU33" i="9" s="1"/>
  <c r="AV33" i="9" s="1"/>
  <c r="AW33" i="9" s="1"/>
  <c r="AX33" i="9" s="1"/>
  <c r="AY33" i="9" s="1"/>
  <c r="AG33" i="9" a="1"/>
  <c r="AG33" i="9"/>
  <c r="AH33" i="9" s="1"/>
  <c r="AI33" i="9" s="1"/>
  <c r="AJ33" i="9" s="1"/>
  <c r="AK33" i="9" s="1"/>
  <c r="AL33" i="9" s="1"/>
  <c r="AM33" i="9" s="1"/>
  <c r="AN33" i="9" s="1"/>
  <c r="AO33" i="9" s="1"/>
  <c r="AQ31" i="9" a="1"/>
  <c r="AQ31" i="9"/>
  <c r="AR31" i="9" s="1"/>
  <c r="AS31" i="9" s="1"/>
  <c r="AT31" i="9" s="1"/>
  <c r="AU31" i="9" s="1"/>
  <c r="AV31" i="9" s="1"/>
  <c r="AW31" i="9" s="1"/>
  <c r="AX31" i="9" s="1"/>
  <c r="AY31" i="9" s="1"/>
  <c r="AG31" i="9" a="1"/>
  <c r="AG31" i="9"/>
  <c r="AH31" i="9" s="1"/>
  <c r="AI31" i="9" s="1"/>
  <c r="AJ31" i="9" s="1"/>
  <c r="AK31" i="9" s="1"/>
  <c r="AL31" i="9" s="1"/>
  <c r="AM31" i="9" s="1"/>
  <c r="AN31" i="9" s="1"/>
  <c r="AO31" i="9" s="1"/>
  <c r="F29" i="9" a="1"/>
  <c r="F29" i="9" s="1"/>
  <c r="F28" i="9" a="1"/>
  <c r="F28" i="9"/>
  <c r="AB28" i="9" s="1" a="1"/>
  <c r="AB28" i="9" s="1"/>
  <c r="AY24" i="9"/>
  <c r="AX24" i="9"/>
  <c r="AW24" i="9"/>
  <c r="AV24" i="9"/>
  <c r="AU24" i="9"/>
  <c r="AT24" i="9"/>
  <c r="AS24" i="9"/>
  <c r="AR24" i="9"/>
  <c r="AQ24" i="9"/>
  <c r="AP24" i="9"/>
  <c r="AO24" i="9"/>
  <c r="AN24" i="9"/>
  <c r="AM24" i="9"/>
  <c r="AL24" i="9"/>
  <c r="AK24" i="9"/>
  <c r="AJ24" i="9"/>
  <c r="AI24" i="9"/>
  <c r="AH24" i="9"/>
  <c r="AG24" i="9"/>
  <c r="AF24"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N10" i="9" a="1"/>
  <c r="AN10" i="9"/>
  <c r="AM10" i="9" a="1"/>
  <c r="AM10" i="9"/>
  <c r="AL10" i="9" a="1"/>
  <c r="AL10" i="9"/>
  <c r="AK10" i="9" a="1"/>
  <c r="AK10" i="9"/>
  <c r="AJ10" i="9" a="1"/>
  <c r="AJ10" i="9"/>
  <c r="AI10" i="9" a="1"/>
  <c r="AI10" i="9"/>
  <c r="AH10" i="9" a="1"/>
  <c r="AH10" i="9"/>
  <c r="AG10" i="9" a="1"/>
  <c r="AG10" i="9"/>
  <c r="AF10" i="9" a="1"/>
  <c r="AF10" i="9"/>
  <c r="AY9" i="9"/>
  <c r="AX9" i="9"/>
  <c r="AW9" i="9"/>
  <c r="AV9" i="9"/>
  <c r="AU9" i="9"/>
  <c r="AT9" i="9"/>
  <c r="AS9" i="9"/>
  <c r="AR9" i="9"/>
  <c r="AQ9" i="9"/>
  <c r="AP9" i="9" a="1"/>
  <c r="AP9" i="9" s="1"/>
  <c r="AO9" i="9"/>
  <c r="AN9" i="9"/>
  <c r="AM9" i="9"/>
  <c r="AL9" i="9"/>
  <c r="AK9" i="9"/>
  <c r="AJ9" i="9"/>
  <c r="AI9" i="9"/>
  <c r="AH9" i="9"/>
  <c r="AG9" i="9"/>
  <c r="AF9" i="9" a="1"/>
  <c r="AF9" i="9"/>
  <c r="AY7" i="9" a="1"/>
  <c r="AY7" i="9"/>
  <c r="AX7" i="9" a="1"/>
  <c r="AX7" i="9"/>
  <c r="AW7" i="9" a="1"/>
  <c r="AW7" i="9"/>
  <c r="AV7" i="9" a="1"/>
  <c r="AV7" i="9"/>
  <c r="AU7" i="9" a="1"/>
  <c r="AU7" i="9"/>
  <c r="AT7" i="9" a="1"/>
  <c r="AT7" i="9"/>
  <c r="AS7" i="9" a="1"/>
  <c r="AS7" i="9"/>
  <c r="AR7" i="9" a="1"/>
  <c r="AR7" i="9"/>
  <c r="AQ7" i="9" a="1"/>
  <c r="AQ7" i="9"/>
  <c r="AP7" i="9" a="1"/>
  <c r="AP7" i="9"/>
  <c r="AO7" i="9" a="1"/>
  <c r="AO7" i="9"/>
  <c r="AN7" i="9" a="1"/>
  <c r="AN7" i="9"/>
  <c r="AN8" i="9" s="1"/>
  <c r="AM7" i="9" a="1"/>
  <c r="AM7" i="9"/>
  <c r="AL7" i="9" a="1"/>
  <c r="AL7" i="9"/>
  <c r="AL8" i="9" s="1"/>
  <c r="AK7" i="9" a="1"/>
  <c r="AK7" i="9"/>
  <c r="AJ7" i="9" a="1"/>
  <c r="AJ7" i="9"/>
  <c r="AJ8" i="9" s="1"/>
  <c r="AI7" i="9" a="1"/>
  <c r="AI7" i="9"/>
  <c r="AH7" i="9" a="1"/>
  <c r="AH7" i="9"/>
  <c r="AH8" i="9" s="1"/>
  <c r="AG7" i="9" a="1"/>
  <c r="AG7" i="9"/>
  <c r="AF7" i="9" a="1"/>
  <c r="AF7" i="9"/>
  <c r="AF8" i="9" s="1"/>
  <c r="AY6" i="9"/>
  <c r="AX6" i="9"/>
  <c r="AX8" i="9" s="1"/>
  <c r="AW6" i="9"/>
  <c r="AV6" i="9"/>
  <c r="AV2" i="9" s="1"/>
  <c r="AU6" i="9"/>
  <c r="AT6" i="9"/>
  <c r="AT8" i="9" s="1"/>
  <c r="AS6" i="9"/>
  <c r="AR6" i="9"/>
  <c r="AR2" i="9" s="1"/>
  <c r="AQ6" i="9"/>
  <c r="AP6" i="9" a="1"/>
  <c r="AP6" i="9" s="1"/>
  <c r="AP8" i="9" s="1"/>
  <c r="AO6" i="9"/>
  <c r="AN6" i="9"/>
  <c r="AM6" i="9"/>
  <c r="AL6" i="9"/>
  <c r="AK6" i="9"/>
  <c r="AJ6" i="9"/>
  <c r="AI6" i="9"/>
  <c r="AH6" i="9"/>
  <c r="AG6" i="9"/>
  <c r="AF6" i="9" a="1"/>
  <c r="AF6" i="9"/>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N70" i="8"/>
  <c r="AM70" i="8"/>
  <c r="AL70" i="8"/>
  <c r="AK70" i="8"/>
  <c r="AJ70" i="8"/>
  <c r="AI70" i="8"/>
  <c r="AH70" i="8"/>
  <c r="AG70" i="8"/>
  <c r="AF70" i="8"/>
  <c r="AX68" i="8"/>
  <c r="AW68" i="8"/>
  <c r="AV68" i="8"/>
  <c r="AU68" i="8"/>
  <c r="AT68" i="8"/>
  <c r="AS68" i="8"/>
  <c r="AR68" i="8"/>
  <c r="AQ68" i="8"/>
  <c r="AP68" i="8"/>
  <c r="AO68" i="8"/>
  <c r="AN68" i="8"/>
  <c r="AM68" i="8"/>
  <c r="AL68" i="8"/>
  <c r="AK68" i="8"/>
  <c r="AJ68" i="8"/>
  <c r="AI68" i="8"/>
  <c r="AH68" i="8"/>
  <c r="AG68" i="8"/>
  <c r="AF68" i="8"/>
  <c r="AE68" i="8"/>
  <c r="BC60" i="8" a="1"/>
  <c r="BC60" i="8"/>
  <c r="F55" i="8" a="1"/>
  <c r="F55" i="8"/>
  <c r="F56" i="8" s="1" a="1"/>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s="1"/>
  <c r="F28" i="8" a="1"/>
  <c r="F28" i="8" s="1"/>
  <c r="AX24" i="8"/>
  <c r="AW24" i="8"/>
  <c r="AV24" i="8"/>
  <c r="AU24" i="8"/>
  <c r="AT24" i="8"/>
  <c r="AS24" i="8"/>
  <c r="AR24" i="8"/>
  <c r="AQ24" i="8"/>
  <c r="AP24" i="8"/>
  <c r="AO24" i="8"/>
  <c r="AN24" i="8"/>
  <c r="AM24" i="8"/>
  <c r="AL24" i="8"/>
  <c r="AK24" i="8"/>
  <c r="AJ24" i="8"/>
  <c r="AI24" i="8"/>
  <c r="AH24" i="8"/>
  <c r="AG24" i="8"/>
  <c r="AF24" i="8"/>
  <c r="AE24" i="8"/>
  <c r="AX10" i="8" a="1"/>
  <c r="AX10" i="8" s="1"/>
  <c r="AW10" i="8" a="1"/>
  <c r="AW10" i="8" s="1"/>
  <c r="AV10" i="8" a="1"/>
  <c r="AV10" i="8" s="1"/>
  <c r="AU10" i="8" a="1"/>
  <c r="AU10" i="8" s="1"/>
  <c r="AT10" i="8" a="1"/>
  <c r="AT10" i="8" s="1"/>
  <c r="AS10" i="8" a="1"/>
  <c r="AS10" i="8" s="1"/>
  <c r="AR10" i="8" a="1"/>
  <c r="AR10" i="8" s="1"/>
  <c r="AQ10" i="8" a="1"/>
  <c r="AQ10" i="8" s="1"/>
  <c r="AP10" i="8" a="1"/>
  <c r="AP10" i="8" s="1"/>
  <c r="AO10" i="8" a="1"/>
  <c r="AO10" i="8" s="1"/>
  <c r="AN10" i="8" a="1"/>
  <c r="AN10" i="8" s="1"/>
  <c r="AM10" i="8" a="1"/>
  <c r="AM10" i="8" s="1"/>
  <c r="AL10" i="8" a="1"/>
  <c r="AL10" i="8" s="1"/>
  <c r="AK10" i="8" a="1"/>
  <c r="AK10" i="8" s="1"/>
  <c r="AJ10" i="8" a="1"/>
  <c r="AJ10" i="8" s="1"/>
  <c r="AI10" i="8" a="1"/>
  <c r="AI10" i="8" s="1"/>
  <c r="AH10" i="8" a="1"/>
  <c r="AH10" i="8" s="1"/>
  <c r="AG10" i="8" a="1"/>
  <c r="AG10" i="8" s="1"/>
  <c r="AF10" i="8" a="1"/>
  <c r="AF10" i="8" s="1"/>
  <c r="AE10" i="8" a="1"/>
  <c r="AE10" i="8" s="1"/>
  <c r="AX9" i="8"/>
  <c r="AW9" i="8"/>
  <c r="AV9" i="8"/>
  <c r="AU9" i="8"/>
  <c r="AT9" i="8"/>
  <c r="AS9" i="8"/>
  <c r="AR9" i="8"/>
  <c r="AQ9" i="8"/>
  <c r="AP9" i="8"/>
  <c r="AO9" i="8" a="1"/>
  <c r="AO9" i="8"/>
  <c r="AN9" i="8"/>
  <c r="AM9" i="8"/>
  <c r="AL9" i="8"/>
  <c r="AK9" i="8"/>
  <c r="AJ9" i="8"/>
  <c r="AI9" i="8"/>
  <c r="AH9" i="8"/>
  <c r="AG9" i="8"/>
  <c r="AF9" i="8"/>
  <c r="AE9" i="8" a="1"/>
  <c r="AE9" i="8" s="1"/>
  <c r="AV8" i="8"/>
  <c r="AR8" i="8"/>
  <c r="AN8" i="8"/>
  <c r="AJ8" i="8"/>
  <c r="AF8" i="8"/>
  <c r="AX7" i="8" a="1"/>
  <c r="AX7" i="8" s="1"/>
  <c r="AW7" i="8" a="1"/>
  <c r="AW7" i="8" s="1"/>
  <c r="AV7" i="8" a="1"/>
  <c r="AV7" i="8" s="1"/>
  <c r="AU7" i="8" a="1"/>
  <c r="AU7" i="8" s="1"/>
  <c r="AT7" i="8" a="1"/>
  <c r="AT7" i="8" s="1"/>
  <c r="AS7" i="8" a="1"/>
  <c r="AS7" i="8" s="1"/>
  <c r="AR7" i="8" a="1"/>
  <c r="AR7" i="8" s="1"/>
  <c r="AQ7" i="8" a="1"/>
  <c r="AQ7" i="8" s="1"/>
  <c r="AP7" i="8" a="1"/>
  <c r="AP7" i="8" s="1"/>
  <c r="AO7" i="8" a="1"/>
  <c r="AO7" i="8" s="1"/>
  <c r="AN7" i="8" a="1"/>
  <c r="AN7" i="8" s="1"/>
  <c r="AM7" i="8" a="1"/>
  <c r="AM7" i="8" s="1"/>
  <c r="AL7" i="8" a="1"/>
  <c r="AL7" i="8" s="1"/>
  <c r="AL8" i="8" s="1"/>
  <c r="AK7" i="8" a="1"/>
  <c r="AK7" i="8" s="1"/>
  <c r="AJ7" i="8" a="1"/>
  <c r="AJ7" i="8" s="1"/>
  <c r="AI7" i="8" a="1"/>
  <c r="AI7" i="8" s="1"/>
  <c r="AH7" i="8" a="1"/>
  <c r="AH7" i="8" s="1"/>
  <c r="AH8" i="8" s="1"/>
  <c r="AG7" i="8" a="1"/>
  <c r="AG7" i="8" s="1"/>
  <c r="AF7" i="8" a="1"/>
  <c r="AF7" i="8" s="1"/>
  <c r="AE7" i="8" a="1"/>
  <c r="AE7" i="8" s="1"/>
  <c r="AX6" i="8"/>
  <c r="AX8" i="8" s="1"/>
  <c r="AW6" i="8"/>
  <c r="AW8" i="8" s="1"/>
  <c r="AV6" i="8"/>
  <c r="AU6" i="8"/>
  <c r="AU8" i="8" s="1"/>
  <c r="AT6" i="8"/>
  <c r="AT8" i="8" s="1"/>
  <c r="AS6" i="8"/>
  <c r="AS8" i="8" s="1"/>
  <c r="AR6" i="8"/>
  <c r="AQ6" i="8"/>
  <c r="AQ8" i="8" s="1"/>
  <c r="AP6" i="8"/>
  <c r="AP8" i="8" s="1"/>
  <c r="AO6" i="8" a="1"/>
  <c r="AO6" i="8"/>
  <c r="AN6" i="8"/>
  <c r="AM6" i="8"/>
  <c r="AL6" i="8"/>
  <c r="AK6" i="8"/>
  <c r="AJ6" i="8"/>
  <c r="AI6" i="8"/>
  <c r="AH6" i="8"/>
  <c r="AG6" i="8"/>
  <c r="AF6" i="8"/>
  <c r="AE6" i="8" a="1"/>
  <c r="AE6"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Y51" i="7" s="1"/>
  <c r="AX52" i="7"/>
  <c r="AW52" i="7"/>
  <c r="AW51" i="7" s="1"/>
  <c r="AV52" i="7"/>
  <c r="AU52" i="7"/>
  <c r="AU51" i="7" s="1"/>
  <c r="AT52" i="7"/>
  <c r="AS52" i="7"/>
  <c r="AS51" i="7" s="1"/>
  <c r="AR52" i="7"/>
  <c r="AQ52" i="7"/>
  <c r="AQ51" i="7" s="1"/>
  <c r="AP52" i="7"/>
  <c r="AO52" i="7"/>
  <c r="AO51" i="7" s="1"/>
  <c r="AN52" i="7"/>
  <c r="AM52" i="7"/>
  <c r="AM51" i="7" s="1"/>
  <c r="AL52" i="7"/>
  <c r="AK52" i="7"/>
  <c r="AK51" i="7" s="1"/>
  <c r="AJ52" i="7"/>
  <c r="AI52" i="7"/>
  <c r="AI51" i="7" s="1"/>
  <c r="AH52" i="7"/>
  <c r="AG52" i="7"/>
  <c r="AG51" i="7" s="1"/>
  <c r="AF52" i="7"/>
  <c r="AE52" i="7"/>
  <c r="AE51" i="7" s="1"/>
  <c r="AX51" i="7"/>
  <c r="AX50" i="7" s="1"/>
  <c r="AV51" i="7"/>
  <c r="AV50" i="7" s="1"/>
  <c r="AT51" i="7"/>
  <c r="AT50" i="7" s="1"/>
  <c r="AR51" i="7"/>
  <c r="AR50" i="7" s="1"/>
  <c r="AP51" i="7"/>
  <c r="AP50" i="7" s="1"/>
  <c r="AN51" i="7"/>
  <c r="AN50" i="7" s="1"/>
  <c r="AL51" i="7"/>
  <c r="AL50" i="7" s="1"/>
  <c r="AJ51" i="7"/>
  <c r="AJ50" i="7" s="1"/>
  <c r="AH51" i="7"/>
  <c r="AH50" i="7" s="1"/>
  <c r="AF51" i="7"/>
  <c r="AF50" i="7" s="1"/>
  <c r="AY50" i="7"/>
  <c r="AW50" i="7"/>
  <c r="AU50" i="7"/>
  <c r="AS50" i="7"/>
  <c r="AQ50" i="7"/>
  <c r="AO50" i="7"/>
  <c r="AM50" i="7"/>
  <c r="AK50" i="7"/>
  <c r="AI50" i="7"/>
  <c r="AG50" i="7"/>
  <c r="AE50" i="7"/>
  <c r="I49" i="7"/>
  <c r="AY48" i="7" a="1"/>
  <c r="AY48" i="7" s="1"/>
  <c r="AX48" i="7" a="1"/>
  <c r="AX48" i="7" s="1"/>
  <c r="AW48" i="7" a="1"/>
  <c r="AW48" i="7" s="1"/>
  <c r="AV48" i="7" a="1"/>
  <c r="AV48" i="7" s="1"/>
  <c r="AU48" i="7" a="1"/>
  <c r="AU48" i="7" s="1"/>
  <c r="AT48" i="7" a="1"/>
  <c r="AT48" i="7" s="1"/>
  <c r="AS48" i="7" a="1"/>
  <c r="AS48" i="7" s="1"/>
  <c r="AR48" i="7" a="1"/>
  <c r="AR48" i="7" s="1"/>
  <c r="AQ48" i="7" a="1"/>
  <c r="AQ48" i="7" s="1"/>
  <c r="AP48" i="7" a="1"/>
  <c r="AP48" i="7" s="1"/>
  <c r="AO48" i="7" a="1"/>
  <c r="AO48" i="7" s="1"/>
  <c r="AN48" i="7" a="1"/>
  <c r="AN48" i="7" s="1"/>
  <c r="AM48" i="7" a="1"/>
  <c r="AM48" i="7" s="1"/>
  <c r="AL48" i="7" a="1"/>
  <c r="AL48" i="7" s="1"/>
  <c r="AK48" i="7" a="1"/>
  <c r="AK48" i="7" s="1"/>
  <c r="AJ48" i="7" a="1"/>
  <c r="AJ48" i="7" s="1"/>
  <c r="AI48" i="7" a="1"/>
  <c r="AI48" i="7" s="1"/>
  <c r="AH48" i="7" a="1"/>
  <c r="AH48" i="7" s="1"/>
  <c r="AG48" i="7" a="1"/>
  <c r="AG48" i="7" s="1"/>
  <c r="AF48" i="7" a="1"/>
  <c r="AF48" i="7" s="1"/>
  <c r="AE48" i="7" a="1"/>
  <c r="AE48" i="7" s="1"/>
  <c r="U48" i="7"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I48" i="7"/>
  <c r="U47" i="7"/>
  <c r="F47" i="7" a="1"/>
  <c r="F47" i="7" s="1"/>
  <c r="F48" i="7" s="1"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W31" i="7" s="1"/>
  <c r="AW30" i="7" s="1"/>
  <c r="AV35" i="7"/>
  <c r="AU35" i="7"/>
  <c r="AT35" i="7"/>
  <c r="AS35" i="7"/>
  <c r="AS31" i="7" s="1"/>
  <c r="AS30" i="7" s="1"/>
  <c r="AR35" i="7"/>
  <c r="AQ35" i="7"/>
  <c r="AP35" i="7"/>
  <c r="AO35" i="7"/>
  <c r="AO31" i="7" s="1"/>
  <c r="AO30" i="7" s="1"/>
  <c r="AN35" i="7"/>
  <c r="AM35" i="7"/>
  <c r="AL35" i="7"/>
  <c r="AK35" i="7"/>
  <c r="AK31" i="7" s="1"/>
  <c r="AK30" i="7" s="1"/>
  <c r="AJ35" i="7"/>
  <c r="AI35" i="7"/>
  <c r="AH35" i="7"/>
  <c r="AG35" i="7"/>
  <c r="AG31" i="7" s="1"/>
  <c r="AG30" i="7" s="1"/>
  <c r="AF35" i="7"/>
  <c r="AE35" i="7"/>
  <c r="AB34" i="7"/>
  <c r="AB33" i="7"/>
  <c r="AY32" i="7"/>
  <c r="AX32" i="7"/>
  <c r="AX31" i="7" s="1"/>
  <c r="AX30" i="7" s="1"/>
  <c r="AW32" i="7"/>
  <c r="AV32" i="7"/>
  <c r="AV31" i="7" s="1"/>
  <c r="AU32" i="7"/>
  <c r="AT32" i="7"/>
  <c r="AT31" i="7" s="1"/>
  <c r="AT30" i="7" s="1"/>
  <c r="AS32" i="7"/>
  <c r="AR32" i="7"/>
  <c r="AR31" i="7" s="1"/>
  <c r="AQ32" i="7"/>
  <c r="AP32" i="7"/>
  <c r="AP31" i="7" s="1"/>
  <c r="AP30" i="7" s="1"/>
  <c r="AO32" i="7"/>
  <c r="AN32" i="7"/>
  <c r="AN31" i="7" s="1"/>
  <c r="AM32" i="7"/>
  <c r="AL32" i="7"/>
  <c r="AL31" i="7" s="1"/>
  <c r="AL30" i="7" s="1"/>
  <c r="AK32" i="7"/>
  <c r="AJ32" i="7"/>
  <c r="AJ31" i="7" s="1"/>
  <c r="AI32" i="7"/>
  <c r="AH32" i="7"/>
  <c r="AH31" i="7" s="1"/>
  <c r="AH30" i="7" s="1"/>
  <c r="AG32" i="7"/>
  <c r="AF32" i="7"/>
  <c r="AF31" i="7" s="1"/>
  <c r="AE32" i="7"/>
  <c r="AY31" i="7"/>
  <c r="AY30" i="7" s="1"/>
  <c r="AU31" i="7"/>
  <c r="AU30" i="7" s="1"/>
  <c r="AQ31" i="7"/>
  <c r="AQ30" i="7" s="1"/>
  <c r="AM31" i="7"/>
  <c r="AM30" i="7" s="1"/>
  <c r="AI31" i="7"/>
  <c r="AI30" i="7" s="1"/>
  <c r="AE31" i="7"/>
  <c r="AE30" i="7" s="1"/>
  <c r="AV30" i="7"/>
  <c r="AR30" i="7"/>
  <c r="AN30" i="7"/>
  <c r="AJ30" i="7"/>
  <c r="AF30" i="7"/>
  <c r="I29" i="7"/>
  <c r="AY28" i="7" a="1"/>
  <c r="AY28" i="7"/>
  <c r="AX28" i="7" a="1"/>
  <c r="AX28" i="7"/>
  <c r="AW28" i="7" a="1"/>
  <c r="AW28" i="7"/>
  <c r="AV28" i="7" a="1"/>
  <c r="AV28" i="7"/>
  <c r="AU28" i="7" a="1"/>
  <c r="AU28" i="7"/>
  <c r="AT28" i="7" a="1"/>
  <c r="AT28" i="7"/>
  <c r="AS28" i="7" a="1"/>
  <c r="AS28" i="7"/>
  <c r="AR28" i="7" a="1"/>
  <c r="AR28" i="7"/>
  <c r="AQ28" i="7" a="1"/>
  <c r="AQ28" i="7"/>
  <c r="AP28" i="7" a="1"/>
  <c r="AP28" i="7"/>
  <c r="AO28" i="7" a="1"/>
  <c r="AO28" i="7"/>
  <c r="AN28" i="7" a="1"/>
  <c r="AN28" i="7"/>
  <c r="AM28" i="7" a="1"/>
  <c r="AM28" i="7"/>
  <c r="AL28" i="7" a="1"/>
  <c r="AL28" i="7"/>
  <c r="AK28" i="7" a="1"/>
  <c r="AK28" i="7"/>
  <c r="AJ28" i="7" a="1"/>
  <c r="AJ28" i="7"/>
  <c r="AI28" i="7" a="1"/>
  <c r="AI28" i="7"/>
  <c r="AH28" i="7" a="1"/>
  <c r="AH28" i="7"/>
  <c r="AG28" i="7" a="1"/>
  <c r="AG28" i="7"/>
  <c r="AF28" i="7" a="1"/>
  <c r="AF28" i="7"/>
  <c r="AE28" i="7" a="1"/>
  <c r="AE28" i="7"/>
  <c r="I28" i="7"/>
  <c r="U27" i="7"/>
  <c r="U28" i="7" s="1" a="1"/>
  <c r="U28" i="7" s="1"/>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F27" i="7" a="1"/>
  <c r="F27" i="7"/>
  <c r="AB27" i="7" s="1" a="1"/>
  <c r="AB27" i="7" s="1"/>
  <c r="AY24" i="7"/>
  <c r="AX24" i="7"/>
  <c r="AW24" i="7"/>
  <c r="AV24" i="7"/>
  <c r="AU24" i="7"/>
  <c r="AT24" i="7"/>
  <c r="AS24" i="7"/>
  <c r="AR24" i="7"/>
  <c r="AQ24" i="7"/>
  <c r="AP24" i="7"/>
  <c r="AO24" i="7"/>
  <c r="AN24" i="7"/>
  <c r="AM24" i="7"/>
  <c r="AL24" i="7"/>
  <c r="AK24" i="7"/>
  <c r="AJ24" i="7"/>
  <c r="AI24" i="7"/>
  <c r="AH24" i="7"/>
  <c r="AG24" i="7"/>
  <c r="AF24" i="7"/>
  <c r="AE24" i="7"/>
  <c r="AZ11" i="7" a="1"/>
  <c r="AZ11" i="7" s="1"/>
  <c r="AY10" i="7" a="1"/>
  <c r="AY10" i="7" s="1"/>
  <c r="AX10" i="7" a="1"/>
  <c r="AX10" i="7" s="1"/>
  <c r="AW10" i="7" a="1"/>
  <c r="AW10" i="7" s="1"/>
  <c r="AV10" i="7" a="1"/>
  <c r="AV10" i="7" s="1"/>
  <c r="AU10" i="7" a="1"/>
  <c r="AU10" i="7" s="1"/>
  <c r="AT10" i="7" a="1"/>
  <c r="AT10" i="7" s="1"/>
  <c r="AS10" i="7" a="1"/>
  <c r="AS10" i="7" s="1"/>
  <c r="AR10" i="7" a="1"/>
  <c r="AR10" i="7" s="1"/>
  <c r="AQ10" i="7" a="1"/>
  <c r="AQ10" i="7" s="1"/>
  <c r="AP10" i="7" a="1"/>
  <c r="AP10" i="7" s="1"/>
  <c r="AO10" i="7" a="1"/>
  <c r="AO10" i="7" s="1"/>
  <c r="AN10" i="7" a="1"/>
  <c r="AN10" i="7" s="1"/>
  <c r="AM10" i="7" a="1"/>
  <c r="AM10" i="7" s="1"/>
  <c r="AL10" i="7" a="1"/>
  <c r="AL10" i="7" s="1"/>
  <c r="AK10" i="7" a="1"/>
  <c r="AK10" i="7" s="1"/>
  <c r="AJ10" i="7" a="1"/>
  <c r="AJ10" i="7" s="1"/>
  <c r="AI10" i="7" a="1"/>
  <c r="AI10" i="7" s="1"/>
  <c r="AH10" i="7" a="1"/>
  <c r="AH10" i="7" s="1"/>
  <c r="AG10" i="7" a="1"/>
  <c r="AG10" i="7" s="1"/>
  <c r="AF10" i="7" a="1"/>
  <c r="AF10" i="7" s="1"/>
  <c r="AE10" i="7" a="1"/>
  <c r="AE10" i="7" s="1"/>
  <c r="AY9" i="7"/>
  <c r="AX9" i="7"/>
  <c r="AW9" i="7"/>
  <c r="AV9" i="7"/>
  <c r="AU9" i="7"/>
  <c r="AT9" i="7"/>
  <c r="AS9" i="7"/>
  <c r="AR9" i="7"/>
  <c r="AQ9" i="7"/>
  <c r="AP9" i="7" a="1"/>
  <c r="AP9" i="7"/>
  <c r="AO9" i="7"/>
  <c r="AN9" i="7"/>
  <c r="AM9" i="7"/>
  <c r="AL9" i="7"/>
  <c r="AK9" i="7"/>
  <c r="AJ9" i="7"/>
  <c r="AI9" i="7"/>
  <c r="AH9" i="7"/>
  <c r="AG9" i="7"/>
  <c r="AF9" i="7" a="1"/>
  <c r="AF9" i="7" s="1"/>
  <c r="AE9" i="7"/>
  <c r="AY7" i="7" a="1"/>
  <c r="AY7" i="7" s="1"/>
  <c r="AX7" i="7" a="1"/>
  <c r="AX7" i="7" s="1"/>
  <c r="AX8" i="7" s="1"/>
  <c r="AW7" i="7" a="1"/>
  <c r="AW7" i="7" s="1"/>
  <c r="AV7" i="7" a="1"/>
  <c r="AV7" i="7" s="1"/>
  <c r="AV8" i="7" s="1"/>
  <c r="AU7" i="7" a="1"/>
  <c r="AU7" i="7" s="1"/>
  <c r="AT7" i="7" a="1"/>
  <c r="AT7" i="7" s="1"/>
  <c r="AT8" i="7" s="1"/>
  <c r="AS7" i="7" a="1"/>
  <c r="AS7" i="7" s="1"/>
  <c r="AR7" i="7" a="1"/>
  <c r="AR7" i="7" s="1"/>
  <c r="AR8" i="7" s="1"/>
  <c r="AQ7" i="7" a="1"/>
  <c r="AQ7" i="7" s="1"/>
  <c r="AP7" i="7" a="1"/>
  <c r="AP7" i="7" s="1"/>
  <c r="AO7" i="7" a="1"/>
  <c r="AO7" i="7" s="1"/>
  <c r="AN7" i="7" a="1"/>
  <c r="AN7" i="7" s="1"/>
  <c r="AM7" i="7" a="1"/>
  <c r="AM7" i="7" s="1"/>
  <c r="AL7" i="7" a="1"/>
  <c r="AL7" i="7" s="1"/>
  <c r="AK7" i="7" a="1"/>
  <c r="AK7" i="7" s="1"/>
  <c r="AJ7" i="7" a="1"/>
  <c r="AJ7" i="7" s="1"/>
  <c r="AI7" i="7" a="1"/>
  <c r="AI7" i="7" s="1"/>
  <c r="AH7" i="7" a="1"/>
  <c r="AH7" i="7" s="1"/>
  <c r="AG7" i="7" a="1"/>
  <c r="AG7" i="7" s="1"/>
  <c r="AF7" i="7" a="1"/>
  <c r="AF7" i="7" s="1"/>
  <c r="AE7" i="7" a="1"/>
  <c r="AE7" i="7" s="1"/>
  <c r="AY6" i="7"/>
  <c r="AX6" i="7"/>
  <c r="AW6" i="7"/>
  <c r="AV6" i="7"/>
  <c r="AU6" i="7"/>
  <c r="AT6" i="7"/>
  <c r="AS6" i="7"/>
  <c r="AR6" i="7"/>
  <c r="AQ6" i="7"/>
  <c r="AP6" i="7" a="1"/>
  <c r="AP6" i="7"/>
  <c r="AP8" i="7" s="1"/>
  <c r="AO6" i="7"/>
  <c r="AO8" i="7" s="1"/>
  <c r="AN6" i="7"/>
  <c r="AN2" i="7" s="1"/>
  <c r="AM6" i="7"/>
  <c r="AM8" i="7" s="1"/>
  <c r="AL6" i="7"/>
  <c r="AL8" i="7" s="1"/>
  <c r="AK6" i="7"/>
  <c r="AK8" i="7" s="1"/>
  <c r="AJ6" i="7"/>
  <c r="AJ2" i="7" s="1"/>
  <c r="AI6" i="7"/>
  <c r="AI8" i="7" s="1"/>
  <c r="AH6" i="7"/>
  <c r="AH8" i="7" s="1"/>
  <c r="AG6" i="7"/>
  <c r="AG8" i="7" s="1"/>
  <c r="AF6" i="7" a="1"/>
  <c r="AF6" i="7" s="1"/>
  <c r="AF2" i="7" s="1"/>
  <c r="AE6" i="7"/>
  <c r="AE8" i="7" s="1"/>
  <c r="AQ40" i="6" a="1"/>
  <c r="AQ40" i="6" s="1"/>
  <c r="AP40" i="6" a="1"/>
  <c r="AP40" i="6" s="1"/>
  <c r="AO40" i="6" a="1"/>
  <c r="AO40" i="6" s="1"/>
  <c r="AN40" i="6" a="1"/>
  <c r="AN40" i="6" s="1"/>
  <c r="AC40" i="6"/>
  <c r="AM40" i="6" s="1" a="1"/>
  <c r="AM40" i="6" s="1"/>
  <c r="AQ39" i="6" a="1"/>
  <c r="AQ39" i="6" s="1"/>
  <c r="AP39" i="6" a="1"/>
  <c r="AP39" i="6" s="1"/>
  <c r="AO39" i="6" a="1"/>
  <c r="AO39" i="6" s="1"/>
  <c r="AN39" i="6" a="1"/>
  <c r="AN39" i="6" s="1"/>
  <c r="AM39" i="6" a="1"/>
  <c r="AM39" i="6" s="1"/>
  <c r="AC39" i="6"/>
  <c r="AQ38" i="6" a="1"/>
  <c r="AQ38" i="6" s="1"/>
  <c r="AP38" i="6" a="1"/>
  <c r="AP38" i="6" s="1"/>
  <c r="AO38" i="6" a="1"/>
  <c r="AO38" i="6" s="1"/>
  <c r="AN38" i="6" a="1"/>
  <c r="AN38" i="6" s="1"/>
  <c r="AC38" i="6"/>
  <c r="AM38" i="6" s="1" a="1"/>
  <c r="AM38" i="6" s="1"/>
  <c r="AQ37" i="6" a="1"/>
  <c r="AQ37" i="6" s="1"/>
  <c r="AP37" i="6" a="1"/>
  <c r="AP37" i="6" s="1"/>
  <c r="AO37" i="6" a="1"/>
  <c r="AO37" i="6" s="1"/>
  <c r="AN37" i="6" a="1"/>
  <c r="AN37" i="6" s="1"/>
  <c r="AM37" i="6" a="1"/>
  <c r="AM37" i="6" s="1"/>
  <c r="AC37" i="6"/>
  <c r="AQ36" i="6" a="1"/>
  <c r="AQ36" i="6" s="1"/>
  <c r="AP36" i="6" a="1"/>
  <c r="AP36" i="6" s="1"/>
  <c r="AO36" i="6" a="1"/>
  <c r="AO36" i="6" s="1"/>
  <c r="AN36" i="6" a="1"/>
  <c r="AN36" i="6" s="1"/>
  <c r="AC36" i="6"/>
  <c r="AM36" i="6" s="1" a="1"/>
  <c r="AM36" i="6" s="1"/>
  <c r="AQ35" i="6" a="1"/>
  <c r="AQ35" i="6" s="1"/>
  <c r="AP35" i="6" a="1"/>
  <c r="AP35" i="6" s="1"/>
  <c r="AO35" i="6" a="1"/>
  <c r="AO35" i="6" s="1"/>
  <c r="AN35" i="6" a="1"/>
  <c r="AN35" i="6" s="1"/>
  <c r="AM35" i="6" a="1"/>
  <c r="AM35" i="6" s="1"/>
  <c r="AC35" i="6"/>
  <c r="AQ34" i="6" a="1"/>
  <c r="AQ34" i="6" s="1"/>
  <c r="AP34" i="6" a="1"/>
  <c r="AP34" i="6" s="1"/>
  <c r="AO34" i="6" a="1"/>
  <c r="AO34" i="6" s="1"/>
  <c r="AN34" i="6" a="1"/>
  <c r="AN34" i="6" s="1"/>
  <c r="AC34" i="6"/>
  <c r="AM34" i="6" s="1" a="1"/>
  <c r="AM34" i="6" s="1"/>
  <c r="AQ33" i="6" a="1"/>
  <c r="AQ33" i="6" s="1"/>
  <c r="AP33" i="6" a="1"/>
  <c r="AP33" i="6" s="1"/>
  <c r="AO33" i="6" a="1"/>
  <c r="AO33" i="6" s="1"/>
  <c r="AN33" i="6" a="1"/>
  <c r="AN33" i="6" s="1"/>
  <c r="AM33" i="6" a="1"/>
  <c r="AM33" i="6" s="1"/>
  <c r="AC33" i="6"/>
  <c r="AQ32" i="6" a="1"/>
  <c r="AQ32" i="6" s="1"/>
  <c r="AP32" i="6" a="1"/>
  <c r="AP32" i="6" s="1"/>
  <c r="AO32" i="6" a="1"/>
  <c r="AO32" i="6" s="1"/>
  <c r="AN32" i="6" a="1"/>
  <c r="AN32" i="6" s="1"/>
  <c r="AC32" i="6"/>
  <c r="AM32" i="6" s="1" a="1"/>
  <c r="AM32" i="6" s="1"/>
  <c r="F31" i="6" a="1"/>
  <c r="F31" i="6" s="1"/>
  <c r="F32" i="6" s="1" a="1"/>
  <c r="F32" i="6" s="1"/>
  <c r="U30" i="6"/>
  <c r="F30" i="6" a="1"/>
  <c r="F30" i="6"/>
  <c r="AQ28" i="6" a="1"/>
  <c r="AQ28" i="6" s="1"/>
  <c r="AP28" i="6" a="1"/>
  <c r="AP28" i="6" s="1"/>
  <c r="AO28" i="6" a="1"/>
  <c r="AO28" i="6" s="1"/>
  <c r="AN28" i="6" a="1"/>
  <c r="AN28" i="6" s="1"/>
  <c r="AC28" i="6"/>
  <c r="AM28" i="6" s="1" a="1"/>
  <c r="AM28" i="6" s="1"/>
  <c r="U26" i="6"/>
  <c r="F26" i="6" a="1"/>
  <c r="F26" i="6"/>
  <c r="F27" i="6" s="1" a="1"/>
  <c r="F27" i="6" s="1"/>
  <c r="F28" i="6" s="1" a="1"/>
  <c r="F28" i="6" s="1"/>
  <c r="AH9" i="6" a="1"/>
  <c r="AH9" i="6"/>
  <c r="AH6" i="6" a="1"/>
  <c r="AH6" i="6"/>
  <c r="AG6" i="6" a="1"/>
  <c r="AG6" i="6"/>
  <c r="AF6" i="6"/>
  <c r="AE6" i="6"/>
  <c r="AN31" i="5" a="1"/>
  <c r="AN31" i="5"/>
  <c r="AM31" i="5" a="1"/>
  <c r="AM31" i="5"/>
  <c r="AL31" i="5" a="1"/>
  <c r="AL31" i="5"/>
  <c r="AN30" i="5" a="1"/>
  <c r="AN30" i="5" s="1"/>
  <c r="AM30" i="5" a="1"/>
  <c r="AM30" i="5" s="1"/>
  <c r="AL30" i="5" a="1"/>
  <c r="AL30" i="5" s="1"/>
  <c r="U29" i="5"/>
  <c r="U32" i="5" s="1" a="1"/>
  <c r="U32" i="5" s="1"/>
  <c r="U31" i="5" s="1"/>
  <c r="U30" i="5" s="1"/>
  <c r="F29" i="5" a="1"/>
  <c r="F29" i="5" s="1"/>
  <c r="F30" i="5" s="1" a="1"/>
  <c r="F30" i="5" s="1"/>
  <c r="F31" i="5" s="1" a="1"/>
  <c r="F31" i="5" s="1"/>
  <c r="F32" i="5" s="1" a="1"/>
  <c r="F32" i="5" s="1"/>
  <c r="U28" i="5" a="1"/>
  <c r="U28" i="5" s="1"/>
  <c r="U27" i="5" s="1"/>
  <c r="AN27" i="5" a="1"/>
  <c r="AN27" i="5" s="1"/>
  <c r="AM27" i="5" a="1"/>
  <c r="AM27" i="5" s="1"/>
  <c r="AL27" i="5" a="1"/>
  <c r="AL27" i="5" s="1"/>
  <c r="U26" i="5"/>
  <c r="F26" i="5" a="1"/>
  <c r="F26" i="5" s="1"/>
  <c r="F27" i="5" s="1" a="1"/>
  <c r="F27" i="5" s="1"/>
  <c r="F28" i="5" s="1" a="1"/>
  <c r="F28" i="5" s="1"/>
  <c r="AG9" i="5" a="1"/>
  <c r="AG9" i="5" s="1"/>
  <c r="AF9" i="5" a="1"/>
  <c r="AF9" i="5" s="1"/>
  <c r="AE213" i="4" a="1"/>
  <c r="AE213" i="4" s="1"/>
  <c r="AE212" i="4" a="1"/>
  <c r="AE212" i="4" s="1"/>
  <c r="AE211" i="4" a="1"/>
  <c r="AE211" i="4" s="1"/>
  <c r="AE210" i="4" a="1"/>
  <c r="AE210" i="4" s="1"/>
  <c r="AO208" i="4" a="1"/>
  <c r="AO208" i="4" s="1"/>
  <c r="W208" i="4"/>
  <c r="AE201" i="4" a="1"/>
  <c r="AE201" i="4"/>
  <c r="AE200" i="4" a="1"/>
  <c r="AE200" i="4" s="1"/>
  <c r="AE199" i="4" a="1"/>
  <c r="AE199" i="4" s="1"/>
  <c r="AF163" i="4" s="1"/>
  <c r="B199" i="4"/>
  <c r="AE198" i="4"/>
  <c r="B198" i="4"/>
  <c r="B196" i="4"/>
  <c r="W187" i="4" a="1"/>
  <c r="W187" i="4" s="1"/>
  <c r="W188" i="4" s="1" a="1"/>
  <c r="W188" i="4" s="1"/>
  <c r="W189" i="4" s="1" a="1"/>
  <c r="W189" i="4" s="1"/>
  <c r="W190" i="4" s="1" a="1"/>
  <c r="W190" i="4" s="1"/>
  <c r="W191" i="4" s="1" a="1"/>
  <c r="W191" i="4" s="1"/>
  <c r="W193" i="4" s="1" a="1"/>
  <c r="W193" i="4" s="1"/>
  <c r="W194" i="4" s="1" a="1"/>
  <c r="W194" i="4" s="1"/>
  <c r="W195" i="4" s="1" a="1"/>
  <c r="W195" i="4" s="1"/>
  <c r="W196" i="4" s="1" a="1"/>
  <c r="W196" i="4" s="1"/>
  <c r="W197" i="4" s="1" a="1"/>
  <c r="W197" i="4" s="1"/>
  <c r="N187" i="4" a="1"/>
  <c r="N187" i="4" s="1"/>
  <c r="G187" i="4" a="1"/>
  <c r="G187" i="4" s="1"/>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O186" i="4" a="1"/>
  <c r="AO186" i="4" s="1"/>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M186" i="4" a="1"/>
  <c r="AM186" i="4"/>
  <c r="AL186" i="4" a="1"/>
  <c r="AL186" i="4"/>
  <c r="K94" i="28" s="1" a="1"/>
  <c r="K94" i="28" s="1"/>
  <c r="AK186" i="4" a="1"/>
  <c r="AK186" i="4"/>
  <c r="G94" i="28" s="1" a="1"/>
  <c r="G94" i="28" s="1"/>
  <c r="AJ186" i="4" a="1"/>
  <c r="AJ186" i="4"/>
  <c r="AI186" i="4" a="1"/>
  <c r="AI186" i="4"/>
  <c r="AH186" i="4" a="1"/>
  <c r="AH186" i="4"/>
  <c r="AD186" i="4"/>
  <c r="AG186" i="4" s="1"/>
  <c r="W186" i="4"/>
  <c r="G186" i="4" a="1"/>
  <c r="G186" i="4" s="1"/>
  <c r="AE185" i="4" a="1"/>
  <c r="AE185" i="4" s="1"/>
  <c r="B185" i="4"/>
  <c r="AE184" i="4" a="1"/>
  <c r="AE184" i="4"/>
  <c r="B184" i="4"/>
  <c r="AE183" i="4" a="1"/>
  <c r="AE183" i="4"/>
  <c r="AD184" i="4" s="1"/>
  <c r="AE182" i="4"/>
  <c r="B181" i="4"/>
  <c r="B179" i="4"/>
  <c r="N171" i="4" a="1"/>
  <c r="N171" i="4"/>
  <c r="AO170" i="4" a="1"/>
  <c r="AO170" i="4"/>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M170" i="4" a="1"/>
  <c r="AM170" i="4" s="1"/>
  <c r="AL170" i="4" a="1"/>
  <c r="AL170" i="4" s="1"/>
  <c r="AN170" i="4" s="1"/>
  <c r="AK170" i="4" a="1"/>
  <c r="AK170" i="4" s="1"/>
  <c r="AJ170" i="4" a="1"/>
  <c r="AJ170" i="4" s="1"/>
  <c r="AI170" i="4" a="1"/>
  <c r="AI170" i="4" s="1"/>
  <c r="AH170" i="4" a="1"/>
  <c r="AH170" i="4" s="1"/>
  <c r="AG170" i="4"/>
  <c r="AD170" i="4"/>
  <c r="W170" i="4"/>
  <c r="W171" i="4" s="1" a="1"/>
  <c r="W171" i="4" s="1"/>
  <c r="W172" i="4" s="1" a="1"/>
  <c r="W172" i="4" s="1"/>
  <c r="W173" i="4" s="1" a="1"/>
  <c r="W173" i="4" s="1"/>
  <c r="W174" i="4" s="1" a="1"/>
  <c r="W174" i="4" s="1"/>
  <c r="W175" i="4" s="1" a="1"/>
  <c r="W175" i="4" s="1"/>
  <c r="W177" i="4" s="1" a="1"/>
  <c r="W177" i="4" s="1"/>
  <c r="W178" i="4" s="1" a="1"/>
  <c r="W178" i="4" s="1"/>
  <c r="W179" i="4" s="1" a="1"/>
  <c r="W179" i="4" s="1"/>
  <c r="W180" i="4" s="1" a="1"/>
  <c r="W180" i="4" s="1"/>
  <c r="W181" i="4" s="1" a="1"/>
  <c r="W181" i="4" s="1"/>
  <c r="G170" i="4" a="1"/>
  <c r="G170" i="4"/>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AB169" i="4"/>
  <c r="B168" i="4"/>
  <c r="B167" i="4"/>
  <c r="B166" i="4"/>
  <c r="AD163" i="4"/>
  <c r="B137" i="4"/>
  <c r="B136" i="4"/>
  <c r="B135" i="4"/>
  <c r="B134" i="4"/>
  <c r="W133" i="4"/>
  <c r="W134" i="4" s="1" a="1"/>
  <c r="W134" i="4" s="1"/>
  <c r="W135" i="4" s="1" a="1"/>
  <c r="W135" i="4" s="1"/>
  <c r="W136" i="4" s="1" a="1"/>
  <c r="W136" i="4" s="1"/>
  <c r="B133" i="4"/>
  <c r="W132" i="4" a="1"/>
  <c r="W132" i="4" s="1"/>
  <c r="W133" i="4" s="1" a="1"/>
  <c r="B132" i="4"/>
  <c r="AO131" i="4" a="1"/>
  <c r="AO131" i="4"/>
  <c r="AO132" i="4" s="1" a="1"/>
  <c r="AO132" i="4" s="1"/>
  <c r="AO133" i="4" s="1" a="1"/>
  <c r="AO133" i="4" s="1"/>
  <c r="AO134" i="4" s="1" a="1"/>
  <c r="AO134" i="4" s="1"/>
  <c r="AO135" i="4" s="1" a="1"/>
  <c r="AO135" i="4" s="1"/>
  <c r="AO136" i="4" s="1" a="1"/>
  <c r="AO136" i="4" s="1"/>
  <c r="W131" i="4"/>
  <c r="B131" i="4"/>
  <c r="B130" i="4"/>
  <c r="B129" i="4"/>
  <c r="B128" i="4"/>
  <c r="B127" i="4"/>
  <c r="B126" i="4"/>
  <c r="B125" i="4"/>
  <c r="AB124" i="4"/>
  <c r="B123" i="4"/>
  <c r="B122" i="4"/>
  <c r="B121" i="4"/>
  <c r="B120" i="4"/>
  <c r="B119" i="4"/>
  <c r="W118" i="4"/>
  <c r="W119" i="4" s="1" a="1"/>
  <c r="W119" i="4" s="1"/>
  <c r="W120" i="4" s="1" a="1"/>
  <c r="W120" i="4" s="1"/>
  <c r="W121" i="4" s="1" a="1"/>
  <c r="W121" i="4" s="1"/>
  <c r="W122" i="4" s="1" a="1"/>
  <c r="W122" i="4" s="1"/>
  <c r="B118" i="4"/>
  <c r="AO117" i="4" a="1"/>
  <c r="AO117" i="4" s="1"/>
  <c r="AO118" i="4" s="1" a="1"/>
  <c r="AO118" i="4" s="1"/>
  <c r="AO119" i="4" s="1" a="1"/>
  <c r="AO119" i="4" s="1"/>
  <c r="AO120" i="4" s="1" a="1"/>
  <c r="AO120" i="4" s="1"/>
  <c r="AO121" i="4" s="1" a="1"/>
  <c r="AO121" i="4" s="1"/>
  <c r="AO122" i="4" s="1" a="1"/>
  <c r="AO122" i="4" s="1"/>
  <c r="W117" i="4"/>
  <c r="W118" i="4" s="1" a="1"/>
  <c r="B117" i="4"/>
  <c r="B116" i="4"/>
  <c r="B115" i="4"/>
  <c r="B114" i="4"/>
  <c r="B113" i="4"/>
  <c r="B112" i="4"/>
  <c r="B111" i="4"/>
  <c r="AB110" i="4"/>
  <c r="B109" i="4"/>
  <c r="B108" i="4"/>
  <c r="B107" i="4"/>
  <c r="B106" i="4"/>
  <c r="B105" i="4"/>
  <c r="W104" i="4" a="1"/>
  <c r="W104" i="4" s="1"/>
  <c r="W105" i="4" s="1" a="1"/>
  <c r="W105" i="4" s="1"/>
  <c r="W106" i="4" s="1" a="1"/>
  <c r="W106" i="4" s="1"/>
  <c r="W107" i="4" s="1" a="1"/>
  <c r="W107" i="4" s="1"/>
  <c r="W108" i="4" s="1" a="1"/>
  <c r="W108" i="4" s="1"/>
  <c r="B104" i="4"/>
  <c r="AO103" i="4" a="1"/>
  <c r="AO103" i="4"/>
  <c r="AO104" i="4" s="1" a="1"/>
  <c r="AO104" i="4" s="1"/>
  <c r="AO105" i="4" s="1" a="1"/>
  <c r="AO105" i="4" s="1"/>
  <c r="AO106" i="4" s="1" a="1"/>
  <c r="AO106" i="4" s="1"/>
  <c r="AO107" i="4" s="1" a="1"/>
  <c r="AO107" i="4" s="1"/>
  <c r="AO108" i="4" s="1" a="1"/>
  <c r="AO108" i="4" s="1"/>
  <c r="W103" i="4"/>
  <c r="B103" i="4"/>
  <c r="B102" i="4"/>
  <c r="B101" i="4"/>
  <c r="B100" i="4"/>
  <c r="B99" i="4"/>
  <c r="B98" i="4"/>
  <c r="B97" i="4"/>
  <c r="AB96" i="4"/>
  <c r="B95" i="4"/>
  <c r="B94" i="4"/>
  <c r="B93" i="4"/>
  <c r="B92" i="4"/>
  <c r="W91" i="4" a="1"/>
  <c r="W91" i="4" s="1"/>
  <c r="W92" i="4" s="1" a="1"/>
  <c r="W92" i="4" s="1"/>
  <c r="W93" i="4" s="1" a="1"/>
  <c r="W93" i="4" s="1"/>
  <c r="W94" i="4" s="1" a="1"/>
  <c r="W94" i="4" s="1"/>
  <c r="B91" i="4"/>
  <c r="AO90" i="4" a="1"/>
  <c r="AO90" i="4"/>
  <c r="AO91" i="4" s="1" a="1"/>
  <c r="AO91" i="4" s="1"/>
  <c r="AO92" i="4" s="1" a="1"/>
  <c r="AO92" i="4" s="1"/>
  <c r="AO93" i="4" s="1" a="1"/>
  <c r="AO93" i="4" s="1"/>
  <c r="AO94" i="4" s="1" a="1"/>
  <c r="AO94" i="4" s="1"/>
  <c r="W90" i="4"/>
  <c r="B90" i="4"/>
  <c r="B89" i="4"/>
  <c r="B88" i="4"/>
  <c r="B87" i="4"/>
  <c r="B86" i="4"/>
  <c r="B85" i="4"/>
  <c r="B83" i="4"/>
  <c r="B82" i="4"/>
  <c r="B81" i="4"/>
  <c r="B80" i="4"/>
  <c r="W79" i="4" a="1"/>
  <c r="W79" i="4" s="1"/>
  <c r="W80" i="4" s="1" a="1"/>
  <c r="W80" i="4" s="1"/>
  <c r="W81" i="4" s="1" a="1"/>
  <c r="W81" i="4" s="1"/>
  <c r="W82" i="4" s="1" a="1"/>
  <c r="W82" i="4" s="1"/>
  <c r="B79" i="4"/>
  <c r="AO78" i="4" a="1"/>
  <c r="AO78" i="4"/>
  <c r="AO79" i="4" s="1" a="1"/>
  <c r="AO79" i="4" s="1"/>
  <c r="AO80" i="4" s="1" a="1"/>
  <c r="AO80" i="4" s="1"/>
  <c r="AO81" i="4" s="1" a="1"/>
  <c r="AO81" i="4" s="1"/>
  <c r="AO82" i="4" s="1" a="1"/>
  <c r="AO82" i="4" s="1"/>
  <c r="W78" i="4"/>
  <c r="B78" i="4"/>
  <c r="B77" i="4"/>
  <c r="B76" i="4"/>
  <c r="B75" i="4"/>
  <c r="B74" i="4"/>
  <c r="B73" i="4"/>
  <c r="B55" i="4"/>
  <c r="B54" i="4"/>
  <c r="AB35" i="4"/>
  <c r="AL33" i="4"/>
  <c r="AC21" i="5" s="1" a="1"/>
  <c r="AC21" i="5" s="1"/>
  <c r="AE27" i="4"/>
  <c r="B26" i="4"/>
  <c r="AG25" i="4" a="1"/>
  <c r="AG25" i="4"/>
  <c r="CM2" i="12" s="1"/>
  <c r="AF25" i="4"/>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B27" i="2"/>
  <c r="H25" i="2"/>
  <c r="H26" i="2" s="1"/>
  <c r="H27" i="2" s="1"/>
  <c r="G198" i="4" l="1" a="1"/>
  <c r="G198" i="4" s="1"/>
  <c r="G199" i="4" a="1"/>
  <c r="G199" i="4" s="1"/>
  <c r="G200" i="4" s="1" a="1"/>
  <c r="G200" i="4" s="1"/>
  <c r="G201" i="4" s="1" a="1"/>
  <c r="G201" i="4" s="1"/>
  <c r="W199" i="4" a="1"/>
  <c r="W199" i="4" s="1"/>
  <c r="W200" i="4" s="1" a="1"/>
  <c r="W200" i="4" s="1"/>
  <c r="W201" i="4" s="1" a="1"/>
  <c r="W201" i="4" s="1"/>
  <c r="W198" i="4" a="1"/>
  <c r="W198" i="4" s="1"/>
  <c r="U32" i="6"/>
  <c r="F33" i="6" a="1"/>
  <c r="F33" i="6" s="1"/>
  <c r="F57" i="8" a="1"/>
  <c r="F57" i="8" s="1"/>
  <c r="U56" i="8"/>
  <c r="AF72" i="10"/>
  <c r="AF67" i="10"/>
  <c r="AJ72" i="10"/>
  <c r="AJ67" i="10"/>
  <c r="AN72" i="10"/>
  <c r="AN67" i="10"/>
  <c r="AR72" i="10"/>
  <c r="AR67" i="10"/>
  <c r="AV72" i="10"/>
  <c r="AV67" i="10"/>
  <c r="AZ72" i="10"/>
  <c r="AZ67" i="10"/>
  <c r="AK72" i="10"/>
  <c r="AK67" i="10"/>
  <c r="AS72" i="10"/>
  <c r="AS67" i="10"/>
  <c r="BA72" i="10"/>
  <c r="BA67" i="10"/>
  <c r="AE76" i="10"/>
  <c r="AE67" i="10"/>
  <c r="AE75" i="10" s="1"/>
  <c r="AE72" i="10"/>
  <c r="AI67" i="10"/>
  <c r="AI72" i="10"/>
  <c r="AM67" i="10"/>
  <c r="AM72" i="10"/>
  <c r="AQ67" i="10"/>
  <c r="AQ72" i="10"/>
  <c r="AU67" i="10"/>
  <c r="AU72" i="10"/>
  <c r="AY67" i="10"/>
  <c r="AY72" i="10"/>
  <c r="AK135" i="10"/>
  <c r="AK140" i="10"/>
  <c r="AS135" i="10"/>
  <c r="AS140" i="10"/>
  <c r="BA135" i="10"/>
  <c r="BA140" i="10"/>
  <c r="AF140" i="10"/>
  <c r="AF135" i="10"/>
  <c r="AN140" i="10"/>
  <c r="AN135" i="10"/>
  <c r="AV140" i="10"/>
  <c r="AV135" i="10"/>
  <c r="AE144" i="10"/>
  <c r="AE140" i="10"/>
  <c r="AE135" i="10"/>
  <c r="AE143" i="10" s="1"/>
  <c r="AI140" i="10"/>
  <c r="AI135" i="10"/>
  <c r="AM140" i="10"/>
  <c r="AM135" i="10"/>
  <c r="AQ140" i="10"/>
  <c r="AQ135" i="10"/>
  <c r="AU140" i="10"/>
  <c r="AU135" i="10"/>
  <c r="AY140" i="10"/>
  <c r="AY135" i="10"/>
  <c r="AH140" i="10"/>
  <c r="AH135" i="10"/>
  <c r="AL140" i="10"/>
  <c r="AL135" i="10"/>
  <c r="AP140" i="10"/>
  <c r="AP135" i="10"/>
  <c r="AT140" i="10"/>
  <c r="AT135" i="10"/>
  <c r="AX140" i="10"/>
  <c r="AX135" i="10"/>
  <c r="BB140" i="10"/>
  <c r="BB135" i="10"/>
  <c r="T30" i="11" a="1"/>
  <c r="T30" i="11" s="1"/>
  <c r="T31" i="11" s="1" a="1"/>
  <c r="T31" i="11" s="1"/>
  <c r="T32" i="11" s="1" a="1"/>
  <c r="T32" i="11" s="1"/>
  <c r="T33" i="11" s="1" a="1"/>
  <c r="T33" i="11" s="1"/>
  <c r="T34" i="11" s="1" a="1"/>
  <c r="T34" i="11" s="1"/>
  <c r="G183" i="4" a="1"/>
  <c r="G183" i="4" s="1"/>
  <c r="G184" i="4" s="1" a="1"/>
  <c r="G184" i="4" s="1"/>
  <c r="G185" i="4" s="1" a="1"/>
  <c r="G185" i="4" s="1"/>
  <c r="G182" i="4" a="1"/>
  <c r="G182" i="4" s="1"/>
  <c r="W183" i="4" a="1"/>
  <c r="W183" i="4" s="1"/>
  <c r="W184" i="4" s="1" a="1"/>
  <c r="W184" i="4" s="1"/>
  <c r="W185" i="4" s="1" a="1"/>
  <c r="W185" i="4" s="1"/>
  <c r="W182" i="4" a="1"/>
  <c r="W182" i="4" s="1"/>
  <c r="U28" i="6"/>
  <c r="F29" i="6" a="1"/>
  <c r="F29" i="6" s="1"/>
  <c r="U29" i="6" s="1"/>
  <c r="AH72" i="10"/>
  <c r="AH67" i="10"/>
  <c r="AL72" i="10"/>
  <c r="AL67" i="10"/>
  <c r="AP72" i="10"/>
  <c r="AP67" i="10"/>
  <c r="AT72" i="10"/>
  <c r="AT67" i="10"/>
  <c r="AX72" i="10"/>
  <c r="AX67" i="10"/>
  <c r="BB72" i="10"/>
  <c r="BB67" i="10"/>
  <c r="AG72" i="10"/>
  <c r="AG67" i="10"/>
  <c r="AO72" i="10"/>
  <c r="AO67" i="10"/>
  <c r="AW72" i="10"/>
  <c r="AW67" i="10"/>
  <c r="AG135" i="10"/>
  <c r="AG140" i="10"/>
  <c r="AO135" i="10"/>
  <c r="AO140" i="10"/>
  <c r="AW135" i="10"/>
  <c r="AW140" i="10"/>
  <c r="AJ140" i="10"/>
  <c r="AJ135" i="10"/>
  <c r="AR140" i="10"/>
  <c r="AR135" i="10"/>
  <c r="AZ140" i="10"/>
  <c r="AZ135" i="10"/>
  <c r="H158" i="28" a="1"/>
  <c r="H158" i="28" s="1"/>
  <c r="H156" i="28" a="1"/>
  <c r="H156" i="28" s="1"/>
  <c r="H155" i="28" a="1"/>
  <c r="H155" i="28" s="1"/>
  <c r="H153" i="28" a="1"/>
  <c r="H153" i="28" s="1"/>
  <c r="H151" i="28" a="1"/>
  <c r="H151" i="28" s="1"/>
  <c r="H141" i="28" a="1"/>
  <c r="H141" i="28" s="1"/>
  <c r="H140" i="28" a="1"/>
  <c r="H140" i="28" s="1"/>
  <c r="H159" i="28" a="1"/>
  <c r="H159" i="28" s="1"/>
  <c r="H157" i="28" a="1"/>
  <c r="H157" i="28" s="1"/>
  <c r="H154" i="28" a="1"/>
  <c r="H154" i="28" s="1"/>
  <c r="H149" i="28" a="1"/>
  <c r="H149" i="28" s="1"/>
  <c r="H152" i="28" a="1"/>
  <c r="H152" i="28" s="1"/>
  <c r="H150" i="28" a="1"/>
  <c r="H150" i="28" s="1"/>
  <c r="AD200" i="4"/>
  <c r="AH2" i="7"/>
  <c r="AP2" i="7"/>
  <c r="AT2" i="7"/>
  <c r="AX2" i="7"/>
  <c r="AQ8" i="7"/>
  <c r="AQ2" i="7"/>
  <c r="AS8" i="7"/>
  <c r="AS2" i="7"/>
  <c r="AW8" i="7"/>
  <c r="AW2" i="7"/>
  <c r="AF8" i="7"/>
  <c r="AL2" i="8"/>
  <c r="AT2" i="8"/>
  <c r="F29" i="8" a="1"/>
  <c r="F29" i="8" s="1"/>
  <c r="AB28" i="8" a="1"/>
  <c r="AB28" i="8" s="1"/>
  <c r="U28" i="8"/>
  <c r="AP2" i="9"/>
  <c r="AR8" i="9"/>
  <c r="F30" i="9" a="1"/>
  <c r="F30" i="9" s="1"/>
  <c r="U29" i="9"/>
  <c r="AJ2" i="10"/>
  <c r="AN2" i="10"/>
  <c r="AV2" i="10"/>
  <c r="AZ2" i="10"/>
  <c r="AK8" i="10"/>
  <c r="AK2" i="10"/>
  <c r="AO8" i="10"/>
  <c r="AO2" i="10"/>
  <c r="AS8" i="10"/>
  <c r="AS2" i="10"/>
  <c r="AX8" i="10"/>
  <c r="AB132" i="10"/>
  <c r="AB130" i="10"/>
  <c r="AB129" i="10"/>
  <c r="AE142" i="10"/>
  <c r="AG151" i="10"/>
  <c r="AO151" i="10"/>
  <c r="AW151" i="10"/>
  <c r="AT2" i="11"/>
  <c r="G35" i="11" a="1"/>
  <c r="G35" i="11" s="1"/>
  <c r="T35" i="11" s="1"/>
  <c r="T36" i="11" s="1" a="1"/>
  <c r="T36" i="11" s="1"/>
  <c r="T37" i="11" s="1" a="1"/>
  <c r="T37" i="11" s="1"/>
  <c r="T38" i="11" s="1" a="1"/>
  <c r="T38" i="11" s="1"/>
  <c r="T39" i="11" s="1" a="1"/>
  <c r="T39" i="11" s="1"/>
  <c r="T40" i="11" s="1" a="1"/>
  <c r="T40" i="11" s="1"/>
  <c r="T41" i="11" s="1" a="1"/>
  <c r="T41" i="11" s="1"/>
  <c r="F36" i="11" a="1"/>
  <c r="F36" i="11" s="1"/>
  <c r="F37" i="11" s="1" a="1"/>
  <c r="F37" i="11" s="1"/>
  <c r="F38" i="11" s="1" a="1"/>
  <c r="F38" i="11" s="1"/>
  <c r="F39" i="11" s="1" a="1"/>
  <c r="F39" i="11" s="1"/>
  <c r="F40" i="11" s="1" a="1"/>
  <c r="F40" i="11" s="1"/>
  <c r="F41" i="11" s="1" a="1"/>
  <c r="F41" i="11" s="1"/>
  <c r="AQ2" i="12"/>
  <c r="AY2" i="12"/>
  <c r="BG2" i="12"/>
  <c r="BO2" i="12"/>
  <c r="BW2" i="12"/>
  <c r="AP2" i="12"/>
  <c r="AT2" i="12"/>
  <c r="AZ2" i="12"/>
  <c r="BD2" i="12"/>
  <c r="BH2" i="12"/>
  <c r="BL2" i="12"/>
  <c r="BR2" i="12"/>
  <c r="S42" i="12" a="1"/>
  <c r="S42" i="12" s="1"/>
  <c r="U41" i="12"/>
  <c r="AP39" i="12"/>
  <c r="AP37" i="12"/>
  <c r="AP40" i="12"/>
  <c r="BB39" i="12"/>
  <c r="BB37" i="12"/>
  <c r="BB40" i="12"/>
  <c r="BN39" i="12"/>
  <c r="BN37" i="12"/>
  <c r="BN40" i="12"/>
  <c r="BZ39" i="12"/>
  <c r="BZ37" i="12"/>
  <c r="BZ40" i="12"/>
  <c r="CL39" i="12"/>
  <c r="CL37" i="12"/>
  <c r="CL40" i="12"/>
  <c r="AK55" i="12"/>
  <c r="AK52" i="12"/>
  <c r="AK133" i="12"/>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K139" i="12" a="1"/>
  <c r="K139" i="12" s="1"/>
  <c r="J139" i="12" a="1"/>
  <c r="J139" i="12" s="1"/>
  <c r="I139" i="12" a="1"/>
  <c r="I139" i="12" s="1"/>
  <c r="H139" i="12" a="1"/>
  <c r="H139" i="12" s="1"/>
  <c r="G139" i="12" a="1"/>
  <c r="G139" i="12" s="1"/>
  <c r="AH150" i="12"/>
  <c r="AH148" i="12"/>
  <c r="AH151" i="12"/>
  <c r="AJ150" i="12"/>
  <c r="AJ148" i="12"/>
  <c r="AJ151" i="12"/>
  <c r="AN150" i="12"/>
  <c r="AN148" i="12"/>
  <c r="AN151" i="12"/>
  <c r="AV150" i="12"/>
  <c r="AV148" i="12"/>
  <c r="AV151" i="12"/>
  <c r="AZ150" i="12"/>
  <c r="AZ148" i="12"/>
  <c r="AZ151" i="12"/>
  <c r="BH150" i="12"/>
  <c r="BH148" i="12"/>
  <c r="BH151" i="12"/>
  <c r="BL150" i="12"/>
  <c r="BL148" i="12"/>
  <c r="BL151" i="12"/>
  <c r="BT150" i="12"/>
  <c r="BT148" i="12"/>
  <c r="BT151" i="12"/>
  <c r="BX150" i="12"/>
  <c r="BX148" i="12"/>
  <c r="BX151" i="12"/>
  <c r="CF150" i="12"/>
  <c r="CF148" i="12"/>
  <c r="CF151" i="12"/>
  <c r="CJ150" i="12"/>
  <c r="CJ148" i="12"/>
  <c r="CJ151" i="12"/>
  <c r="CR150" i="12"/>
  <c r="CR148" i="12"/>
  <c r="CR151" i="12"/>
  <c r="AL148" i="12"/>
  <c r="AR148" i="12"/>
  <c r="AX148" i="12"/>
  <c r="BD148" i="12"/>
  <c r="BJ148" i="12"/>
  <c r="BP148" i="12"/>
  <c r="BV148" i="12"/>
  <c r="CB148" i="12"/>
  <c r="CH148" i="12"/>
  <c r="CN148" i="12"/>
  <c r="AL150" i="12"/>
  <c r="AR150" i="12"/>
  <c r="AX150" i="12"/>
  <c r="BD150" i="12"/>
  <c r="BJ150" i="12"/>
  <c r="BP150" i="12"/>
  <c r="BV150" i="12"/>
  <c r="CB150" i="12"/>
  <c r="CH150" i="12"/>
  <c r="CN150" i="12"/>
  <c r="AH167" i="12"/>
  <c r="AH179" i="12" s="1"/>
  <c r="AH166" i="12"/>
  <c r="AH163" i="12"/>
  <c r="AJ256" i="12"/>
  <c r="AJ250" i="12"/>
  <c r="AJ247" i="12"/>
  <c r="AJ229" i="12"/>
  <c r="AJ255" i="12"/>
  <c r="AJ246" i="12"/>
  <c r="AJ245" i="12" s="1"/>
  <c r="AJ241" i="12"/>
  <c r="AJ230" i="12"/>
  <c r="AJ224" i="12"/>
  <c r="AJ213" i="12"/>
  <c r="AJ212" i="12"/>
  <c r="AJ195" i="12"/>
  <c r="AJ207" i="12"/>
  <c r="AJ196" i="12"/>
  <c r="AJ190" i="12"/>
  <c r="AJ165" i="12"/>
  <c r="AM161" i="12"/>
  <c r="AP162" i="12"/>
  <c r="AP163" i="12"/>
  <c r="AS161" i="12"/>
  <c r="AV162" i="12"/>
  <c r="AV163" i="12"/>
  <c r="AY161" i="12"/>
  <c r="BB162" i="12"/>
  <c r="BB163" i="12"/>
  <c r="BE161" i="12"/>
  <c r="BH162" i="12"/>
  <c r="BH163" i="12"/>
  <c r="BK161" i="12"/>
  <c r="BN162" i="12"/>
  <c r="BN163" i="12"/>
  <c r="BQ161" i="12"/>
  <c r="BT162" i="12"/>
  <c r="BT163" i="12"/>
  <c r="BW161" i="12"/>
  <c r="BZ162" i="12"/>
  <c r="BZ163" i="12"/>
  <c r="CC161" i="12"/>
  <c r="CF162" i="12"/>
  <c r="CF163" i="12"/>
  <c r="CI161" i="12"/>
  <c r="CL162" i="12"/>
  <c r="CL163" i="12"/>
  <c r="CO161" i="12"/>
  <c r="CR162" i="12"/>
  <c r="CR163" i="12"/>
  <c r="FU2" i="33"/>
  <c r="FQ2" i="33"/>
  <c r="FM2" i="33"/>
  <c r="FI2" i="33"/>
  <c r="FE2" i="33"/>
  <c r="FA2" i="33"/>
  <c r="EW2" i="33"/>
  <c r="ES2" i="33"/>
  <c r="EO2" i="33"/>
  <c r="EK2" i="33"/>
  <c r="EG2" i="33"/>
  <c r="EC2" i="33"/>
  <c r="DY2" i="33"/>
  <c r="DU2" i="33"/>
  <c r="DQ2" i="33"/>
  <c r="DM2" i="33"/>
  <c r="DI2" i="33"/>
  <c r="DE2" i="33"/>
  <c r="DA2" i="33"/>
  <c r="CW2" i="33"/>
  <c r="CS2" i="33"/>
  <c r="CO2" i="33"/>
  <c r="CK2" i="33"/>
  <c r="CG2" i="33"/>
  <c r="CC2" i="33"/>
  <c r="BY2" i="33"/>
  <c r="BU2" i="33"/>
  <c r="BQ2" i="33"/>
  <c r="BM2" i="33"/>
  <c r="BK2" i="33"/>
  <c r="BI2" i="33"/>
  <c r="BG2" i="33"/>
  <c r="BE2" i="33"/>
  <c r="BC2" i="33"/>
  <c r="BA2" i="33"/>
  <c r="AY2" i="33"/>
  <c r="AW2" i="33"/>
  <c r="AU2" i="33"/>
  <c r="AS2" i="33"/>
  <c r="AQ2" i="33"/>
  <c r="AO2" i="33"/>
  <c r="AM2" i="33"/>
  <c r="AK2" i="33"/>
  <c r="AI2" i="33"/>
  <c r="AG2" i="33"/>
  <c r="BA2" i="32"/>
  <c r="AY2" i="32"/>
  <c r="AW2" i="32"/>
  <c r="AU2" i="32"/>
  <c r="AX2" i="31"/>
  <c r="AV2" i="31"/>
  <c r="AT2" i="31"/>
  <c r="AR2" i="31"/>
  <c r="AP2" i="31"/>
  <c r="FW2" i="33"/>
  <c r="FS2" i="33"/>
  <c r="FO2" i="33"/>
  <c r="FK2" i="33"/>
  <c r="FG2" i="33"/>
  <c r="FC2" i="33"/>
  <c r="EY2" i="33"/>
  <c r="EU2" i="33"/>
  <c r="EQ2" i="33"/>
  <c r="EM2" i="33"/>
  <c r="EI2" i="33"/>
  <c r="EE2" i="33"/>
  <c r="EA2" i="33"/>
  <c r="DW2" i="33"/>
  <c r="DS2" i="33"/>
  <c r="DO2" i="33"/>
  <c r="DK2" i="33"/>
  <c r="DG2" i="33"/>
  <c r="DC2" i="33"/>
  <c r="CY2" i="33"/>
  <c r="CU2" i="33"/>
  <c r="CQ2" i="33"/>
  <c r="CM2" i="33"/>
  <c r="CI2" i="33"/>
  <c r="CE2" i="33"/>
  <c r="CA2" i="33"/>
  <c r="BW2" i="33"/>
  <c r="BS2" i="33"/>
  <c r="BO2" i="33"/>
  <c r="BL2" i="33"/>
  <c r="BJ2" i="33"/>
  <c r="BH2" i="33"/>
  <c r="BF2" i="33"/>
  <c r="BD2" i="33"/>
  <c r="BB2" i="33"/>
  <c r="AZ2" i="33"/>
  <c r="AX2" i="33"/>
  <c r="AV2" i="33"/>
  <c r="AT2" i="33"/>
  <c r="AR2" i="33"/>
  <c r="AP2" i="33"/>
  <c r="AN2" i="33"/>
  <c r="AL2" i="33"/>
  <c r="AJ2" i="33"/>
  <c r="AH2" i="33"/>
  <c r="BB2" i="32"/>
  <c r="AZ2" i="32"/>
  <c r="AX2" i="32"/>
  <c r="AV2" i="32"/>
  <c r="AT2" i="32"/>
  <c r="AR2" i="32"/>
  <c r="AP2" i="32"/>
  <c r="AN2" i="32"/>
  <c r="AL2" i="32"/>
  <c r="AJ2" i="32"/>
  <c r="AW2" i="31"/>
  <c r="AU2" i="31"/>
  <c r="AS2" i="31"/>
  <c r="AQ2" i="31"/>
  <c r="AM2" i="31"/>
  <c r="AK2" i="31"/>
  <c r="AI2" i="31"/>
  <c r="AG2" i="31"/>
  <c r="AE2" i="31"/>
  <c r="AL2" i="28"/>
  <c r="AJ2" i="28"/>
  <c r="BL2" i="27"/>
  <c r="BJ2" i="27"/>
  <c r="BH2" i="27"/>
  <c r="BF2" i="27"/>
  <c r="AR2" i="27"/>
  <c r="AP2" i="27"/>
  <c r="AN2" i="27"/>
  <c r="AL2" i="27"/>
  <c r="AR2" i="25"/>
  <c r="AP2" i="25"/>
  <c r="AN2" i="25"/>
  <c r="AK2" i="25"/>
  <c r="AI2" i="25"/>
  <c r="BL2" i="24"/>
  <c r="BJ2" i="24"/>
  <c r="BH2" i="24"/>
  <c r="BF2" i="24"/>
  <c r="AR2" i="24"/>
  <c r="AP2" i="24"/>
  <c r="AN2" i="24"/>
  <c r="AL2" i="24"/>
  <c r="BM2" i="23"/>
  <c r="BK2" i="23"/>
  <c r="BI2" i="23"/>
  <c r="BG2" i="23"/>
  <c r="BE2" i="23"/>
  <c r="BC2" i="23"/>
  <c r="BA2" i="23"/>
  <c r="AY2" i="23"/>
  <c r="AW2" i="23"/>
  <c r="AU2" i="23"/>
  <c r="AS2" i="23"/>
  <c r="AQ2" i="23"/>
  <c r="AO2" i="23"/>
  <c r="AM2" i="23"/>
  <c r="AK2" i="23"/>
  <c r="BM2" i="22"/>
  <c r="BK2" i="22"/>
  <c r="BI2" i="22"/>
  <c r="BG2" i="22"/>
  <c r="BE2" i="22"/>
  <c r="BC2" i="22"/>
  <c r="BA2" i="22"/>
  <c r="AY2" i="22"/>
  <c r="AW2" i="22"/>
  <c r="AU2" i="22"/>
  <c r="AS2" i="22"/>
  <c r="AQ2" i="22"/>
  <c r="AO2" i="22"/>
  <c r="AM2" i="22"/>
  <c r="AK2" i="22"/>
  <c r="AX2" i="20"/>
  <c r="AV2" i="20"/>
  <c r="AT2" i="20"/>
  <c r="AR2" i="20"/>
  <c r="AP2" i="20"/>
  <c r="AN2" i="20"/>
  <c r="AL2" i="20"/>
  <c r="AJ2" i="20"/>
  <c r="AH2" i="20"/>
  <c r="AF2" i="20"/>
  <c r="BB2" i="19"/>
  <c r="AZ2" i="19"/>
  <c r="AX2" i="19"/>
  <c r="AV2" i="19"/>
  <c r="AT2" i="19"/>
  <c r="AR2" i="19"/>
  <c r="AP2" i="19"/>
  <c r="AN2" i="19"/>
  <c r="AL2" i="19"/>
  <c r="AJ2" i="19"/>
  <c r="BB2" i="17"/>
  <c r="AZ2" i="17"/>
  <c r="AX2" i="17"/>
  <c r="AV2" i="17"/>
  <c r="AT2" i="17"/>
  <c r="AR2" i="17"/>
  <c r="AP2" i="17"/>
  <c r="AN2" i="17"/>
  <c r="AL2" i="17"/>
  <c r="AJ2" i="17"/>
  <c r="BA2" i="16"/>
  <c r="AY2" i="16"/>
  <c r="AW2" i="16"/>
  <c r="AU2" i="16"/>
  <c r="BM2" i="27"/>
  <c r="BK2" i="27"/>
  <c r="BI2" i="27"/>
  <c r="BG2" i="27"/>
  <c r="BE2" i="27"/>
  <c r="BC2" i="27"/>
  <c r="BA2" i="27"/>
  <c r="AY2" i="27"/>
  <c r="AW2" i="27"/>
  <c r="AU2" i="27"/>
  <c r="AS2" i="27"/>
  <c r="AQ2" i="27"/>
  <c r="AO2" i="27"/>
  <c r="AM2" i="27"/>
  <c r="AK2" i="27"/>
  <c r="AQ2" i="25"/>
  <c r="AO2" i="25"/>
  <c r="AL2" i="25"/>
  <c r="AJ2" i="25"/>
  <c r="AH2" i="25"/>
  <c r="BM2" i="24"/>
  <c r="BK2" i="24"/>
  <c r="BI2" i="24"/>
  <c r="BG2" i="24"/>
  <c r="BE2" i="24"/>
  <c r="BC2" i="24"/>
  <c r="BA2" i="24"/>
  <c r="AY2" i="24"/>
  <c r="AW2" i="24"/>
  <c r="AU2" i="24"/>
  <c r="AS2" i="24"/>
  <c r="AQ2" i="24"/>
  <c r="AO2" i="24"/>
  <c r="AM2" i="24"/>
  <c r="AK2" i="24"/>
  <c r="BL2" i="23"/>
  <c r="BJ2" i="23"/>
  <c r="BH2" i="23"/>
  <c r="BF2" i="23"/>
  <c r="AR2" i="23"/>
  <c r="AP2" i="23"/>
  <c r="AN2" i="23"/>
  <c r="AL2" i="23"/>
  <c r="BL2" i="22"/>
  <c r="BJ2" i="22"/>
  <c r="BH2" i="22"/>
  <c r="BF2" i="22"/>
  <c r="BB2" i="22"/>
  <c r="AZ2" i="22"/>
  <c r="AX2" i="22"/>
  <c r="AV2" i="22"/>
  <c r="AR2" i="22"/>
  <c r="AP2" i="22"/>
  <c r="AN2" i="22"/>
  <c r="AL2" i="22"/>
  <c r="AW2" i="20"/>
  <c r="AU2" i="20"/>
  <c r="AS2" i="20"/>
  <c r="AQ2" i="20"/>
  <c r="BA2" i="19"/>
  <c r="AY2" i="19"/>
  <c r="AW2" i="19"/>
  <c r="AU2" i="19"/>
  <c r="BA2" i="17"/>
  <c r="AY2" i="17"/>
  <c r="AW2" i="17"/>
  <c r="AU2" i="17"/>
  <c r="BB2" i="16"/>
  <c r="AX2" i="16"/>
  <c r="AT2" i="16"/>
  <c r="AP2" i="16"/>
  <c r="AL2" i="16"/>
  <c r="BA2" i="15"/>
  <c r="AY2" i="15"/>
  <c r="AW2" i="15"/>
  <c r="AU2" i="15"/>
  <c r="BB2" i="14"/>
  <c r="AZ2" i="14"/>
  <c r="AX2" i="14"/>
  <c r="AV2" i="14"/>
  <c r="AT2" i="14"/>
  <c r="AR2" i="14"/>
  <c r="AP2" i="14"/>
  <c r="AN2" i="14"/>
  <c r="AL2" i="14"/>
  <c r="AJ2" i="14"/>
  <c r="BA2" i="13"/>
  <c r="AY2" i="13"/>
  <c r="AW2" i="13"/>
  <c r="AU2" i="13"/>
  <c r="AZ2" i="16"/>
  <c r="AV2" i="16"/>
  <c r="AR2" i="16"/>
  <c r="AN2" i="16"/>
  <c r="AJ2" i="16"/>
  <c r="BB2" i="15"/>
  <c r="AZ2" i="15"/>
  <c r="AX2" i="15"/>
  <c r="AV2" i="15"/>
  <c r="AT2" i="15"/>
  <c r="AR2" i="15"/>
  <c r="AP2" i="15"/>
  <c r="AN2" i="15"/>
  <c r="AL2" i="15"/>
  <c r="AJ2" i="15"/>
  <c r="BA2" i="14"/>
  <c r="AY2" i="14"/>
  <c r="AW2" i="14"/>
  <c r="AU2" i="14"/>
  <c r="BB2" i="13"/>
  <c r="AZ2" i="13"/>
  <c r="AX2" i="13"/>
  <c r="AV2" i="13"/>
  <c r="AT2" i="13"/>
  <c r="AR2" i="13"/>
  <c r="AP2" i="13"/>
  <c r="AN2" i="13"/>
  <c r="AL2" i="13"/>
  <c r="AJ2" i="13"/>
  <c r="CR2" i="12"/>
  <c r="CP2" i="12"/>
  <c r="CN2" i="12"/>
  <c r="CL2" i="12"/>
  <c r="CJ2" i="12"/>
  <c r="CH2" i="12"/>
  <c r="CF2" i="12"/>
  <c r="CD2" i="12"/>
  <c r="CB2" i="12"/>
  <c r="BZ2" i="12"/>
  <c r="BX2" i="12"/>
  <c r="BV2" i="12"/>
  <c r="BT2" i="12"/>
  <c r="BA2" i="11"/>
  <c r="AY2" i="11"/>
  <c r="AW2" i="11"/>
  <c r="AU2" i="11"/>
  <c r="BA2" i="10"/>
  <c r="AY2" i="10"/>
  <c r="AW2" i="10"/>
  <c r="AU2" i="10"/>
  <c r="AY2" i="9"/>
  <c r="AW2" i="9"/>
  <c r="AU2" i="9"/>
  <c r="AS2" i="9"/>
  <c r="AQ2" i="9"/>
  <c r="AW2" i="8"/>
  <c r="AU2" i="8"/>
  <c r="AS2" i="8"/>
  <c r="AQ2" i="8"/>
  <c r="AO2" i="7"/>
  <c r="AM2" i="7"/>
  <c r="AK2" i="7"/>
  <c r="AI2" i="7"/>
  <c r="AG2" i="7"/>
  <c r="AB21" i="34" a="1"/>
  <c r="AB21" i="34" s="1"/>
  <c r="AB21" i="33" a="1"/>
  <c r="AB21" i="33" s="1"/>
  <c r="AC21" i="31" a="1"/>
  <c r="AC21" i="31" s="1"/>
  <c r="AC21" i="29" a="1"/>
  <c r="AC21" i="29" s="1"/>
  <c r="AC21" i="32" a="1"/>
  <c r="AC21" i="32" s="1"/>
  <c r="AC21" i="30" a="1"/>
  <c r="AC21" i="30" s="1"/>
  <c r="AC21" i="28" a="1"/>
  <c r="AC21" i="28" s="1"/>
  <c r="AC21" i="27" a="1"/>
  <c r="AC21" i="27" s="1"/>
  <c r="AC21" i="26" a="1"/>
  <c r="AC21" i="26" s="1"/>
  <c r="AC21" i="25" a="1"/>
  <c r="AC21" i="25" s="1"/>
  <c r="AC21" i="24" a="1"/>
  <c r="AC21" i="24" s="1"/>
  <c r="AC21" i="20" a="1"/>
  <c r="AC21" i="20" s="1"/>
  <c r="AC21" i="19" a="1"/>
  <c r="AC21" i="19" s="1"/>
  <c r="AC21" i="17" a="1"/>
  <c r="AC21" i="17" s="1"/>
  <c r="AC21" i="23" a="1"/>
  <c r="AC21" i="23" s="1"/>
  <c r="AC21" i="22" a="1"/>
  <c r="AC21" i="22" s="1"/>
  <c r="AC21" i="21" a="1"/>
  <c r="AC21" i="21" s="1"/>
  <c r="AC21" i="18" a="1"/>
  <c r="AC21" i="18" s="1"/>
  <c r="AC21" i="16" a="1"/>
  <c r="AC21" i="16" s="1"/>
  <c r="AC21" i="14" a="1"/>
  <c r="AC21" i="14" s="1"/>
  <c r="AC21" i="15" a="1"/>
  <c r="AC21" i="15" s="1"/>
  <c r="AC21" i="13" a="1"/>
  <c r="AC21" i="13" s="1"/>
  <c r="AC21" i="9" a="1"/>
  <c r="AC21" i="9" s="1"/>
  <c r="AC21" i="6" a="1"/>
  <c r="AC21" i="6" s="1"/>
  <c r="AB29" i="34" a="1"/>
  <c r="AB29" i="34" s="1"/>
  <c r="AB26" i="5" a="1"/>
  <c r="AB26" i="5" s="1"/>
  <c r="AN186" i="4"/>
  <c r="L139" i="12" s="1" a="1"/>
  <c r="L139" i="12" s="1"/>
  <c r="L140" i="12" s="1" a="1"/>
  <c r="L140" i="12" s="1"/>
  <c r="AL2" i="7"/>
  <c r="AU8" i="7"/>
  <c r="AU2" i="7"/>
  <c r="AY8" i="7"/>
  <c r="AY2" i="7"/>
  <c r="AJ8" i="7"/>
  <c r="AN8" i="7"/>
  <c r="AC21" i="7" a="1"/>
  <c r="AC21" i="7" s="1"/>
  <c r="F28" i="7"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AH2" i="8"/>
  <c r="AP2" i="8"/>
  <c r="AX2" i="8"/>
  <c r="U55" i="8"/>
  <c r="AH2" i="9"/>
  <c r="AL2" i="9"/>
  <c r="AT2" i="9"/>
  <c r="AX2" i="9"/>
  <c r="AV8" i="9"/>
  <c r="U28" i="9"/>
  <c r="AR2" i="10"/>
  <c r="AI8" i="10"/>
  <c r="AI2" i="10"/>
  <c r="AM8" i="10"/>
  <c r="AM2" i="10"/>
  <c r="AQ8" i="10"/>
  <c r="AQ2" i="10"/>
  <c r="AT8" i="10"/>
  <c r="BB8" i="10"/>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AB28" i="10" a="1"/>
  <c r="AB28" i="10" s="1"/>
  <c r="AB81" i="10"/>
  <c r="AB79" i="10"/>
  <c r="H96" i="10" a="1"/>
  <c r="H96" i="10" s="1"/>
  <c r="AI142" i="10"/>
  <c r="AM142" i="10"/>
  <c r="AQ142" i="10"/>
  <c r="AU142" i="10"/>
  <c r="AY142" i="10"/>
  <c r="AK151" i="10"/>
  <c r="AS151" i="10"/>
  <c r="BA151" i="10"/>
  <c r="AL2" i="11"/>
  <c r="AP2" i="11"/>
  <c r="AX2" i="11"/>
  <c r="BB2" i="11"/>
  <c r="AC21" i="11" a="1"/>
  <c r="AC21" i="11" s="1"/>
  <c r="AU2" i="12"/>
  <c r="BC2" i="12"/>
  <c r="BK2" i="12"/>
  <c r="BS2" i="12"/>
  <c r="CA2" i="12"/>
  <c r="CE2" i="12"/>
  <c r="CI2" i="12"/>
  <c r="CQ2" i="12"/>
  <c r="AR2" i="12"/>
  <c r="AV2" i="12"/>
  <c r="AX2" i="12"/>
  <c r="BB2" i="12"/>
  <c r="BF2" i="12"/>
  <c r="BJ2" i="12"/>
  <c r="BN2" i="12"/>
  <c r="BP2" i="12"/>
  <c r="AT39" i="12"/>
  <c r="AT37" i="12"/>
  <c r="AT40" i="12"/>
  <c r="BF39" i="12"/>
  <c r="BF37" i="12"/>
  <c r="BF40" i="12"/>
  <c r="BR39" i="12"/>
  <c r="BR37" i="12"/>
  <c r="BR40" i="12"/>
  <c r="CD39" i="12"/>
  <c r="CD37" i="12"/>
  <c r="CD40" i="12"/>
  <c r="CP39" i="12"/>
  <c r="CP37" i="12"/>
  <c r="CP40" i="12"/>
  <c r="AI126" i="12"/>
  <c r="AI103" i="12"/>
  <c r="AI102" i="12" s="1"/>
  <c r="AI99" i="12"/>
  <c r="AI77" i="12"/>
  <c r="AI76" i="12" s="1"/>
  <c r="AI73" i="12"/>
  <c r="AI54" i="12"/>
  <c r="AI123" i="12"/>
  <c r="AI122" i="12" s="1"/>
  <c r="AI119" i="12"/>
  <c r="AI116" i="12"/>
  <c r="AI115" i="12" s="1"/>
  <c r="AI112" i="12"/>
  <c r="AI90" i="12"/>
  <c r="AI89" i="12" s="1"/>
  <c r="AI86" i="12"/>
  <c r="H28" i="2"/>
  <c r="H29" i="2" s="1"/>
  <c r="H30" i="2" s="1" a="1"/>
  <c r="H30" i="2" s="1"/>
  <c r="B201" i="4"/>
  <c r="AG163" i="4"/>
  <c r="AE163" i="4"/>
  <c r="S26" i="33" s="1"/>
  <c r="AB29" i="5" a="1"/>
  <c r="AB29" i="5" s="1"/>
  <c r="W29" i="5" a="1"/>
  <c r="W29" i="5" s="1"/>
  <c r="AB26" i="6" a="1"/>
  <c r="AB26" i="6" s="1"/>
  <c r="AR2" i="7"/>
  <c r="AV2" i="7"/>
  <c r="AF2" i="8"/>
  <c r="AJ2" i="8"/>
  <c r="AN2" i="8"/>
  <c r="AR2" i="8"/>
  <c r="AV2" i="8"/>
  <c r="AE8" i="8"/>
  <c r="AG8" i="8"/>
  <c r="AG2" i="8"/>
  <c r="AI8" i="8"/>
  <c r="AI2" i="8"/>
  <c r="AK8" i="8"/>
  <c r="AK2" i="8"/>
  <c r="AM8" i="8"/>
  <c r="AM2" i="8"/>
  <c r="AO8" i="8"/>
  <c r="AO2" i="8"/>
  <c r="AC21" i="8" a="1"/>
  <c r="AC21" i="8" s="1"/>
  <c r="AJ2" i="9"/>
  <c r="AN2" i="9"/>
  <c r="AG8" i="9"/>
  <c r="AG2" i="9"/>
  <c r="AI8" i="9"/>
  <c r="AI2" i="9"/>
  <c r="AK8" i="9"/>
  <c r="AK2" i="9"/>
  <c r="AM8" i="9"/>
  <c r="AM2" i="9"/>
  <c r="AO8" i="9"/>
  <c r="AO2" i="9"/>
  <c r="AQ8" i="9"/>
  <c r="AS8" i="9"/>
  <c r="AU8" i="9"/>
  <c r="AW8" i="9"/>
  <c r="AY8" i="9"/>
  <c r="F36" i="9" a="1"/>
  <c r="F36" i="9" s="1"/>
  <c r="U35" i="9"/>
  <c r="AL2" i="10"/>
  <c r="AP2" i="10"/>
  <c r="AC21" i="10" a="1"/>
  <c r="AC21" i="10" s="1"/>
  <c r="G28" i="10" a="1"/>
  <c r="G28" i="10" s="1"/>
  <c r="T28" i="10" s="1"/>
  <c r="AB32" i="10"/>
  <c r="AB48" i="10"/>
  <c r="AB64" i="10"/>
  <c r="AB62" i="10"/>
  <c r="AB61" i="10"/>
  <c r="AB80" i="10"/>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AB111" i="10"/>
  <c r="AB131" i="10"/>
  <c r="AB146" i="10"/>
  <c r="AJ2" i="11"/>
  <c r="AN2" i="11"/>
  <c r="AR2" i="11"/>
  <c r="AV2" i="11"/>
  <c r="AZ2" i="11"/>
  <c r="AE8" i="11"/>
  <c r="AG8" i="11"/>
  <c r="AI8" i="11"/>
  <c r="AI2" i="11"/>
  <c r="AK8" i="11"/>
  <c r="AK2" i="11"/>
  <c r="AM8" i="11"/>
  <c r="AM2" i="11"/>
  <c r="AO8" i="11"/>
  <c r="AO2" i="11"/>
  <c r="AQ8" i="11"/>
  <c r="AQ2" i="11"/>
  <c r="AS8" i="11"/>
  <c r="AS2" i="11"/>
  <c r="F29" i="11" a="1"/>
  <c r="F29" i="11" s="1"/>
  <c r="F30" i="11" s="1" a="1"/>
  <c r="F30" i="11" s="1"/>
  <c r="F31" i="11" s="1" a="1"/>
  <c r="F31" i="11" s="1"/>
  <c r="F32" i="11" s="1" a="1"/>
  <c r="F32" i="11" s="1"/>
  <c r="F33" i="11" s="1" a="1"/>
  <c r="F33" i="11" s="1"/>
  <c r="F34" i="11" s="1" a="1"/>
  <c r="F34" i="11" s="1"/>
  <c r="AB28" i="11" a="1"/>
  <c r="AB28" i="11" s="1"/>
  <c r="AO2" i="12"/>
  <c r="AS2" i="12"/>
  <c r="AW2" i="12"/>
  <c r="BA2" i="12"/>
  <c r="BE2" i="12"/>
  <c r="BI2" i="12"/>
  <c r="BM2" i="12"/>
  <c r="AE21" i="12" a="1"/>
  <c r="AE21" i="12" s="1"/>
  <c r="F29" i="12"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AB28" i="12" a="1"/>
  <c r="AB28" i="12" s="1"/>
  <c r="L28" i="12" a="1"/>
  <c r="L28" i="12" s="1"/>
  <c r="L29" i="12" s="1" a="1"/>
  <c r="L29" i="12" s="1"/>
  <c r="K28" i="12" a="1"/>
  <c r="K28" i="12" s="1"/>
  <c r="J28" i="12" a="1"/>
  <c r="J28" i="12" s="1"/>
  <c r="I28" i="12" a="1"/>
  <c r="I28" i="12" s="1"/>
  <c r="H28" i="12" a="1"/>
  <c r="H28" i="12" s="1"/>
  <c r="G28" i="12" a="1"/>
  <c r="G28" i="12" s="1"/>
  <c r="AH39" i="12"/>
  <c r="AH37" i="12"/>
  <c r="AH40" i="12"/>
  <c r="AJ39" i="12"/>
  <c r="AJ37" i="12"/>
  <c r="AJ40" i="12"/>
  <c r="AN39" i="12"/>
  <c r="AN37" i="12"/>
  <c r="AN40" i="12"/>
  <c r="AV39" i="12"/>
  <c r="AV37" i="12"/>
  <c r="AV40" i="12"/>
  <c r="AZ39" i="12"/>
  <c r="AZ37" i="12"/>
  <c r="AZ40" i="12"/>
  <c r="BH39" i="12"/>
  <c r="BH37" i="12"/>
  <c r="BH40" i="12"/>
  <c r="BL39" i="12"/>
  <c r="BL37" i="12"/>
  <c r="BL40" i="12"/>
  <c r="BT39" i="12"/>
  <c r="BT37" i="12"/>
  <c r="BT40" i="12"/>
  <c r="BX39" i="12"/>
  <c r="BX37" i="12"/>
  <c r="BX40" i="12"/>
  <c r="CF39" i="12"/>
  <c r="CF37" i="12"/>
  <c r="CF40" i="12"/>
  <c r="CJ39" i="12"/>
  <c r="CJ37" i="12"/>
  <c r="CJ40" i="12"/>
  <c r="CR39" i="12"/>
  <c r="CR37" i="12"/>
  <c r="CR40" i="12"/>
  <c r="AL37" i="12"/>
  <c r="AR37" i="12"/>
  <c r="AX37" i="12"/>
  <c r="BD37" i="12"/>
  <c r="BJ37" i="12"/>
  <c r="BP37" i="12"/>
  <c r="BV37" i="12"/>
  <c r="CB37" i="12"/>
  <c r="CH37" i="12"/>
  <c r="CN37" i="12"/>
  <c r="AL39" i="12"/>
  <c r="AR39" i="12"/>
  <c r="AX39" i="12"/>
  <c r="BD39" i="12"/>
  <c r="BJ39" i="12"/>
  <c r="BP39" i="12"/>
  <c r="BV39" i="12"/>
  <c r="CB39" i="12"/>
  <c r="CH39" i="12"/>
  <c r="CN39" i="12"/>
  <c r="AH55" i="12"/>
  <c r="AH52" i="12"/>
  <c r="AJ123" i="12"/>
  <c r="AJ122" i="12" s="1"/>
  <c r="AJ119" i="12"/>
  <c r="AJ116" i="12"/>
  <c r="AJ115" i="12" s="1"/>
  <c r="AJ112" i="12"/>
  <c r="AJ90" i="12"/>
  <c r="AJ89" i="12" s="1"/>
  <c r="AJ86" i="12"/>
  <c r="AJ103" i="12"/>
  <c r="AJ102" i="12" s="1"/>
  <c r="AJ99" i="12"/>
  <c r="AJ77" i="12"/>
  <c r="AJ76" i="12" s="1"/>
  <c r="AJ73" i="12"/>
  <c r="AL47" i="12"/>
  <c r="AL46" i="12" s="1"/>
  <c r="AR47" i="12"/>
  <c r="AR46" i="12" s="1"/>
  <c r="AX47" i="12"/>
  <c r="AX46" i="12" s="1"/>
  <c r="BD47" i="12"/>
  <c r="BD46" i="12" s="1"/>
  <c r="BJ47" i="12"/>
  <c r="BJ46" i="12" s="1"/>
  <c r="BP47" i="12"/>
  <c r="BP46" i="12" s="1"/>
  <c r="BV47" i="12"/>
  <c r="BV46" i="12" s="1"/>
  <c r="CB47" i="12"/>
  <c r="CB46" i="12" s="1"/>
  <c r="CH47" i="12"/>
  <c r="CH46" i="12" s="1"/>
  <c r="CN47" i="12"/>
  <c r="CN46" i="12" s="1"/>
  <c r="AM52" i="12"/>
  <c r="AM51" i="12"/>
  <c r="AP51" i="12"/>
  <c r="AP52" i="12"/>
  <c r="AS52" i="12"/>
  <c r="AS51" i="12"/>
  <c r="AV51" i="12"/>
  <c r="AV52" i="12"/>
  <c r="AY52" i="12"/>
  <c r="AY51" i="12"/>
  <c r="BB51" i="12"/>
  <c r="BB52" i="12"/>
  <c r="BE52" i="12"/>
  <c r="BE51" i="12"/>
  <c r="BH51" i="12"/>
  <c r="BH52" i="12"/>
  <c r="BK52" i="12"/>
  <c r="BK51" i="12"/>
  <c r="BN51" i="12"/>
  <c r="BN52" i="12"/>
  <c r="BQ52" i="12"/>
  <c r="BQ51" i="12"/>
  <c r="BT51" i="12"/>
  <c r="BT52" i="12"/>
  <c r="BW52" i="12"/>
  <c r="BW51" i="12"/>
  <c r="BZ51" i="12"/>
  <c r="BZ52" i="12"/>
  <c r="CC52" i="12"/>
  <c r="CC51" i="12"/>
  <c r="CF51" i="12"/>
  <c r="CF52" i="12"/>
  <c r="CI52" i="12"/>
  <c r="CI51" i="12"/>
  <c r="CL51" i="12"/>
  <c r="CL52" i="12"/>
  <c r="CO52" i="12"/>
  <c r="CO51" i="12"/>
  <c r="CR51" i="12"/>
  <c r="CR52" i="12"/>
  <c r="S153" i="12" a="1"/>
  <c r="S153" i="12" s="1"/>
  <c r="U152" i="12"/>
  <c r="AP150" i="12"/>
  <c r="AP148" i="12"/>
  <c r="AP151" i="12"/>
  <c r="AT150" i="12"/>
  <c r="AT148" i="12"/>
  <c r="AT151" i="12"/>
  <c r="BB150" i="12"/>
  <c r="BB148" i="12"/>
  <c r="BB151" i="12"/>
  <c r="BF150" i="12"/>
  <c r="BF148" i="12"/>
  <c r="BF151" i="12"/>
  <c r="BN150" i="12"/>
  <c r="BN148" i="12"/>
  <c r="BN151" i="12"/>
  <c r="BR150" i="12"/>
  <c r="BR148" i="12"/>
  <c r="BR151" i="12"/>
  <c r="BZ150" i="12"/>
  <c r="BZ148" i="12"/>
  <c r="BZ151" i="12"/>
  <c r="CD150" i="12"/>
  <c r="CD148" i="12"/>
  <c r="CD151" i="12"/>
  <c r="CL150" i="12"/>
  <c r="CL148" i="12"/>
  <c r="CL151" i="12"/>
  <c r="CP150" i="12"/>
  <c r="CP148" i="12"/>
  <c r="CP151" i="12"/>
  <c r="AI255" i="12"/>
  <c r="AI246" i="12"/>
  <c r="AI241" i="12"/>
  <c r="AI230" i="12"/>
  <c r="AI224" i="12"/>
  <c r="AI256" i="12"/>
  <c r="AI250" i="12"/>
  <c r="AI247" i="12"/>
  <c r="AI229" i="12"/>
  <c r="AI213" i="12"/>
  <c r="AI207" i="12"/>
  <c r="AI196" i="12"/>
  <c r="AI190" i="12"/>
  <c r="AI212" i="12"/>
  <c r="AI195" i="12"/>
  <c r="AI194" i="12" s="1"/>
  <c r="AK167" i="12"/>
  <c r="AK179" i="12" s="1"/>
  <c r="AK166" i="12"/>
  <c r="AK163" i="12"/>
  <c r="AO158" i="12"/>
  <c r="AO157" i="12" s="1"/>
  <c r="AU158" i="12"/>
  <c r="AU157" i="12" s="1"/>
  <c r="BA158" i="12"/>
  <c r="BA157" i="12" s="1"/>
  <c r="BG158" i="12"/>
  <c r="BG157" i="12" s="1"/>
  <c r="BM158" i="12"/>
  <c r="BM157" i="12" s="1"/>
  <c r="BS158" i="12"/>
  <c r="BS157" i="12" s="1"/>
  <c r="BY158" i="12"/>
  <c r="BY157" i="12" s="1"/>
  <c r="CE158" i="12"/>
  <c r="CE157" i="12" s="1"/>
  <c r="CK158" i="12"/>
  <c r="CK157" i="12" s="1"/>
  <c r="CQ158" i="12"/>
  <c r="CQ157" i="12" s="1"/>
  <c r="AI37" i="12"/>
  <c r="AK37" i="12"/>
  <c r="AM37" i="12"/>
  <c r="AQ37" i="12"/>
  <c r="AS37" i="12"/>
  <c r="AW37" i="12"/>
  <c r="AY37" i="12"/>
  <c r="BC37" i="12"/>
  <c r="BE37" i="12"/>
  <c r="BI37" i="12"/>
  <c r="BK37" i="12"/>
  <c r="BO37" i="12"/>
  <c r="BQ37" i="12"/>
  <c r="BU37" i="12"/>
  <c r="BW37" i="12"/>
  <c r="CA37" i="12"/>
  <c r="CC37" i="12"/>
  <c r="CG37" i="12"/>
  <c r="CI37" i="12"/>
  <c r="CM37" i="12"/>
  <c r="CO37" i="12"/>
  <c r="CS37" i="12"/>
  <c r="AI39" i="12"/>
  <c r="AK39" i="12"/>
  <c r="AM39" i="12"/>
  <c r="AQ39" i="12"/>
  <c r="AS39" i="12"/>
  <c r="AW39" i="12"/>
  <c r="AY39" i="12"/>
  <c r="BC39" i="12"/>
  <c r="BE39" i="12"/>
  <c r="BI39" i="12"/>
  <c r="BK39" i="12"/>
  <c r="BO39" i="12"/>
  <c r="BQ39" i="12"/>
  <c r="BU39" i="12"/>
  <c r="BW39" i="12"/>
  <c r="CA39" i="12"/>
  <c r="CC39" i="12"/>
  <c r="CG39" i="12"/>
  <c r="CI39" i="12"/>
  <c r="CM39" i="12"/>
  <c r="CO39" i="12"/>
  <c r="CS39" i="12"/>
  <c r="AH133" i="12"/>
  <c r="AJ133" i="12"/>
  <c r="AI148" i="12"/>
  <c r="AK148" i="12"/>
  <c r="AM148" i="12"/>
  <c r="AQ148" i="12"/>
  <c r="AS148" i="12"/>
  <c r="AW148" i="12"/>
  <c r="AY148" i="12"/>
  <c r="BC148" i="12"/>
  <c r="BE148" i="12"/>
  <c r="BI148" i="12"/>
  <c r="BK148" i="12"/>
  <c r="BO148" i="12"/>
  <c r="BQ148" i="12"/>
  <c r="BU148" i="12"/>
  <c r="BW148" i="12"/>
  <c r="CA148" i="12"/>
  <c r="CC148" i="12"/>
  <c r="CG148" i="12"/>
  <c r="CI148" i="12"/>
  <c r="CM148" i="12"/>
  <c r="CO148" i="12"/>
  <c r="CS148" i="12"/>
  <c r="AI150" i="12"/>
  <c r="AK150" i="12"/>
  <c r="AM150" i="12"/>
  <c r="AQ150" i="12"/>
  <c r="AS150" i="12"/>
  <c r="AW150" i="12"/>
  <c r="AY150" i="12"/>
  <c r="BC150" i="12"/>
  <c r="BE150" i="12"/>
  <c r="BI150" i="12"/>
  <c r="BK150" i="12"/>
  <c r="BO150" i="12"/>
  <c r="BQ150" i="12"/>
  <c r="BU150" i="12"/>
  <c r="BW150" i="12"/>
  <c r="CA150" i="12"/>
  <c r="CC150" i="12"/>
  <c r="CG150" i="12"/>
  <c r="CI150" i="12"/>
  <c r="CM150" i="12"/>
  <c r="CO150" i="12"/>
  <c r="CS150" i="12"/>
  <c r="AI164" i="12"/>
  <c r="AI165" i="12" s="1"/>
  <c r="AI170" i="12"/>
  <c r="AI169" i="12" s="1"/>
  <c r="X175" i="12"/>
  <c r="AE175" i="12" a="1"/>
  <c r="AE175" i="12" s="1"/>
  <c r="AF175" i="12" a="1"/>
  <c r="AF175" i="12" s="1"/>
  <c r="AH272" i="12"/>
  <c r="AH268" i="12"/>
  <c r="AK268" i="12"/>
  <c r="AK272" i="12"/>
  <c r="AK258" i="12"/>
  <c r="AE8" i="13"/>
  <c r="AG8" i="13"/>
  <c r="AI8" i="13"/>
  <c r="AI2" i="13"/>
  <c r="AK8" i="13"/>
  <c r="AM8" i="13"/>
  <c r="AO8" i="13"/>
  <c r="AQ8" i="13"/>
  <c r="AS8" i="13"/>
  <c r="T34" i="13"/>
  <c r="F35" i="13" a="1"/>
  <c r="F35" i="13" s="1"/>
  <c r="F36" i="13" s="1" a="1"/>
  <c r="F36" i="13" s="1"/>
  <c r="A34" i="13"/>
  <c r="H56" i="13" a="1"/>
  <c r="H56" i="13" s="1"/>
  <c r="H55" i="13" a="1"/>
  <c r="H55" i="13" s="1"/>
  <c r="BH56" i="13" a="1"/>
  <c r="BH56" i="13" s="1"/>
  <c r="BH55" i="13" a="1"/>
  <c r="BH55" i="13" s="1"/>
  <c r="BH63" i="13" a="1"/>
  <c r="BH63" i="13" s="1"/>
  <c r="BH64" i="13" s="1" a="1"/>
  <c r="BH64" i="13" s="1"/>
  <c r="BH65" i="13" s="1" a="1"/>
  <c r="BH65" i="13" s="1"/>
  <c r="BH66" i="13" s="1" a="1"/>
  <c r="BH66" i="13" s="1"/>
  <c r="BH62" i="13" a="1"/>
  <c r="BH62" i="13" s="1"/>
  <c r="L68" i="13" a="1"/>
  <c r="L68" i="13" s="1"/>
  <c r="K68" i="13" a="1"/>
  <c r="K68" i="13" s="1"/>
  <c r="F69" i="13" a="1"/>
  <c r="F69" i="13" s="1"/>
  <c r="F70" i="13" s="1" a="1"/>
  <c r="F70" i="13" s="1"/>
  <c r="F71" i="13" s="1" a="1"/>
  <c r="F71" i="13" s="1"/>
  <c r="F72" i="13" s="1" a="1"/>
  <c r="F72" i="13" s="1"/>
  <c r="F73" i="13" s="1" a="1"/>
  <c r="F73" i="13" s="1"/>
  <c r="F74" i="13" s="1" a="1"/>
  <c r="F74" i="13" s="1"/>
  <c r="F75" i="13" s="1" a="1"/>
  <c r="F75" i="13" s="1"/>
  <c r="H77" i="13" a="1"/>
  <c r="H77" i="13" s="1"/>
  <c r="H76" i="13" a="1"/>
  <c r="H76" i="13" s="1"/>
  <c r="BH77" i="13" a="1"/>
  <c r="BH77" i="13" s="1"/>
  <c r="BH76" i="13" a="1"/>
  <c r="BH76" i="13" s="1"/>
  <c r="F33" i="14" a="1"/>
  <c r="F33" i="14" s="1"/>
  <c r="F31" i="14" a="1"/>
  <c r="F31" i="14" s="1"/>
  <c r="F30" i="14" a="1"/>
  <c r="F30" i="14" s="1"/>
  <c r="H32" i="14" a="1"/>
  <c r="H32" i="14" s="1"/>
  <c r="H31" i="14" a="1"/>
  <c r="H31" i="14" s="1"/>
  <c r="BH32" i="14" a="1"/>
  <c r="BH32" i="14" s="1"/>
  <c r="BH31" i="14" a="1"/>
  <c r="BH31" i="14" s="1"/>
  <c r="H45" i="14" a="1"/>
  <c r="H45" i="14" s="1"/>
  <c r="H44" i="14" a="1"/>
  <c r="H44" i="14" s="1"/>
  <c r="BH45" i="14" a="1"/>
  <c r="BH45" i="14" s="1"/>
  <c r="BH44" i="14" a="1"/>
  <c r="BH44" i="14" s="1"/>
  <c r="AI2" i="15"/>
  <c r="AK2" i="15"/>
  <c r="AM2" i="15"/>
  <c r="AO2" i="15"/>
  <c r="AQ2" i="15"/>
  <c r="AS2" i="15"/>
  <c r="B180" i="4"/>
  <c r="B182" i="4"/>
  <c r="B183" i="4"/>
  <c r="B195" i="4"/>
  <c r="B197" i="4"/>
  <c r="B200" i="4"/>
  <c r="AF74" i="10"/>
  <c r="AH74" i="10"/>
  <c r="AJ74" i="10"/>
  <c r="AL74" i="10"/>
  <c r="AN74" i="10"/>
  <c r="AP74" i="10"/>
  <c r="AR74" i="10"/>
  <c r="AT74" i="10"/>
  <c r="AV74" i="10"/>
  <c r="AX74" i="10"/>
  <c r="AZ74" i="10"/>
  <c r="BB74" i="10"/>
  <c r="AF142" i="10"/>
  <c r="AH142" i="10"/>
  <c r="AJ142" i="10"/>
  <c r="AL142" i="10"/>
  <c r="AN142" i="10"/>
  <c r="AP142" i="10"/>
  <c r="AR142" i="10"/>
  <c r="AT142" i="10"/>
  <c r="AV142" i="10"/>
  <c r="AX142" i="10"/>
  <c r="AZ142" i="10"/>
  <c r="BB142" i="10"/>
  <c r="AO30" i="12"/>
  <c r="AO35" i="12" s="1"/>
  <c r="AU30" i="12"/>
  <c r="AU35" i="12" s="1"/>
  <c r="BA30" i="12"/>
  <c r="BA35" i="12" s="1"/>
  <c r="BG30" i="12"/>
  <c r="BG35" i="12" s="1"/>
  <c r="BM30" i="12"/>
  <c r="BM35" i="12" s="1"/>
  <c r="BS30" i="12"/>
  <c r="BS35" i="12" s="1"/>
  <c r="BY30" i="12"/>
  <c r="BY35" i="12" s="1"/>
  <c r="CE30" i="12"/>
  <c r="CE35" i="12" s="1"/>
  <c r="CK30" i="12"/>
  <c r="CK35" i="12" s="1"/>
  <c r="CQ30" i="12"/>
  <c r="CQ35" i="12" s="1"/>
  <c r="AJ53" i="12"/>
  <c r="AJ58" i="12" s="1"/>
  <c r="AJ57" i="12" s="1"/>
  <c r="AH125" i="12"/>
  <c r="AJ125" i="12"/>
  <c r="AJ131" i="12" s="1"/>
  <c r="AO141" i="12"/>
  <c r="AO146" i="12" s="1"/>
  <c r="AU141" i="12"/>
  <c r="AU146" i="12" s="1"/>
  <c r="BA141" i="12"/>
  <c r="BA146" i="12" s="1"/>
  <c r="BG141" i="12"/>
  <c r="BG146" i="12" s="1"/>
  <c r="BM141" i="12"/>
  <c r="BM146" i="12" s="1"/>
  <c r="BS141" i="12"/>
  <c r="BS146" i="12" s="1"/>
  <c r="BY141" i="12"/>
  <c r="BY146" i="12" s="1"/>
  <c r="CE141" i="12"/>
  <c r="CE146" i="12" s="1"/>
  <c r="CK141" i="12"/>
  <c r="CK146" i="12" s="1"/>
  <c r="CQ141" i="12"/>
  <c r="CQ146" i="12" s="1"/>
  <c r="AI268" i="12"/>
  <c r="AI272" i="12"/>
  <c r="AI258" i="12"/>
  <c r="AI265" i="12" s="1"/>
  <c r="H41" i="13" a="1"/>
  <c r="H41" i="13" s="1"/>
  <c r="H42" i="13" s="1" a="1"/>
  <c r="H42" i="13" s="1"/>
  <c r="H43" i="13" s="1" a="1"/>
  <c r="H43" i="13" s="1"/>
  <c r="H44" i="13" s="1" a="1"/>
  <c r="H44" i="13" s="1"/>
  <c r="H40" i="13" a="1"/>
  <c r="H40" i="13" s="1"/>
  <c r="BH41" i="13" a="1"/>
  <c r="BH41" i="13" s="1"/>
  <c r="BH42" i="13" s="1" a="1"/>
  <c r="BH42" i="13" s="1"/>
  <c r="BH43" i="13" s="1" a="1"/>
  <c r="BH43" i="13" s="1"/>
  <c r="BH44" i="13" s="1" a="1"/>
  <c r="BH44" i="13" s="1"/>
  <c r="BH40" i="13" a="1"/>
  <c r="BH40" i="13" s="1"/>
  <c r="H80" i="13" a="1"/>
  <c r="H80" i="13" s="1"/>
  <c r="H79" i="13" a="1"/>
  <c r="H79" i="13" s="1"/>
  <c r="BH80" i="13" a="1"/>
  <c r="BH80" i="13" s="1"/>
  <c r="BH79" i="13" a="1"/>
  <c r="BH79" i="13" s="1"/>
  <c r="BH100" i="13" a="1"/>
  <c r="BH100" i="13" s="1"/>
  <c r="BH99" i="13" a="1"/>
  <c r="BH99" i="13" s="1"/>
  <c r="H110" i="13" a="1"/>
  <c r="H110" i="13" s="1"/>
  <c r="H106" i="13" a="1"/>
  <c r="H106" i="13" s="1"/>
  <c r="BH107" i="13" a="1"/>
  <c r="BH107" i="13" s="1"/>
  <c r="BH108" i="13" s="1" a="1"/>
  <c r="BH108" i="13" s="1"/>
  <c r="BH109" i="13" s="1" a="1"/>
  <c r="BH109" i="13" s="1"/>
  <c r="BH110" i="13" s="1" a="1"/>
  <c r="BH110" i="13" s="1"/>
  <c r="BH106" i="13" a="1"/>
  <c r="BH106" i="13" s="1"/>
  <c r="AI2" i="14"/>
  <c r="AK2" i="14"/>
  <c r="AM2" i="14"/>
  <c r="AO2" i="14"/>
  <c r="AQ2" i="14"/>
  <c r="AS2" i="14"/>
  <c r="F49" i="14" a="1"/>
  <c r="F49" i="14" s="1"/>
  <c r="F44" i="14" a="1"/>
  <c r="F44" i="14" s="1"/>
  <c r="F43" i="14" a="1"/>
  <c r="F43" i="14" s="1"/>
  <c r="H48" i="14" a="1"/>
  <c r="H48" i="14" s="1"/>
  <c r="H47" i="14" a="1"/>
  <c r="H47" i="14" s="1"/>
  <c r="BH48" i="14" a="1"/>
  <c r="BH48" i="14" s="1"/>
  <c r="BH47" i="14" a="1"/>
  <c r="BH47" i="14" s="1"/>
  <c r="K27" i="13" a="1"/>
  <c r="K27" i="13" s="1"/>
  <c r="L27" i="13" a="1"/>
  <c r="L27" i="13" s="1"/>
  <c r="H35" i="13" a="1"/>
  <c r="H35" i="13" s="1"/>
  <c r="AB40" i="13"/>
  <c r="AB41" i="13"/>
  <c r="AB42" i="13"/>
  <c r="AB43" i="13"/>
  <c r="AB62" i="13"/>
  <c r="AB63" i="13"/>
  <c r="AB64" i="13" s="1"/>
  <c r="AB76" i="13"/>
  <c r="AB79" i="13"/>
  <c r="H84" i="13" a="1"/>
  <c r="H84" i="13" s="1"/>
  <c r="AB99" i="13"/>
  <c r="AB27" i="14" a="1"/>
  <c r="AB27" i="14" s="1"/>
  <c r="BH37" i="14" a="1"/>
  <c r="BH37" i="14" s="1"/>
  <c r="BH53" i="14" a="1"/>
  <c r="BH53" i="14" s="1"/>
  <c r="BH56" i="14" a="1"/>
  <c r="BH56" i="14" s="1"/>
  <c r="AB47" i="15"/>
  <c r="AB49" i="15"/>
  <c r="AB51" i="15"/>
  <c r="AB62" i="15"/>
  <c r="AB75" i="15"/>
  <c r="AB77" i="15"/>
  <c r="AB79" i="15"/>
  <c r="AH84" i="15"/>
  <c r="AL84" i="15"/>
  <c r="AF88" i="15"/>
  <c r="AF102" i="15" s="1"/>
  <c r="AH88" i="15"/>
  <c r="AH102" i="15" s="1"/>
  <c r="AJ88" i="15"/>
  <c r="AJ102" i="15" s="1"/>
  <c r="AL88" i="15"/>
  <c r="AL102" i="15" s="1"/>
  <c r="AN88" i="15"/>
  <c r="AN102" i="15" s="1"/>
  <c r="AP88" i="15"/>
  <c r="AR88" i="15"/>
  <c r="AT88" i="15"/>
  <c r="AV88" i="15"/>
  <c r="AX88" i="15"/>
  <c r="AZ88" i="15"/>
  <c r="BB88" i="15"/>
  <c r="AB90" i="15"/>
  <c r="AB92" i="15"/>
  <c r="AB103" i="15"/>
  <c r="AB105" i="15"/>
  <c r="AB107" i="15"/>
  <c r="AB118" i="15"/>
  <c r="AB147" i="15"/>
  <c r="AB160" i="15"/>
  <c r="AB162" i="15"/>
  <c r="AB164" i="15"/>
  <c r="AB175" i="15"/>
  <c r="AE187" i="15"/>
  <c r="AE201" i="15" s="1"/>
  <c r="AG187" i="15"/>
  <c r="AG201" i="15" s="1"/>
  <c r="AI187" i="15"/>
  <c r="AI201" i="15" s="1"/>
  <c r="AK187" i="15"/>
  <c r="AK201" i="15" s="1"/>
  <c r="AM187" i="15"/>
  <c r="AM201" i="15" s="1"/>
  <c r="AO187" i="15"/>
  <c r="AO201" i="15" s="1"/>
  <c r="AQ187" i="15"/>
  <c r="AQ201" i="15" s="1"/>
  <c r="AS187" i="15"/>
  <c r="AS201" i="15" s="1"/>
  <c r="AU187" i="15"/>
  <c r="AU201" i="15" s="1"/>
  <c r="AW187" i="15"/>
  <c r="AW201" i="15" s="1"/>
  <c r="AY187" i="15"/>
  <c r="AY201" i="15" s="1"/>
  <c r="BA187" i="15"/>
  <c r="BA201" i="15" s="1"/>
  <c r="AB188" i="15"/>
  <c r="AB190" i="15"/>
  <c r="AB192" i="15"/>
  <c r="AB203" i="15"/>
  <c r="AI2" i="16"/>
  <c r="AK2" i="16"/>
  <c r="AM2" i="16"/>
  <c r="AO2" i="16"/>
  <c r="AQ2" i="16"/>
  <c r="AS2" i="16"/>
  <c r="AI2" i="17"/>
  <c r="AK2" i="17"/>
  <c r="AM2" i="17"/>
  <c r="AO2" i="17"/>
  <c r="AQ2" i="17"/>
  <c r="AS2" i="17"/>
  <c r="BI32" i="17" a="1"/>
  <c r="BI32" i="17" s="1"/>
  <c r="BI31" i="17" a="1"/>
  <c r="BI31" i="17" s="1"/>
  <c r="BI38" i="17" a="1"/>
  <c r="BI38" i="17" s="1"/>
  <c r="BI37" i="17" a="1"/>
  <c r="BI37" i="17" s="1"/>
  <c r="BI44" i="17" a="1"/>
  <c r="BI44" i="17" s="1"/>
  <c r="BI43" i="17" a="1"/>
  <c r="BI43" i="17" s="1"/>
  <c r="BI51" i="17" a="1"/>
  <c r="BI51" i="17" s="1"/>
  <c r="BI50" i="17" a="1"/>
  <c r="BI50" i="17" s="1"/>
  <c r="BI66" i="17" a="1"/>
  <c r="BI66" i="17" s="1"/>
  <c r="BI65" i="17" a="1"/>
  <c r="BI65" i="17" s="1"/>
  <c r="AI8" i="18"/>
  <c r="AI2" i="18"/>
  <c r="F54" i="18" a="1"/>
  <c r="F54" i="18" s="1"/>
  <c r="T53" i="18"/>
  <c r="AI2" i="19"/>
  <c r="AK2" i="19"/>
  <c r="AM2" i="19"/>
  <c r="AO2" i="19"/>
  <c r="AQ2" i="19"/>
  <c r="AS2" i="19"/>
  <c r="T40" i="19" a="1"/>
  <c r="T40" i="19" s="1"/>
  <c r="T39" i="19" s="1"/>
  <c r="T38" i="19" a="1"/>
  <c r="T38" i="19" s="1"/>
  <c r="T52" i="19" a="1"/>
  <c r="T52" i="19" s="1"/>
  <c r="T55" i="19" a="1"/>
  <c r="T55" i="19" s="1"/>
  <c r="T54" i="19" s="1"/>
  <c r="T53" i="19" s="1"/>
  <c r="AE2" i="20"/>
  <c r="AG2" i="20"/>
  <c r="AI2" i="20"/>
  <c r="AK2" i="20"/>
  <c r="AM2" i="20"/>
  <c r="AO2" i="20"/>
  <c r="F41" i="20" a="1"/>
  <c r="F41" i="20" s="1"/>
  <c r="F42" i="20" s="1" a="1"/>
  <c r="F42" i="20" s="1"/>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AJ8" i="22"/>
  <c r="AJ2" i="22"/>
  <c r="AT8" i="22"/>
  <c r="AT2" i="22"/>
  <c r="BD2" i="22"/>
  <c r="AF8" i="23"/>
  <c r="AH8" i="23"/>
  <c r="AJ8" i="23"/>
  <c r="I27" i="23" a="1"/>
  <c r="I27" i="23" s="1"/>
  <c r="G27" i="23" a="1"/>
  <c r="G27" i="23" s="1"/>
  <c r="F28" i="23" a="1"/>
  <c r="F28" i="23" s="1"/>
  <c r="AB27" i="23" a="1"/>
  <c r="AB27" i="23" s="1"/>
  <c r="I47" i="23" a="1"/>
  <c r="I47" i="23" s="1"/>
  <c r="G47" i="23" a="1"/>
  <c r="G47" i="23" s="1"/>
  <c r="F48" i="23" a="1"/>
  <c r="F48" i="23" s="1"/>
  <c r="AE8" i="24"/>
  <c r="AG8" i="24"/>
  <c r="AI8" i="24"/>
  <c r="AT2" i="24"/>
  <c r="AT8" i="24"/>
  <c r="AV2" i="24"/>
  <c r="AX2" i="24"/>
  <c r="AZ2" i="24"/>
  <c r="BB2" i="24"/>
  <c r="BD2" i="24"/>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61" i="25" a="1"/>
  <c r="T61" i="25" s="1"/>
  <c r="F29" i="26"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B28" i="26" a="1"/>
  <c r="AB28" i="26" s="1"/>
  <c r="AH50" i="26"/>
  <c r="F28" i="27" a="1"/>
  <c r="F28" i="27" s="1"/>
  <c r="AB27" i="27" a="1"/>
  <c r="AB27" i="27" s="1"/>
  <c r="K27" i="27" a="1"/>
  <c r="K27" i="27" s="1"/>
  <c r="I27" i="27" a="1"/>
  <c r="I27" i="27" s="1"/>
  <c r="G27" i="27" a="1"/>
  <c r="G27" i="27" s="1"/>
  <c r="AH258" i="12"/>
  <c r="AJ258" i="12"/>
  <c r="AJ265" i="12" s="1"/>
  <c r="AH267" i="12"/>
  <c r="AJ267" i="12"/>
  <c r="AK2" i="13"/>
  <c r="AM2" i="13"/>
  <c r="AO2" i="13"/>
  <c r="AQ2" i="13"/>
  <c r="AS2" i="13"/>
  <c r="AB27" i="13" a="1"/>
  <c r="AB27" i="13" s="1"/>
  <c r="BH35" i="13" a="1"/>
  <c r="BH35" i="13" s="1"/>
  <c r="AB55" i="13"/>
  <c r="H62" i="13" a="1"/>
  <c r="H62" i="13" s="1"/>
  <c r="BH84" i="13" a="1"/>
  <c r="BH84" i="13" s="1"/>
  <c r="H99" i="13" a="1"/>
  <c r="H99" i="13" s="1"/>
  <c r="AB106" i="13"/>
  <c r="AB107" i="13"/>
  <c r="AB108" i="13" s="1"/>
  <c r="AB31" i="14"/>
  <c r="H37" i="14" a="1"/>
  <c r="H37" i="14" s="1"/>
  <c r="AB44" i="14"/>
  <c r="AB47" i="14"/>
  <c r="H53" i="14" a="1"/>
  <c r="H53" i="14" s="1"/>
  <c r="H56" i="14" a="1"/>
  <c r="H56" i="14" s="1"/>
  <c r="AB27" i="15" a="1"/>
  <c r="AB27" i="15" s="1"/>
  <c r="AB48" i="15"/>
  <c r="AB76" i="15"/>
  <c r="AB91" i="15"/>
  <c r="AB104" i="15"/>
  <c r="AB161" i="15"/>
  <c r="AB189" i="15"/>
  <c r="AB220" i="15"/>
  <c r="AB218" i="15"/>
  <c r="AB216" i="15"/>
  <c r="AB217" i="15"/>
  <c r="F33" i="17" a="1"/>
  <c r="F33" i="17" s="1"/>
  <c r="F31" i="17" a="1"/>
  <c r="F31" i="17" s="1"/>
  <c r="F30" i="17" a="1"/>
  <c r="F30" i="17" s="1"/>
  <c r="H32" i="17" a="1"/>
  <c r="H32" i="17" s="1"/>
  <c r="H31" i="17" a="1"/>
  <c r="H31" i="17" s="1"/>
  <c r="BH32" i="17" a="1"/>
  <c r="BH32" i="17" s="1"/>
  <c r="BH31" i="17" a="1"/>
  <c r="BH31" i="17" s="1"/>
  <c r="H38" i="17" a="1"/>
  <c r="H38" i="17" s="1"/>
  <c r="H37" i="17" a="1"/>
  <c r="H37" i="17" s="1"/>
  <c r="BH38" i="17" a="1"/>
  <c r="BH38" i="17" s="1"/>
  <c r="BH37" i="17" a="1"/>
  <c r="BH37" i="17" s="1"/>
  <c r="H44" i="17" a="1"/>
  <c r="H44" i="17" s="1"/>
  <c r="H43" i="17" a="1"/>
  <c r="H43" i="17" s="1"/>
  <c r="BH44" i="17" a="1"/>
  <c r="BH44" i="17" s="1"/>
  <c r="BH43" i="17" a="1"/>
  <c r="BH43" i="17" s="1"/>
  <c r="F52" i="17" a="1"/>
  <c r="F52" i="17" s="1"/>
  <c r="F50" i="17" a="1"/>
  <c r="F50" i="17" s="1"/>
  <c r="F49" i="17" a="1"/>
  <c r="F49" i="17" s="1"/>
  <c r="H51" i="17" a="1"/>
  <c r="H51" i="17" s="1"/>
  <c r="H50" i="17" a="1"/>
  <c r="H50" i="17" s="1"/>
  <c r="BH51" i="17" a="1"/>
  <c r="BH51" i="17" s="1"/>
  <c r="BH50" i="17" a="1"/>
  <c r="BH50" i="17" s="1"/>
  <c r="H57" i="17" a="1"/>
  <c r="H57" i="17" s="1"/>
  <c r="H56" i="17" a="1"/>
  <c r="H56" i="17" s="1"/>
  <c r="H66" i="17" a="1"/>
  <c r="H66" i="17" s="1"/>
  <c r="H65" i="17" a="1"/>
  <c r="H65" i="17" s="1"/>
  <c r="BH66" i="17" a="1"/>
  <c r="BH66" i="17" s="1"/>
  <c r="BH65" i="17" a="1"/>
  <c r="BH65" i="17" s="1"/>
  <c r="AJ8" i="18"/>
  <c r="AJ2" i="18"/>
  <c r="F28" i="18" a="1"/>
  <c r="F28" i="18" s="1"/>
  <c r="AB27" i="18" a="1"/>
  <c r="AB27" i="18" s="1"/>
  <c r="T27" i="18"/>
  <c r="F28" i="19"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AB27" i="19" a="1"/>
  <c r="AB27" i="19" s="1"/>
  <c r="F33" i="20" a="1"/>
  <c r="F33" i="20" s="1"/>
  <c r="F34" i="20" s="1" a="1"/>
  <c r="F34" i="20" s="1"/>
  <c r="F32" i="21" a="1"/>
  <c r="F32" i="21" s="1"/>
  <c r="F33" i="21" s="1" a="1"/>
  <c r="F33" i="21" s="1"/>
  <c r="F34" i="21" s="1" a="1"/>
  <c r="F34" i="21" s="1"/>
  <c r="F35" i="21" s="1" a="1"/>
  <c r="F35" i="21" s="1"/>
  <c r="F36" i="21" s="1" a="1"/>
  <c r="F36" i="21" s="1"/>
  <c r="F37" i="21" s="1" a="1"/>
  <c r="F37" i="21" s="1"/>
  <c r="F38" i="21" s="1" a="1"/>
  <c r="F38" i="21" s="1"/>
  <c r="F39" i="21" s="1" a="1"/>
  <c r="F39" i="21" s="1"/>
  <c r="F40" i="21" s="1" a="1"/>
  <c r="F40" i="21" s="1"/>
  <c r="F41" i="21" s="1" a="1"/>
  <c r="F41" i="21" s="1"/>
  <c r="F38" i="22" a="1"/>
  <c r="F38" i="22" s="1"/>
  <c r="AT8" i="23"/>
  <c r="AT2" i="23"/>
  <c r="BD2" i="23"/>
  <c r="T37" i="23" a="1"/>
  <c r="T37" i="23" s="1"/>
  <c r="T38" i="23" a="1"/>
  <c r="T38" i="23" s="1"/>
  <c r="T39" i="23" s="1" a="1"/>
  <c r="T39" i="23" s="1"/>
  <c r="T40" i="23" s="1" a="1"/>
  <c r="T40" i="23" s="1"/>
  <c r="T41" i="23" s="1" a="1"/>
  <c r="T41" i="23" s="1"/>
  <c r="T42" i="23" s="1" a="1"/>
  <c r="T42" i="23" s="1"/>
  <c r="T43" i="23" s="1" a="1"/>
  <c r="T43" i="23" s="1"/>
  <c r="T44" i="23" s="1" a="1"/>
  <c r="T44" i="23" s="1"/>
  <c r="T57" i="23" a="1"/>
  <c r="T57" i="23" s="1"/>
  <c r="T58" i="23" a="1"/>
  <c r="T58" i="23" s="1"/>
  <c r="T59" i="23" s="1" a="1"/>
  <c r="T59" i="23" s="1"/>
  <c r="T60" i="23" s="1" a="1"/>
  <c r="T60" i="23" s="1"/>
  <c r="T61" i="23" s="1" a="1"/>
  <c r="T61" i="23" s="1"/>
  <c r="T62" i="23" s="1" a="1"/>
  <c r="T62" i="23" s="1"/>
  <c r="T63" i="23" s="1" a="1"/>
  <c r="T63" i="23" s="1"/>
  <c r="T64" i="23" s="1" a="1"/>
  <c r="T64" i="23" s="1"/>
  <c r="AJ2" i="24"/>
  <c r="AB27" i="24" a="1"/>
  <c r="AB27" i="24" s="1"/>
  <c r="F28" i="24" a="1"/>
  <c r="F28" i="24" s="1"/>
  <c r="M27" i="24" a="1"/>
  <c r="M27" i="24" s="1"/>
  <c r="L27" i="24" a="1"/>
  <c r="L27" i="24" s="1"/>
  <c r="K27" i="24" a="1"/>
  <c r="K27" i="24" s="1"/>
  <c r="J27" i="24" a="1"/>
  <c r="J27" i="24" s="1"/>
  <c r="I27" i="24" a="1"/>
  <c r="I27" i="24" s="1"/>
  <c r="G27" i="24" a="1"/>
  <c r="G27" i="24" s="1"/>
  <c r="T32" i="24" s="1"/>
  <c r="T36" i="24" s="1" a="1"/>
  <c r="T36" i="24" s="1"/>
  <c r="F39" i="24" a="1"/>
  <c r="F39" i="24" s="1"/>
  <c r="K38" i="24"/>
  <c r="F29" i="25" a="1"/>
  <c r="F29" i="25" s="1"/>
  <c r="F30" i="25" s="1" a="1"/>
  <c r="F30" i="25" s="1"/>
  <c r="F31" i="25" s="1" a="1"/>
  <c r="F31" i="25" s="1"/>
  <c r="F32" i="25" s="1" a="1"/>
  <c r="F32" i="25" s="1"/>
  <c r="AB28" i="25" a="1"/>
  <c r="AB28" i="25" s="1"/>
  <c r="F80" i="25" a="1"/>
  <c r="F80" i="25" s="1"/>
  <c r="F81" i="25" s="1" a="1"/>
  <c r="F81" i="25" s="1"/>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AI50" i="26"/>
  <c r="AL50" i="26" s="1"/>
  <c r="AL49" i="26"/>
  <c r="AT14" i="27" a="1"/>
  <c r="AT14" i="27" s="1"/>
  <c r="AT2" i="27"/>
  <c r="AT8" i="27"/>
  <c r="AB27" i="17" a="1"/>
  <c r="AB27" i="17" s="1"/>
  <c r="AB37" i="17"/>
  <c r="AB56" i="17"/>
  <c r="BH56" i="17" a="1"/>
  <c r="BH56" i="17" s="1"/>
  <c r="BI56" i="17" a="1"/>
  <c r="BI56" i="17" s="1"/>
  <c r="BH59" i="17" a="1"/>
  <c r="BH59" i="17" s="1"/>
  <c r="BI59" i="17" a="1"/>
  <c r="BI59" i="17" s="1"/>
  <c r="T52" i="18"/>
  <c r="AB56" i="18"/>
  <c r="AB62" i="18"/>
  <c r="AB68" i="18"/>
  <c r="AB74" i="18"/>
  <c r="AB27" i="20" a="1"/>
  <c r="AB27" i="20" s="1"/>
  <c r="G27" i="21" a="1"/>
  <c r="G27" i="21" s="1"/>
  <c r="I27" i="21" a="1"/>
  <c r="I27" i="21" s="1"/>
  <c r="G51" i="21" a="1"/>
  <c r="G51" i="21" s="1"/>
  <c r="I51" i="21" a="1"/>
  <c r="I51" i="21" s="1"/>
  <c r="AB27" i="22" a="1"/>
  <c r="AB27" i="22" s="1"/>
  <c r="F28" i="22" a="1"/>
  <c r="F28" i="22" s="1"/>
  <c r="G36" i="22" a="1"/>
  <c r="G36" i="22" s="1"/>
  <c r="I36" i="22" a="1"/>
  <c r="I36" i="22" s="1"/>
  <c r="AJ2" i="23"/>
  <c r="AV2" i="23"/>
  <c r="AX2" i="23"/>
  <c r="AZ2" i="23"/>
  <c r="BB2" i="23"/>
  <c r="AJ8" i="24"/>
  <c r="AV8" i="24"/>
  <c r="AX8" i="24"/>
  <c r="AZ8" i="24"/>
  <c r="BB8" i="24"/>
  <c r="AL30" i="26"/>
  <c r="AL36" i="26"/>
  <c r="AL44" i="26"/>
  <c r="AH49" i="26"/>
  <c r="AF8" i="27"/>
  <c r="AH8" i="27"/>
  <c r="AJ8" i="27"/>
  <c r="AV8" i="27"/>
  <c r="AX8" i="27"/>
  <c r="AZ8" i="27"/>
  <c r="BB8" i="27"/>
  <c r="K27" i="28" a="1"/>
  <c r="K27" i="28" s="1"/>
  <c r="T75" i="28" a="1"/>
  <c r="T75" i="28" s="1"/>
  <c r="T76" i="28" s="1" a="1"/>
  <c r="T76" i="28" s="1"/>
  <c r="T77" i="28" s="1" a="1"/>
  <c r="T77" i="28" s="1"/>
  <c r="T78" i="28" s="1" a="1"/>
  <c r="T78" i="28" s="1"/>
  <c r="T79" i="28" s="1" a="1"/>
  <c r="T79" i="28" s="1"/>
  <c r="T80" i="28" s="1" a="1"/>
  <c r="T80" i="28" s="1"/>
  <c r="T81" i="28" s="1" a="1"/>
  <c r="T81" i="28" s="1"/>
  <c r="T93" i="28" a="1"/>
  <c r="T93" i="28" s="1"/>
  <c r="T142" i="28" a="1"/>
  <c r="T142" i="28" s="1"/>
  <c r="T143" i="28" s="1" a="1"/>
  <c r="T143" i="28" s="1"/>
  <c r="T144" i="28" s="1" a="1"/>
  <c r="T144" i="28" s="1"/>
  <c r="T145" i="28" s="1" a="1"/>
  <c r="T145" i="28" s="1"/>
  <c r="T146" i="28" s="1" a="1"/>
  <c r="T146" i="28" s="1"/>
  <c r="T147" i="28" s="1" a="1"/>
  <c r="T147" i="28" s="1"/>
  <c r="T148" i="28" s="1" a="1"/>
  <c r="T148" i="28" s="1"/>
  <c r="T160" i="28" a="1"/>
  <c r="T160" i="28" s="1"/>
  <c r="AB27" i="16" a="1"/>
  <c r="AB27" i="16" s="1"/>
  <c r="AB31" i="17"/>
  <c r="AB43" i="17"/>
  <c r="AB50" i="17"/>
  <c r="H59" i="17" a="1"/>
  <c r="H59" i="17" s="1"/>
  <c r="AB65" i="17"/>
  <c r="AB31" i="18"/>
  <c r="AB37" i="18"/>
  <c r="AB43" i="18"/>
  <c r="AB49" i="18"/>
  <c r="AB27" i="21" a="1"/>
  <c r="AB27" i="21" s="1"/>
  <c r="G27" i="22" a="1"/>
  <c r="G27" i="22" s="1"/>
  <c r="G37" i="24" a="1"/>
  <c r="G37" i="24" s="1"/>
  <c r="T42" i="24" s="1"/>
  <c r="T46" i="24" s="1" a="1"/>
  <c r="T46" i="24" s="1"/>
  <c r="I37" i="24" a="1"/>
  <c r="I37" i="24" s="1"/>
  <c r="J37" i="24" a="1"/>
  <c r="J37" i="24" s="1"/>
  <c r="K37" i="24" a="1"/>
  <c r="K37" i="24" s="1"/>
  <c r="L37" i="24" a="1"/>
  <c r="L37" i="24" s="1"/>
  <c r="M37" i="24" a="1"/>
  <c r="M37" i="24" s="1"/>
  <c r="AG120" i="25"/>
  <c r="AJ2" i="27"/>
  <c r="AV2" i="27"/>
  <c r="AX2" i="27"/>
  <c r="AZ2" i="27"/>
  <c r="BB2" i="27"/>
  <c r="BD2" i="27"/>
  <c r="AE8" i="27"/>
  <c r="AG8" i="27"/>
  <c r="AI8" i="27"/>
  <c r="AK8" i="27"/>
  <c r="AM8" i="27"/>
  <c r="AO8" i="27"/>
  <c r="AQ8" i="27"/>
  <c r="AS8" i="27"/>
  <c r="AU8" i="27"/>
  <c r="AW8" i="27"/>
  <c r="AY8" i="27"/>
  <c r="BA8" i="27"/>
  <c r="BC8" i="27"/>
  <c r="K82" i="27" a="1"/>
  <c r="K82" i="27" s="1"/>
  <c r="I82" i="27" a="1"/>
  <c r="I82" i="27" s="1"/>
  <c r="G82" i="27" a="1"/>
  <c r="G82" i="27" s="1"/>
  <c r="F83" i="27" a="1"/>
  <c r="F83" i="27" s="1"/>
  <c r="AK8" i="28"/>
  <c r="AB27" i="28" a="1"/>
  <c r="AB27" i="28" s="1"/>
  <c r="F28" i="28" a="1"/>
  <c r="F28" i="28" s="1"/>
  <c r="F29" i="28" s="1" a="1"/>
  <c r="F29" i="28" s="1"/>
  <c r="F30" i="28" s="1" a="1"/>
  <c r="F30" i="28" s="1"/>
  <c r="M28" i="28" a="1"/>
  <c r="M28" i="28" s="1"/>
  <c r="M95" i="28" a="1"/>
  <c r="M95" i="28" s="1"/>
  <c r="F95" i="28" a="1"/>
  <c r="F95" i="28" s="1"/>
  <c r="F96" i="28" s="1" a="1"/>
  <c r="F96" i="28" s="1"/>
  <c r="F97" i="28" s="1" a="1"/>
  <c r="F97" i="28" s="1"/>
  <c r="I94" i="28" a="1"/>
  <c r="I94" i="28" s="1"/>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K41" i="29" a="1"/>
  <c r="K41" i="29" s="1"/>
  <c r="I41" i="29" a="1"/>
  <c r="I41" i="29" s="1"/>
  <c r="G41" i="29" a="1"/>
  <c r="G41" i="29" s="1"/>
  <c r="AF52" i="31"/>
  <c r="AF50" i="31"/>
  <c r="AF51" i="31" s="1"/>
  <c r="AH52" i="31"/>
  <c r="AH50" i="31"/>
  <c r="AH51" i="31" s="1"/>
  <c r="AJ52" i="31"/>
  <c r="AJ50" i="31"/>
  <c r="AJ51" i="31" s="1"/>
  <c r="AL52" i="31"/>
  <c r="AL50" i="31"/>
  <c r="AL51" i="31" s="1"/>
  <c r="AN52" i="31"/>
  <c r="AN50" i="31"/>
  <c r="AN51" i="31" s="1"/>
  <c r="AP52" i="31"/>
  <c r="AP50" i="31"/>
  <c r="AP51" i="31" s="1"/>
  <c r="AR52" i="31"/>
  <c r="AR50" i="31"/>
  <c r="AR51" i="31" s="1"/>
  <c r="AT52" i="31"/>
  <c r="AT50" i="31"/>
  <c r="AT51" i="31" s="1"/>
  <c r="AV52" i="31"/>
  <c r="AV50" i="31"/>
  <c r="AV51" i="31" s="1"/>
  <c r="AX52" i="31"/>
  <c r="AX50" i="31"/>
  <c r="AX51" i="31" s="1"/>
  <c r="AE79" i="31"/>
  <c r="AE77" i="31"/>
  <c r="AE78" i="31" s="1"/>
  <c r="AG79" i="31"/>
  <c r="AG77" i="31"/>
  <c r="AG78" i="31" s="1"/>
  <c r="AI79" i="31"/>
  <c r="AI77" i="31"/>
  <c r="AI78" i="31" s="1"/>
  <c r="AK79" i="31"/>
  <c r="AK77" i="31"/>
  <c r="AK78" i="31" s="1"/>
  <c r="AM79" i="31"/>
  <c r="AM77" i="31"/>
  <c r="AM78" i="31" s="1"/>
  <c r="AO79" i="31"/>
  <c r="AO77" i="31"/>
  <c r="AO78" i="31" s="1"/>
  <c r="AQ79" i="31"/>
  <c r="AQ77" i="31"/>
  <c r="AQ78" i="31" s="1"/>
  <c r="AS79" i="31"/>
  <c r="AS77" i="31"/>
  <c r="AS78" i="31" s="1"/>
  <c r="AU79" i="31"/>
  <c r="AU77" i="31"/>
  <c r="AU78" i="31" s="1"/>
  <c r="AW79" i="31"/>
  <c r="AW77" i="31"/>
  <c r="AW78" i="31" s="1"/>
  <c r="AK2" i="28"/>
  <c r="AF8" i="28"/>
  <c r="AH8" i="28"/>
  <c r="AJ8" i="28"/>
  <c r="G27" i="28" a="1"/>
  <c r="G27" i="28" s="1"/>
  <c r="I27" i="28" a="1"/>
  <c r="I27" i="28" s="1"/>
  <c r="K27" i="29" a="1"/>
  <c r="K27" i="29" s="1"/>
  <c r="F28" i="30" a="1"/>
  <c r="F28" i="30" s="1"/>
  <c r="AB27" i="30" a="1"/>
  <c r="AB27" i="30" s="1"/>
  <c r="T27" i="30"/>
  <c r="K27" i="30" a="1"/>
  <c r="K27" i="30" s="1"/>
  <c r="I27" i="30" a="1"/>
  <c r="I27" i="30" s="1"/>
  <c r="G27" i="30" a="1"/>
  <c r="G27" i="30" s="1"/>
  <c r="F52" i="30" a="1"/>
  <c r="F52" i="30" s="1"/>
  <c r="T51" i="30"/>
  <c r="K51" i="30" a="1"/>
  <c r="K51" i="30" s="1"/>
  <c r="I51" i="30" a="1"/>
  <c r="I51" i="30" s="1"/>
  <c r="G51" i="30" a="1"/>
  <c r="G51" i="30" s="1"/>
  <c r="AO8" i="31"/>
  <c r="AO2" i="31"/>
  <c r="K27" i="31" a="1"/>
  <c r="K27" i="31" s="1"/>
  <c r="AE52" i="31"/>
  <c r="AE50" i="31"/>
  <c r="AE51" i="31" s="1"/>
  <c r="AG52" i="31"/>
  <c r="AG50" i="31"/>
  <c r="AG51" i="31" s="1"/>
  <c r="AI52" i="31"/>
  <c r="AI50" i="31"/>
  <c r="AI51" i="31" s="1"/>
  <c r="AK52" i="31"/>
  <c r="AK50" i="31"/>
  <c r="AK51" i="31" s="1"/>
  <c r="AM52" i="31"/>
  <c r="AM50" i="31"/>
  <c r="AM51" i="31" s="1"/>
  <c r="AO52" i="31"/>
  <c r="AO50" i="31"/>
  <c r="AO51" i="31" s="1"/>
  <c r="AQ52" i="31"/>
  <c r="AQ50" i="31"/>
  <c r="AQ51" i="31" s="1"/>
  <c r="AS52" i="31"/>
  <c r="AS50" i="31"/>
  <c r="AS51" i="31" s="1"/>
  <c r="AU52" i="31"/>
  <c r="AU50" i="31"/>
  <c r="AU51" i="31" s="1"/>
  <c r="AW52" i="31"/>
  <c r="AW50" i="31"/>
  <c r="AW51" i="31" s="1"/>
  <c r="M55" i="31" a="1"/>
  <c r="M55" i="31" s="1"/>
  <c r="F55" i="31" a="1"/>
  <c r="F55" i="31" s="1"/>
  <c r="T54" i="31"/>
  <c r="K54" i="31" a="1"/>
  <c r="K54" i="31" s="1"/>
  <c r="I54" i="31" a="1"/>
  <c r="I54" i="31" s="1"/>
  <c r="G54" i="31" a="1"/>
  <c r="G54" i="31" s="1"/>
  <c r="AF79" i="31"/>
  <c r="AF77" i="31"/>
  <c r="AF78" i="31" s="1"/>
  <c r="AH79" i="31"/>
  <c r="AH77" i="31"/>
  <c r="AH78" i="31" s="1"/>
  <c r="AJ79" i="31"/>
  <c r="AJ77" i="31"/>
  <c r="AJ78" i="31" s="1"/>
  <c r="AL79" i="31"/>
  <c r="AL77" i="31"/>
  <c r="AL78" i="31" s="1"/>
  <c r="AN79" i="31"/>
  <c r="AN77" i="31"/>
  <c r="AN78" i="31" s="1"/>
  <c r="AP79" i="31"/>
  <c r="AP77" i="31"/>
  <c r="AP78" i="31" s="1"/>
  <c r="AR79" i="31"/>
  <c r="AR77" i="31"/>
  <c r="AR78" i="31" s="1"/>
  <c r="AT79" i="31"/>
  <c r="AT77" i="31"/>
  <c r="AT78" i="31" s="1"/>
  <c r="AV79" i="31"/>
  <c r="AV77" i="31"/>
  <c r="AV78" i="31" s="1"/>
  <c r="AX79" i="31"/>
  <c r="AX77" i="31"/>
  <c r="AX78" i="31" s="1"/>
  <c r="AI2" i="32"/>
  <c r="AK2" i="32"/>
  <c r="AM2" i="32"/>
  <c r="AO2" i="32"/>
  <c r="AQ2" i="32"/>
  <c r="AS2" i="32"/>
  <c r="AB27" i="29" a="1"/>
  <c r="AB27" i="29" s="1"/>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T27" i="31"/>
  <c r="AB27" i="31" a="1"/>
  <c r="AB27" i="31" s="1"/>
  <c r="F28" i="31" a="1"/>
  <c r="F28" i="31" s="1"/>
  <c r="M28" i="31" a="1"/>
  <c r="M28" i="31" s="1"/>
  <c r="AB29" i="32" a="1"/>
  <c r="AB29" i="32" s="1"/>
  <c r="AE12" i="33" a="1"/>
  <c r="AE12" i="33" s="1"/>
  <c r="G27" i="29" a="1"/>
  <c r="G27" i="29" s="1"/>
  <c r="I27" i="29" a="1"/>
  <c r="I27" i="29" s="1"/>
  <c r="AF2" i="31"/>
  <c r="AH2" i="31"/>
  <c r="AJ2" i="31"/>
  <c r="AL2" i="31"/>
  <c r="AN2" i="31"/>
  <c r="G27" i="31" a="1"/>
  <c r="G27" i="31" s="1"/>
  <c r="I27" i="31" a="1"/>
  <c r="I27" i="31" s="1"/>
  <c r="BN25" i="33"/>
  <c r="BN2" i="33"/>
  <c r="BP2" i="33"/>
  <c r="BR2" i="33"/>
  <c r="BT25" i="33"/>
  <c r="BT2" i="33"/>
  <c r="BV2" i="33"/>
  <c r="BX2" i="33"/>
  <c r="BZ25" i="33"/>
  <c r="BZ2" i="33"/>
  <c r="CB2" i="33"/>
  <c r="CD2" i="33"/>
  <c r="CF25" i="33"/>
  <c r="CF2" i="33"/>
  <c r="CH2" i="33"/>
  <c r="CJ2" i="33"/>
  <c r="CL25" i="33"/>
  <c r="CL2" i="33"/>
  <c r="CN2" i="33"/>
  <c r="CP2" i="33"/>
  <c r="CR25" i="33"/>
  <c r="CR2" i="33"/>
  <c r="CT2" i="33"/>
  <c r="CV2" i="33"/>
  <c r="CX25" i="33"/>
  <c r="CX2" i="33"/>
  <c r="CZ2" i="33"/>
  <c r="DB2" i="33"/>
  <c r="DD25" i="33"/>
  <c r="DD2" i="33"/>
  <c r="DF2" i="33"/>
  <c r="DH2" i="33"/>
  <c r="DJ25" i="33"/>
  <c r="DJ2" i="33"/>
  <c r="DL2" i="33"/>
  <c r="DN2" i="33"/>
  <c r="DP25" i="33"/>
  <c r="DP2" i="33"/>
  <c r="DR2" i="33"/>
  <c r="DT2" i="33"/>
  <c r="DV25" i="33"/>
  <c r="DV2" i="33"/>
  <c r="DX2" i="33"/>
  <c r="DZ2" i="33"/>
  <c r="EB25" i="33"/>
  <c r="EB2" i="33"/>
  <c r="ED2" i="33"/>
  <c r="EF2" i="33"/>
  <c r="EH25" i="33"/>
  <c r="EH2" i="33"/>
  <c r="EJ2" i="33"/>
  <c r="EL2" i="33"/>
  <c r="EN25" i="33"/>
  <c r="EN2" i="33"/>
  <c r="EP2" i="33"/>
  <c r="ER2" i="33"/>
  <c r="ET25" i="33"/>
  <c r="ET2" i="33"/>
  <c r="EV2" i="33"/>
  <c r="EX2" i="33"/>
  <c r="EZ25" i="33"/>
  <c r="EZ2" i="33"/>
  <c r="FB2" i="33"/>
  <c r="FD2" i="33"/>
  <c r="FF25" i="33"/>
  <c r="FF2" i="33"/>
  <c r="FH2" i="33"/>
  <c r="FJ2" i="33"/>
  <c r="FL25" i="33"/>
  <c r="FL2" i="33"/>
  <c r="FN2" i="33"/>
  <c r="FP2" i="33"/>
  <c r="FR25" i="33"/>
  <c r="FR2" i="33"/>
  <c r="FT2" i="33"/>
  <c r="FV2" i="33"/>
  <c r="AD8" i="33"/>
  <c r="AH8" i="33"/>
  <c r="AL8" i="33"/>
  <c r="AP8" i="33"/>
  <c r="AT8" i="33"/>
  <c r="AX8" i="33"/>
  <c r="BB8" i="33"/>
  <c r="BF8" i="33"/>
  <c r="BJ8" i="33"/>
  <c r="BN8" i="33"/>
  <c r="BR8" i="33"/>
  <c r="BV8" i="33"/>
  <c r="BZ8" i="33"/>
  <c r="CD8" i="33"/>
  <c r="CH8" i="33"/>
  <c r="CL8" i="33"/>
  <c r="CP8" i="33"/>
  <c r="CT8" i="33"/>
  <c r="CX8" i="33"/>
  <c r="DB8" i="33"/>
  <c r="DF8" i="33"/>
  <c r="DJ8" i="33"/>
  <c r="DN8" i="33"/>
  <c r="DR8" i="33"/>
  <c r="DV8" i="33"/>
  <c r="DZ8" i="33"/>
  <c r="ED8" i="33"/>
  <c r="EH8" i="33"/>
  <c r="EL8" i="33"/>
  <c r="EP8" i="33"/>
  <c r="ET8" i="33"/>
  <c r="EX8" i="33"/>
  <c r="FB8" i="33"/>
  <c r="FF8" i="33"/>
  <c r="FJ8" i="33"/>
  <c r="FN8" i="33"/>
  <c r="FR8" i="33"/>
  <c r="FV8" i="33"/>
  <c r="AD12" i="33" a="1"/>
  <c r="AD12" i="33" s="1"/>
  <c r="AJ12" i="33" a="1"/>
  <c r="AJ12" i="33" s="1"/>
  <c r="AP12" i="33" a="1"/>
  <c r="AP12" i="33" s="1"/>
  <c r="AV12" i="33" a="1"/>
  <c r="AV12" i="33" s="1"/>
  <c r="BB12" i="33" a="1"/>
  <c r="BB12" i="33" s="1"/>
  <c r="BH12" i="33" a="1"/>
  <c r="BH12" i="33" s="1"/>
  <c r="BN12" i="33" a="1"/>
  <c r="BN12" i="33" s="1"/>
  <c r="BP12" i="33" a="1"/>
  <c r="BP12" i="33" s="1"/>
  <c r="BR12" i="33" a="1"/>
  <c r="BR12" i="33" s="1"/>
  <c r="BT12" i="33" a="1"/>
  <c r="BT12" i="33" s="1"/>
  <c r="BV12" i="33" a="1"/>
  <c r="BV12" i="33" s="1"/>
  <c r="BX12" i="33" a="1"/>
  <c r="BX12" i="33" s="1"/>
  <c r="BZ12" i="33" a="1"/>
  <c r="BZ12" i="33" s="1"/>
  <c r="CB12" i="33" a="1"/>
  <c r="CB12" i="33" s="1"/>
  <c r="CD12" i="33" a="1"/>
  <c r="CD12" i="33" s="1"/>
  <c r="CF12" i="33" a="1"/>
  <c r="CF12" i="33" s="1"/>
  <c r="CH12" i="33" a="1"/>
  <c r="CH12" i="33" s="1"/>
  <c r="CJ12" i="33" a="1"/>
  <c r="CJ12" i="33" s="1"/>
  <c r="CL12" i="33" a="1"/>
  <c r="CL12" i="33" s="1"/>
  <c r="CN12" i="33" a="1"/>
  <c r="CN12" i="33" s="1"/>
  <c r="CP12" i="33" a="1"/>
  <c r="CP12" i="33" s="1"/>
  <c r="CR12" i="33" a="1"/>
  <c r="CR12" i="33" s="1"/>
  <c r="CT12" i="33" a="1"/>
  <c r="CT12" i="33" s="1"/>
  <c r="CV12" i="33" a="1"/>
  <c r="CV12" i="33" s="1"/>
  <c r="CX12" i="33" a="1"/>
  <c r="CX12" i="33" s="1"/>
  <c r="CZ12" i="33" a="1"/>
  <c r="CZ12" i="33" s="1"/>
  <c r="DB12" i="33" a="1"/>
  <c r="DB12" i="33" s="1"/>
  <c r="DD12" i="33" a="1"/>
  <c r="DD12" i="33" s="1"/>
  <c r="DF12" i="33" a="1"/>
  <c r="DF12" i="33" s="1"/>
  <c r="DH12" i="33" a="1"/>
  <c r="DH12" i="33" s="1"/>
  <c r="DJ12" i="33" a="1"/>
  <c r="DJ12" i="33" s="1"/>
  <c r="DL12" i="33" a="1"/>
  <c r="DL12" i="33" s="1"/>
  <c r="DN12" i="33" a="1"/>
  <c r="DN12" i="33" s="1"/>
  <c r="DP12" i="33" a="1"/>
  <c r="DP12" i="33" s="1"/>
  <c r="DR12" i="33" a="1"/>
  <c r="DR12" i="33" s="1"/>
  <c r="DT12" i="33" a="1"/>
  <c r="DT12" i="33" s="1"/>
  <c r="DV12" i="33" a="1"/>
  <c r="DV12" i="33" s="1"/>
  <c r="DX12" i="33" a="1"/>
  <c r="DX12" i="33" s="1"/>
  <c r="DZ12" i="33" a="1"/>
  <c r="DZ12" i="33" s="1"/>
  <c r="EB12" i="33" a="1"/>
  <c r="EB12" i="33" s="1"/>
  <c r="ED12" i="33" a="1"/>
  <c r="ED12" i="33" s="1"/>
  <c r="EF12" i="33" a="1"/>
  <c r="EF12" i="33" s="1"/>
  <c r="EH12" i="33" a="1"/>
  <c r="EH12" i="33" s="1"/>
  <c r="EJ12" i="33" a="1"/>
  <c r="EJ12" i="33" s="1"/>
  <c r="EL12" i="33" a="1"/>
  <c r="EL12" i="33" s="1"/>
  <c r="EN12" i="33" a="1"/>
  <c r="EN12" i="33" s="1"/>
  <c r="EP12" i="33" a="1"/>
  <c r="EP12" i="33" s="1"/>
  <c r="ER12" i="33" a="1"/>
  <c r="ER12" i="33" s="1"/>
  <c r="ET12" i="33" a="1"/>
  <c r="ET12" i="33" s="1"/>
  <c r="EV12" i="33" a="1"/>
  <c r="EV12" i="33" s="1"/>
  <c r="EX12" i="33" a="1"/>
  <c r="EX12" i="33" s="1"/>
  <c r="EZ12" i="33" a="1"/>
  <c r="EZ12" i="33" s="1"/>
  <c r="FB12" i="33" a="1"/>
  <c r="FB12" i="33" s="1"/>
  <c r="FD12" i="33" a="1"/>
  <c r="FD12" i="33" s="1"/>
  <c r="FF12" i="33" a="1"/>
  <c r="FF12" i="33" s="1"/>
  <c r="FH12" i="33" a="1"/>
  <c r="FH12" i="33" s="1"/>
  <c r="FJ12" i="33" a="1"/>
  <c r="FJ12" i="33" s="1"/>
  <c r="FL12" i="33" a="1"/>
  <c r="FL12" i="33" s="1"/>
  <c r="FN12" i="33" a="1"/>
  <c r="FN12" i="33" s="1"/>
  <c r="FP12" i="33" a="1"/>
  <c r="FP12" i="33" s="1"/>
  <c r="FR12" i="33" a="1"/>
  <c r="FR12" i="33" s="1"/>
  <c r="FT12" i="33" a="1"/>
  <c r="FT12" i="33" s="1"/>
  <c r="FV12" i="33" a="1"/>
  <c r="FV12" i="33" s="1"/>
  <c r="F29" i="33" a="1"/>
  <c r="F29" i="33" s="1"/>
  <c r="F30" i="33" s="1" a="1"/>
  <c r="F30" i="33" s="1"/>
  <c r="AD28" i="33"/>
  <c r="R28" i="33" a="1"/>
  <c r="R28" i="33" s="1"/>
  <c r="G28" i="33" a="1"/>
  <c r="G28" i="33" s="1"/>
  <c r="FU8" i="33"/>
  <c r="F75" i="33" a="1"/>
  <c r="F75" i="33" s="1"/>
  <c r="F76" i="33" s="1" a="1"/>
  <c r="F76" i="33" s="1"/>
  <c r="AD74" i="33"/>
  <c r="R74" i="33" a="1"/>
  <c r="R74" i="33" s="1"/>
  <c r="G74" i="33" a="1"/>
  <c r="G74" i="33" s="1"/>
  <c r="AK35" i="34"/>
  <c r="F36" i="34" a="1"/>
  <c r="F36" i="34" s="1"/>
  <c r="F37" i="34" s="1" a="1"/>
  <c r="F37" i="34" s="1"/>
  <c r="AN30" i="34" a="1"/>
  <c r="AN30" i="34" s="1"/>
  <c r="B30" i="34"/>
  <c r="AB30" i="34"/>
  <c r="AD31" i="34"/>
  <c r="B36" i="34"/>
  <c r="AB36" i="34"/>
  <c r="AK36" i="34"/>
  <c r="AN36" i="34" a="1"/>
  <c r="AN36" i="34" s="1"/>
  <c r="B38" i="34"/>
  <c r="AB38" i="34"/>
  <c r="AN38" i="34" a="1"/>
  <c r="AN38" i="34" s="1"/>
  <c r="B40" i="34"/>
  <c r="AB40" i="34"/>
  <c r="B42" i="34"/>
  <c r="AB42" i="34"/>
  <c r="B44" i="34"/>
  <c r="AB44" i="34"/>
  <c r="B46" i="34"/>
  <c r="AB46" i="34"/>
  <c r="B48" i="34"/>
  <c r="AB48" i="34"/>
  <c r="B50" i="34"/>
  <c r="AB50" i="34"/>
  <c r="B52" i="34"/>
  <c r="AB52" i="34"/>
  <c r="B54" i="34"/>
  <c r="AB54" i="34"/>
  <c r="B56" i="34"/>
  <c r="AB56" i="34"/>
  <c r="B58" i="34"/>
  <c r="AB58" i="34"/>
  <c r="B60" i="34"/>
  <c r="AB60" i="34"/>
  <c r="B62" i="34"/>
  <c r="AB62" i="34"/>
  <c r="AN63" i="34" a="1"/>
  <c r="AN63" i="34" s="1"/>
  <c r="AB63" i="34"/>
  <c r="B63" i="34"/>
  <c r="AN65" i="34" a="1"/>
  <c r="AN65" i="34" s="1"/>
  <c r="AB65" i="34"/>
  <c r="B65" i="34"/>
  <c r="AN67" i="34" a="1"/>
  <c r="AN67" i="34" s="1"/>
  <c r="AB67" i="34"/>
  <c r="B67" i="34"/>
  <c r="AN69" i="34" a="1"/>
  <c r="AN69" i="34" s="1"/>
  <c r="AB69" i="34"/>
  <c r="B69" i="34"/>
  <c r="AN71" i="34" a="1"/>
  <c r="AN71" i="34" s="1"/>
  <c r="AB71" i="34"/>
  <c r="B71" i="34"/>
  <c r="F88" i="34" a="1"/>
  <c r="F88" i="34" s="1"/>
  <c r="F89" i="34" s="1" a="1"/>
  <c r="F89" i="34" s="1"/>
  <c r="AK87" i="34"/>
  <c r="B73" i="34"/>
  <c r="AB73" i="34"/>
  <c r="AN81" i="34" a="1"/>
  <c r="AN81" i="34" s="1"/>
  <c r="AB81" i="34"/>
  <c r="AB83" i="34"/>
  <c r="B83" i="34"/>
  <c r="AB85" i="34"/>
  <c r="B85" i="34"/>
  <c r="AN92" i="34" a="1"/>
  <c r="AN92" i="34" s="1"/>
  <c r="AB92" i="34"/>
  <c r="B92" i="34"/>
  <c r="AN94" i="34" a="1"/>
  <c r="AN94" i="34" s="1"/>
  <c r="AB94" i="34"/>
  <c r="B94" i="34"/>
  <c r="AN96" i="34" a="1"/>
  <c r="AN96" i="34" s="1"/>
  <c r="AB96" i="34"/>
  <c r="B96" i="34"/>
  <c r="AN74" i="34" a="1"/>
  <c r="AN74" i="34" s="1"/>
  <c r="AB74" i="34"/>
  <c r="AN76" i="34" a="1"/>
  <c r="AN76" i="34" s="1"/>
  <c r="AB76" i="34"/>
  <c r="B76" i="34"/>
  <c r="AN78" i="34" a="1"/>
  <c r="AN78" i="34" s="1"/>
  <c r="AB78" i="34"/>
  <c r="B78" i="34"/>
  <c r="AB84" i="34"/>
  <c r="B84" i="34"/>
  <c r="AN86" i="34" a="1"/>
  <c r="AN86" i="34" s="1"/>
  <c r="AK86" i="34"/>
  <c r="AB86" i="34"/>
  <c r="B86" i="34"/>
  <c r="AN88" i="34" a="1"/>
  <c r="AN88" i="34" s="1"/>
  <c r="AK88" i="34"/>
  <c r="AB88" i="34"/>
  <c r="B88" i="34"/>
  <c r="AN90" i="34" a="1"/>
  <c r="AN90" i="34" s="1"/>
  <c r="AB90" i="34"/>
  <c r="B90" i="34"/>
  <c r="AN110" i="34" a="1"/>
  <c r="AN110" i="34" s="1"/>
  <c r="AB110" i="34"/>
  <c r="B110" i="34"/>
  <c r="AN112" i="34" a="1"/>
  <c r="AN112" i="34" s="1"/>
  <c r="AB112" i="34"/>
  <c r="B112" i="34"/>
  <c r="AN114" i="34" a="1"/>
  <c r="AN114" i="34" s="1"/>
  <c r="AB114" i="34"/>
  <c r="B114" i="34"/>
  <c r="AN116" i="34" a="1"/>
  <c r="AN116" i="34" s="1"/>
  <c r="AB116" i="34"/>
  <c r="B116" i="34"/>
  <c r="AN118" i="34" a="1"/>
  <c r="AN118" i="34" s="1"/>
  <c r="AB118" i="34"/>
  <c r="B118" i="34"/>
  <c r="AN120" i="34" a="1"/>
  <c r="AN120" i="34" s="1"/>
  <c r="AB120" i="34"/>
  <c r="B120" i="34"/>
  <c r="AN122" i="34" a="1"/>
  <c r="AN122" i="34" s="1"/>
  <c r="AB122" i="34"/>
  <c r="B122" i="34"/>
  <c r="AN124" i="34" a="1"/>
  <c r="AN124" i="34" s="1"/>
  <c r="AB124" i="34"/>
  <c r="B124" i="34"/>
  <c r="AN126" i="34" a="1"/>
  <c r="AN126" i="34" s="1"/>
  <c r="AB126" i="34"/>
  <c r="B126" i="34"/>
  <c r="AN128" i="34" a="1"/>
  <c r="AN128" i="34" s="1"/>
  <c r="AB128" i="34"/>
  <c r="B128" i="34"/>
  <c r="B98" i="34"/>
  <c r="AB98" i="34"/>
  <c r="B100" i="34"/>
  <c r="AB100" i="34"/>
  <c r="B102" i="34"/>
  <c r="AB102" i="34"/>
  <c r="B104" i="34"/>
  <c r="AB104" i="34"/>
  <c r="B106" i="34"/>
  <c r="AB106" i="34"/>
  <c r="B108" i="34"/>
  <c r="AB108" i="34"/>
  <c r="B130" i="34"/>
  <c r="AB130" i="34"/>
  <c r="CK151" i="12" l="1"/>
  <c r="CK150" i="12"/>
  <c r="CK148" i="12"/>
  <c r="BY151" i="12"/>
  <c r="BY150" i="12"/>
  <c r="BY148" i="12"/>
  <c r="BM151" i="12"/>
  <c r="BM150" i="12"/>
  <c r="BM148" i="12"/>
  <c r="BA151" i="12"/>
  <c r="BA150" i="12"/>
  <c r="BA148" i="12"/>
  <c r="AO151" i="12"/>
  <c r="AO150" i="12"/>
  <c r="AO148" i="12"/>
  <c r="CQ40" i="12"/>
  <c r="CQ39" i="12"/>
  <c r="CQ37" i="12"/>
  <c r="CE40" i="12"/>
  <c r="CE39" i="12"/>
  <c r="CE37" i="12"/>
  <c r="BS40" i="12"/>
  <c r="BS39" i="12"/>
  <c r="BS37" i="12"/>
  <c r="BG40" i="12"/>
  <c r="BG39" i="12"/>
  <c r="BG37" i="12"/>
  <c r="AU40" i="12"/>
  <c r="AU39" i="12"/>
  <c r="AU37" i="12"/>
  <c r="CQ151" i="12"/>
  <c r="CQ150" i="12"/>
  <c r="CQ148" i="12"/>
  <c r="CE151" i="12"/>
  <c r="CE150" i="12"/>
  <c r="CE148" i="12"/>
  <c r="BS151" i="12"/>
  <c r="BS150" i="12"/>
  <c r="BS148" i="12"/>
  <c r="BG151" i="12"/>
  <c r="BG150" i="12"/>
  <c r="BG148" i="12"/>
  <c r="AU151" i="12"/>
  <c r="AU150" i="12"/>
  <c r="AU148" i="12"/>
  <c r="CK40" i="12"/>
  <c r="CK39" i="12"/>
  <c r="CK37" i="12"/>
  <c r="BY40" i="12"/>
  <c r="BY39" i="12"/>
  <c r="BY37" i="12"/>
  <c r="BM40" i="12"/>
  <c r="BM39" i="12"/>
  <c r="BM37" i="12"/>
  <c r="BA40" i="12"/>
  <c r="BA39" i="12"/>
  <c r="BA37" i="12"/>
  <c r="AO40" i="12"/>
  <c r="AO39" i="12"/>
  <c r="AO37" i="12"/>
  <c r="T140" i="12" a="1"/>
  <c r="T140" i="12" s="1"/>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F77" i="33" a="1"/>
  <c r="F77" i="33" s="1"/>
  <c r="AD76" i="33" a="1"/>
  <c r="AD76" i="33" s="1"/>
  <c r="M29" i="31" a="1"/>
  <c r="M29" i="31" s="1"/>
  <c r="BI28" i="31" a="1"/>
  <c r="BI28" i="31" s="1"/>
  <c r="F56" i="31" a="1"/>
  <c r="F56" i="31" s="1"/>
  <c r="T55" i="31"/>
  <c r="H91" i="28" a="1"/>
  <c r="H91" i="28" s="1"/>
  <c r="H89" i="28" a="1"/>
  <c r="H89" i="28" s="1"/>
  <c r="H88" i="28" a="1"/>
  <c r="H88" i="28" s="1"/>
  <c r="H86" i="28" a="1"/>
  <c r="H86" i="28" s="1"/>
  <c r="H84" i="28" a="1"/>
  <c r="H84" i="28" s="1"/>
  <c r="H74" i="28" a="1"/>
  <c r="H74" i="28" s="1"/>
  <c r="H73" i="28" a="1"/>
  <c r="H73" i="28" s="1"/>
  <c r="H90" i="28" a="1"/>
  <c r="H90" i="28" s="1"/>
  <c r="H87" i="28" a="1"/>
  <c r="H87" i="28" s="1"/>
  <c r="H82" i="28" a="1"/>
  <c r="H82" i="28" s="1"/>
  <c r="H92" i="28" a="1"/>
  <c r="H92" i="28" s="1"/>
  <c r="H85" i="28" a="1"/>
  <c r="H85" i="28" s="1"/>
  <c r="H83" i="28" a="1"/>
  <c r="H83" i="28" s="1"/>
  <c r="F98" i="28" a="1"/>
  <c r="F98" i="28" s="1"/>
  <c r="F99" i="28" s="1" a="1"/>
  <c r="F99" i="28" s="1"/>
  <c r="M29" i="28" a="1"/>
  <c r="M29" i="28" s="1"/>
  <c r="AS28" i="28" a="1"/>
  <c r="AS28" i="28" s="1"/>
  <c r="F84" i="27" a="1"/>
  <c r="F84" i="27" s="1"/>
  <c r="N83" i="27" a="1"/>
  <c r="N83" i="27" s="1"/>
  <c r="F29" i="22" a="1"/>
  <c r="F29" i="22" s="1"/>
  <c r="F33" i="25" a="1"/>
  <c r="F33" i="25" s="1"/>
  <c r="F34" i="25" s="1" a="1"/>
  <c r="F34" i="25" s="1"/>
  <c r="F40" i="24" a="1"/>
  <c r="F40" i="24" s="1"/>
  <c r="T65" i="23" a="1"/>
  <c r="T65" i="23" s="1"/>
  <c r="T66" i="23" a="1"/>
  <c r="T66" i="23" s="1"/>
  <c r="T45" i="23" a="1"/>
  <c r="T45" i="23" s="1"/>
  <c r="T46" i="23" a="1"/>
  <c r="T46" i="23" s="1"/>
  <c r="F42" i="21" a="1"/>
  <c r="F42" i="21" s="1"/>
  <c r="AJ41" i="21"/>
  <c r="AF41" i="21"/>
  <c r="AK41" i="21"/>
  <c r="AI41" i="21"/>
  <c r="AL41" i="21" s="1"/>
  <c r="AG41" i="21"/>
  <c r="AE41" i="21"/>
  <c r="F29" i="18" a="1"/>
  <c r="F29" i="18" s="1"/>
  <c r="T28" i="18"/>
  <c r="T30" i="17"/>
  <c r="F32" i="17" a="1"/>
  <c r="F32" i="17" s="1"/>
  <c r="A32" i="17" s="1"/>
  <c r="A30" i="17"/>
  <c r="T33" i="17"/>
  <c r="F34" i="17" a="1"/>
  <c r="F34" i="17" s="1"/>
  <c r="G33" i="17"/>
  <c r="F66" i="21" a="1"/>
  <c r="F66" i="21" s="1"/>
  <c r="AJ65" i="21"/>
  <c r="AF65" i="21"/>
  <c r="AK65" i="21"/>
  <c r="AI65" i="21"/>
  <c r="AG65" i="21"/>
  <c r="AE65" i="21"/>
  <c r="BA183" i="15"/>
  <c r="AW183" i="15"/>
  <c r="AS183" i="15"/>
  <c r="AO183" i="15"/>
  <c r="AK183" i="15"/>
  <c r="AG183" i="15"/>
  <c r="AZ102" i="15"/>
  <c r="AZ84" i="15"/>
  <c r="AV102" i="15"/>
  <c r="AV84" i="15"/>
  <c r="AR102" i="15"/>
  <c r="AR84" i="15"/>
  <c r="T43" i="14"/>
  <c r="F45" i="14" a="1"/>
  <c r="F45" i="14" s="1"/>
  <c r="A43" i="14"/>
  <c r="F50" i="14" a="1"/>
  <c r="F50" i="14" s="1"/>
  <c r="T49" i="14"/>
  <c r="T30" i="14"/>
  <c r="F32" i="14" a="1"/>
  <c r="F32" i="14" s="1"/>
  <c r="A32" i="14" s="1"/>
  <c r="A30" i="14"/>
  <c r="F34" i="14" a="1"/>
  <c r="F34" i="14" s="1"/>
  <c r="T33" i="14"/>
  <c r="T36" i="13" a="1"/>
  <c r="T36" i="13" s="1"/>
  <c r="T35" i="13" a="1"/>
  <c r="T35" i="13" s="1"/>
  <c r="AE179" i="12" a="1"/>
  <c r="AE179" i="12" s="1"/>
  <c r="X179" i="12"/>
  <c r="CY175" i="12" a="1"/>
  <c r="CY175" i="12" s="1"/>
  <c r="AK267" i="12"/>
  <c r="AK178" i="12"/>
  <c r="AK164" i="12"/>
  <c r="AK265" i="12" s="1"/>
  <c r="AI245" i="12"/>
  <c r="AI259" i="12"/>
  <c r="S154" i="12" a="1"/>
  <c r="S154" i="12" s="1"/>
  <c r="U153" i="12"/>
  <c r="CO123" i="12"/>
  <c r="CO119" i="12"/>
  <c r="CI123" i="12"/>
  <c r="CI119" i="12"/>
  <c r="CC123" i="12"/>
  <c r="CC119" i="12"/>
  <c r="BW123" i="12"/>
  <c r="BW119" i="12"/>
  <c r="BQ123" i="12"/>
  <c r="BQ119" i="12"/>
  <c r="BK123" i="12"/>
  <c r="BK119" i="12"/>
  <c r="BE123" i="12"/>
  <c r="BE119" i="12"/>
  <c r="AY123" i="12"/>
  <c r="AY119" i="12"/>
  <c r="AS123" i="12"/>
  <c r="AS119" i="12"/>
  <c r="AM123" i="12"/>
  <c r="AM119" i="12"/>
  <c r="AJ126" i="12"/>
  <c r="AH64" i="12"/>
  <c r="AH53" i="12"/>
  <c r="G126" i="12"/>
  <c r="G128" i="12"/>
  <c r="G127" i="12"/>
  <c r="T29" i="12" a="1"/>
  <c r="T29" i="12" s="1"/>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F42" i="12" a="1"/>
  <c r="F42" i="12" s="1"/>
  <c r="F43" i="12" s="1" a="1"/>
  <c r="F43" i="12" s="1"/>
  <c r="F44" i="12" s="1" a="1"/>
  <c r="F44" i="12" s="1"/>
  <c r="F45" i="12" s="1" a="1"/>
  <c r="F45" i="12" s="1"/>
  <c r="F46" i="12" s="1" a="1"/>
  <c r="F46" i="12" s="1"/>
  <c r="F47" i="12" s="1" a="1"/>
  <c r="F47" i="12" s="1"/>
  <c r="F48" i="12" s="1" a="1"/>
  <c r="F48" i="12" s="1"/>
  <c r="F49" i="12" s="1" a="1"/>
  <c r="F49" i="12" s="1"/>
  <c r="F50" i="12" s="1"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AB149" i="10"/>
  <c r="AB147" i="10"/>
  <c r="AB150" i="10"/>
  <c r="AB148" i="10"/>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T90" i="10" s="1"/>
  <c r="T91" i="10" s="1" a="1"/>
  <c r="T91" i="10" s="1"/>
  <c r="T92" i="10" s="1" a="1"/>
  <c r="T92" i="10" s="1"/>
  <c r="T93" i="10" s="1" a="1"/>
  <c r="T93" i="10" s="1"/>
  <c r="T94" i="10" s="1" a="1"/>
  <c r="T94" i="10" s="1"/>
  <c r="T95" i="10" s="1" a="1"/>
  <c r="T95" i="10" s="1"/>
  <c r="A1" i="10"/>
  <c r="B30" i="2" s="1" a="1"/>
  <c r="B30" i="2" s="1"/>
  <c r="H31" i="2" s="1"/>
  <c r="AB30" i="6" a="1"/>
  <c r="AB30" i="6" s="1"/>
  <c r="W30" i="6" a="1"/>
  <c r="W30" i="6" s="1"/>
  <c r="T158" i="10"/>
  <c r="T159" i="10" s="1" a="1"/>
  <c r="T159" i="10" s="1"/>
  <c r="T160" i="10" s="1" a="1"/>
  <c r="T160" i="10" s="1"/>
  <c r="T161" i="10" s="1" a="1"/>
  <c r="T161" i="10" s="1"/>
  <c r="T162" i="10" s="1" a="1"/>
  <c r="T162" i="10" s="1"/>
  <c r="T163" i="10" s="1" a="1"/>
  <c r="T163" i="10" s="1"/>
  <c r="CR256" i="12"/>
  <c r="CR250" i="12"/>
  <c r="CR255" i="12"/>
  <c r="CR167" i="12"/>
  <c r="CR166" i="12"/>
  <c r="CO163" i="12"/>
  <c r="CO162" i="12"/>
  <c r="CL256" i="12"/>
  <c r="CL250" i="12"/>
  <c r="CL255" i="12"/>
  <c r="CL167" i="12"/>
  <c r="CL166" i="12"/>
  <c r="CI162" i="12"/>
  <c r="CF256" i="12"/>
  <c r="CF250" i="12"/>
  <c r="CF255" i="12"/>
  <c r="CF167" i="12"/>
  <c r="CF166" i="12"/>
  <c r="CC163" i="12"/>
  <c r="CC162" i="12"/>
  <c r="BZ256" i="12"/>
  <c r="BZ250" i="12"/>
  <c r="BZ255" i="12"/>
  <c r="BZ167" i="12"/>
  <c r="BZ166" i="12"/>
  <c r="BW162" i="12"/>
  <c r="BT256" i="12"/>
  <c r="BT250" i="12"/>
  <c r="BT255" i="12"/>
  <c r="BT167" i="12"/>
  <c r="BT166" i="12"/>
  <c r="BQ163" i="12"/>
  <c r="BQ162" i="12"/>
  <c r="BN256" i="12"/>
  <c r="BN250" i="12"/>
  <c r="BN255" i="12"/>
  <c r="BN167" i="12"/>
  <c r="BN166" i="12"/>
  <c r="BK162" i="12"/>
  <c r="BH256" i="12"/>
  <c r="BH250" i="12"/>
  <c r="BH255" i="12"/>
  <c r="BH167" i="12"/>
  <c r="BH166" i="12"/>
  <c r="BE163" i="12"/>
  <c r="BE162" i="12"/>
  <c r="BB256" i="12"/>
  <c r="BB250" i="12"/>
  <c r="BB255" i="12"/>
  <c r="BB167" i="12"/>
  <c r="BB166" i="12"/>
  <c r="AY162" i="12"/>
  <c r="AV256" i="12"/>
  <c r="AV250" i="12"/>
  <c r="AV255" i="12"/>
  <c r="AV167" i="12"/>
  <c r="AV166" i="12"/>
  <c r="AS163" i="12"/>
  <c r="AS162" i="12"/>
  <c r="AP256" i="12"/>
  <c r="AP250" i="12"/>
  <c r="AP255" i="12"/>
  <c r="AP167" i="12"/>
  <c r="AP166" i="12"/>
  <c r="AM162" i="12"/>
  <c r="AJ211" i="12"/>
  <c r="AJ254" i="12"/>
  <c r="AJ228" i="12"/>
  <c r="AH256" i="12"/>
  <c r="AH250" i="12"/>
  <c r="AH247" i="12"/>
  <c r="AH229" i="12"/>
  <c r="AH228" i="12" s="1"/>
  <c r="AH259" i="12"/>
  <c r="AH255" i="12"/>
  <c r="AH254" i="12" s="1"/>
  <c r="AH246" i="12"/>
  <c r="AH245" i="12" s="1"/>
  <c r="AH241" i="12"/>
  <c r="AH230" i="12"/>
  <c r="AH224" i="12"/>
  <c r="AH213" i="12"/>
  <c r="AH212" i="12"/>
  <c r="AH211" i="12" s="1"/>
  <c r="AH195" i="12"/>
  <c r="AH207" i="12"/>
  <c r="AH196" i="12"/>
  <c r="AH190" i="12"/>
  <c r="AH238" i="12"/>
  <c r="AH221" i="12"/>
  <c r="AH204" i="12"/>
  <c r="AH187" i="12"/>
  <c r="G259" i="12"/>
  <c r="G261" i="12"/>
  <c r="G260" i="12"/>
  <c r="AK64" i="12"/>
  <c r="AK53" i="12"/>
  <c r="AK131" i="12" s="1"/>
  <c r="F31" i="9" a="1"/>
  <c r="F31" i="9" s="1"/>
  <c r="U30" i="9"/>
  <c r="S24" i="33"/>
  <c r="AW144" i="10"/>
  <c r="AW143" i="10"/>
  <c r="AO144" i="10"/>
  <c r="AO143" i="10"/>
  <c r="AG144" i="10"/>
  <c r="AG143" i="10"/>
  <c r="AV143" i="10"/>
  <c r="AV144" i="10"/>
  <c r="AN143" i="10"/>
  <c r="AN144" i="10"/>
  <c r="AF143" i="10"/>
  <c r="AF144" i="10"/>
  <c r="U57" i="8"/>
  <c r="F58" i="8" a="1"/>
  <c r="F58" i="8" s="1"/>
  <c r="F90" i="34" a="1"/>
  <c r="F90" i="34" s="1"/>
  <c r="AK89" i="34"/>
  <c r="AK37" i="34"/>
  <c r="F38" i="34" a="1"/>
  <c r="F38" i="34" s="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F31" i="33" a="1"/>
  <c r="F31" i="33" s="1"/>
  <c r="AD30" i="33" a="1"/>
  <c r="AD30" i="33" s="1"/>
  <c r="F29" i="31" a="1"/>
  <c r="F29" i="31" s="1"/>
  <c r="T28" i="31"/>
  <c r="M56" i="31" a="1"/>
  <c r="M56" i="31" s="1"/>
  <c r="BI55" i="31" a="1"/>
  <c r="BI55" i="31" s="1"/>
  <c r="F53" i="30" a="1"/>
  <c r="F53" i="30" s="1"/>
  <c r="T52" i="30"/>
  <c r="F29" i="30" a="1"/>
  <c r="F29" i="30" s="1"/>
  <c r="T28" i="30"/>
  <c r="M96" i="28" a="1"/>
  <c r="M96" i="28" s="1"/>
  <c r="AS95" i="28" a="1"/>
  <c r="AS95" i="28" s="1"/>
  <c r="F31" i="28" a="1"/>
  <c r="F31" i="28" s="1"/>
  <c r="F32" i="28" s="1" a="1"/>
  <c r="F32" i="28" s="1"/>
  <c r="F82" i="25" a="1"/>
  <c r="F82" i="25" s="1"/>
  <c r="F83" i="25" s="1" a="1"/>
  <c r="F83" i="25" s="1"/>
  <c r="F84" i="25" s="1" a="1"/>
  <c r="F84" i="25" s="1"/>
  <c r="F85" i="25" s="1" a="1"/>
  <c r="F85" i="25" s="1"/>
  <c r="F86" i="25" s="1" a="1"/>
  <c r="F86" i="25" s="1"/>
  <c r="F29" i="24" a="1"/>
  <c r="F29" i="24" s="1"/>
  <c r="K28" i="24"/>
  <c r="F39" i="22" a="1"/>
  <c r="F39" i="22" s="1"/>
  <c r="T49" i="17"/>
  <c r="F51" i="17" a="1"/>
  <c r="F51" i="17" s="1"/>
  <c r="A51" i="17" s="1"/>
  <c r="A49" i="17"/>
  <c r="T52" i="17"/>
  <c r="F53" i="17" a="1"/>
  <c r="F53" i="17" s="1"/>
  <c r="G52" i="17"/>
  <c r="N28" i="27" a="1"/>
  <c r="N28" i="27" s="1"/>
  <c r="F29" i="27" a="1"/>
  <c r="F29" i="27" s="1"/>
  <c r="F49" i="23" a="1"/>
  <c r="F49" i="23" s="1"/>
  <c r="K48" i="23"/>
  <c r="F29" i="23" a="1"/>
  <c r="F29" i="23" s="1"/>
  <c r="K28" i="23"/>
  <c r="F55" i="18" a="1"/>
  <c r="F55" i="18" s="1"/>
  <c r="T54" i="18"/>
  <c r="AY183" i="15"/>
  <c r="AU183" i="15"/>
  <c r="AQ183" i="15"/>
  <c r="AM183" i="15"/>
  <c r="AI183" i="15"/>
  <c r="AE183" i="15"/>
  <c r="BB102" i="15"/>
  <c r="BB84" i="15"/>
  <c r="AX102" i="15"/>
  <c r="AX84" i="15"/>
  <c r="AT102" i="15"/>
  <c r="AT84" i="15"/>
  <c r="AP102" i="15"/>
  <c r="AP84" i="15"/>
  <c r="AN84" i="15"/>
  <c r="AJ84" i="15"/>
  <c r="AF84" i="15"/>
  <c r="AE30" i="13"/>
  <c r="AE32" i="13" s="1"/>
  <c r="AH131" i="12"/>
  <c r="F76" i="13" a="1"/>
  <c r="F76" i="13" s="1"/>
  <c r="F77" i="13" s="1" a="1"/>
  <c r="F77" i="13" s="1"/>
  <c r="A75" i="13"/>
  <c r="T75" i="13"/>
  <c r="F37" i="13" a="1"/>
  <c r="F37" i="13" s="1"/>
  <c r="A36" i="13"/>
  <c r="AF179" i="12" a="1"/>
  <c r="AF179" i="12" s="1"/>
  <c r="CZ175" i="12" a="1"/>
  <c r="CZ175" i="12" s="1"/>
  <c r="AK259" i="12"/>
  <c r="AK255" i="12"/>
  <c r="AK246" i="12"/>
  <c r="AK241" i="12"/>
  <c r="AK230" i="12"/>
  <c r="AK224" i="12"/>
  <c r="AK256" i="12"/>
  <c r="AK250" i="12"/>
  <c r="AK247" i="12"/>
  <c r="AK229" i="12"/>
  <c r="AK228" i="12" s="1"/>
  <c r="AK207" i="12"/>
  <c r="AK196" i="12"/>
  <c r="AK190" i="12"/>
  <c r="AK165" i="12"/>
  <c r="AK213" i="12"/>
  <c r="AK212" i="12"/>
  <c r="AK195" i="12"/>
  <c r="AK194" i="12" s="1"/>
  <c r="AK238" i="12"/>
  <c r="AK221" i="12"/>
  <c r="AK204" i="12"/>
  <c r="AK187" i="12"/>
  <c r="AI211" i="12"/>
  <c r="AI228" i="12"/>
  <c r="AI254" i="12"/>
  <c r="CR123" i="12"/>
  <c r="CR119" i="12"/>
  <c r="CR55" i="12"/>
  <c r="CO55" i="12"/>
  <c r="CL123" i="12"/>
  <c r="CL119" i="12"/>
  <c r="CL55" i="12"/>
  <c r="CI55" i="12"/>
  <c r="CF123" i="12"/>
  <c r="CF119" i="12"/>
  <c r="CF55" i="12"/>
  <c r="CC55" i="12"/>
  <c r="BZ123" i="12"/>
  <c r="BZ119" i="12"/>
  <c r="BZ55" i="12"/>
  <c r="BW55" i="12"/>
  <c r="BT123" i="12"/>
  <c r="BT119" i="12"/>
  <c r="BT55" i="12"/>
  <c r="BQ55" i="12"/>
  <c r="BN123" i="12"/>
  <c r="BN119" i="12"/>
  <c r="BN55" i="12"/>
  <c r="BK55" i="12"/>
  <c r="BH123" i="12"/>
  <c r="BH119" i="12"/>
  <c r="BH55" i="12"/>
  <c r="BE55" i="12"/>
  <c r="BB123" i="12"/>
  <c r="BB119" i="12"/>
  <c r="BB55" i="12"/>
  <c r="AY55" i="12"/>
  <c r="AV123" i="12"/>
  <c r="AV119" i="12"/>
  <c r="AV55" i="12"/>
  <c r="AS55" i="12"/>
  <c r="AP123" i="12"/>
  <c r="AP119" i="12"/>
  <c r="AP55" i="12"/>
  <c r="AM55" i="12"/>
  <c r="AJ54" i="12"/>
  <c r="AH123" i="12"/>
  <c r="AH122" i="12" s="1"/>
  <c r="AH119" i="12"/>
  <c r="AH116" i="12"/>
  <c r="AH115" i="12" s="1"/>
  <c r="AH112" i="12"/>
  <c r="AH90" i="12"/>
  <c r="AH89" i="12" s="1"/>
  <c r="AH86" i="12"/>
  <c r="AH126" i="12"/>
  <c r="AH103" i="12"/>
  <c r="AH102" i="12" s="1"/>
  <c r="AH99" i="12"/>
  <c r="AH77" i="12"/>
  <c r="AH76" i="12" s="1"/>
  <c r="AH73" i="12"/>
  <c r="AH54" i="12"/>
  <c r="U36" i="9"/>
  <c r="F37" i="9" a="1"/>
  <c r="F37" i="9" s="1"/>
  <c r="AI132" i="12"/>
  <c r="AI127" i="12"/>
  <c r="AJ194" i="12"/>
  <c r="AJ259" i="12"/>
  <c r="AH164" i="12"/>
  <c r="AH165" i="12" s="1"/>
  <c r="AH178" i="12"/>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F275" i="12" s="1" a="1"/>
  <c r="F275" i="12" s="1"/>
  <c r="AK126" i="12"/>
  <c r="AK103" i="12"/>
  <c r="AK102" i="12" s="1"/>
  <c r="AK99" i="12"/>
  <c r="AK77" i="12"/>
  <c r="AK76" i="12" s="1"/>
  <c r="AK73" i="12"/>
  <c r="AK54" i="12"/>
  <c r="AK123" i="12"/>
  <c r="AK122" i="12" s="1"/>
  <c r="AK119" i="12"/>
  <c r="AK116" i="12"/>
  <c r="AK115" i="12" s="1"/>
  <c r="AK112" i="12"/>
  <c r="AK90" i="12"/>
  <c r="AK89" i="12" s="1"/>
  <c r="AK86" i="12"/>
  <c r="S43" i="12" a="1"/>
  <c r="S43" i="12" s="1"/>
  <c r="U42" i="12"/>
  <c r="U29" i="8"/>
  <c r="F30" i="8" a="1"/>
  <c r="F30" i="8" s="1"/>
  <c r="S25" i="33"/>
  <c r="AZ143" i="10"/>
  <c r="AZ144" i="10"/>
  <c r="AR143" i="10"/>
  <c r="AR144" i="10"/>
  <c r="AJ143" i="10"/>
  <c r="AJ144" i="10"/>
  <c r="AW76" i="10"/>
  <c r="AW30" i="13" s="1"/>
  <c r="AW32" i="13" s="1"/>
  <c r="AW75" i="10"/>
  <c r="AO76" i="10"/>
  <c r="AO30" i="13" s="1"/>
  <c r="AO32" i="13" s="1"/>
  <c r="AO75" i="10"/>
  <c r="AG76" i="10"/>
  <c r="AG30" i="13" s="1"/>
  <c r="AG32" i="13" s="1"/>
  <c r="AG75" i="10"/>
  <c r="BB75" i="10"/>
  <c r="BB76" i="10"/>
  <c r="BB30" i="13" s="1"/>
  <c r="BB32" i="13" s="1"/>
  <c r="AX75" i="10"/>
  <c r="AX76" i="10"/>
  <c r="AX30" i="13" s="1"/>
  <c r="AX32" i="13" s="1"/>
  <c r="AT75" i="10"/>
  <c r="AT76" i="10"/>
  <c r="AT30" i="13" s="1"/>
  <c r="AT32" i="13" s="1"/>
  <c r="AP75" i="10"/>
  <c r="AP76" i="10"/>
  <c r="AP30" i="13" s="1"/>
  <c r="AP32" i="13" s="1"/>
  <c r="AL75" i="10"/>
  <c r="AL76" i="10"/>
  <c r="AL30" i="13" s="1"/>
  <c r="AL32" i="13" s="1"/>
  <c r="AH75" i="10"/>
  <c r="AH76" i="10"/>
  <c r="AH30" i="13" s="1"/>
  <c r="AH32" i="13" s="1"/>
  <c r="A1" i="11"/>
  <c r="B31" i="2" s="1" a="1"/>
  <c r="B31" i="2" s="1"/>
  <c r="H32" i="2" s="1" a="1"/>
  <c r="H32" i="2" s="1"/>
  <c r="H33" i="2" s="1"/>
  <c r="H34" i="2" s="1"/>
  <c r="H35" i="2" s="1"/>
  <c r="H36" i="2" s="1"/>
  <c r="H37" i="2" s="1"/>
  <c r="H38" i="2" s="1"/>
  <c r="H39" i="2" s="1" a="1"/>
  <c r="H39" i="2" s="1"/>
  <c r="H40" i="2" s="1"/>
  <c r="H41" i="2" s="1"/>
  <c r="H42" i="2" s="1"/>
  <c r="H43" i="2" s="1"/>
  <c r="H44" i="2" s="1"/>
  <c r="H45" i="2" s="1"/>
  <c r="H46" i="2" s="1"/>
  <c r="H47" i="2" s="1" a="1"/>
  <c r="H47" i="2" s="1"/>
  <c r="BB143" i="10"/>
  <c r="BB144" i="10"/>
  <c r="AX143" i="10"/>
  <c r="AX144" i="10"/>
  <c r="AT143" i="10"/>
  <c r="AT144" i="10"/>
  <c r="AP143" i="10"/>
  <c r="AP144" i="10"/>
  <c r="AL143" i="10"/>
  <c r="AL144" i="10"/>
  <c r="AH143" i="10"/>
  <c r="AH144" i="10"/>
  <c r="AY144" i="10"/>
  <c r="AY143" i="10"/>
  <c r="AU144" i="10"/>
  <c r="AU143" i="10"/>
  <c r="AQ144" i="10"/>
  <c r="AQ143" i="10"/>
  <c r="AM144" i="10"/>
  <c r="AM143" i="10"/>
  <c r="AI144" i="10"/>
  <c r="AI143" i="10"/>
  <c r="BA144" i="10"/>
  <c r="BA143" i="10"/>
  <c r="AS144" i="10"/>
  <c r="AS143" i="10"/>
  <c r="AK144" i="10"/>
  <c r="AK143" i="10"/>
  <c r="AY76" i="10"/>
  <c r="AY30" i="13" s="1"/>
  <c r="AY32" i="13" s="1"/>
  <c r="AY75" i="10"/>
  <c r="AU76" i="10"/>
  <c r="AU30" i="13" s="1"/>
  <c r="AU32" i="13" s="1"/>
  <c r="AU75" i="10"/>
  <c r="AQ76" i="10"/>
  <c r="AQ30" i="13" s="1"/>
  <c r="AQ32" i="13" s="1"/>
  <c r="AQ75" i="10"/>
  <c r="AM76" i="10"/>
  <c r="AM30" i="13" s="1"/>
  <c r="AM32" i="13" s="1"/>
  <c r="AM75" i="10"/>
  <c r="AI76" i="10"/>
  <c r="AI30" i="13" s="1"/>
  <c r="AI32" i="13" s="1"/>
  <c r="AI75" i="10"/>
  <c r="BA76" i="10"/>
  <c r="BA30" i="13" s="1"/>
  <c r="BA32" i="13" s="1"/>
  <c r="BA75" i="10"/>
  <c r="AS76" i="10"/>
  <c r="AS30" i="13" s="1"/>
  <c r="AS32" i="13" s="1"/>
  <c r="AS75" i="10"/>
  <c r="AK76" i="10"/>
  <c r="AK30" i="13" s="1"/>
  <c r="AK32" i="13" s="1"/>
  <c r="AK75" i="10"/>
  <c r="AZ75" i="10"/>
  <c r="AZ76" i="10"/>
  <c r="AZ30" i="13" s="1"/>
  <c r="AZ32" i="13" s="1"/>
  <c r="AV75" i="10"/>
  <c r="AV76" i="10"/>
  <c r="AV30" i="13" s="1"/>
  <c r="AV32" i="13" s="1"/>
  <c r="AR75" i="10"/>
  <c r="AR76" i="10"/>
  <c r="AR30" i="13" s="1"/>
  <c r="AR32" i="13" s="1"/>
  <c r="AN75" i="10"/>
  <c r="AN76" i="10"/>
  <c r="AN30" i="13" s="1"/>
  <c r="AN32" i="13" s="1"/>
  <c r="AJ75" i="10"/>
  <c r="AJ76" i="10"/>
  <c r="AJ30" i="13" s="1"/>
  <c r="AJ32" i="13" s="1"/>
  <c r="AF75" i="10"/>
  <c r="AF76" i="10"/>
  <c r="AF30" i="13" s="1"/>
  <c r="AF32" i="13" s="1"/>
  <c r="U33" i="6"/>
  <c r="F34" i="6" a="1"/>
  <c r="F34" i="6" s="1"/>
  <c r="H48" i="2" l="1"/>
  <c r="H51" i="2"/>
  <c r="H52" i="2" s="1"/>
  <c r="H53" i="2" s="1"/>
  <c r="F31" i="8" a="1"/>
  <c r="F31" i="8" s="1"/>
  <c r="U30" i="8"/>
  <c r="F38" i="9" a="1"/>
  <c r="F38" i="9" s="1"/>
  <c r="U37" i="9"/>
  <c r="AM64" i="12"/>
  <c r="AM53" i="12"/>
  <c r="AM54" i="12" s="1"/>
  <c r="AP64" i="12"/>
  <c r="AP53" i="12"/>
  <c r="AP54" i="12" s="1"/>
  <c r="AP122" i="12"/>
  <c r="AS64" i="12"/>
  <c r="AS53" i="12"/>
  <c r="AS54" i="12" s="1"/>
  <c r="AV64" i="12"/>
  <c r="AV53" i="12"/>
  <c r="AV54" i="12" s="1"/>
  <c r="AV122" i="12"/>
  <c r="AY64" i="12"/>
  <c r="AY53" i="12"/>
  <c r="AY54" i="12" s="1"/>
  <c r="BB64" i="12"/>
  <c r="BB53" i="12"/>
  <c r="BB54" i="12" s="1"/>
  <c r="BB122" i="12"/>
  <c r="BE64" i="12"/>
  <c r="BE53" i="12"/>
  <c r="BE54" i="12" s="1"/>
  <c r="BH64" i="12"/>
  <c r="BH53" i="12"/>
  <c r="BH54" i="12" s="1"/>
  <c r="BH122" i="12"/>
  <c r="BK64" i="12"/>
  <c r="BK53" i="12"/>
  <c r="BK54" i="12" s="1"/>
  <c r="BN64" i="12"/>
  <c r="BN53" i="12"/>
  <c r="BN54" i="12" s="1"/>
  <c r="BN122" i="12"/>
  <c r="BQ64" i="12"/>
  <c r="BQ53" i="12"/>
  <c r="BQ54" i="12" s="1"/>
  <c r="BT64" i="12"/>
  <c r="BT53" i="12"/>
  <c r="BT54" i="12" s="1"/>
  <c r="BT122" i="12"/>
  <c r="BW64" i="12"/>
  <c r="BW53" i="12"/>
  <c r="BW54" i="12" s="1"/>
  <c r="BZ64" i="12"/>
  <c r="BZ53" i="12"/>
  <c r="BZ54" i="12" s="1"/>
  <c r="BZ122" i="12"/>
  <c r="CC64" i="12"/>
  <c r="CC53" i="12"/>
  <c r="CC54" i="12" s="1"/>
  <c r="CF64" i="12"/>
  <c r="CF53" i="12"/>
  <c r="CF54" i="12" s="1"/>
  <c r="CF122" i="12"/>
  <c r="CI64" i="12"/>
  <c r="CI53" i="12"/>
  <c r="CI54" i="12" s="1"/>
  <c r="CL64" i="12"/>
  <c r="CL53" i="12"/>
  <c r="CL54" i="12" s="1"/>
  <c r="CL122" i="12"/>
  <c r="CO64" i="12"/>
  <c r="CO53" i="12"/>
  <c r="CO54" i="12" s="1"/>
  <c r="CR64" i="12"/>
  <c r="CR53" i="12"/>
  <c r="CR54" i="12" s="1"/>
  <c r="CR122" i="12"/>
  <c r="AK245" i="12"/>
  <c r="AK260" i="12"/>
  <c r="AK266" i="12"/>
  <c r="CZ179" i="12" a="1"/>
  <c r="CZ179" i="12" s="1"/>
  <c r="AF183" i="12" a="1"/>
  <c r="AF183" i="12" s="1"/>
  <c r="F38" i="13" a="1"/>
  <c r="F38" i="13" s="1"/>
  <c r="T37" i="13"/>
  <c r="F30" i="23" a="1"/>
  <c r="F30" i="23" s="1"/>
  <c r="F50" i="23" a="1"/>
  <c r="F50" i="23" s="1"/>
  <c r="F30" i="27" a="1"/>
  <c r="F30" i="27" s="1"/>
  <c r="F54" i="17" a="1"/>
  <c r="F54" i="17" s="1"/>
  <c r="T53" i="17"/>
  <c r="T51" i="17" a="1"/>
  <c r="T51" i="17" s="1"/>
  <c r="T50" i="17" a="1"/>
  <c r="T50" i="17" s="1"/>
  <c r="AF30" i="28"/>
  <c r="F33" i="28" a="1"/>
  <c r="F33" i="28" s="1"/>
  <c r="AG30" i="28"/>
  <c r="AK30" i="28"/>
  <c r="M97" i="28" a="1"/>
  <c r="M97" i="28" s="1"/>
  <c r="AS96" i="28" a="1"/>
  <c r="AS96" i="28" s="1"/>
  <c r="F30" i="30" a="1"/>
  <c r="F30" i="30" s="1"/>
  <c r="T29" i="30"/>
  <c r="F54" i="30" a="1"/>
  <c r="F54" i="30" s="1"/>
  <c r="T53" i="30"/>
  <c r="M57" i="31" a="1"/>
  <c r="M57" i="31" s="1"/>
  <c r="BI56" i="31" a="1"/>
  <c r="BI56" i="31" s="1"/>
  <c r="F30" i="31" a="1"/>
  <c r="F30" i="31" s="1"/>
  <c r="T29" i="31"/>
  <c r="AD31" i="33" a="1"/>
  <c r="AD31" i="33" s="1"/>
  <c r="F32" i="33" a="1"/>
  <c r="F32" i="33" s="1"/>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K90" i="34"/>
  <c r="AM167" i="12"/>
  <c r="AM166" i="12"/>
  <c r="AP179" i="12"/>
  <c r="AP254" i="12"/>
  <c r="AS255" i="12"/>
  <c r="AS256" i="12"/>
  <c r="AS250" i="12"/>
  <c r="AV164" i="12"/>
  <c r="AV165" i="12" s="1"/>
  <c r="AV178" i="12"/>
  <c r="AY167" i="12"/>
  <c r="AY166" i="12"/>
  <c r="BB179" i="12"/>
  <c r="BB254" i="12"/>
  <c r="BE255" i="12"/>
  <c r="BE256" i="12"/>
  <c r="BE250" i="12"/>
  <c r="BH164" i="12"/>
  <c r="BH165" i="12" s="1"/>
  <c r="BH178" i="12"/>
  <c r="BK167" i="12"/>
  <c r="BK166" i="12"/>
  <c r="BN179" i="12"/>
  <c r="BN254" i="12"/>
  <c r="BQ255" i="12"/>
  <c r="BQ256" i="12"/>
  <c r="BQ250" i="12"/>
  <c r="BT164" i="12"/>
  <c r="BT165" i="12" s="1"/>
  <c r="BT178" i="12"/>
  <c r="BW167" i="12"/>
  <c r="BW166" i="12"/>
  <c r="BZ179" i="12"/>
  <c r="BZ254" i="12"/>
  <c r="CC255" i="12"/>
  <c r="CC256" i="12"/>
  <c r="CC250" i="12"/>
  <c r="CF164" i="12"/>
  <c r="CF165" i="12" s="1"/>
  <c r="CF178" i="12"/>
  <c r="CI167" i="12"/>
  <c r="CI166" i="12"/>
  <c r="CL179" i="12"/>
  <c r="CL254" i="12"/>
  <c r="CO255" i="12"/>
  <c r="CO256" i="12"/>
  <c r="CO250" i="12"/>
  <c r="CR164" i="12"/>
  <c r="CR165" i="12" s="1"/>
  <c r="CR178" i="12"/>
  <c r="T30" i="12" a="1"/>
  <c r="T30" i="12" s="1"/>
  <c r="U29" i="12"/>
  <c r="AJ132" i="12"/>
  <c r="AJ127" i="12"/>
  <c r="AM122" i="12"/>
  <c r="AS122" i="12"/>
  <c r="AY122" i="12"/>
  <c r="BE122" i="12"/>
  <c r="BK122" i="12"/>
  <c r="BQ122" i="12"/>
  <c r="BW122" i="12"/>
  <c r="CC122" i="12"/>
  <c r="CI122" i="12"/>
  <c r="CO122" i="12"/>
  <c r="S155" i="12" a="1"/>
  <c r="S155" i="12" s="1"/>
  <c r="U154" i="12"/>
  <c r="AK237" i="12"/>
  <c r="AK220" i="12"/>
  <c r="AK203" i="12"/>
  <c r="AK186" i="12"/>
  <c r="AK271" i="12"/>
  <c r="CY179" i="12" a="1"/>
  <c r="CY179" i="12" s="1"/>
  <c r="AG179" i="12"/>
  <c r="AE183" i="12" a="1"/>
  <c r="AE183" i="12" s="1"/>
  <c r="X183" i="12"/>
  <c r="T32" i="14" a="1"/>
  <c r="T32" i="14" s="1"/>
  <c r="T31" i="14" a="1"/>
  <c r="T31" i="14" s="1"/>
  <c r="F51" i="14" a="1"/>
  <c r="F51" i="14" s="1"/>
  <c r="T50" i="14"/>
  <c r="F47" i="14" a="1"/>
  <c r="F47" i="14" s="1"/>
  <c r="F46" i="14" a="1"/>
  <c r="F46" i="14" s="1"/>
  <c r="A45" i="14"/>
  <c r="AL65" i="21"/>
  <c r="F67" i="21" a="1"/>
  <c r="F67" i="21" s="1"/>
  <c r="F68" i="21" s="1" a="1"/>
  <c r="F68" i="21" s="1"/>
  <c r="F69" i="21" s="1" a="1"/>
  <c r="F69" i="21" s="1"/>
  <c r="AJ66" i="21"/>
  <c r="AF66" i="21"/>
  <c r="AF52" i="21" s="1"/>
  <c r="AK66" i="21"/>
  <c r="AI66" i="21"/>
  <c r="AG66" i="21"/>
  <c r="AE66" i="21"/>
  <c r="AE52" i="21" s="1"/>
  <c r="AH265" i="12"/>
  <c r="F35" i="17" a="1"/>
  <c r="F35" i="17" s="1"/>
  <c r="T34" i="17"/>
  <c r="T32" i="17" a="1"/>
  <c r="T32" i="17" s="1"/>
  <c r="T31" i="17" a="1"/>
  <c r="T31" i="17" s="1"/>
  <c r="F30" i="18" a="1"/>
  <c r="F30" i="18" s="1"/>
  <c r="T29" i="18"/>
  <c r="AH41" i="21"/>
  <c r="F41" i="24" a="1"/>
  <c r="F41" i="24" s="1"/>
  <c r="F30" i="22" a="1"/>
  <c r="F30" i="22" s="1"/>
  <c r="F85" i="27" a="1"/>
  <c r="F85" i="27" s="1"/>
  <c r="M30" i="28" a="1"/>
  <c r="M30" i="28" s="1"/>
  <c r="AS29" i="28" a="1"/>
  <c r="AS29" i="28" s="1"/>
  <c r="AI97" i="28"/>
  <c r="F57" i="31" a="1"/>
  <c r="F57" i="31" s="1"/>
  <c r="T56" i="31"/>
  <c r="M30" i="31" a="1"/>
  <c r="M30" i="31" s="1"/>
  <c r="BI29" i="31" a="1"/>
  <c r="BI29" i="31" s="1"/>
  <c r="AD77" i="33" a="1"/>
  <c r="AD77" i="33" s="1"/>
  <c r="F78" i="33" a="1"/>
  <c r="F78" i="33" s="1"/>
  <c r="T141" i="12" a="1"/>
  <c r="T141" i="12" s="1"/>
  <c r="U140" i="12"/>
  <c r="U34" i="6"/>
  <c r="F35" i="6" a="1"/>
  <c r="F35" i="6" s="1"/>
  <c r="S44" i="12" a="1"/>
  <c r="S44" i="12" s="1"/>
  <c r="U43" i="12"/>
  <c r="AK132" i="12"/>
  <c r="AK127" i="12"/>
  <c r="AH237" i="12"/>
  <c r="AH220" i="12"/>
  <c r="AH203" i="12"/>
  <c r="AH186" i="12"/>
  <c r="AH271" i="12"/>
  <c r="AJ266" i="12"/>
  <c r="AJ260" i="12"/>
  <c r="AG39" i="24" s="1"/>
  <c r="AH132" i="12"/>
  <c r="AH127" i="12"/>
  <c r="AK211" i="12"/>
  <c r="AK254" i="12"/>
  <c r="T77" i="13" a="1"/>
  <c r="T77" i="13" s="1"/>
  <c r="T76" i="13" a="1"/>
  <c r="T76" i="13" s="1"/>
  <c r="F78" i="13" a="1"/>
  <c r="F78" i="13" s="1"/>
  <c r="A77" i="13"/>
  <c r="T55" i="18"/>
  <c r="T56" i="18" s="1" a="1"/>
  <c r="T56" i="18" s="1"/>
  <c r="T57" i="18" s="1" a="1"/>
  <c r="T57" i="18" s="1"/>
  <c r="F56" i="18" a="1"/>
  <c r="F56" i="18" s="1"/>
  <c r="F57" i="18" s="1" a="1"/>
  <c r="F57" i="18" s="1"/>
  <c r="F58" i="18" s="1" a="1"/>
  <c r="F58" i="18" s="1"/>
  <c r="N29" i="27" a="1"/>
  <c r="N29" i="27" s="1"/>
  <c r="BX28" i="27" a="1"/>
  <c r="BX28" i="27" s="1"/>
  <c r="F40" i="22" a="1"/>
  <c r="F40" i="22" s="1"/>
  <c r="BB29" i="24"/>
  <c r="AZ29" i="24"/>
  <c r="AX29" i="24"/>
  <c r="AV29" i="24"/>
  <c r="AT29" i="24"/>
  <c r="AR29" i="24"/>
  <c r="AP29" i="24"/>
  <c r="AN29" i="24"/>
  <c r="AL29" i="24"/>
  <c r="AJ29" i="24"/>
  <c r="AF29" i="24"/>
  <c r="F30" i="24" a="1"/>
  <c r="F30" i="24" s="1"/>
  <c r="BC29" i="24"/>
  <c r="BA29" i="24"/>
  <c r="AY29" i="24"/>
  <c r="AW29" i="24"/>
  <c r="AU29" i="24"/>
  <c r="AS29" i="24"/>
  <c r="AQ29" i="24"/>
  <c r="AO29" i="24"/>
  <c r="AM29" i="24"/>
  <c r="AK29" i="24"/>
  <c r="AI29" i="24"/>
  <c r="AG29" i="24"/>
  <c r="AE29" i="24"/>
  <c r="F87" i="25" a="1"/>
  <c r="F87" i="25" s="1"/>
  <c r="F88" i="25" s="1" a="1"/>
  <c r="F88" i="25" s="1"/>
  <c r="F89" i="25" s="1" a="1"/>
  <c r="F89" i="25" s="1"/>
  <c r="F90" i="25" s="1" a="1"/>
  <c r="F90" i="25" s="1"/>
  <c r="F91" i="25" s="1" a="1"/>
  <c r="F91" i="25" s="1"/>
  <c r="AJ30" i="28"/>
  <c r="AE30" i="28"/>
  <c r="AI30" i="28"/>
  <c r="F39" i="34" a="1"/>
  <c r="F39" i="34" s="1"/>
  <c r="AK38" i="34"/>
  <c r="F59" i="8" a="1"/>
  <c r="F59" i="8" s="1"/>
  <c r="U58" i="8"/>
  <c r="F32" i="9" a="1"/>
  <c r="F32" i="9" s="1"/>
  <c r="U31" i="9"/>
  <c r="AK96" i="12"/>
  <c r="AK70" i="12"/>
  <c r="AK136" i="12"/>
  <c r="AK109" i="12"/>
  <c r="AK83" i="12"/>
  <c r="AH194" i="12"/>
  <c r="AH266" i="12"/>
  <c r="AH260" i="12"/>
  <c r="AM163" i="12"/>
  <c r="AP164" i="12"/>
  <c r="AP165" i="12" s="1"/>
  <c r="AP178" i="12"/>
  <c r="AS167" i="12"/>
  <c r="AS166" i="12"/>
  <c r="AV179" i="12"/>
  <c r="AV254" i="12"/>
  <c r="AY163" i="12"/>
  <c r="BB164" i="12"/>
  <c r="BB165" i="12" s="1"/>
  <c r="BB178" i="12"/>
  <c r="BE167" i="12"/>
  <c r="BE166" i="12"/>
  <c r="BH179" i="12"/>
  <c r="BH254" i="12"/>
  <c r="BK163" i="12"/>
  <c r="BN164" i="12"/>
  <c r="BN165" i="12" s="1"/>
  <c r="BN178" i="12"/>
  <c r="BQ167" i="12"/>
  <c r="BQ166" i="12"/>
  <c r="BT179" i="12"/>
  <c r="BT254" i="12"/>
  <c r="BW163" i="12"/>
  <c r="BZ164" i="12"/>
  <c r="BZ165" i="12" s="1"/>
  <c r="BZ178" i="12"/>
  <c r="CC167" i="12"/>
  <c r="CC166" i="12"/>
  <c r="CF179" i="12"/>
  <c r="CF254" i="12"/>
  <c r="CI163" i="12"/>
  <c r="CL164" i="12"/>
  <c r="CL165" i="12" s="1"/>
  <c r="CL178" i="12"/>
  <c r="CO167" i="12"/>
  <c r="CO166" i="12"/>
  <c r="CR179" i="12"/>
  <c r="CR254" i="12"/>
  <c r="AB47" i="7" a="1"/>
  <c r="AB47" i="7" s="1"/>
  <c r="W47" i="7" a="1"/>
  <c r="W47" i="7" s="1"/>
  <c r="T45" i="12" a="1"/>
  <c r="T45" i="12" s="1"/>
  <c r="L46" i="12" a="1"/>
  <c r="L46" i="12" s="1"/>
  <c r="AH109" i="12"/>
  <c r="AH83" i="12"/>
  <c r="AH96" i="12"/>
  <c r="AH70" i="12"/>
  <c r="AH136" i="12"/>
  <c r="AI260" i="12"/>
  <c r="AF39" i="24" s="1"/>
  <c r="AI266" i="12"/>
  <c r="F35" i="14" a="1"/>
  <c r="F35" i="14" s="1"/>
  <c r="T34" i="14"/>
  <c r="T45" i="14" a="1"/>
  <c r="T45" i="14" s="1"/>
  <c r="T44" i="14" a="1"/>
  <c r="T44" i="14" s="1"/>
  <c r="AH65" i="21"/>
  <c r="AG52" i="21"/>
  <c r="F43" i="21" a="1"/>
  <c r="F43" i="21" s="1"/>
  <c r="F44" i="21" s="1" a="1"/>
  <c r="F44" i="21" s="1"/>
  <c r="F45" i="21" s="1" a="1"/>
  <c r="F45" i="21" s="1"/>
  <c r="AJ42" i="21"/>
  <c r="AF42" i="21"/>
  <c r="AK42" i="21"/>
  <c r="AI42" i="21"/>
  <c r="AL42" i="21" s="1"/>
  <c r="AG42" i="21"/>
  <c r="AE42" i="21"/>
  <c r="AE39" i="24"/>
  <c r="AI39" i="24"/>
  <c r="F35" i="25" a="1"/>
  <c r="F35" i="25" s="1"/>
  <c r="F36" i="25" s="1" a="1"/>
  <c r="F36" i="25" s="1"/>
  <c r="F37" i="25" s="1" a="1"/>
  <c r="F37" i="25" s="1"/>
  <c r="F38" i="25" s="1" a="1"/>
  <c r="F38" i="25" s="1"/>
  <c r="F39" i="25" s="1" a="1"/>
  <c r="F39" i="25" s="1"/>
  <c r="N84" i="27" a="1"/>
  <c r="N84" i="27" s="1"/>
  <c r="BX83" i="27" a="1"/>
  <c r="BX83" i="27" s="1"/>
  <c r="AE97" i="28"/>
  <c r="AG97" i="28"/>
  <c r="AF97" i="28"/>
  <c r="F100" i="28" a="1"/>
  <c r="F100" i="28" s="1"/>
  <c r="T156" i="12" a="1"/>
  <c r="T156" i="12" s="1"/>
  <c r="L157" i="12" a="1"/>
  <c r="L157" i="12" s="1"/>
  <c r="AH52" i="21" l="1"/>
  <c r="AH66" i="21"/>
  <c r="AH39" i="24"/>
  <c r="L158" i="12" a="1"/>
  <c r="L158" i="12" s="1"/>
  <c r="T157" i="12" a="1"/>
  <c r="T157" i="12" s="1"/>
  <c r="F101" i="28" a="1"/>
  <c r="F101" i="28" s="1"/>
  <c r="AH97" i="28"/>
  <c r="F40" i="25" a="1"/>
  <c r="F40" i="25" s="1"/>
  <c r="F41" i="25" s="1" a="1"/>
  <c r="F41" i="25" s="1"/>
  <c r="F42" i="25" s="1" a="1"/>
  <c r="F42" i="25" s="1"/>
  <c r="F43" i="25" s="1" a="1"/>
  <c r="F43" i="25" s="1"/>
  <c r="F44" i="25" s="1" a="1"/>
  <c r="F44" i="25" s="1"/>
  <c r="AI46" i="24"/>
  <c r="AH42" i="21"/>
  <c r="L47" i="12" a="1"/>
  <c r="L47" i="12" s="1"/>
  <c r="T46" i="12" a="1"/>
  <c r="T46" i="12" s="1"/>
  <c r="CO178" i="12"/>
  <c r="CO164" i="12"/>
  <c r="CO165" i="12" s="1"/>
  <c r="CI255" i="12"/>
  <c r="CI256" i="12"/>
  <c r="CI250" i="12"/>
  <c r="CF226" i="12"/>
  <c r="CF243" i="12"/>
  <c r="CF209" i="12"/>
  <c r="CF192" i="12"/>
  <c r="CC179" i="12"/>
  <c r="BZ242" i="12"/>
  <c r="BZ225" i="12"/>
  <c r="BZ208" i="12"/>
  <c r="BZ191" i="12"/>
  <c r="BQ178" i="12"/>
  <c r="BQ164" i="12"/>
  <c r="BQ165" i="12" s="1"/>
  <c r="BK255" i="12"/>
  <c r="BK256" i="12"/>
  <c r="BK250" i="12"/>
  <c r="BH226" i="12"/>
  <c r="BH243" i="12"/>
  <c r="BH209" i="12"/>
  <c r="BH192" i="12"/>
  <c r="BE179" i="12"/>
  <c r="BB242" i="12"/>
  <c r="BB225" i="12"/>
  <c r="BB208" i="12"/>
  <c r="BB191" i="12"/>
  <c r="AS178" i="12"/>
  <c r="AS164" i="12"/>
  <c r="AS165" i="12" s="1"/>
  <c r="AM255" i="12"/>
  <c r="AM256" i="12"/>
  <c r="AM250" i="12"/>
  <c r="AK39" i="34"/>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H29" i="24"/>
  <c r="AK36" i="24"/>
  <c r="AO36" i="24"/>
  <c r="AS36" i="24"/>
  <c r="AW36" i="24"/>
  <c r="BH36" i="24" s="1"/>
  <c r="BH29" i="24"/>
  <c r="BA36" i="24"/>
  <c r="BL36" i="24" s="1"/>
  <c r="BL29" i="24"/>
  <c r="F31" i="24" a="1"/>
  <c r="F31" i="24" s="1"/>
  <c r="AJ36" i="24"/>
  <c r="AN36" i="24"/>
  <c r="AR36" i="24"/>
  <c r="AV36" i="24"/>
  <c r="BG36" i="24" s="1"/>
  <c r="BG29" i="24"/>
  <c r="AZ36" i="24"/>
  <c r="BK36" i="24" s="1"/>
  <c r="BK29" i="24"/>
  <c r="BB40" i="22"/>
  <c r="AZ40" i="22"/>
  <c r="AX40" i="22"/>
  <c r="AV40" i="22"/>
  <c r="AT40" i="22"/>
  <c r="AR40" i="22"/>
  <c r="AP40" i="22"/>
  <c r="AN40" i="22"/>
  <c r="AL40" i="22"/>
  <c r="AJ40" i="22"/>
  <c r="F41" i="22" a="1"/>
  <c r="F41" i="22" s="1"/>
  <c r="BC40" i="22"/>
  <c r="BA40" i="22"/>
  <c r="AY40" i="22"/>
  <c r="AW40" i="22"/>
  <c r="AU40" i="22"/>
  <c r="AS40" i="22"/>
  <c r="AQ40" i="22"/>
  <c r="AO40" i="22"/>
  <c r="AM40" i="22"/>
  <c r="AK40" i="22"/>
  <c r="AI40" i="22"/>
  <c r="H58" i="18"/>
  <c r="F59" i="18" a="1"/>
  <c r="F59" i="18" s="1"/>
  <c r="T58" i="18"/>
  <c r="U35" i="6"/>
  <c r="F36" i="6" a="1"/>
  <c r="F36" i="6" s="1"/>
  <c r="F79" i="33" a="1"/>
  <c r="F79" i="33"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M31" i="28" a="1"/>
  <c r="M31" i="28" s="1"/>
  <c r="AS30" i="28" a="1"/>
  <c r="AS30" i="28" s="1"/>
  <c r="F86" i="27" a="1"/>
  <c r="F86" i="27" s="1"/>
  <c r="F52" i="14" a="1"/>
  <c r="F52" i="14" s="1"/>
  <c r="T51" i="14"/>
  <c r="AE187" i="12" a="1"/>
  <c r="AE187" i="12" s="1"/>
  <c r="X187" i="12"/>
  <c r="CY183" i="12" a="1"/>
  <c r="CY183" i="12" s="1"/>
  <c r="T31" i="12" a="1"/>
  <c r="T31" i="12" s="1"/>
  <c r="U30" i="12"/>
  <c r="CR242" i="12"/>
  <c r="CR225" i="12"/>
  <c r="CR208" i="12"/>
  <c r="CR191" i="12"/>
  <c r="CO254" i="12"/>
  <c r="CI178" i="12"/>
  <c r="CI164" i="12"/>
  <c r="CI165" i="12" s="1"/>
  <c r="BZ226" i="12"/>
  <c r="BZ243" i="12"/>
  <c r="BZ209" i="12"/>
  <c r="BZ192" i="12"/>
  <c r="BW179" i="12"/>
  <c r="BT242" i="12"/>
  <c r="BT225" i="12"/>
  <c r="BT208" i="12"/>
  <c r="BT191" i="12"/>
  <c r="BQ254" i="12"/>
  <c r="BK178" i="12"/>
  <c r="BK164" i="12"/>
  <c r="BK165" i="12" s="1"/>
  <c r="BB226" i="12"/>
  <c r="BB243" i="12"/>
  <c r="BB209" i="12"/>
  <c r="BB192" i="12"/>
  <c r="AY179" i="12"/>
  <c r="AV242" i="12"/>
  <c r="AV225" i="12"/>
  <c r="AV208" i="12"/>
  <c r="AV191" i="12"/>
  <c r="AS254" i="12"/>
  <c r="AM178" i="12"/>
  <c r="AM164" i="12"/>
  <c r="AM165" i="12" s="1"/>
  <c r="F31" i="31" a="1"/>
  <c r="F31" i="31" s="1"/>
  <c r="T30" i="31"/>
  <c r="M58" i="31" a="1"/>
  <c r="M58" i="31" s="1"/>
  <c r="BI57" i="31" a="1"/>
  <c r="BI57" i="31" s="1"/>
  <c r="F55" i="30" a="1"/>
  <c r="F55" i="30" s="1"/>
  <c r="T54" i="30"/>
  <c r="F31" i="30" a="1"/>
  <c r="F31" i="30" s="1"/>
  <c r="T30" i="30"/>
  <c r="M98" i="28" a="1"/>
  <c r="M98" i="28" s="1"/>
  <c r="AS97" i="28" a="1"/>
  <c r="AS97" i="28" s="1"/>
  <c r="AH30" i="28"/>
  <c r="F31" i="27" a="1"/>
  <c r="F31" i="27" s="1"/>
  <c r="F51" i="23" a="1"/>
  <c r="F51" i="23" s="1"/>
  <c r="BC50" i="23"/>
  <c r="BA50" i="23"/>
  <c r="BL50" i="23" s="1"/>
  <c r="AY50" i="23"/>
  <c r="BJ50" i="23" s="1"/>
  <c r="AW50" i="23"/>
  <c r="BH50" i="23" s="1"/>
  <c r="AU50" i="23"/>
  <c r="BF50" i="23" s="1"/>
  <c r="AS50" i="23"/>
  <c r="AQ50" i="23"/>
  <c r="AO50" i="23"/>
  <c r="AM50" i="23"/>
  <c r="AK50" i="23"/>
  <c r="AI50" i="23"/>
  <c r="AG50" i="23"/>
  <c r="AE50" i="23"/>
  <c r="BB50" i="23"/>
  <c r="BM50" i="23" s="1"/>
  <c r="AZ50" i="23"/>
  <c r="BK50" i="23" s="1"/>
  <c r="AX50" i="23"/>
  <c r="BI50" i="23" s="1"/>
  <c r="AV50" i="23"/>
  <c r="BG50" i="23" s="1"/>
  <c r="AT50" i="23"/>
  <c r="BE50" i="23" s="1"/>
  <c r="AR50" i="23"/>
  <c r="AP50" i="23"/>
  <c r="AN50" i="23"/>
  <c r="AL50" i="23"/>
  <c r="AJ50" i="23"/>
  <c r="AF50" i="23"/>
  <c r="F39" i="13" a="1"/>
  <c r="F39" i="13" s="1"/>
  <c r="T38" i="13"/>
  <c r="CO100" i="12"/>
  <c r="CO74" i="12"/>
  <c r="CO113" i="12"/>
  <c r="CO87" i="12"/>
  <c r="CI100" i="12"/>
  <c r="CI74" i="12"/>
  <c r="CI113" i="12"/>
  <c r="CI87" i="12"/>
  <c r="CC100" i="12"/>
  <c r="CC74" i="12"/>
  <c r="CC113" i="12"/>
  <c r="CC87" i="12"/>
  <c r="BW100" i="12"/>
  <c r="BW74" i="12"/>
  <c r="BW113" i="12"/>
  <c r="BW87" i="12"/>
  <c r="BQ100" i="12"/>
  <c r="BQ74" i="12"/>
  <c r="BQ113" i="12"/>
  <c r="BQ87" i="12"/>
  <c r="BK100" i="12"/>
  <c r="BK74" i="12"/>
  <c r="BK113" i="12"/>
  <c r="BK87" i="12"/>
  <c r="BE100" i="12"/>
  <c r="BE74" i="12"/>
  <c r="BE113" i="12"/>
  <c r="BE87" i="12"/>
  <c r="AY100" i="12"/>
  <c r="AY74" i="12"/>
  <c r="AY113" i="12"/>
  <c r="AY87" i="12"/>
  <c r="AS100" i="12"/>
  <c r="AS74" i="12"/>
  <c r="AS113" i="12"/>
  <c r="AS87" i="12"/>
  <c r="AM100" i="12"/>
  <c r="AM74" i="12"/>
  <c r="AM113" i="12"/>
  <c r="AM87" i="12"/>
  <c r="F39" i="9" a="1"/>
  <c r="F39" i="9" s="1"/>
  <c r="U38" i="9"/>
  <c r="F32" i="8" a="1"/>
  <c r="F32" i="8" s="1"/>
  <c r="U31" i="8"/>
  <c r="H50" i="2" a="1"/>
  <c r="H50" i="2" s="1"/>
  <c r="H49" i="2" a="1"/>
  <c r="H49" i="2" s="1"/>
  <c r="N85" i="27" a="1"/>
  <c r="N85" i="27" s="1"/>
  <c r="BX84" i="27" a="1"/>
  <c r="BX84" i="27" s="1"/>
  <c r="T45" i="21"/>
  <c r="F46" i="21" a="1"/>
  <c r="F46" i="21" s="1"/>
  <c r="F36" i="14" a="1"/>
  <c r="F36" i="14" s="1"/>
  <c r="T35" i="14"/>
  <c r="W55" i="8" a="1"/>
  <c r="W55" i="8" s="1"/>
  <c r="AB55" i="8" a="1"/>
  <c r="AB55" i="8" s="1"/>
  <c r="CR226" i="12"/>
  <c r="CR243" i="12"/>
  <c r="CR209" i="12"/>
  <c r="CR192" i="12"/>
  <c r="CO179" i="12"/>
  <c r="CL242" i="12"/>
  <c r="CL225" i="12"/>
  <c r="CL208" i="12"/>
  <c r="CL191" i="12"/>
  <c r="CC178" i="12"/>
  <c r="CC164" i="12"/>
  <c r="CC165" i="12" s="1"/>
  <c r="BW255" i="12"/>
  <c r="BW256" i="12"/>
  <c r="BW250" i="12"/>
  <c r="BT226" i="12"/>
  <c r="BT243" i="12"/>
  <c r="BT209" i="12"/>
  <c r="BT192" i="12"/>
  <c r="BQ179" i="12"/>
  <c r="BN242" i="12"/>
  <c r="BN225" i="12"/>
  <c r="BN208" i="12"/>
  <c r="BN191" i="12"/>
  <c r="BE178" i="12"/>
  <c r="BE164" i="12"/>
  <c r="BE165" i="12" s="1"/>
  <c r="AY255" i="12"/>
  <c r="AY256" i="12"/>
  <c r="AY250" i="12"/>
  <c r="AV226" i="12"/>
  <c r="AV243" i="12"/>
  <c r="AV209" i="12"/>
  <c r="AV192" i="12"/>
  <c r="AS179" i="12"/>
  <c r="AP242" i="12"/>
  <c r="AP225" i="12"/>
  <c r="AP208" i="12"/>
  <c r="AP191" i="12"/>
  <c r="U32" i="9"/>
  <c r="F33" i="9" a="1"/>
  <c r="F33" i="9" s="1"/>
  <c r="F60" i="8" a="1"/>
  <c r="F60" i="8" s="1"/>
  <c r="U59" i="8"/>
  <c r="AL30" i="28"/>
  <c r="F92" i="25" a="1"/>
  <c r="F92" i="25" s="1"/>
  <c r="F93" i="25" s="1" a="1"/>
  <c r="F93" i="25" s="1"/>
  <c r="F94" i="25" s="1" a="1"/>
  <c r="F94" i="25" s="1"/>
  <c r="F95" i="25" s="1" a="1"/>
  <c r="F95" i="25" s="1"/>
  <c r="F96" i="25" s="1" a="1"/>
  <c r="F96" i="25" s="1"/>
  <c r="AI36" i="24"/>
  <c r="BD36" i="24" s="1"/>
  <c r="BD29" i="24"/>
  <c r="AM36" i="24"/>
  <c r="AQ36" i="24"/>
  <c r="AU36" i="24"/>
  <c r="BF36" i="24" s="1"/>
  <c r="BF29" i="24"/>
  <c r="AY36" i="24"/>
  <c r="BJ36" i="24" s="1"/>
  <c r="BJ29" i="24"/>
  <c r="BC36" i="24"/>
  <c r="AL36" i="24"/>
  <c r="AP36" i="24"/>
  <c r="AT36" i="24"/>
  <c r="BE36" i="24" s="1"/>
  <c r="BE29" i="24"/>
  <c r="AX36" i="24"/>
  <c r="BI36" i="24" s="1"/>
  <c r="BI29" i="24"/>
  <c r="BB36" i="24"/>
  <c r="BM36" i="24" s="1"/>
  <c r="BM29" i="24"/>
  <c r="N30" i="27" a="1"/>
  <c r="N30" i="27" s="1"/>
  <c r="BX29" i="27" a="1"/>
  <c r="BX29" i="27" s="1"/>
  <c r="F79" i="13" a="1"/>
  <c r="F79" i="13" s="1"/>
  <c r="F80" i="13" s="1" a="1"/>
  <c r="F80" i="13" s="1"/>
  <c r="A78" i="13"/>
  <c r="T78" i="13"/>
  <c r="S45" i="12" a="1"/>
  <c r="S45" i="12" s="1"/>
  <c r="S46" i="12" s="1" a="1"/>
  <c r="S46" i="12" s="1"/>
  <c r="S47" i="12" s="1" a="1"/>
  <c r="S47" i="12" s="1"/>
  <c r="S48" i="12" s="1" a="1"/>
  <c r="S48" i="12" s="1"/>
  <c r="U44" i="12"/>
  <c r="T142" i="12" a="1"/>
  <c r="T142" i="12" s="1"/>
  <c r="U141" i="12"/>
  <c r="M31" i="31" a="1"/>
  <c r="M31" i="31" s="1"/>
  <c r="BI30" i="31" a="1"/>
  <c r="BI30" i="31" s="1"/>
  <c r="F58" i="31" a="1"/>
  <c r="F58" i="31" s="1"/>
  <c r="T57" i="31"/>
  <c r="F31" i="22" a="1"/>
  <c r="F31" i="22" s="1"/>
  <c r="F42" i="24" a="1"/>
  <c r="F42" i="24" s="1"/>
  <c r="F31" i="18" a="1"/>
  <c r="F31" i="18" s="1"/>
  <c r="T30" i="18"/>
  <c r="T31" i="18" s="1" a="1"/>
  <c r="T31" i="18" s="1"/>
  <c r="T32" i="18" s="1" a="1"/>
  <c r="T32" i="18" s="1"/>
  <c r="F37" i="17" a="1"/>
  <c r="F37" i="17" s="1"/>
  <c r="F36" i="17" a="1"/>
  <c r="F36" i="17" s="1"/>
  <c r="F39" i="17" a="1"/>
  <c r="F39" i="17" s="1"/>
  <c r="AL66" i="21"/>
  <c r="T69" i="21"/>
  <c r="F70" i="21" a="1"/>
  <c r="F70" i="21" s="1"/>
  <c r="AI52" i="21"/>
  <c r="T46" i="14"/>
  <c r="F48" i="14" a="1"/>
  <c r="F48" i="14" s="1"/>
  <c r="A48" i="14" s="1"/>
  <c r="A46" i="14"/>
  <c r="S156" i="12" a="1"/>
  <c r="S156" i="12" s="1"/>
  <c r="S157" i="12" s="1" a="1"/>
  <c r="S157" i="12" s="1"/>
  <c r="S158" i="12" s="1" a="1"/>
  <c r="S158" i="12" s="1"/>
  <c r="S159" i="12" s="1" a="1"/>
  <c r="S159" i="12" s="1"/>
  <c r="U155" i="12"/>
  <c r="CL226" i="12"/>
  <c r="CL243" i="12"/>
  <c r="CL209" i="12"/>
  <c r="CL192" i="12"/>
  <c r="CI179" i="12"/>
  <c r="CF242" i="12"/>
  <c r="CF225" i="12"/>
  <c r="CF208" i="12"/>
  <c r="CF191" i="12"/>
  <c r="CC254" i="12"/>
  <c r="BW178" i="12"/>
  <c r="BW164" i="12"/>
  <c r="BW165" i="12" s="1"/>
  <c r="BN226" i="12"/>
  <c r="BN243" i="12"/>
  <c r="BN209" i="12"/>
  <c r="BN192" i="12"/>
  <c r="BK179" i="12"/>
  <c r="BH242" i="12"/>
  <c r="BH225" i="12"/>
  <c r="BH208" i="12"/>
  <c r="BH191" i="12"/>
  <c r="BE254" i="12"/>
  <c r="AY178" i="12"/>
  <c r="AY164" i="12"/>
  <c r="AY165" i="12" s="1"/>
  <c r="AP226" i="12"/>
  <c r="AP243" i="12"/>
  <c r="AP209" i="12"/>
  <c r="AP192" i="12"/>
  <c r="AM179" i="12"/>
  <c r="F33" i="33" a="1"/>
  <c r="F33" i="33"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F34" i="28" a="1"/>
  <c r="F34" i="28" s="1"/>
  <c r="F56" i="17" a="1"/>
  <c r="F56" i="17" s="1"/>
  <c r="F55" i="17" a="1"/>
  <c r="F55" i="17" s="1"/>
  <c r="F61" i="17" a="1"/>
  <c r="F61" i="17" s="1"/>
  <c r="F31" i="23" a="1"/>
  <c r="F31" i="23" s="1"/>
  <c r="BC30" i="23"/>
  <c r="BA30" i="23"/>
  <c r="BL30" i="23" s="1"/>
  <c r="AY30" i="23"/>
  <c r="BJ30" i="23" s="1"/>
  <c r="AW30" i="23"/>
  <c r="BH30" i="23" s="1"/>
  <c r="AU30" i="23"/>
  <c r="BF30" i="23" s="1"/>
  <c r="AS30" i="23"/>
  <c r="AQ30" i="23"/>
  <c r="AO30" i="23"/>
  <c r="AM30" i="23"/>
  <c r="AK30" i="23"/>
  <c r="AI30" i="23"/>
  <c r="BD30" i="23" s="1"/>
  <c r="AG30" i="23"/>
  <c r="AE30" i="23"/>
  <c r="BB30" i="23"/>
  <c r="BM30" i="23" s="1"/>
  <c r="AZ30" i="23"/>
  <c r="BK30" i="23" s="1"/>
  <c r="AX30" i="23"/>
  <c r="BI30" i="23" s="1"/>
  <c r="AV30" i="23"/>
  <c r="BG30" i="23" s="1"/>
  <c r="AT30" i="23"/>
  <c r="BE30" i="23" s="1"/>
  <c r="AR30" i="23"/>
  <c r="AP30" i="23"/>
  <c r="AN30" i="23"/>
  <c r="AL30" i="23"/>
  <c r="AJ30" i="23"/>
  <c r="AF30" i="23"/>
  <c r="AF187" i="12" a="1"/>
  <c r="AF187" i="12" s="1"/>
  <c r="CZ183" i="12" a="1"/>
  <c r="CZ183" i="12" s="1"/>
  <c r="CR113" i="12"/>
  <c r="CR87" i="12"/>
  <c r="CR100" i="12"/>
  <c r="CR74" i="12"/>
  <c r="CL113" i="12"/>
  <c r="CL87" i="12"/>
  <c r="CL100" i="12"/>
  <c r="CL74" i="12"/>
  <c r="CF113" i="12"/>
  <c r="CF87" i="12"/>
  <c r="CF100" i="12"/>
  <c r="CF74" i="12"/>
  <c r="BZ113" i="12"/>
  <c r="BZ87" i="12"/>
  <c r="BZ100" i="12"/>
  <c r="BZ74" i="12"/>
  <c r="BT113" i="12"/>
  <c r="BT87" i="12"/>
  <c r="BT100" i="12"/>
  <c r="BT74" i="12"/>
  <c r="BN113" i="12"/>
  <c r="BN87" i="12"/>
  <c r="BN100" i="12"/>
  <c r="BN74" i="12"/>
  <c r="BH113" i="12"/>
  <c r="BH87" i="12"/>
  <c r="BH100" i="12"/>
  <c r="BH74" i="12"/>
  <c r="BB113" i="12"/>
  <c r="BB87" i="12"/>
  <c r="BB100" i="12"/>
  <c r="BB74" i="12"/>
  <c r="AV113" i="12"/>
  <c r="AV87" i="12"/>
  <c r="AV100" i="12"/>
  <c r="AV74" i="12"/>
  <c r="AP113" i="12"/>
  <c r="AP87" i="12"/>
  <c r="AP100" i="12"/>
  <c r="AP74" i="12"/>
  <c r="AP98" i="12" l="1"/>
  <c r="AP99" i="12" s="1"/>
  <c r="AP103" i="12"/>
  <c r="AV111" i="12"/>
  <c r="AV112" i="12" s="1"/>
  <c r="AV116" i="12"/>
  <c r="BB111" i="12"/>
  <c r="BB112" i="12" s="1"/>
  <c r="BB116" i="12"/>
  <c r="BH111" i="12"/>
  <c r="BH112" i="12" s="1"/>
  <c r="BH116" i="12"/>
  <c r="BN111" i="12"/>
  <c r="BN112" i="12" s="1"/>
  <c r="BN116" i="12"/>
  <c r="BT111" i="12"/>
  <c r="BT112" i="12" s="1"/>
  <c r="BT116" i="12"/>
  <c r="BZ98" i="12"/>
  <c r="BZ99" i="12" s="1"/>
  <c r="BZ103" i="12"/>
  <c r="CF98" i="12"/>
  <c r="CF99" i="12" s="1"/>
  <c r="CF103" i="12"/>
  <c r="CL98" i="12"/>
  <c r="CL99" i="12" s="1"/>
  <c r="CL103" i="12"/>
  <c r="CR98" i="12"/>
  <c r="CR99" i="12" s="1"/>
  <c r="CR103" i="12"/>
  <c r="AP129" i="12"/>
  <c r="AP72" i="12"/>
  <c r="AP73" i="12" s="1"/>
  <c r="AP77" i="12"/>
  <c r="AP85" i="12"/>
  <c r="AP86" i="12" s="1"/>
  <c r="AP90" i="12"/>
  <c r="AV129" i="12"/>
  <c r="AV72" i="12"/>
  <c r="AV73" i="12" s="1"/>
  <c r="AV77" i="12"/>
  <c r="AV85" i="12"/>
  <c r="AV86" i="12" s="1"/>
  <c r="AV90" i="12"/>
  <c r="BB129" i="12"/>
  <c r="BB72" i="12"/>
  <c r="BB73" i="12" s="1"/>
  <c r="BB77" i="12"/>
  <c r="BB85" i="12"/>
  <c r="BB86" i="12" s="1"/>
  <c r="BB90" i="12"/>
  <c r="BH129" i="12"/>
  <c r="BH72" i="12"/>
  <c r="BH73" i="12" s="1"/>
  <c r="BH77" i="12"/>
  <c r="BH85" i="12"/>
  <c r="BH86" i="12" s="1"/>
  <c r="BH90" i="12"/>
  <c r="BN129" i="12"/>
  <c r="BN72" i="12"/>
  <c r="BN73" i="12" s="1"/>
  <c r="BN77" i="12"/>
  <c r="BN85" i="12"/>
  <c r="BN86" i="12" s="1"/>
  <c r="BN90" i="12"/>
  <c r="BT129" i="12"/>
  <c r="BT72" i="12"/>
  <c r="BT73" i="12" s="1"/>
  <c r="BT77" i="12"/>
  <c r="BT85" i="12"/>
  <c r="BT86" i="12" s="1"/>
  <c r="BT90" i="12"/>
  <c r="BZ129" i="12"/>
  <c r="BZ72" i="12"/>
  <c r="BZ73" i="12" s="1"/>
  <c r="BZ77" i="12"/>
  <c r="BZ85" i="12"/>
  <c r="BZ86" i="12" s="1"/>
  <c r="BZ90" i="12"/>
  <c r="CF129" i="12"/>
  <c r="CF72" i="12"/>
  <c r="CF73" i="12" s="1"/>
  <c r="CF77" i="12"/>
  <c r="CF85" i="12"/>
  <c r="CF86" i="12" s="1"/>
  <c r="CF90" i="12"/>
  <c r="CL129" i="12"/>
  <c r="CL72" i="12"/>
  <c r="CL73" i="12" s="1"/>
  <c r="CL77" i="12"/>
  <c r="CL85" i="12"/>
  <c r="CL86" i="12" s="1"/>
  <c r="CL90" i="12"/>
  <c r="CR129" i="12"/>
  <c r="CR72" i="12"/>
  <c r="CR73" i="12" s="1"/>
  <c r="CR77" i="12"/>
  <c r="CR85" i="12"/>
  <c r="CR86" i="12" s="1"/>
  <c r="CR90" i="12"/>
  <c r="CZ187" i="12" a="1"/>
  <c r="CZ187" i="12" s="1"/>
  <c r="AF192" i="12" a="1"/>
  <c r="AF192" i="12" s="1"/>
  <c r="AH30" i="23"/>
  <c r="BB31" i="23"/>
  <c r="BM31" i="23" s="1"/>
  <c r="AZ31" i="23"/>
  <c r="BK31" i="23" s="1"/>
  <c r="AX31" i="23"/>
  <c r="BI31" i="23" s="1"/>
  <c r="AV31" i="23"/>
  <c r="BG31" i="23" s="1"/>
  <c r="AT31" i="23"/>
  <c r="BE31" i="23" s="1"/>
  <c r="AR31" i="23"/>
  <c r="AP31" i="23"/>
  <c r="AN31" i="23"/>
  <c r="AL31" i="23"/>
  <c r="AJ31" i="23"/>
  <c r="AF31" i="23"/>
  <c r="F32" i="23" a="1"/>
  <c r="F32" i="23" s="1"/>
  <c r="F33" i="23" s="1" a="1"/>
  <c r="F33" i="23" s="1"/>
  <c r="BC31" i="23"/>
  <c r="BA31" i="23"/>
  <c r="BL31" i="23" s="1"/>
  <c r="AY31" i="23"/>
  <c r="BJ31" i="23" s="1"/>
  <c r="AW31" i="23"/>
  <c r="BH31" i="23" s="1"/>
  <c r="AU31" i="23"/>
  <c r="BF31" i="23" s="1"/>
  <c r="AS31" i="23"/>
  <c r="AQ31" i="23"/>
  <c r="AO31" i="23"/>
  <c r="AM31" i="23"/>
  <c r="AK31" i="23"/>
  <c r="AI31" i="23"/>
  <c r="BD31" i="23" s="1"/>
  <c r="AG31" i="23"/>
  <c r="AE31" i="23"/>
  <c r="F62" i="17" a="1"/>
  <c r="F62" i="17" s="1"/>
  <c r="G61" i="17"/>
  <c r="T61" i="17"/>
  <c r="F34" i="33" a="1"/>
  <c r="F34" i="33" s="1"/>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AP213" i="12"/>
  <c r="AP230" i="12"/>
  <c r="BH206" i="12"/>
  <c r="BH207" i="12" s="1"/>
  <c r="BH212" i="12"/>
  <c r="BH223" i="12"/>
  <c r="BH224" i="12" s="1"/>
  <c r="BH229" i="12"/>
  <c r="BN213" i="12"/>
  <c r="BN230" i="12"/>
  <c r="CF206" i="12"/>
  <c r="CF207" i="12" s="1"/>
  <c r="CF212" i="12"/>
  <c r="CF223" i="12"/>
  <c r="CF224" i="12" s="1"/>
  <c r="CF229" i="12"/>
  <c r="CL213" i="12"/>
  <c r="CL230" i="12"/>
  <c r="S160" i="12" a="1"/>
  <c r="S160" i="12" s="1"/>
  <c r="U159" i="12"/>
  <c r="F40" i="17" a="1"/>
  <c r="F40" i="17" s="1"/>
  <c r="G39" i="17"/>
  <c r="T39" i="17"/>
  <c r="F32" i="18" a="1"/>
  <c r="F32" i="18" s="1"/>
  <c r="F32" i="22" a="1"/>
  <c r="F32" i="22" s="1"/>
  <c r="BC31" i="22"/>
  <c r="BA31" i="22"/>
  <c r="AY31" i="22"/>
  <c r="AW31" i="22"/>
  <c r="AU31" i="22"/>
  <c r="AS31" i="22"/>
  <c r="AQ31" i="22"/>
  <c r="AO31" i="22"/>
  <c r="AM31" i="22"/>
  <c r="AK31" i="22"/>
  <c r="AI31" i="22"/>
  <c r="BB31" i="22"/>
  <c r="AZ31" i="22"/>
  <c r="AX31" i="22"/>
  <c r="AV31" i="22"/>
  <c r="AT31" i="22"/>
  <c r="AR31" i="22"/>
  <c r="AP31" i="22"/>
  <c r="AN31" i="22"/>
  <c r="AL31" i="22"/>
  <c r="AJ31" i="22"/>
  <c r="F59" i="31" a="1"/>
  <c r="F59" i="31" s="1"/>
  <c r="T58" i="31"/>
  <c r="M32" i="31" a="1"/>
  <c r="M32" i="31" s="1"/>
  <c r="BI31" i="31" a="1"/>
  <c r="BI31" i="31" s="1"/>
  <c r="T143" i="12" a="1"/>
  <c r="T143" i="12" s="1"/>
  <c r="U142" i="12"/>
  <c r="S49" i="12" a="1"/>
  <c r="S49" i="12" s="1"/>
  <c r="U48" i="12"/>
  <c r="F34" i="9" a="1"/>
  <c r="F34" i="9" s="1"/>
  <c r="U34" i="9" s="1"/>
  <c r="U33" i="9"/>
  <c r="AP262" i="12"/>
  <c r="AP189" i="12"/>
  <c r="AP190" i="12" s="1"/>
  <c r="AP195" i="12"/>
  <c r="AP240" i="12"/>
  <c r="AP241" i="12" s="1"/>
  <c r="AP246" i="12"/>
  <c r="AS243" i="12"/>
  <c r="AS226" i="12"/>
  <c r="AS209" i="12"/>
  <c r="AS192" i="12"/>
  <c r="AV263" i="12"/>
  <c r="AV196" i="12"/>
  <c r="AV247" i="12"/>
  <c r="BE242" i="12"/>
  <c r="BE225" i="12"/>
  <c r="BE208" i="12"/>
  <c r="BE191" i="12"/>
  <c r="BN206" i="12"/>
  <c r="BN207" i="12" s="1"/>
  <c r="BN212" i="12"/>
  <c r="BN223" i="12"/>
  <c r="BN224" i="12" s="1"/>
  <c r="BN229" i="12"/>
  <c r="BT213" i="12"/>
  <c r="BT230" i="12"/>
  <c r="BW254" i="12"/>
  <c r="CL262" i="12"/>
  <c r="CL189" i="12"/>
  <c r="CL190" i="12" s="1"/>
  <c r="CL195" i="12"/>
  <c r="CL240" i="12"/>
  <c r="CL241" i="12" s="1"/>
  <c r="CL246" i="12"/>
  <c r="CO243" i="12"/>
  <c r="CO226" i="12"/>
  <c r="CO209" i="12"/>
  <c r="CO192" i="12"/>
  <c r="CR263" i="12"/>
  <c r="CR196" i="12"/>
  <c r="CR247" i="12"/>
  <c r="AB35" i="9" a="1"/>
  <c r="AB35" i="9" s="1"/>
  <c r="W35" i="9" a="1"/>
  <c r="W35" i="9" s="1"/>
  <c r="U45" i="12"/>
  <c r="F37" i="14" a="1"/>
  <c r="F37" i="14" s="1"/>
  <c r="F38" i="14" s="1" a="1"/>
  <c r="F38" i="14" s="1"/>
  <c r="A36" i="14"/>
  <c r="T36" i="14"/>
  <c r="N86" i="27" a="1"/>
  <c r="N86" i="27" s="1"/>
  <c r="BX85" i="27" a="1"/>
  <c r="BX85" i="27" s="1"/>
  <c r="F33" i="8" a="1"/>
  <c r="F33" i="8" s="1"/>
  <c r="U32" i="8"/>
  <c r="F40" i="9" a="1"/>
  <c r="F40" i="9" s="1"/>
  <c r="U39" i="9"/>
  <c r="AM111" i="12"/>
  <c r="AM112" i="12" s="1"/>
  <c r="AM116" i="12"/>
  <c r="AM129" i="12"/>
  <c r="AM72" i="12"/>
  <c r="AM73" i="12" s="1"/>
  <c r="AM77" i="12"/>
  <c r="AS111" i="12"/>
  <c r="AS112" i="12" s="1"/>
  <c r="AS116" i="12"/>
  <c r="AS129" i="12"/>
  <c r="AS72" i="12"/>
  <c r="AS73" i="12" s="1"/>
  <c r="AS77" i="12"/>
  <c r="AY111" i="12"/>
  <c r="AY112" i="12" s="1"/>
  <c r="AY116" i="12"/>
  <c r="AY129" i="12"/>
  <c r="AY72" i="12"/>
  <c r="AY73" i="12" s="1"/>
  <c r="AY77" i="12"/>
  <c r="BE111" i="12"/>
  <c r="BE112" i="12" s="1"/>
  <c r="BE116" i="12"/>
  <c r="BE129" i="12"/>
  <c r="BE72" i="12"/>
  <c r="BE73" i="12" s="1"/>
  <c r="BE77" i="12"/>
  <c r="BK111" i="12"/>
  <c r="BK112" i="12" s="1"/>
  <c r="BK116" i="12"/>
  <c r="BK129" i="12"/>
  <c r="BK72" i="12"/>
  <c r="BK73" i="12" s="1"/>
  <c r="BK77" i="12"/>
  <c r="BQ111" i="12"/>
  <c r="BQ112" i="12" s="1"/>
  <c r="BQ116" i="12"/>
  <c r="BQ129" i="12"/>
  <c r="BQ72" i="12"/>
  <c r="BQ73" i="12" s="1"/>
  <c r="BQ77" i="12"/>
  <c r="BW111" i="12"/>
  <c r="BW112" i="12" s="1"/>
  <c r="BW116" i="12"/>
  <c r="BW129" i="12"/>
  <c r="BW72" i="12"/>
  <c r="BW73" i="12" s="1"/>
  <c r="BW77" i="12"/>
  <c r="CC111" i="12"/>
  <c r="CC112" i="12" s="1"/>
  <c r="CC116" i="12"/>
  <c r="CC129" i="12"/>
  <c r="CC72" i="12"/>
  <c r="CC73" i="12" s="1"/>
  <c r="CC77" i="12"/>
  <c r="CI111" i="12"/>
  <c r="CI112" i="12" s="1"/>
  <c r="CI116" i="12"/>
  <c r="CI129" i="12"/>
  <c r="CI72" i="12"/>
  <c r="CI73" i="12" s="1"/>
  <c r="CI77" i="12"/>
  <c r="CO111" i="12"/>
  <c r="CO112" i="12" s="1"/>
  <c r="CO116" i="12"/>
  <c r="CO129" i="12"/>
  <c r="CO72" i="12"/>
  <c r="CO73" i="12" s="1"/>
  <c r="CO77" i="12"/>
  <c r="F40" i="13" a="1"/>
  <c r="F40" i="13" s="1"/>
  <c r="T39" i="13"/>
  <c r="AH50" i="23"/>
  <c r="BB51" i="23"/>
  <c r="BM51" i="23" s="1"/>
  <c r="AZ51" i="23"/>
  <c r="BK51" i="23" s="1"/>
  <c r="AX51" i="23"/>
  <c r="BI51" i="23" s="1"/>
  <c r="AV51" i="23"/>
  <c r="BG51" i="23" s="1"/>
  <c r="AT51" i="23"/>
  <c r="BE51" i="23" s="1"/>
  <c r="AR51" i="23"/>
  <c r="AP51" i="23"/>
  <c r="AN51" i="23"/>
  <c r="AL51" i="23"/>
  <c r="AJ51" i="23"/>
  <c r="AF51" i="23"/>
  <c r="F52" i="23" a="1"/>
  <c r="F52" i="23" s="1"/>
  <c r="F53" i="23" s="1" a="1"/>
  <c r="F53" i="23" s="1"/>
  <c r="BC51" i="23"/>
  <c r="BA51" i="23"/>
  <c r="BL51" i="23" s="1"/>
  <c r="AY51" i="23"/>
  <c r="BJ51" i="23" s="1"/>
  <c r="AW51" i="23"/>
  <c r="BH51" i="23" s="1"/>
  <c r="AU51" i="23"/>
  <c r="BF51" i="23" s="1"/>
  <c r="AS51" i="23"/>
  <c r="AQ51" i="23"/>
  <c r="AO51" i="23"/>
  <c r="AM51" i="23"/>
  <c r="AK51" i="23"/>
  <c r="AI51" i="23"/>
  <c r="BD51" i="23" s="1"/>
  <c r="AG51" i="23"/>
  <c r="AE51" i="23"/>
  <c r="T31" i="27"/>
  <c r="F32" i="27" a="1"/>
  <c r="F32" i="27" s="1"/>
  <c r="M99" i="28" a="1"/>
  <c r="M99" i="28" s="1"/>
  <c r="AS98" i="28" a="1"/>
  <c r="AS98" i="28" s="1"/>
  <c r="F32" i="30" a="1"/>
  <c r="F32" i="30" s="1"/>
  <c r="T31" i="30"/>
  <c r="F56" i="30" a="1"/>
  <c r="F56" i="30" s="1"/>
  <c r="T55" i="30"/>
  <c r="M59" i="31" a="1"/>
  <c r="M59" i="31" s="1"/>
  <c r="BI58" i="31" a="1"/>
  <c r="BI58" i="31" s="1"/>
  <c r="F32" i="31" a="1"/>
  <c r="F32" i="31" s="1"/>
  <c r="T31" i="31"/>
  <c r="AV206" i="12"/>
  <c r="AV207" i="12" s="1"/>
  <c r="AV212" i="12"/>
  <c r="AV223" i="12"/>
  <c r="AV224" i="12" s="1"/>
  <c r="AV229" i="12"/>
  <c r="BB213" i="12"/>
  <c r="BB230" i="12"/>
  <c r="BT206" i="12"/>
  <c r="BT207" i="12" s="1"/>
  <c r="BT212" i="12"/>
  <c r="BT223" i="12"/>
  <c r="BT224" i="12" s="1"/>
  <c r="BT229" i="12"/>
  <c r="BZ213" i="12"/>
  <c r="BZ230" i="12"/>
  <c r="CR206" i="12"/>
  <c r="CR207" i="12" s="1"/>
  <c r="CR212" i="12"/>
  <c r="CR223" i="12"/>
  <c r="CR224" i="12" s="1"/>
  <c r="CR229" i="12"/>
  <c r="CY187" i="12" a="1"/>
  <c r="CY187" i="12" s="1"/>
  <c r="AG187" i="12"/>
  <c r="AE192" i="12" a="1"/>
  <c r="AE192" i="12" s="1"/>
  <c r="X192" i="12"/>
  <c r="F53" i="14" a="1"/>
  <c r="F53" i="14" s="1"/>
  <c r="F54" i="14" s="1" a="1"/>
  <c r="F54" i="14" s="1"/>
  <c r="A52" i="14"/>
  <c r="T52" i="14"/>
  <c r="F87" i="27" a="1"/>
  <c r="F87" i="27" s="1"/>
  <c r="T86" i="27"/>
  <c r="M32" i="28" a="1"/>
  <c r="M32" i="28" s="1"/>
  <c r="AS31" i="28" a="1"/>
  <c r="AS31" i="28" s="1"/>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F60" i="18" a="1"/>
  <c r="F60" i="18" s="1"/>
  <c r="T59" i="18"/>
  <c r="F32" i="24" a="1"/>
  <c r="F32" i="24" s="1"/>
  <c r="AS242" i="12"/>
  <c r="AS225" i="12"/>
  <c r="AS208" i="12"/>
  <c r="AS191" i="12"/>
  <c r="BB206" i="12"/>
  <c r="BB207" i="12" s="1"/>
  <c r="BB212" i="12"/>
  <c r="BB223" i="12"/>
  <c r="BB224" i="12" s="1"/>
  <c r="BB229" i="12"/>
  <c r="BH213" i="12"/>
  <c r="BH230" i="12"/>
  <c r="BK254" i="12"/>
  <c r="BZ262" i="12"/>
  <c r="BZ189" i="12"/>
  <c r="BZ190" i="12" s="1"/>
  <c r="BZ195" i="12"/>
  <c r="BZ240" i="12"/>
  <c r="BZ241" i="12" s="1"/>
  <c r="BZ246" i="12"/>
  <c r="CC243" i="12"/>
  <c r="CC226" i="12"/>
  <c r="CC209" i="12"/>
  <c r="CC192" i="12"/>
  <c r="CF263" i="12"/>
  <c r="CF196" i="12"/>
  <c r="CF247" i="12"/>
  <c r="CO242" i="12"/>
  <c r="CO225" i="12"/>
  <c r="CO208" i="12"/>
  <c r="CO191" i="12"/>
  <c r="T47" i="12" a="1"/>
  <c r="T47" i="12" s="1"/>
  <c r="U47" i="12" s="1"/>
  <c r="L48" i="12" a="1"/>
  <c r="L48" i="12" s="1"/>
  <c r="L49" i="12" s="1" a="1"/>
  <c r="L49" i="12" s="1"/>
  <c r="L50" i="12" s="1" a="1"/>
  <c r="L50" i="12" s="1"/>
  <c r="L51" i="12" s="1" a="1"/>
  <c r="L51" i="12" s="1"/>
  <c r="L52" i="12" s="1" a="1"/>
  <c r="L52" i="12" s="1"/>
  <c r="F102" i="28" a="1"/>
  <c r="F102" i="28" s="1"/>
  <c r="T158" i="12" a="1"/>
  <c r="T158" i="12" s="1"/>
  <c r="U158" i="12" s="1"/>
  <c r="L159" i="12" a="1"/>
  <c r="L159" i="12" s="1"/>
  <c r="L160" i="12" s="1" a="1"/>
  <c r="L160" i="12" s="1"/>
  <c r="L161" i="12" s="1" a="1"/>
  <c r="L161" i="12" s="1"/>
  <c r="L162" i="12" s="1" a="1"/>
  <c r="L162" i="12" s="1"/>
  <c r="L163" i="12" s="1" a="1"/>
  <c r="L163" i="12" s="1"/>
  <c r="AP111" i="12"/>
  <c r="AP112" i="12" s="1"/>
  <c r="AP116" i="12"/>
  <c r="AV98" i="12"/>
  <c r="AV99" i="12" s="1"/>
  <c r="AV103" i="12"/>
  <c r="BB98" i="12"/>
  <c r="BB99" i="12" s="1"/>
  <c r="BB103" i="12"/>
  <c r="BH98" i="12"/>
  <c r="BH99" i="12" s="1"/>
  <c r="BH103" i="12"/>
  <c r="BN98" i="12"/>
  <c r="BN99" i="12" s="1"/>
  <c r="BN103" i="12"/>
  <c r="BT98" i="12"/>
  <c r="BT99" i="12" s="1"/>
  <c r="BT103" i="12"/>
  <c r="BZ111" i="12"/>
  <c r="BZ112" i="12" s="1"/>
  <c r="BZ116" i="12"/>
  <c r="CF111" i="12"/>
  <c r="CF112" i="12" s="1"/>
  <c r="CF116" i="12"/>
  <c r="CL111" i="12"/>
  <c r="CL112" i="12" s="1"/>
  <c r="CL116" i="12"/>
  <c r="CR111" i="12"/>
  <c r="CR112" i="12" s="1"/>
  <c r="CR116" i="12"/>
  <c r="F57" i="17" a="1"/>
  <c r="F57" i="17" s="1"/>
  <c r="A55" i="17"/>
  <c r="T55" i="17"/>
  <c r="F35" i="28" a="1"/>
  <c r="F35" i="28" s="1"/>
  <c r="AM226" i="12"/>
  <c r="AM209" i="12"/>
  <c r="AM192" i="12"/>
  <c r="AM243" i="12"/>
  <c r="AP263" i="12"/>
  <c r="AP196" i="12"/>
  <c r="AP247" i="12"/>
  <c r="AY242" i="12"/>
  <c r="AY225" i="12"/>
  <c r="AY208" i="12"/>
  <c r="AY191" i="12"/>
  <c r="BH262" i="12"/>
  <c r="BH189" i="12"/>
  <c r="BH190" i="12" s="1"/>
  <c r="BH195" i="12"/>
  <c r="BH240" i="12"/>
  <c r="BH241" i="12" s="1"/>
  <c r="BH246" i="12"/>
  <c r="BK243" i="12"/>
  <c r="BK226" i="12"/>
  <c r="BK209" i="12"/>
  <c r="BK192" i="12"/>
  <c r="BN263" i="12"/>
  <c r="BN196" i="12"/>
  <c r="BN247" i="12"/>
  <c r="BW242" i="12"/>
  <c r="BW225" i="12"/>
  <c r="BW208" i="12"/>
  <c r="BW191" i="12"/>
  <c r="CF262" i="12"/>
  <c r="CF189" i="12"/>
  <c r="CF190" i="12" s="1"/>
  <c r="CF195" i="12"/>
  <c r="CF240" i="12"/>
  <c r="CF241" i="12" s="1"/>
  <c r="CF246" i="12"/>
  <c r="CI243" i="12"/>
  <c r="CI226" i="12"/>
  <c r="CI209" i="12"/>
  <c r="CI192" i="12"/>
  <c r="CL263" i="12"/>
  <c r="CL196" i="12"/>
  <c r="CL247" i="12"/>
  <c r="T48" i="14" a="1"/>
  <c r="T48" i="14" s="1"/>
  <c r="T47" i="14" a="1"/>
  <c r="T47" i="14" s="1"/>
  <c r="T70" i="21"/>
  <c r="F71" i="21" a="1"/>
  <c r="F71" i="21" s="1"/>
  <c r="F38" i="17" a="1"/>
  <c r="F38" i="17" s="1"/>
  <c r="A36" i="17"/>
  <c r="T36" i="17"/>
  <c r="F43" i="24" a="1"/>
  <c r="F43" i="24" s="1"/>
  <c r="T80" i="13" a="1"/>
  <c r="T80" i="13" s="1"/>
  <c r="T79" i="13" a="1"/>
  <c r="T79" i="13" s="1"/>
  <c r="A80" i="13"/>
  <c r="F81" i="13" a="1"/>
  <c r="F81" i="13" s="1"/>
  <c r="N31" i="27" a="1"/>
  <c r="N31" i="27" s="1"/>
  <c r="BX30" i="27" a="1"/>
  <c r="BX30" i="27" s="1"/>
  <c r="F97" i="25" a="1"/>
  <c r="F97" i="25" s="1"/>
  <c r="F98" i="25" s="1" a="1"/>
  <c r="F98" i="25" s="1"/>
  <c r="F99" i="25" s="1" a="1"/>
  <c r="F99" i="25" s="1"/>
  <c r="F100" i="25" s="1" a="1"/>
  <c r="F100" i="25" s="1"/>
  <c r="F101" i="25" s="1" a="1"/>
  <c r="F101" i="25" s="1"/>
  <c r="F61" i="8" a="1"/>
  <c r="F61" i="8" s="1"/>
  <c r="U60" i="8"/>
  <c r="AP206" i="12"/>
  <c r="AP207" i="12" s="1"/>
  <c r="AP212" i="12"/>
  <c r="AP223" i="12"/>
  <c r="AP224" i="12" s="1"/>
  <c r="AP229" i="12"/>
  <c r="AV213" i="12"/>
  <c r="AV230" i="12"/>
  <c r="AY254" i="12"/>
  <c r="BN262" i="12"/>
  <c r="BN189" i="12"/>
  <c r="BN190" i="12" s="1"/>
  <c r="BN195" i="12"/>
  <c r="BN240" i="12"/>
  <c r="BN241" i="12" s="1"/>
  <c r="BN246" i="12"/>
  <c r="BQ226" i="12"/>
  <c r="BQ209" i="12"/>
  <c r="BQ192" i="12"/>
  <c r="BQ243" i="12"/>
  <c r="BT263" i="12"/>
  <c r="BT196" i="12"/>
  <c r="BT247" i="12"/>
  <c r="CC242" i="12"/>
  <c r="CC225" i="12"/>
  <c r="CC208" i="12"/>
  <c r="CC191" i="12"/>
  <c r="CL206" i="12"/>
  <c r="CL207" i="12" s="1"/>
  <c r="CL212" i="12"/>
  <c r="CL223" i="12"/>
  <c r="CL224" i="12" s="1"/>
  <c r="CL229" i="12"/>
  <c r="CR213" i="12"/>
  <c r="CR230" i="12"/>
  <c r="T46" i="21"/>
  <c r="F47" i="21" a="1"/>
  <c r="F47" i="21" s="1"/>
  <c r="AM85" i="12"/>
  <c r="AM86" i="12" s="1"/>
  <c r="AM90" i="12"/>
  <c r="AM98" i="12"/>
  <c r="AM99" i="12" s="1"/>
  <c r="AM103" i="12"/>
  <c r="AS85" i="12"/>
  <c r="AS86" i="12" s="1"/>
  <c r="AS90" i="12"/>
  <c r="AS98" i="12"/>
  <c r="AS99" i="12" s="1"/>
  <c r="AS103" i="12"/>
  <c r="AY85" i="12"/>
  <c r="AY86" i="12" s="1"/>
  <c r="AY90" i="12"/>
  <c r="AY98" i="12"/>
  <c r="AY99" i="12" s="1"/>
  <c r="AY103" i="12"/>
  <c r="BE85" i="12"/>
  <c r="BE86" i="12" s="1"/>
  <c r="BE90" i="12"/>
  <c r="BE98" i="12"/>
  <c r="BE99" i="12" s="1"/>
  <c r="BE103" i="12"/>
  <c r="BK85" i="12"/>
  <c r="BK86" i="12" s="1"/>
  <c r="BK90" i="12"/>
  <c r="BK98" i="12"/>
  <c r="BK99" i="12" s="1"/>
  <c r="BK103" i="12"/>
  <c r="BQ85" i="12"/>
  <c r="BQ86" i="12" s="1"/>
  <c r="BQ90" i="12"/>
  <c r="BQ98" i="12"/>
  <c r="BQ99" i="12" s="1"/>
  <c r="BQ103" i="12"/>
  <c r="BW85" i="12"/>
  <c r="BW86" i="12" s="1"/>
  <c r="BW90" i="12"/>
  <c r="BW98" i="12"/>
  <c r="BW99" i="12" s="1"/>
  <c r="BW103" i="12"/>
  <c r="CC85" i="12"/>
  <c r="CC86" i="12" s="1"/>
  <c r="CC90" i="12"/>
  <c r="CC98" i="12"/>
  <c r="CC99" i="12" s="1"/>
  <c r="CC103" i="12"/>
  <c r="CI85" i="12"/>
  <c r="CI86" i="12" s="1"/>
  <c r="CI90" i="12"/>
  <c r="CI98" i="12"/>
  <c r="CI99" i="12" s="1"/>
  <c r="CI103" i="12"/>
  <c r="CO85" i="12"/>
  <c r="CO86" i="12" s="1"/>
  <c r="CO90" i="12"/>
  <c r="CO98" i="12"/>
  <c r="CO99" i="12" s="1"/>
  <c r="CO103" i="12"/>
  <c r="BD50" i="23"/>
  <c r="AM242" i="12"/>
  <c r="AM225" i="12"/>
  <c r="AM208" i="12"/>
  <c r="AM191" i="12"/>
  <c r="AV262" i="12"/>
  <c r="AV189" i="12"/>
  <c r="AV190" i="12" s="1"/>
  <c r="AV195" i="12"/>
  <c r="AV240" i="12"/>
  <c r="AV241" i="12" s="1"/>
  <c r="AV246" i="12"/>
  <c r="AY243" i="12"/>
  <c r="AY226" i="12"/>
  <c r="AY209" i="12"/>
  <c r="AY192" i="12"/>
  <c r="BB263" i="12"/>
  <c r="BB196" i="12"/>
  <c r="BB247" i="12"/>
  <c r="BK242" i="12"/>
  <c r="BK225" i="12"/>
  <c r="BK208" i="12"/>
  <c r="BK191" i="12"/>
  <c r="BT262" i="12"/>
  <c r="BT189" i="12"/>
  <c r="BT190" i="12" s="1"/>
  <c r="BT195" i="12"/>
  <c r="BT240" i="12"/>
  <c r="BT241" i="12" s="1"/>
  <c r="BT246" i="12"/>
  <c r="BW243" i="12"/>
  <c r="BW226" i="12"/>
  <c r="BW209" i="12"/>
  <c r="BW192" i="12"/>
  <c r="BZ263" i="12"/>
  <c r="BZ196" i="12"/>
  <c r="BZ247" i="12"/>
  <c r="CI242" i="12"/>
  <c r="CI225" i="12"/>
  <c r="CI208" i="12"/>
  <c r="CI191" i="12"/>
  <c r="CR262" i="12"/>
  <c r="CR189" i="12"/>
  <c r="CR190" i="12" s="1"/>
  <c r="CR195" i="12"/>
  <c r="CR240" i="12"/>
  <c r="CR241" i="12" s="1"/>
  <c r="CR246" i="12"/>
  <c r="T32" i="12" a="1"/>
  <c r="T32" i="12" s="1"/>
  <c r="U31" i="12"/>
  <c r="U36" i="6"/>
  <c r="F37" i="6" a="1"/>
  <c r="F37" i="6" s="1"/>
  <c r="BB41" i="22"/>
  <c r="AZ41" i="22"/>
  <c r="AX41" i="22"/>
  <c r="AV41" i="22"/>
  <c r="AT41" i="22"/>
  <c r="AR41" i="22"/>
  <c r="AP41" i="22"/>
  <c r="AN41" i="22"/>
  <c r="AL41" i="22"/>
  <c r="AJ41" i="22"/>
  <c r="F42" i="22" a="1"/>
  <c r="F42" i="22" s="1"/>
  <c r="BC41" i="22"/>
  <c r="BA41" i="22"/>
  <c r="AY41" i="22"/>
  <c r="AW41" i="22"/>
  <c r="AU41" i="22"/>
  <c r="AS41" i="22"/>
  <c r="AQ41" i="22"/>
  <c r="AO41" i="22"/>
  <c r="AM41" i="22"/>
  <c r="AK41" i="22"/>
  <c r="AM254" i="12"/>
  <c r="BB262" i="12"/>
  <c r="BB189" i="12"/>
  <c r="BB190" i="12" s="1"/>
  <c r="BB195" i="12"/>
  <c r="BB240" i="12"/>
  <c r="BB241" i="12" s="1"/>
  <c r="BB246" i="12"/>
  <c r="BE243" i="12"/>
  <c r="BE226" i="12"/>
  <c r="BE209" i="12"/>
  <c r="BE192" i="12"/>
  <c r="BH263" i="12"/>
  <c r="BH196" i="12"/>
  <c r="BH247" i="12"/>
  <c r="BQ242" i="12"/>
  <c r="BQ225" i="12"/>
  <c r="BQ208" i="12"/>
  <c r="BQ191" i="12"/>
  <c r="BZ206" i="12"/>
  <c r="BZ207" i="12" s="1"/>
  <c r="BZ212" i="12"/>
  <c r="BZ223" i="12"/>
  <c r="BZ224" i="12" s="1"/>
  <c r="BZ229" i="12"/>
  <c r="CF213" i="12"/>
  <c r="CF230" i="12"/>
  <c r="CI254" i="12"/>
  <c r="U46" i="12"/>
  <c r="F45" i="25" a="1"/>
  <c r="F45" i="25" s="1"/>
  <c r="F46" i="25" s="1" a="1"/>
  <c r="F46" i="25" s="1"/>
  <c r="F47" i="25" s="1" a="1"/>
  <c r="F47" i="25" s="1"/>
  <c r="F48" i="25" s="1" a="1"/>
  <c r="F48" i="25" s="1"/>
  <c r="F49" i="25" s="1" a="1"/>
  <c r="F49" i="25" s="1"/>
  <c r="U157" i="12"/>
  <c r="U156" i="12"/>
  <c r="AH51" i="23" l="1"/>
  <c r="AH31" i="23"/>
  <c r="F50" i="25" a="1"/>
  <c r="F50" i="25" s="1"/>
  <c r="F51" i="25" s="1" a="1"/>
  <c r="F51" i="25" s="1"/>
  <c r="F52" i="25" s="1" a="1"/>
  <c r="F52" i="25" s="1"/>
  <c r="F53" i="25" s="1" a="1"/>
  <c r="F53" i="25" s="1"/>
  <c r="F54" i="25" s="1" a="1"/>
  <c r="F54" i="25" s="1"/>
  <c r="BQ240" i="12"/>
  <c r="BQ241" i="12" s="1"/>
  <c r="BQ246" i="12"/>
  <c r="F43" i="22" a="1"/>
  <c r="F43" i="22" s="1"/>
  <c r="CR245" i="12"/>
  <c r="CR271" i="12"/>
  <c r="CR267" i="12"/>
  <c r="CR258" i="12"/>
  <c r="BW263" i="12"/>
  <c r="BW196" i="12"/>
  <c r="BT245" i="12"/>
  <c r="BT271" i="12"/>
  <c r="BT267" i="12"/>
  <c r="BT258" i="12"/>
  <c r="BK223" i="12"/>
  <c r="BK224" i="12" s="1"/>
  <c r="BK229" i="12"/>
  <c r="BB272" i="12"/>
  <c r="BB268" i="12"/>
  <c r="BW89" i="12"/>
  <c r="BQ89" i="12"/>
  <c r="BK89" i="12"/>
  <c r="CC223" i="12"/>
  <c r="CC224" i="12" s="1"/>
  <c r="CC229" i="12"/>
  <c r="BT272" i="12"/>
  <c r="BT268" i="12"/>
  <c r="BQ213" i="12"/>
  <c r="BN245" i="12"/>
  <c r="BN271" i="12"/>
  <c r="BN267" i="12"/>
  <c r="BN258" i="12"/>
  <c r="AP228" i="12"/>
  <c r="N32" i="27" a="1"/>
  <c r="N32" i="27" s="1"/>
  <c r="BX31" i="27" a="1"/>
  <c r="BX31" i="27" s="1"/>
  <c r="F44" i="24" a="1"/>
  <c r="F44" i="24" s="1"/>
  <c r="T71" i="21"/>
  <c r="F72" i="21" a="1"/>
  <c r="F72" i="21" s="1"/>
  <c r="CL272" i="12"/>
  <c r="CL268" i="12"/>
  <c r="CI263" i="12"/>
  <c r="CI196" i="12"/>
  <c r="CI230" i="12"/>
  <c r="CF245" i="12"/>
  <c r="CF271" i="12"/>
  <c r="CF267" i="12"/>
  <c r="CF258" i="12"/>
  <c r="BW262" i="12"/>
  <c r="BW189" i="12"/>
  <c r="BW190" i="12" s="1"/>
  <c r="BW195" i="12"/>
  <c r="BW223" i="12"/>
  <c r="BW224" i="12" s="1"/>
  <c r="BW229" i="12"/>
  <c r="BN272" i="12"/>
  <c r="BN268" i="12"/>
  <c r="BK263" i="12"/>
  <c r="BK196" i="12"/>
  <c r="BK230" i="12"/>
  <c r="BH245" i="12"/>
  <c r="BH271" i="12"/>
  <c r="BH267" i="12"/>
  <c r="BH258" i="12"/>
  <c r="AY262" i="12"/>
  <c r="AY189" i="12"/>
  <c r="AY190" i="12" s="1"/>
  <c r="AY195" i="12"/>
  <c r="AY223" i="12"/>
  <c r="AY224" i="12" s="1"/>
  <c r="AY229" i="12"/>
  <c r="AP272" i="12"/>
  <c r="AP268" i="12"/>
  <c r="AM213" i="12"/>
  <c r="F36" i="28" a="1"/>
  <c r="F36" i="28" s="1"/>
  <c r="CR115" i="12"/>
  <c r="CF115" i="12"/>
  <c r="BT102" i="12"/>
  <c r="BH102" i="12"/>
  <c r="AV102" i="12"/>
  <c r="L164" i="12" a="1"/>
  <c r="L164" i="12" s="1"/>
  <c r="L165" i="12" s="1" a="1"/>
  <c r="L165" i="12" s="1"/>
  <c r="T163" i="12" a="1"/>
  <c r="T163" i="12" s="1"/>
  <c r="F103" i="28" a="1"/>
  <c r="F103" i="28" s="1"/>
  <c r="L53" i="12" a="1"/>
  <c r="L53" i="12" s="1"/>
  <c r="L54" i="12" s="1" a="1"/>
  <c r="L54" i="12" s="1"/>
  <c r="T52" i="12" a="1"/>
  <c r="T52" i="12" s="1"/>
  <c r="CO206" i="12"/>
  <c r="CO207" i="12" s="1"/>
  <c r="CO212" i="12"/>
  <c r="CO240" i="12"/>
  <c r="CO241" i="12" s="1"/>
  <c r="CO246" i="12"/>
  <c r="CC213" i="12"/>
  <c r="CC247" i="12"/>
  <c r="BZ194" i="12"/>
  <c r="BB211" i="12"/>
  <c r="AS262" i="12"/>
  <c r="AS189" i="12"/>
  <c r="AS190" i="12" s="1"/>
  <c r="AS195" i="12"/>
  <c r="AS223" i="12"/>
  <c r="AS224" i="12" s="1"/>
  <c r="AS229" i="12"/>
  <c r="F61" i="18" a="1"/>
  <c r="F61" i="18" s="1"/>
  <c r="T60" i="18"/>
  <c r="F81" i="33" a="1"/>
  <c r="F81" i="33" s="1"/>
  <c r="F82" i="33" s="1" a="1"/>
  <c r="F82" i="33" s="1"/>
  <c r="F83" i="33" s="1" a="1"/>
  <c r="F83" i="33" s="1"/>
  <c r="M33" i="28" a="1"/>
  <c r="M33" i="28" s="1"/>
  <c r="AS32" i="28" a="1"/>
  <c r="AS32" i="28" s="1"/>
  <c r="F88" i="27" a="1"/>
  <c r="F88" i="27" s="1"/>
  <c r="T87" i="27"/>
  <c r="CR228" i="12"/>
  <c r="BT228" i="12"/>
  <c r="AV228" i="12"/>
  <c r="T32" i="27"/>
  <c r="F33" i="27" a="1"/>
  <c r="F33" i="27" s="1"/>
  <c r="T41" i="13" a="1"/>
  <c r="T41" i="13" s="1"/>
  <c r="T42" i="13" s="1" a="1"/>
  <c r="T42" i="13" s="1"/>
  <c r="T43" i="13" s="1" a="1"/>
  <c r="T43" i="13" s="1"/>
  <c r="T44" i="13" s="1" a="1"/>
  <c r="T44" i="13" s="1"/>
  <c r="T40" i="13" a="1"/>
  <c r="T40" i="13" s="1"/>
  <c r="CO76" i="12"/>
  <c r="CO115" i="12"/>
  <c r="CI133" i="12"/>
  <c r="CI136" i="12"/>
  <c r="CI125" i="12"/>
  <c r="CC76" i="12"/>
  <c r="CC115" i="12"/>
  <c r="BW133" i="12"/>
  <c r="BW136" i="12"/>
  <c r="BW125" i="12"/>
  <c r="BQ76" i="12"/>
  <c r="BQ115" i="12"/>
  <c r="BK133" i="12"/>
  <c r="BK136" i="12"/>
  <c r="BK125" i="12"/>
  <c r="BE76" i="12"/>
  <c r="BE115" i="12"/>
  <c r="AY133" i="12"/>
  <c r="AY136" i="12"/>
  <c r="AY125" i="12"/>
  <c r="AS76" i="12"/>
  <c r="AS115" i="12"/>
  <c r="AM133" i="12"/>
  <c r="AM136" i="12"/>
  <c r="AM125" i="12"/>
  <c r="T38" i="14" a="1"/>
  <c r="T38" i="14" s="1"/>
  <c r="T37" i="14" a="1"/>
  <c r="T37" i="14" s="1"/>
  <c r="A38" i="14"/>
  <c r="F39" i="14" a="1"/>
  <c r="F39" i="14" s="1"/>
  <c r="CR272" i="12"/>
  <c r="CR268" i="12"/>
  <c r="CO263" i="12"/>
  <c r="CO196" i="12"/>
  <c r="CO230" i="12"/>
  <c r="CL245" i="12"/>
  <c r="CL271" i="12"/>
  <c r="CL267" i="12"/>
  <c r="CL258" i="12"/>
  <c r="BN228" i="12"/>
  <c r="BE206" i="12"/>
  <c r="BE207" i="12" s="1"/>
  <c r="BE212" i="12"/>
  <c r="BE240" i="12"/>
  <c r="BE241" i="12" s="1"/>
  <c r="BE246" i="12"/>
  <c r="AS213" i="12"/>
  <c r="AS247" i="12"/>
  <c r="AP194" i="12"/>
  <c r="F33" i="18" a="1"/>
  <c r="F33" i="18" s="1"/>
  <c r="S161" i="12" a="1"/>
  <c r="S161" i="12" s="1"/>
  <c r="U160" i="12"/>
  <c r="CF211" i="12"/>
  <c r="BH211" i="12"/>
  <c r="F35" i="33" a="1"/>
  <c r="F35" i="33" s="1"/>
  <c r="F36" i="33" s="1" a="1"/>
  <c r="F36" i="33" s="1"/>
  <c r="F37" i="33" s="1" a="1"/>
  <c r="F37" i="33" s="1"/>
  <c r="AF196" i="12" a="1"/>
  <c r="AF196" i="12" s="1"/>
  <c r="CZ192" i="12" a="1"/>
  <c r="CZ192" i="12" s="1"/>
  <c r="CR89" i="12"/>
  <c r="CL76" i="12"/>
  <c r="CL136" i="12"/>
  <c r="CL125" i="12"/>
  <c r="CL133" i="12"/>
  <c r="CF89" i="12"/>
  <c r="BZ76" i="12"/>
  <c r="BZ136" i="12"/>
  <c r="BZ125" i="12"/>
  <c r="BZ133" i="12"/>
  <c r="BT89" i="12"/>
  <c r="BN76" i="12"/>
  <c r="BN136" i="12"/>
  <c r="BN125" i="12"/>
  <c r="BN133" i="12"/>
  <c r="BH89" i="12"/>
  <c r="BB76" i="12"/>
  <c r="BB136" i="12"/>
  <c r="BB125" i="12"/>
  <c r="BB133" i="12"/>
  <c r="AV89" i="12"/>
  <c r="AP76" i="12"/>
  <c r="AP136" i="12"/>
  <c r="AP125" i="12"/>
  <c r="AP133" i="12"/>
  <c r="CR102" i="12"/>
  <c r="CF102" i="12"/>
  <c r="BT115" i="12"/>
  <c r="BH115" i="12"/>
  <c r="AV115" i="12"/>
  <c r="BZ228" i="12"/>
  <c r="BQ206" i="12"/>
  <c r="BQ207" i="12" s="1"/>
  <c r="BQ212" i="12"/>
  <c r="BE213" i="12"/>
  <c r="BE247" i="12"/>
  <c r="BB194" i="12"/>
  <c r="CI262" i="12"/>
  <c r="CI189" i="12"/>
  <c r="CI190" i="12" s="1"/>
  <c r="CI195" i="12"/>
  <c r="CI223" i="12"/>
  <c r="CI224" i="12" s="1"/>
  <c r="CI229" i="12"/>
  <c r="BZ272" i="12"/>
  <c r="BZ268" i="12"/>
  <c r="BW230" i="12"/>
  <c r="BK262" i="12"/>
  <c r="BK189" i="12"/>
  <c r="BK190" i="12" s="1"/>
  <c r="BK195" i="12"/>
  <c r="AY263" i="12"/>
  <c r="AY196" i="12"/>
  <c r="AY230" i="12"/>
  <c r="AV245" i="12"/>
  <c r="AV271" i="12"/>
  <c r="AV267" i="12"/>
  <c r="AV258" i="12"/>
  <c r="AM262" i="12"/>
  <c r="AM189" i="12"/>
  <c r="AM190" i="12" s="1"/>
  <c r="AM195" i="12"/>
  <c r="AM223" i="12"/>
  <c r="AM224" i="12" s="1"/>
  <c r="AM229" i="12"/>
  <c r="CO89" i="12"/>
  <c r="CI89" i="12"/>
  <c r="CC89" i="12"/>
  <c r="BE89" i="12"/>
  <c r="AY89" i="12"/>
  <c r="AS89" i="12"/>
  <c r="AM89" i="12"/>
  <c r="CL211" i="12"/>
  <c r="CC262" i="12"/>
  <c r="CC189" i="12"/>
  <c r="CC190" i="12" s="1"/>
  <c r="CC195" i="12"/>
  <c r="BZ211" i="12"/>
  <c r="BQ262" i="12"/>
  <c r="BQ189" i="12"/>
  <c r="BQ190" i="12" s="1"/>
  <c r="BQ195" i="12"/>
  <c r="BQ223" i="12"/>
  <c r="BQ224" i="12" s="1"/>
  <c r="BQ229" i="12"/>
  <c r="BH272" i="12"/>
  <c r="BH268" i="12"/>
  <c r="BE263" i="12"/>
  <c r="BE196" i="12"/>
  <c r="BE230" i="12"/>
  <c r="BB245" i="12"/>
  <c r="BB271" i="12"/>
  <c r="BB267" i="12"/>
  <c r="BB258" i="12"/>
  <c r="U37" i="6"/>
  <c r="F38" i="6" a="1"/>
  <c r="F38" i="6" s="1"/>
  <c r="T33" i="12" a="1"/>
  <c r="T33" i="12" s="1"/>
  <c r="U32" i="12"/>
  <c r="CR194" i="12"/>
  <c r="CI206" i="12"/>
  <c r="CI207" i="12" s="1"/>
  <c r="CI212" i="12"/>
  <c r="CI240" i="12"/>
  <c r="CI241" i="12" s="1"/>
  <c r="CI246" i="12"/>
  <c r="BW213" i="12"/>
  <c r="BW247" i="12"/>
  <c r="BT194" i="12"/>
  <c r="BK206" i="12"/>
  <c r="BK207" i="12" s="1"/>
  <c r="BK212" i="12"/>
  <c r="BK240" i="12"/>
  <c r="BK241" i="12" s="1"/>
  <c r="BK246" i="12"/>
  <c r="AY213" i="12"/>
  <c r="AY247" i="12"/>
  <c r="AV194" i="12"/>
  <c r="AM206" i="12"/>
  <c r="AM207" i="12" s="1"/>
  <c r="AM212" i="12"/>
  <c r="AM240" i="12"/>
  <c r="AM241" i="12" s="1"/>
  <c r="AM246" i="12"/>
  <c r="CO102" i="12"/>
  <c r="CI102" i="12"/>
  <c r="CC102" i="12"/>
  <c r="BW102" i="12"/>
  <c r="BQ102" i="12"/>
  <c r="BK102" i="12"/>
  <c r="BE102" i="12"/>
  <c r="AY102" i="12"/>
  <c r="AS102" i="12"/>
  <c r="AM102" i="12"/>
  <c r="F48" i="21" a="1"/>
  <c r="F48" i="21" s="1"/>
  <c r="T47" i="21"/>
  <c r="CL228" i="12"/>
  <c r="CC206" i="12"/>
  <c r="CC207" i="12" s="1"/>
  <c r="CC212" i="12"/>
  <c r="CC240" i="12"/>
  <c r="CC241" i="12" s="1"/>
  <c r="CC246" i="12"/>
  <c r="BQ247" i="12"/>
  <c r="BQ263" i="12"/>
  <c r="BQ196" i="12"/>
  <c r="BQ230" i="12"/>
  <c r="BN194" i="12"/>
  <c r="AP211" i="12"/>
  <c r="U61" i="8"/>
  <c r="F62" i="8" a="1"/>
  <c r="F62" i="8" s="1"/>
  <c r="F102" i="25" a="1"/>
  <c r="F102" i="25" s="1"/>
  <c r="F103" i="25" s="1" a="1"/>
  <c r="F103" i="25" s="1"/>
  <c r="F104" i="25" s="1" a="1"/>
  <c r="F104" i="25" s="1"/>
  <c r="F105" i="25" s="1" a="1"/>
  <c r="F105" i="25" s="1"/>
  <c r="F106" i="25" s="1" a="1"/>
  <c r="F106" i="25" s="1"/>
  <c r="F82" i="13" a="1"/>
  <c r="F82" i="13" s="1"/>
  <c r="T81" i="13"/>
  <c r="T38" i="17" a="1"/>
  <c r="T38" i="17" s="1"/>
  <c r="T37" i="17" a="1"/>
  <c r="T37" i="17" s="1"/>
  <c r="A38" i="17"/>
  <c r="CI213" i="12"/>
  <c r="CI247" i="12"/>
  <c r="CF194" i="12"/>
  <c r="BW206" i="12"/>
  <c r="BW207" i="12" s="1"/>
  <c r="BW212" i="12"/>
  <c r="BW240" i="12"/>
  <c r="BW241" i="12" s="1"/>
  <c r="BW246" i="12"/>
  <c r="BK213" i="12"/>
  <c r="BK247" i="12"/>
  <c r="BH194" i="12"/>
  <c r="AY206" i="12"/>
  <c r="AY207" i="12" s="1"/>
  <c r="AY212" i="12"/>
  <c r="AY240" i="12"/>
  <c r="AY241" i="12" s="1"/>
  <c r="AY246" i="12"/>
  <c r="AM247" i="12"/>
  <c r="AM263" i="12"/>
  <c r="AM196" i="12"/>
  <c r="AM230" i="12"/>
  <c r="T57" i="17" a="1"/>
  <c r="T57" i="17" s="1"/>
  <c r="T56" i="17" a="1"/>
  <c r="T56" i="17" s="1"/>
  <c r="F59" i="17" a="1"/>
  <c r="F59" i="17" s="1"/>
  <c r="F58" i="17" a="1"/>
  <c r="F58" i="17" s="1"/>
  <c r="A57" i="17"/>
  <c r="CL115" i="12"/>
  <c r="BZ115" i="12"/>
  <c r="BN102" i="12"/>
  <c r="BB102" i="12"/>
  <c r="AP115" i="12"/>
  <c r="CO262" i="12"/>
  <c r="CO189" i="12"/>
  <c r="CO190" i="12" s="1"/>
  <c r="CO195" i="12"/>
  <c r="CO223" i="12"/>
  <c r="CO224" i="12" s="1"/>
  <c r="CO229" i="12"/>
  <c r="CF272" i="12"/>
  <c r="CF268" i="12"/>
  <c r="CC263" i="12"/>
  <c r="CC196" i="12"/>
  <c r="CC230" i="12"/>
  <c r="BZ245" i="12"/>
  <c r="BZ271" i="12"/>
  <c r="BZ267" i="12"/>
  <c r="BZ258" i="12"/>
  <c r="BB228" i="12"/>
  <c r="AS206" i="12"/>
  <c r="AS207" i="12" s="1"/>
  <c r="AS212" i="12"/>
  <c r="AS240" i="12"/>
  <c r="AS241" i="12" s="1"/>
  <c r="AS246" i="12"/>
  <c r="F33" i="24" a="1"/>
  <c r="F33" i="24" s="1"/>
  <c r="T54" i="14" a="1"/>
  <c r="T54" i="14" s="1"/>
  <c r="T53" i="14" a="1"/>
  <c r="T53" i="14" s="1"/>
  <c r="F55" i="14" a="1"/>
  <c r="F55" i="14" s="1"/>
  <c r="A54" i="14"/>
  <c r="AE196" i="12" a="1"/>
  <c r="AE196" i="12" s="1"/>
  <c r="X196" i="12"/>
  <c r="CY192" i="12" a="1"/>
  <c r="CY192" i="12" s="1"/>
  <c r="CR211" i="12"/>
  <c r="BT211" i="12"/>
  <c r="AV211" i="12"/>
  <c r="F33" i="31" a="1"/>
  <c r="F33" i="31" s="1"/>
  <c r="T32" i="31"/>
  <c r="M60" i="31" a="1"/>
  <c r="M60" i="31" s="1"/>
  <c r="BI59" i="31" a="1"/>
  <c r="BI59" i="31" s="1"/>
  <c r="F57" i="30" a="1"/>
  <c r="F57" i="30" s="1"/>
  <c r="T56" i="30"/>
  <c r="F33" i="30" a="1"/>
  <c r="F33" i="30" s="1"/>
  <c r="T32" i="30"/>
  <c r="M100" i="28" a="1"/>
  <c r="M100" i="28" s="1"/>
  <c r="AS99" i="28" a="1"/>
  <c r="AS99" i="28" s="1"/>
  <c r="BB53" i="23"/>
  <c r="AZ53" i="23"/>
  <c r="AX53" i="23"/>
  <c r="AV53" i="23"/>
  <c r="AT53" i="23"/>
  <c r="AR53" i="23"/>
  <c r="AP53" i="23"/>
  <c r="AN53" i="23"/>
  <c r="AL53" i="23"/>
  <c r="AJ53" i="23"/>
  <c r="AF53" i="23"/>
  <c r="F54" i="23" a="1"/>
  <c r="F54" i="23" s="1"/>
  <c r="BC53" i="23"/>
  <c r="BA53" i="23"/>
  <c r="AY53" i="23"/>
  <c r="AW53" i="23"/>
  <c r="AU53" i="23"/>
  <c r="AS53" i="23"/>
  <c r="AQ53" i="23"/>
  <c r="AO53" i="23"/>
  <c r="AM53" i="23"/>
  <c r="AK53" i="23"/>
  <c r="AI53" i="23"/>
  <c r="AG53" i="23"/>
  <c r="AE53" i="23"/>
  <c r="F41" i="13" a="1"/>
  <c r="F41" i="13" s="1"/>
  <c r="CO133" i="12"/>
  <c r="CO136" i="12"/>
  <c r="CO125" i="12"/>
  <c r="CI76" i="12"/>
  <c r="CI115" i="12"/>
  <c r="CC133" i="12"/>
  <c r="CC136" i="12"/>
  <c r="CC125" i="12"/>
  <c r="BW76" i="12"/>
  <c r="BW115" i="12"/>
  <c r="BQ133" i="12"/>
  <c r="BQ136" i="12"/>
  <c r="BQ125" i="12"/>
  <c r="BK76" i="12"/>
  <c r="BK115" i="12"/>
  <c r="BE133" i="12"/>
  <c r="BE136" i="12"/>
  <c r="BE125" i="12"/>
  <c r="AY76" i="12"/>
  <c r="AY115" i="12"/>
  <c r="AS133" i="12"/>
  <c r="AS136" i="12"/>
  <c r="AS125" i="12"/>
  <c r="AM76" i="12"/>
  <c r="AM115" i="12"/>
  <c r="U40" i="9"/>
  <c r="F41" i="9" a="1"/>
  <c r="F41" i="9" s="1"/>
  <c r="U41" i="9" s="1"/>
  <c r="F34" i="8" a="1"/>
  <c r="F34" i="8" s="1"/>
  <c r="U33" i="8"/>
  <c r="N87" i="27" a="1"/>
  <c r="N87" i="27" s="1"/>
  <c r="BX86" i="27" a="1"/>
  <c r="BX86" i="27" s="1"/>
  <c r="AB96" i="10" a="1"/>
  <c r="AB96" i="10" s="1"/>
  <c r="V96" i="10" a="1"/>
  <c r="V96" i="10" s="1"/>
  <c r="CO213" i="12"/>
  <c r="CO247" i="12"/>
  <c r="CL194" i="12"/>
  <c r="BN211" i="12"/>
  <c r="BE262" i="12"/>
  <c r="BE189" i="12"/>
  <c r="BE190" i="12" s="1"/>
  <c r="BE195" i="12"/>
  <c r="BE223" i="12"/>
  <c r="BE224" i="12" s="1"/>
  <c r="BE229" i="12"/>
  <c r="AV272" i="12"/>
  <c r="AV268" i="12"/>
  <c r="AS263" i="12"/>
  <c r="AS196" i="12"/>
  <c r="AS230" i="12"/>
  <c r="AP245" i="12"/>
  <c r="AP271" i="12"/>
  <c r="AP267" i="12"/>
  <c r="AP258" i="12"/>
  <c r="S50" i="12" a="1"/>
  <c r="S50" i="12" s="1"/>
  <c r="U49" i="12"/>
  <c r="T144" i="12" a="1"/>
  <c r="T144" i="12" s="1"/>
  <c r="U143" i="12"/>
  <c r="M33" i="31" a="1"/>
  <c r="M33" i="31" s="1"/>
  <c r="BI32" i="31" a="1"/>
  <c r="BI32" i="31" s="1"/>
  <c r="F60" i="31" a="1"/>
  <c r="F60" i="31" s="1"/>
  <c r="T59" i="31"/>
  <c r="F33" i="22" a="1"/>
  <c r="F33" i="22" s="1"/>
  <c r="BC32" i="22"/>
  <c r="BA32" i="22"/>
  <c r="AY32" i="22"/>
  <c r="AW32" i="22"/>
  <c r="AU32" i="22"/>
  <c r="AS32" i="22"/>
  <c r="AQ32" i="22"/>
  <c r="AO32" i="22"/>
  <c r="AM32" i="22"/>
  <c r="AK32" i="22"/>
  <c r="BB32" i="22"/>
  <c r="AZ32" i="22"/>
  <c r="AX32" i="22"/>
  <c r="AV32" i="22"/>
  <c r="AT32" i="22"/>
  <c r="AR32" i="22"/>
  <c r="AP32" i="22"/>
  <c r="AN32" i="22"/>
  <c r="AL32" i="22"/>
  <c r="AJ32" i="22"/>
  <c r="F41" i="17" a="1"/>
  <c r="F41" i="17" s="1"/>
  <c r="T40" i="17"/>
  <c r="CF228" i="12"/>
  <c r="BH228" i="12"/>
  <c r="F63" i="17" a="1"/>
  <c r="F63" i="17" s="1"/>
  <c r="T62" i="17"/>
  <c r="BB33" i="23"/>
  <c r="AZ33" i="23"/>
  <c r="AX33" i="23"/>
  <c r="AV33" i="23"/>
  <c r="AT33" i="23"/>
  <c r="AR33" i="23"/>
  <c r="AP33" i="23"/>
  <c r="AN33" i="23"/>
  <c r="AL33" i="23"/>
  <c r="AJ33" i="23"/>
  <c r="AF33" i="23"/>
  <c r="F34" i="23" a="1"/>
  <c r="F34" i="23" s="1"/>
  <c r="BC33" i="23"/>
  <c r="BA33" i="23"/>
  <c r="AY33" i="23"/>
  <c r="AW33" i="23"/>
  <c r="AU33" i="23"/>
  <c r="AS33" i="23"/>
  <c r="AQ33" i="23"/>
  <c r="AO33" i="23"/>
  <c r="AM33" i="23"/>
  <c r="AK33" i="23"/>
  <c r="AI33" i="23"/>
  <c r="AG33" i="23"/>
  <c r="AE33" i="23"/>
  <c r="CR76" i="12"/>
  <c r="CR136" i="12"/>
  <c r="CR125" i="12"/>
  <c r="CR133" i="12"/>
  <c r="CL89" i="12"/>
  <c r="CF76" i="12"/>
  <c r="CF136" i="12"/>
  <c r="CF125" i="12"/>
  <c r="CF133" i="12"/>
  <c r="BZ89" i="12"/>
  <c r="BT76" i="12"/>
  <c r="BT136" i="12"/>
  <c r="BT125" i="12"/>
  <c r="BT133" i="12"/>
  <c r="BN89" i="12"/>
  <c r="BH76" i="12"/>
  <c r="BH136" i="12"/>
  <c r="BH125" i="12"/>
  <c r="BH133" i="12"/>
  <c r="BB89" i="12"/>
  <c r="AV76" i="12"/>
  <c r="AV136" i="12"/>
  <c r="AV125" i="12"/>
  <c r="AV133" i="12"/>
  <c r="AP89" i="12"/>
  <c r="CL102" i="12"/>
  <c r="BZ102" i="12"/>
  <c r="BN115" i="12"/>
  <c r="BB115" i="12"/>
  <c r="AP102" i="12"/>
  <c r="BH131" i="12" l="1"/>
  <c r="BH126" i="12"/>
  <c r="CF131" i="12"/>
  <c r="CF126" i="12"/>
  <c r="BL33" i="23"/>
  <c r="F35" i="23" a="1"/>
  <c r="F35" i="23" s="1"/>
  <c r="BC34" i="23"/>
  <c r="BA34" i="23"/>
  <c r="BL34" i="23" s="1"/>
  <c r="AY34" i="23"/>
  <c r="BJ34" i="23" s="1"/>
  <c r="AW34" i="23"/>
  <c r="BH34" i="23" s="1"/>
  <c r="AU34" i="23"/>
  <c r="BF34" i="23" s="1"/>
  <c r="AS34" i="23"/>
  <c r="AQ34" i="23"/>
  <c r="AO34" i="23"/>
  <c r="AM34" i="23"/>
  <c r="AK34" i="23"/>
  <c r="AI34" i="23"/>
  <c r="BD34" i="23" s="1"/>
  <c r="AG34" i="23"/>
  <c r="AE34" i="23"/>
  <c r="BB34" i="23"/>
  <c r="BM34" i="23" s="1"/>
  <c r="AZ34" i="23"/>
  <c r="BK34" i="23" s="1"/>
  <c r="AX34" i="23"/>
  <c r="BI34" i="23" s="1"/>
  <c r="AV34" i="23"/>
  <c r="BG34" i="23" s="1"/>
  <c r="AT34" i="23"/>
  <c r="BE34" i="23" s="1"/>
  <c r="AR34" i="23"/>
  <c r="AP34" i="23"/>
  <c r="AN34" i="23"/>
  <c r="AL34" i="23"/>
  <c r="AJ34" i="23"/>
  <c r="AF34" i="23"/>
  <c r="BG33" i="23"/>
  <c r="BK33" i="23"/>
  <c r="AP265" i="12"/>
  <c r="AP259" i="12"/>
  <c r="AS268" i="12"/>
  <c r="AS272" i="12"/>
  <c r="BE194" i="12"/>
  <c r="AS131" i="12"/>
  <c r="AS126" i="12"/>
  <c r="BQ131" i="12"/>
  <c r="BQ126" i="12"/>
  <c r="CO131" i="12"/>
  <c r="CO126" i="12"/>
  <c r="BD53" i="23"/>
  <c r="BF53" i="23"/>
  <c r="BJ53" i="23"/>
  <c r="BE53" i="23"/>
  <c r="BI53" i="23"/>
  <c r="BM53" i="23"/>
  <c r="AS245" i="12"/>
  <c r="CO228" i="12"/>
  <c r="CO271" i="12"/>
  <c r="CO267" i="12"/>
  <c r="CO258" i="12"/>
  <c r="F60" i="17" a="1"/>
  <c r="F60" i="17" s="1"/>
  <c r="A60" i="17" s="1"/>
  <c r="A58" i="17"/>
  <c r="T58" i="17"/>
  <c r="AM268" i="12"/>
  <c r="AM272" i="12"/>
  <c r="AY211" i="12"/>
  <c r="BW245" i="12"/>
  <c r="CC245" i="12"/>
  <c r="AM245" i="12"/>
  <c r="BK211" i="12"/>
  <c r="CI245" i="12"/>
  <c r="T34" i="12" a="1"/>
  <c r="T34" i="12" s="1"/>
  <c r="U33" i="12"/>
  <c r="BQ228" i="12"/>
  <c r="BQ271" i="12"/>
  <c r="BQ267" i="12"/>
  <c r="BQ258" i="12"/>
  <c r="CC271" i="12"/>
  <c r="CC267" i="12"/>
  <c r="CC258" i="12"/>
  <c r="AM194" i="12"/>
  <c r="AV265" i="12"/>
  <c r="AV259" i="12"/>
  <c r="BK194" i="12"/>
  <c r="CI194" i="12"/>
  <c r="AP131" i="12"/>
  <c r="AP126" i="12"/>
  <c r="BN131" i="12"/>
  <c r="BN126" i="12"/>
  <c r="CL131" i="12"/>
  <c r="CL126" i="12"/>
  <c r="F38" i="33" a="1"/>
  <c r="F38" i="33" s="1"/>
  <c r="S162" i="12" a="1"/>
  <c r="S162" i="12" s="1"/>
  <c r="U161" i="12"/>
  <c r="BE211" i="12"/>
  <c r="CL265" i="12"/>
  <c r="CL259" i="12"/>
  <c r="CO268" i="12"/>
  <c r="CO272" i="12"/>
  <c r="AM131" i="12"/>
  <c r="AM126" i="12"/>
  <c r="BK131" i="12"/>
  <c r="BK126" i="12"/>
  <c r="CI131" i="12"/>
  <c r="CI126" i="12"/>
  <c r="T33" i="27"/>
  <c r="F34" i="27" a="1"/>
  <c r="F34" i="27" s="1"/>
  <c r="F89" i="27" a="1"/>
  <c r="F89" i="27" s="1"/>
  <c r="T88" i="27"/>
  <c r="M34" i="28" a="1"/>
  <c r="M34" i="28" s="1"/>
  <c r="AS33" i="28" a="1"/>
  <c r="AS33" i="28" s="1"/>
  <c r="AS228" i="12"/>
  <c r="AS271" i="12"/>
  <c r="AS267" i="12"/>
  <c r="AS258" i="12"/>
  <c r="CO211" i="12"/>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T54" i="12" a="1"/>
  <c r="T54" i="12" s="1"/>
  <c r="AK36" i="28"/>
  <c r="AI36" i="28"/>
  <c r="AL36" i="28" s="1"/>
  <c r="AG36" i="28"/>
  <c r="AE36" i="28"/>
  <c r="F37" i="28" a="1"/>
  <c r="F37" i="28" s="1"/>
  <c r="AJ36" i="28"/>
  <c r="AF36" i="28"/>
  <c r="AY194" i="12"/>
  <c r="BH265" i="12"/>
  <c r="BH259" i="12"/>
  <c r="BK268" i="12"/>
  <c r="BK272" i="12"/>
  <c r="BW194" i="12"/>
  <c r="CF265" i="12"/>
  <c r="CF259" i="12"/>
  <c r="CI268" i="12"/>
  <c r="CI272" i="12"/>
  <c r="BN265" i="12"/>
  <c r="BN259" i="12"/>
  <c r="CC228" i="12"/>
  <c r="BT265" i="12"/>
  <c r="BT259" i="12"/>
  <c r="CR265" i="12"/>
  <c r="CR259" i="12"/>
  <c r="F55" i="25" a="1"/>
  <c r="F55" i="25" s="1"/>
  <c r="F56" i="25" s="1" a="1"/>
  <c r="F56" i="25" s="1"/>
  <c r="F57" i="25" s="1" a="1"/>
  <c r="F57" i="25" s="1"/>
  <c r="F58" i="25" s="1" a="1"/>
  <c r="F58" i="25" s="1"/>
  <c r="F59" i="25" s="1" a="1"/>
  <c r="F59" i="25" s="1"/>
  <c r="AH33" i="23"/>
  <c r="BH33" i="23"/>
  <c r="AV131" i="12"/>
  <c r="AV126" i="12"/>
  <c r="BT131" i="12"/>
  <c r="BT126" i="12"/>
  <c r="CR131" i="12"/>
  <c r="CR126" i="12"/>
  <c r="BD33" i="23"/>
  <c r="BF33" i="23"/>
  <c r="BJ33" i="23"/>
  <c r="BE33" i="23"/>
  <c r="BI33" i="23"/>
  <c r="BM33" i="23"/>
  <c r="F67" i="17" a="1"/>
  <c r="F67" i="17" s="1"/>
  <c r="F65" i="17" a="1"/>
  <c r="F65" i="17" s="1"/>
  <c r="F64" i="17" a="1"/>
  <c r="F64" i="17" s="1"/>
  <c r="F45" i="17" a="1"/>
  <c r="F45" i="17" s="1"/>
  <c r="F43" i="17" a="1"/>
  <c r="F43" i="17" s="1"/>
  <c r="F42" i="17" a="1"/>
  <c r="F42" i="17" s="1"/>
  <c r="F34" i="22" a="1"/>
  <c r="F34" i="22" s="1"/>
  <c r="F61" i="31" a="1"/>
  <c r="F61" i="31" s="1"/>
  <c r="T60" i="31"/>
  <c r="M34" i="31" a="1"/>
  <c r="M34" i="31" s="1"/>
  <c r="BI33" i="31" a="1"/>
  <c r="BI33" i="31" s="1"/>
  <c r="T145" i="12" a="1"/>
  <c r="T145" i="12" s="1"/>
  <c r="U144" i="12"/>
  <c r="S51" i="12" a="1"/>
  <c r="S51" i="12" s="1"/>
  <c r="U50" i="12"/>
  <c r="BE228" i="12"/>
  <c r="BE271" i="12"/>
  <c r="BE267" i="12"/>
  <c r="BE258" i="12"/>
  <c r="AB35" i="11" a="1"/>
  <c r="AB35" i="11" s="1"/>
  <c r="V35" i="11" a="1"/>
  <c r="V35" i="11" s="1"/>
  <c r="BA71" i="13"/>
  <c r="BA73" i="13" s="1"/>
  <c r="AW71" i="13"/>
  <c r="AW73" i="13" s="1"/>
  <c r="AS71" i="13"/>
  <c r="AS73" i="13" s="1"/>
  <c r="AO71" i="13"/>
  <c r="AO73" i="13" s="1"/>
  <c r="AK71" i="13"/>
  <c r="AK73" i="13" s="1"/>
  <c r="AG71" i="13"/>
  <c r="AG73" i="13" s="1"/>
  <c r="BB71" i="13"/>
  <c r="BB73" i="13" s="1"/>
  <c r="AX71" i="13"/>
  <c r="AX73" i="13" s="1"/>
  <c r="AT71" i="13"/>
  <c r="AT73" i="13" s="1"/>
  <c r="AP71" i="13"/>
  <c r="AP73" i="13" s="1"/>
  <c r="AL71" i="13"/>
  <c r="AL73" i="13" s="1"/>
  <c r="AH71" i="13"/>
  <c r="AH73" i="13" s="1"/>
  <c r="AI42" i="12"/>
  <c r="CN41" i="12"/>
  <c r="CH41" i="12"/>
  <c r="CB41" i="12"/>
  <c r="BV41" i="12"/>
  <c r="BP41" i="12"/>
  <c r="BJ41" i="12"/>
  <c r="BD41" i="12"/>
  <c r="AX41" i="12"/>
  <c r="AR41" i="12"/>
  <c r="AL41" i="12"/>
  <c r="AH41" i="12"/>
  <c r="CN42" i="12"/>
  <c r="CH42" i="12"/>
  <c r="CB42" i="12"/>
  <c r="BV42" i="12"/>
  <c r="BP42" i="12"/>
  <c r="BJ42" i="12"/>
  <c r="BD42" i="12"/>
  <c r="AX42" i="12"/>
  <c r="AR42" i="12"/>
  <c r="AL42" i="12"/>
  <c r="AH42" i="12"/>
  <c r="AH43" i="12" s="1"/>
  <c r="AK41" i="12"/>
  <c r="AI153" i="12"/>
  <c r="CN152" i="12"/>
  <c r="CH152" i="12"/>
  <c r="CB152" i="12"/>
  <c r="BV152" i="12"/>
  <c r="BP152" i="12"/>
  <c r="BJ152" i="12"/>
  <c r="BD152" i="12"/>
  <c r="AX152" i="12"/>
  <c r="AR152" i="12"/>
  <c r="AL152" i="12"/>
  <c r="AH152" i="12"/>
  <c r="CN153" i="12"/>
  <c r="CH153" i="12"/>
  <c r="CB153" i="12"/>
  <c r="BV153" i="12"/>
  <c r="BP153" i="12"/>
  <c r="BJ153" i="12"/>
  <c r="BD153" i="12"/>
  <c r="AX153" i="12"/>
  <c r="AR153" i="12"/>
  <c r="AL153" i="12"/>
  <c r="AH153" i="12"/>
  <c r="AK152" i="12"/>
  <c r="AI152" i="12"/>
  <c r="AY71" i="13"/>
  <c r="AY73" i="13" s="1"/>
  <c r="AU71" i="13"/>
  <c r="AU73" i="13" s="1"/>
  <c r="AQ71" i="13"/>
  <c r="AQ73" i="13" s="1"/>
  <c r="AM71" i="13"/>
  <c r="AM73" i="13" s="1"/>
  <c r="AI71" i="13"/>
  <c r="AI73" i="13" s="1"/>
  <c r="AE71" i="13"/>
  <c r="AE73" i="13" s="1"/>
  <c r="AZ71" i="13"/>
  <c r="AZ73" i="13" s="1"/>
  <c r="AV71" i="13"/>
  <c r="AV73" i="13" s="1"/>
  <c r="AR71" i="13"/>
  <c r="AR73" i="13" s="1"/>
  <c r="AN71" i="13"/>
  <c r="AN73" i="13" s="1"/>
  <c r="AJ71" i="13"/>
  <c r="AJ73" i="13" s="1"/>
  <c r="AF71" i="13"/>
  <c r="AF73" i="13" s="1"/>
  <c r="AK42" i="12"/>
  <c r="AK43" i="12" s="1"/>
  <c r="CQ41" i="12"/>
  <c r="CK41" i="12"/>
  <c r="CE41" i="12"/>
  <c r="BY41" i="12"/>
  <c r="BS41" i="12"/>
  <c r="BM41" i="12"/>
  <c r="BG41" i="12"/>
  <c r="BA41" i="12"/>
  <c r="AU41" i="12"/>
  <c r="AO41" i="12"/>
  <c r="AJ41" i="12"/>
  <c r="CQ42" i="12"/>
  <c r="CK42" i="12"/>
  <c r="CE42" i="12"/>
  <c r="BY42" i="12"/>
  <c r="BS42" i="12"/>
  <c r="BM42" i="12"/>
  <c r="BG42" i="12"/>
  <c r="BA42" i="12"/>
  <c r="AU42" i="12"/>
  <c r="AO42" i="12"/>
  <c r="AJ42" i="12"/>
  <c r="AJ43" i="12" s="1"/>
  <c r="AI41" i="12"/>
  <c r="AK153" i="12"/>
  <c r="AK154" i="12" s="1"/>
  <c r="CQ152" i="12"/>
  <c r="CK152" i="12"/>
  <c r="CE152" i="12"/>
  <c r="BY152" i="12"/>
  <c r="BS152" i="12"/>
  <c r="BM152" i="12"/>
  <c r="BG152" i="12"/>
  <c r="BA152" i="12"/>
  <c r="AU152" i="12"/>
  <c r="AO152" i="12"/>
  <c r="AJ152" i="12"/>
  <c r="CQ153" i="12"/>
  <c r="CK153" i="12"/>
  <c r="CE153" i="12"/>
  <c r="BY153" i="12"/>
  <c r="BS153" i="12"/>
  <c r="BM153" i="12"/>
  <c r="BG153" i="12"/>
  <c r="BA153" i="12"/>
  <c r="AU153" i="12"/>
  <c r="AO153" i="12"/>
  <c r="AJ153" i="12"/>
  <c r="N88" i="27" a="1"/>
  <c r="N88" i="27" s="1"/>
  <c r="BX87" i="27" a="1"/>
  <c r="BX87" i="27" s="1"/>
  <c r="F35" i="8" a="1"/>
  <c r="F35" i="8" s="1"/>
  <c r="U34" i="8"/>
  <c r="BE131" i="12"/>
  <c r="BE126" i="12"/>
  <c r="CC131" i="12"/>
  <c r="CC126" i="12"/>
  <c r="F42" i="13" a="1"/>
  <c r="F42" i="13" s="1"/>
  <c r="A41" i="13"/>
  <c r="AH53" i="23"/>
  <c r="BH53" i="23"/>
  <c r="BL53" i="23"/>
  <c r="F55" i="23" a="1"/>
  <c r="F55" i="23" s="1"/>
  <c r="BC54" i="23"/>
  <c r="BA54" i="23"/>
  <c r="BL54" i="23" s="1"/>
  <c r="AY54" i="23"/>
  <c r="BJ54" i="23" s="1"/>
  <c r="AW54" i="23"/>
  <c r="BH54" i="23" s="1"/>
  <c r="AU54" i="23"/>
  <c r="BF54" i="23" s="1"/>
  <c r="AS54" i="23"/>
  <c r="AQ54" i="23"/>
  <c r="AO54" i="23"/>
  <c r="AM54" i="23"/>
  <c r="AK54" i="23"/>
  <c r="AI54" i="23"/>
  <c r="AG54" i="23"/>
  <c r="AE54" i="23"/>
  <c r="BB54" i="23"/>
  <c r="BM54" i="23" s="1"/>
  <c r="AZ54" i="23"/>
  <c r="BK54" i="23" s="1"/>
  <c r="AX54" i="23"/>
  <c r="BI54" i="23" s="1"/>
  <c r="AV54" i="23"/>
  <c r="BG54" i="23" s="1"/>
  <c r="AT54" i="23"/>
  <c r="AR54" i="23"/>
  <c r="AP54" i="23"/>
  <c r="AN54" i="23"/>
  <c r="AL54" i="23"/>
  <c r="AJ54" i="23"/>
  <c r="AF54" i="23"/>
  <c r="BG53" i="23"/>
  <c r="BK53" i="23"/>
  <c r="M101" i="28" a="1"/>
  <c r="M101" i="28" s="1"/>
  <c r="AS100" i="28" a="1"/>
  <c r="AS100" i="28" s="1"/>
  <c r="F34" i="30" a="1"/>
  <c r="F34" i="30" s="1"/>
  <c r="T33" i="30"/>
  <c r="F58" i="30" a="1"/>
  <c r="F58" i="30" s="1"/>
  <c r="T57" i="30"/>
  <c r="M61" i="31" a="1"/>
  <c r="M61" i="31" s="1"/>
  <c r="BI60" i="31" a="1"/>
  <c r="BI60" i="31" s="1"/>
  <c r="F34" i="31" a="1"/>
  <c r="F34" i="31" s="1"/>
  <c r="T33" i="31"/>
  <c r="CY196" i="12" a="1"/>
  <c r="CY196" i="12" s="1"/>
  <c r="AE200" i="12" a="1"/>
  <c r="AE200" i="12" s="1"/>
  <c r="X200" i="12"/>
  <c r="F56" i="14" a="1"/>
  <c r="F56" i="14" s="1"/>
  <c r="F57" i="14" s="1" a="1"/>
  <c r="F57" i="14" s="1"/>
  <c r="A55" i="14"/>
  <c r="T55" i="14"/>
  <c r="F34" i="24" a="1"/>
  <c r="F34" i="24" s="1"/>
  <c r="AS211" i="12"/>
  <c r="BZ265" i="12"/>
  <c r="BZ259" i="12"/>
  <c r="CC268" i="12"/>
  <c r="CC272" i="12"/>
  <c r="CO194" i="12"/>
  <c r="AY245" i="12"/>
  <c r="BW211" i="12"/>
  <c r="F83" i="13" a="1"/>
  <c r="F83" i="13" s="1"/>
  <c r="T82" i="13"/>
  <c r="F107" i="25" a="1"/>
  <c r="F107" i="25" s="1"/>
  <c r="F63" i="8" a="1"/>
  <c r="F63" i="8" s="1"/>
  <c r="U62" i="8"/>
  <c r="BQ268" i="12"/>
  <c r="BQ272" i="12"/>
  <c r="CC211" i="12"/>
  <c r="F49" i="21" a="1"/>
  <c r="F49" i="21" s="1"/>
  <c r="T48" i="21"/>
  <c r="AM211" i="12"/>
  <c r="BK245" i="12"/>
  <c r="CI211" i="12"/>
  <c r="U38" i="6"/>
  <c r="F39" i="6" a="1"/>
  <c r="F39" i="6" s="1"/>
  <c r="BB265" i="12"/>
  <c r="BB259" i="12"/>
  <c r="BE268" i="12"/>
  <c r="BE272" i="12"/>
  <c r="BQ194" i="12"/>
  <c r="CC194" i="12"/>
  <c r="AM228" i="12"/>
  <c r="AM271" i="12"/>
  <c r="AM267" i="12"/>
  <c r="AM258" i="12"/>
  <c r="AY268" i="12"/>
  <c r="AY272" i="12"/>
  <c r="BK271" i="12"/>
  <c r="BK267" i="12"/>
  <c r="BK258" i="12"/>
  <c r="CI228" i="12"/>
  <c r="CI271" i="12"/>
  <c r="CI267" i="12"/>
  <c r="CI258" i="12"/>
  <c r="BQ211" i="12"/>
  <c r="BB131" i="12"/>
  <c r="BB126" i="12"/>
  <c r="BZ131" i="12"/>
  <c r="BZ126" i="12"/>
  <c r="CZ196" i="12" a="1"/>
  <c r="CZ196" i="12" s="1"/>
  <c r="AF200" i="12" a="1"/>
  <c r="AF200" i="12" s="1"/>
  <c r="F34" i="18" a="1"/>
  <c r="F34" i="18" s="1"/>
  <c r="T33" i="18"/>
  <c r="H33" i="18"/>
  <c r="BE245" i="12"/>
  <c r="T39" i="14"/>
  <c r="AY131" i="12"/>
  <c r="AY126" i="12"/>
  <c r="BW131" i="12"/>
  <c r="BW126" i="12"/>
  <c r="F84" i="33" a="1"/>
  <c r="F84" i="33" s="1"/>
  <c r="T61" i="18"/>
  <c r="T62" i="18" s="1" a="1"/>
  <c r="T62" i="18" s="1"/>
  <c r="T63" i="18" s="1" a="1"/>
  <c r="T63" i="18" s="1"/>
  <c r="F62" i="18" a="1"/>
  <c r="F62" i="18" s="1"/>
  <c r="F63" i="18" s="1" a="1"/>
  <c r="F63" i="18" s="1"/>
  <c r="F64" i="18" s="1" a="1"/>
  <c r="F64" i="18" s="1"/>
  <c r="AS194" i="12"/>
  <c r="CO245" i="12"/>
  <c r="F104" i="28" a="1"/>
  <c r="F104" i="28" s="1"/>
  <c r="AJ103" i="28"/>
  <c r="AF103" i="28"/>
  <c r="AK103" i="28"/>
  <c r="AG103" i="28"/>
  <c r="AH103" i="28" s="1"/>
  <c r="AI103" i="28"/>
  <c r="AL103" i="28" s="1"/>
  <c r="AE103" i="28"/>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T165" i="12" a="1"/>
  <c r="T165" i="12" s="1"/>
  <c r="AY228" i="12"/>
  <c r="AY271" i="12"/>
  <c r="AY267" i="12"/>
  <c r="AY258" i="12"/>
  <c r="BW228" i="12"/>
  <c r="BW271" i="12"/>
  <c r="BW267" i="12"/>
  <c r="BW258" i="12"/>
  <c r="F73" i="21" a="1"/>
  <c r="F73" i="21" s="1"/>
  <c r="T72" i="21"/>
  <c r="F45" i="24" a="1"/>
  <c r="F45" i="24" s="1"/>
  <c r="F46" i="24" s="1" a="1"/>
  <c r="F46" i="24" s="1"/>
  <c r="N33" i="27" a="1"/>
  <c r="N33" i="27" s="1"/>
  <c r="BX32" i="27" a="1"/>
  <c r="BX32" i="27" s="1"/>
  <c r="BK228" i="12"/>
  <c r="BW268" i="12"/>
  <c r="BW272" i="12"/>
  <c r="F44" i="22" a="1"/>
  <c r="F44" i="22" s="1"/>
  <c r="K43" i="22"/>
  <c r="BQ245" i="12"/>
  <c r="BD54" i="23" l="1"/>
  <c r="AH154" i="12"/>
  <c r="AJ154" i="12"/>
  <c r="AF204" i="12" a="1"/>
  <c r="AF204" i="12" s="1"/>
  <c r="CZ200" i="12" a="1"/>
  <c r="CZ200" i="12" s="1"/>
  <c r="BZ138" i="12"/>
  <c r="BZ132" i="12"/>
  <c r="BZ127" i="12"/>
  <c r="BB138" i="12"/>
  <c r="BB132" i="12"/>
  <c r="BB127" i="12"/>
  <c r="BK265" i="12"/>
  <c r="BK259" i="12"/>
  <c r="F50" i="21" a="1"/>
  <c r="F50" i="21" s="1"/>
  <c r="T49" i="21"/>
  <c r="T83" i="13"/>
  <c r="F84" i="13" a="1"/>
  <c r="F84" i="13" s="1"/>
  <c r="F85" i="13" s="1" a="1"/>
  <c r="F85" i="13" s="1"/>
  <c r="T57" i="14" a="1"/>
  <c r="T57" i="14" s="1"/>
  <c r="T56" i="14" a="1"/>
  <c r="T56" i="14" s="1"/>
  <c r="A57" i="14"/>
  <c r="F58" i="14" a="1"/>
  <c r="F58" i="14" s="1"/>
  <c r="AM43" i="24" s="1"/>
  <c r="AE204" i="12" a="1"/>
  <c r="AE204" i="12" s="1"/>
  <c r="X204" i="12"/>
  <c r="CY200" i="12" a="1"/>
  <c r="CY200" i="12" s="1"/>
  <c r="BE54" i="23"/>
  <c r="AH54" i="23"/>
  <c r="BB55" i="23"/>
  <c r="BM55" i="23" s="1"/>
  <c r="AZ55" i="23"/>
  <c r="AX55" i="23"/>
  <c r="BI55" i="23" s="1"/>
  <c r="AV55" i="23"/>
  <c r="AT55" i="23"/>
  <c r="AT52" i="23" s="1"/>
  <c r="AR55" i="23"/>
  <c r="AR52" i="23" s="1"/>
  <c r="AP55" i="23"/>
  <c r="AP52" i="23" s="1"/>
  <c r="AN55" i="23"/>
  <c r="AN52" i="23" s="1"/>
  <c r="AL55" i="23"/>
  <c r="AL52" i="23" s="1"/>
  <c r="AJ55" i="23"/>
  <c r="AJ52" i="23" s="1"/>
  <c r="AF55" i="23"/>
  <c r="AF52" i="23" s="1"/>
  <c r="F56" i="23" a="1"/>
  <c r="F56" i="23" s="1"/>
  <c r="F57" i="23" s="1" a="1"/>
  <c r="F57" i="23" s="1"/>
  <c r="F58" i="23" s="1" a="1"/>
  <c r="F58" i="23" s="1"/>
  <c r="F59" i="23" s="1" a="1"/>
  <c r="F59" i="23" s="1"/>
  <c r="BC55" i="23"/>
  <c r="BC52" i="23" s="1"/>
  <c r="BA55" i="23"/>
  <c r="AY55" i="23"/>
  <c r="BJ55" i="23" s="1"/>
  <c r="AW55" i="23"/>
  <c r="AU55" i="23"/>
  <c r="BF55" i="23" s="1"/>
  <c r="AS55" i="23"/>
  <c r="AS52" i="23" s="1"/>
  <c r="AQ55" i="23"/>
  <c r="AQ52" i="23" s="1"/>
  <c r="AO55" i="23"/>
  <c r="AO52" i="23" s="1"/>
  <c r="AM55" i="23"/>
  <c r="AM52" i="23" s="1"/>
  <c r="AK55" i="23"/>
  <c r="AK52" i="23" s="1"/>
  <c r="AI55" i="23"/>
  <c r="BD55" i="23" s="1"/>
  <c r="AG55" i="23"/>
  <c r="AE55" i="23"/>
  <c r="AE52" i="23" s="1"/>
  <c r="AG52" i="23"/>
  <c r="F43" i="13" a="1"/>
  <c r="F43" i="13" s="1"/>
  <c r="A42" i="13"/>
  <c r="U35" i="8"/>
  <c r="F36" i="8" a="1"/>
  <c r="F36" i="8" s="1"/>
  <c r="N89" i="27" a="1"/>
  <c r="N89" i="27" s="1"/>
  <c r="BX88" i="27" a="1"/>
  <c r="BX88" i="27" s="1"/>
  <c r="AQ153" i="12"/>
  <c r="AO154" i="12"/>
  <c r="BC153" i="12"/>
  <c r="BA154" i="12"/>
  <c r="BO153" i="12"/>
  <c r="BM154" i="12"/>
  <c r="CA153" i="12"/>
  <c r="BY154" i="12"/>
  <c r="CM153" i="12"/>
  <c r="CK154" i="12"/>
  <c r="AJ159" i="12" a="1"/>
  <c r="AJ159" i="12" s="1"/>
  <c r="AJ160" i="12" s="1"/>
  <c r="AJ155" i="12"/>
  <c r="AJ274" i="12" s="1"/>
  <c r="AU159" i="12" a="1"/>
  <c r="AU159" i="12" s="1"/>
  <c r="AU155" i="12"/>
  <c r="AW152" i="12"/>
  <c r="BG159" i="12" a="1"/>
  <c r="BG159" i="12" s="1"/>
  <c r="BG155" i="12"/>
  <c r="BI152" i="12"/>
  <c r="BS159" i="12" a="1"/>
  <c r="BS159" i="12" s="1"/>
  <c r="BS155" i="12"/>
  <c r="BU152" i="12"/>
  <c r="CE159" i="12" a="1"/>
  <c r="CE159" i="12" s="1"/>
  <c r="CE155" i="12"/>
  <c r="CG152" i="12"/>
  <c r="CQ159" i="12" a="1"/>
  <c r="CQ159" i="12" s="1"/>
  <c r="CQ155" i="12"/>
  <c r="CS152" i="12"/>
  <c r="AI48" i="12" a="1"/>
  <c r="AI48" i="12" s="1"/>
  <c r="AI49" i="12" s="1"/>
  <c r="AI44" i="12"/>
  <c r="AI138" i="12" s="1"/>
  <c r="AQ42" i="12"/>
  <c r="AO43" i="12"/>
  <c r="BC42" i="12"/>
  <c r="BA43" i="12"/>
  <c r="BO42" i="12"/>
  <c r="BM43" i="12"/>
  <c r="CA42" i="12"/>
  <c r="BY43" i="12"/>
  <c r="CM42" i="12"/>
  <c r="CK43" i="12"/>
  <c r="AJ48" i="12" a="1"/>
  <c r="AJ48" i="12" s="1"/>
  <c r="AJ49" i="12" s="1"/>
  <c r="AJ44" i="12"/>
  <c r="AJ138" i="12" s="1"/>
  <c r="AU48" i="12" a="1"/>
  <c r="AU48" i="12" s="1"/>
  <c r="AU44" i="12"/>
  <c r="AW41" i="12"/>
  <c r="BG48" i="12" a="1"/>
  <c r="BG48" i="12" s="1"/>
  <c r="BG44" i="12"/>
  <c r="BI41" i="12"/>
  <c r="BS48" i="12" a="1"/>
  <c r="BS48" i="12" s="1"/>
  <c r="BS44" i="12"/>
  <c r="BU41" i="12"/>
  <c r="CE48" i="12" a="1"/>
  <c r="CE48" i="12" s="1"/>
  <c r="CE44" i="12"/>
  <c r="CG41" i="12"/>
  <c r="CQ48" i="12" a="1"/>
  <c r="CQ48" i="12" s="1"/>
  <c r="CQ44" i="12"/>
  <c r="CS41" i="12"/>
  <c r="AI159" i="12" a="1"/>
  <c r="AI159" i="12" s="1"/>
  <c r="AI160" i="12" s="1"/>
  <c r="AI155" i="12"/>
  <c r="AI274" i="12" s="1"/>
  <c r="AR154" i="12"/>
  <c r="AT153" i="12"/>
  <c r="BD154" i="12"/>
  <c r="BF153" i="12"/>
  <c r="BP154" i="12"/>
  <c r="BR153" i="12"/>
  <c r="CB154" i="12"/>
  <c r="CD153" i="12"/>
  <c r="CN154" i="12"/>
  <c r="CP153" i="12"/>
  <c r="AL159" i="12" a="1"/>
  <c r="AL159" i="12" s="1"/>
  <c r="AL155" i="12"/>
  <c r="AN152" i="12"/>
  <c r="AX159" i="12" a="1"/>
  <c r="AX159" i="12" s="1"/>
  <c r="AX155" i="12"/>
  <c r="AZ152" i="12"/>
  <c r="BJ159" i="12" a="1"/>
  <c r="BJ159" i="12" s="1"/>
  <c r="BJ155" i="12"/>
  <c r="BL152" i="12"/>
  <c r="BV159" i="12" a="1"/>
  <c r="BV159" i="12" s="1"/>
  <c r="BV155" i="12"/>
  <c r="BX152" i="12"/>
  <c r="CH159" i="12" a="1"/>
  <c r="CH159" i="12" s="1"/>
  <c r="CH155" i="12"/>
  <c r="CJ152" i="12"/>
  <c r="AI154" i="12"/>
  <c r="AR43" i="12"/>
  <c r="AT42" i="12"/>
  <c r="BD43" i="12"/>
  <c r="BF42" i="12"/>
  <c r="BP43" i="12"/>
  <c r="BR42" i="12"/>
  <c r="CB43" i="12"/>
  <c r="CD42" i="12"/>
  <c r="CN43" i="12"/>
  <c r="CP42" i="12"/>
  <c r="AL48" i="12" a="1"/>
  <c r="AL48" i="12" s="1"/>
  <c r="AL44" i="12"/>
  <c r="AN41" i="12"/>
  <c r="AX48" i="12" a="1"/>
  <c r="AX48" i="12" s="1"/>
  <c r="AX44" i="12"/>
  <c r="AZ41" i="12"/>
  <c r="BJ48" i="12" a="1"/>
  <c r="BJ48" i="12" s="1"/>
  <c r="BJ44" i="12"/>
  <c r="BL41" i="12"/>
  <c r="BV48" i="12" a="1"/>
  <c r="BV48" i="12" s="1"/>
  <c r="BV44" i="12"/>
  <c r="BX41" i="12"/>
  <c r="CH48" i="12" a="1"/>
  <c r="CH48" i="12" s="1"/>
  <c r="CH44" i="12"/>
  <c r="CJ41" i="12"/>
  <c r="AI43" i="12"/>
  <c r="AB139" i="12" a="1"/>
  <c r="AB139" i="12" s="1"/>
  <c r="W139" i="12" a="1"/>
  <c r="W139" i="12" s="1"/>
  <c r="S52" i="12" a="1"/>
  <c r="S52" i="12" s="1"/>
  <c r="U51" i="12"/>
  <c r="T146" i="12" a="1"/>
  <c r="T146" i="12" s="1"/>
  <c r="U145" i="12"/>
  <c r="M35" i="31" a="1"/>
  <c r="M35" i="31" s="1"/>
  <c r="BI34" i="31" a="1"/>
  <c r="BI34" i="31" s="1"/>
  <c r="F62" i="31" a="1"/>
  <c r="F62" i="31" s="1"/>
  <c r="T61" i="31"/>
  <c r="T64" i="17"/>
  <c r="F66" i="17" a="1"/>
  <c r="F66" i="17" s="1"/>
  <c r="A64" i="17"/>
  <c r="T67" i="17"/>
  <c r="G67" i="17"/>
  <c r="CR138" i="12"/>
  <c r="CR132" i="12"/>
  <c r="CR127" i="12"/>
  <c r="BT138" i="12"/>
  <c r="BT132" i="12"/>
  <c r="BT127" i="12"/>
  <c r="AV138" i="12"/>
  <c r="AV132" i="12"/>
  <c r="AV127" i="12"/>
  <c r="AU43" i="24"/>
  <c r="BF43" i="24" s="1"/>
  <c r="AE43" i="24"/>
  <c r="AN43" i="24"/>
  <c r="CF274" i="12"/>
  <c r="CF266" i="12"/>
  <c r="CF260" i="12"/>
  <c r="AK35" i="28"/>
  <c r="F38" i="28" a="1"/>
  <c r="F38" i="28" s="1"/>
  <c r="F39" i="28" s="1" a="1"/>
  <c r="F39" i="28" s="1"/>
  <c r="F40" i="28" s="1" a="1"/>
  <c r="F40" i="28" s="1"/>
  <c r="F41" i="28" s="1" a="1"/>
  <c r="F41" i="28" s="1"/>
  <c r="AH36" i="28"/>
  <c r="M35" i="28" a="1"/>
  <c r="M35" i="28" s="1"/>
  <c r="AS34" i="28" a="1"/>
  <c r="AS34" i="28" s="1"/>
  <c r="F90" i="27" a="1"/>
  <c r="F90" i="27" s="1"/>
  <c r="T89" i="27"/>
  <c r="CI132" i="12"/>
  <c r="CI127" i="12"/>
  <c r="CI138" i="12"/>
  <c r="BK132" i="12"/>
  <c r="BK127" i="12"/>
  <c r="BK138" i="12"/>
  <c r="AM132" i="12"/>
  <c r="AM127" i="12"/>
  <c r="AM138" i="12"/>
  <c r="CL274" i="12"/>
  <c r="CL266" i="12"/>
  <c r="CL260" i="12"/>
  <c r="S163" i="12" a="1"/>
  <c r="S163" i="12" s="1"/>
  <c r="U162" i="12"/>
  <c r="CL138" i="12"/>
  <c r="CL132" i="12"/>
  <c r="CL127" i="12"/>
  <c r="BN138" i="12"/>
  <c r="BN132" i="12"/>
  <c r="BN127" i="12"/>
  <c r="AP138" i="12"/>
  <c r="AP132" i="12"/>
  <c r="AP127" i="12"/>
  <c r="AV274" i="12"/>
  <c r="AV266" i="12"/>
  <c r="AV260" i="12"/>
  <c r="BQ265" i="12"/>
  <c r="BQ259" i="12"/>
  <c r="T60" i="17" a="1"/>
  <c r="T60" i="17" s="1"/>
  <c r="T59" i="17" a="1"/>
  <c r="T59" i="17" s="1"/>
  <c r="AX52" i="23"/>
  <c r="BI52" i="23" s="1"/>
  <c r="AY52" i="23"/>
  <c r="BJ52" i="23" s="1"/>
  <c r="AP274" i="12"/>
  <c r="AP266" i="12"/>
  <c r="AP260" i="12"/>
  <c r="CF138" i="12"/>
  <c r="CF132" i="12"/>
  <c r="CF127" i="12"/>
  <c r="BH138" i="12"/>
  <c r="BH132" i="12"/>
  <c r="BH127" i="12"/>
  <c r="F74" i="21" a="1"/>
  <c r="F74" i="21" s="1"/>
  <c r="T73" i="21"/>
  <c r="T194" i="12" a="1"/>
  <c r="T194" i="12" s="1"/>
  <c r="L195" i="12" a="1"/>
  <c r="L195" i="12" s="1"/>
  <c r="H64" i="18"/>
  <c r="F65" i="18" a="1"/>
  <c r="F65" i="18" s="1"/>
  <c r="T64" i="18"/>
  <c r="F85" i="33" a="1"/>
  <c r="F85" i="33" s="1"/>
  <c r="F86" i="33" s="1" a="1"/>
  <c r="F86" i="33" s="1"/>
  <c r="F87" i="33" s="1" a="1"/>
  <c r="F87" i="33" s="1"/>
  <c r="F88" i="33" s="1" a="1"/>
  <c r="F88" i="33" s="1"/>
  <c r="N34" i="27" a="1"/>
  <c r="N34" i="27" s="1"/>
  <c r="BX33" i="27" a="1"/>
  <c r="BX33" i="27" s="1"/>
  <c r="BW265" i="12"/>
  <c r="BW259" i="12"/>
  <c r="AY265" i="12"/>
  <c r="AY259" i="12"/>
  <c r="F105" i="28" a="1"/>
  <c r="F105" i="28" s="1"/>
  <c r="F106" i="28" s="1" a="1"/>
  <c r="F106" i="28" s="1"/>
  <c r="F107" i="28" s="1" a="1"/>
  <c r="F107" i="28" s="1"/>
  <c r="F108" i="28" s="1" a="1"/>
  <c r="F108" i="28" s="1"/>
  <c r="BW132" i="12"/>
  <c r="BW127" i="12"/>
  <c r="BW138" i="12"/>
  <c r="AY132" i="12"/>
  <c r="AY127" i="12"/>
  <c r="AY138" i="12"/>
  <c r="F35" i="18" a="1"/>
  <c r="F35" i="18" s="1"/>
  <c r="T34" i="18"/>
  <c r="CI265" i="12"/>
  <c r="CI259" i="12"/>
  <c r="AM265" i="12"/>
  <c r="AM259" i="12"/>
  <c r="BB274" i="12"/>
  <c r="BB266" i="12"/>
  <c r="BB260" i="12"/>
  <c r="U39" i="6"/>
  <c r="F40" i="6" a="1"/>
  <c r="F40" i="6" s="1"/>
  <c r="F64" i="8" a="1"/>
  <c r="F64" i="8" s="1"/>
  <c r="U63" i="8"/>
  <c r="F109" i="25" a="1"/>
  <c r="F109" i="25" s="1"/>
  <c r="F110" i="25" s="1" a="1"/>
  <c r="F110" i="25" s="1"/>
  <c r="F108" i="25" a="1"/>
  <c r="F108" i="25" s="1"/>
  <c r="BZ274" i="12"/>
  <c r="BZ266" i="12"/>
  <c r="BZ260" i="12"/>
  <c r="F35" i="24" a="1"/>
  <c r="F35" i="24" s="1"/>
  <c r="BA34" i="24"/>
  <c r="BL34" i="24" s="1"/>
  <c r="AW34" i="24"/>
  <c r="BH34" i="24" s="1"/>
  <c r="AS34" i="24"/>
  <c r="AO34" i="24"/>
  <c r="AK34" i="24"/>
  <c r="AG34" i="24"/>
  <c r="BB34" i="24"/>
  <c r="BM34" i="24" s="1"/>
  <c r="AX34" i="24"/>
  <c r="BI34" i="24" s="1"/>
  <c r="AT34" i="24"/>
  <c r="BE34" i="24" s="1"/>
  <c r="AP34" i="24"/>
  <c r="AL34" i="24"/>
  <c r="AF34" i="24"/>
  <c r="F35" i="31" a="1"/>
  <c r="F35" i="31" s="1"/>
  <c r="T34" i="31"/>
  <c r="M62" i="31" a="1"/>
  <c r="M62" i="31" s="1"/>
  <c r="BI61" i="31" a="1"/>
  <c r="BI61" i="31" s="1"/>
  <c r="F59" i="30" a="1"/>
  <c r="F59" i="30" s="1"/>
  <c r="T58" i="30"/>
  <c r="F35" i="30" a="1"/>
  <c r="F35" i="30" s="1"/>
  <c r="T34" i="30"/>
  <c r="M102" i="28" a="1"/>
  <c r="M102" i="28" s="1"/>
  <c r="AS101" i="28" a="1"/>
  <c r="AS101" i="28" s="1"/>
  <c r="CC132" i="12"/>
  <c r="CC127" i="12"/>
  <c r="CC138" i="12"/>
  <c r="BE132" i="12"/>
  <c r="BE127" i="12"/>
  <c r="BE138" i="12"/>
  <c r="AW153" i="12"/>
  <c r="AU154" i="12"/>
  <c r="BI153" i="12"/>
  <c r="BG154" i="12"/>
  <c r="BU153" i="12"/>
  <c r="BS154" i="12"/>
  <c r="CG153" i="12"/>
  <c r="CE154" i="12"/>
  <c r="CS153" i="12"/>
  <c r="CQ154" i="12"/>
  <c r="AO159" i="12" a="1"/>
  <c r="AO159" i="12" s="1"/>
  <c r="AO155" i="12"/>
  <c r="AQ152" i="12"/>
  <c r="BA159" i="12" a="1"/>
  <c r="BA159" i="12" s="1"/>
  <c r="BA155" i="12"/>
  <c r="BC152" i="12"/>
  <c r="BM159" i="12" a="1"/>
  <c r="BM159" i="12" s="1"/>
  <c r="BM155" i="12"/>
  <c r="BO152" i="12"/>
  <c r="BY159" i="12" a="1"/>
  <c r="BY159" i="12" s="1"/>
  <c r="BY155" i="12"/>
  <c r="CA152" i="12"/>
  <c r="CK159" i="12" a="1"/>
  <c r="CK159" i="12" s="1"/>
  <c r="CK155" i="12"/>
  <c r="CM152" i="12"/>
  <c r="AW42" i="12"/>
  <c r="AW43" i="12" s="1"/>
  <c r="AU43" i="12"/>
  <c r="BI42" i="12"/>
  <c r="BI43" i="12" s="1"/>
  <c r="BG43" i="12"/>
  <c r="BU42" i="12"/>
  <c r="BU43" i="12" s="1"/>
  <c r="BS43" i="12"/>
  <c r="CG42" i="12"/>
  <c r="CG43" i="12" s="1"/>
  <c r="CE43" i="12"/>
  <c r="CS42" i="12"/>
  <c r="CS43" i="12" s="1"/>
  <c r="CQ43" i="12"/>
  <c r="AO48" i="12" a="1"/>
  <c r="AO48" i="12" s="1"/>
  <c r="AO44" i="12"/>
  <c r="AQ41" i="12"/>
  <c r="BA48" i="12" a="1"/>
  <c r="BA48" i="12" s="1"/>
  <c r="BA44" i="12"/>
  <c r="BC41" i="12"/>
  <c r="BM48" i="12" a="1"/>
  <c r="BM48" i="12" s="1"/>
  <c r="BM44" i="12"/>
  <c r="BO41" i="12"/>
  <c r="BY48" i="12" a="1"/>
  <c r="BY48" i="12" s="1"/>
  <c r="BY44" i="12"/>
  <c r="CA41" i="12"/>
  <c r="CK48" i="12" a="1"/>
  <c r="CK48" i="12" s="1"/>
  <c r="CK44" i="12"/>
  <c r="CM41" i="12"/>
  <c r="AK159" i="12" a="1"/>
  <c r="AK159" i="12" s="1"/>
  <c r="AK160" i="12" s="1"/>
  <c r="AK155" i="12"/>
  <c r="AK274" i="12" s="1"/>
  <c r="AL154" i="12"/>
  <c r="AN153" i="12"/>
  <c r="AN154" i="12" s="1"/>
  <c r="AX154" i="12"/>
  <c r="AZ153" i="12"/>
  <c r="AZ154" i="12" s="1"/>
  <c r="BJ154" i="12"/>
  <c r="BL153" i="12"/>
  <c r="BL154" i="12" s="1"/>
  <c r="BV154" i="12"/>
  <c r="BX153" i="12"/>
  <c r="BX154" i="12" s="1"/>
  <c r="CH154" i="12"/>
  <c r="CJ153" i="12"/>
  <c r="CJ154" i="12" s="1"/>
  <c r="AH159" i="12" a="1"/>
  <c r="AH159" i="12" s="1"/>
  <c r="AH160" i="12" s="1"/>
  <c r="AH155" i="12"/>
  <c r="AH274" i="12" s="1"/>
  <c r="AR159" i="12" a="1"/>
  <c r="AR159" i="12" s="1"/>
  <c r="AR155" i="12"/>
  <c r="AT152" i="12"/>
  <c r="BD159" i="12" a="1"/>
  <c r="BD159" i="12" s="1"/>
  <c r="BD155" i="12"/>
  <c r="BF152" i="12"/>
  <c r="BP159" i="12" a="1"/>
  <c r="BP159" i="12" s="1"/>
  <c r="BP155" i="12"/>
  <c r="BR152" i="12"/>
  <c r="CB159" i="12" a="1"/>
  <c r="CB159" i="12" s="1"/>
  <c r="CB155" i="12"/>
  <c r="CD152" i="12"/>
  <c r="CN159" i="12" a="1"/>
  <c r="CN159" i="12" s="1"/>
  <c r="CN155" i="12"/>
  <c r="CP152" i="12"/>
  <c r="AK48" i="12" a="1"/>
  <c r="AK48" i="12" s="1"/>
  <c r="AK49" i="12" s="1"/>
  <c r="AK44" i="12"/>
  <c r="AK138" i="12" s="1"/>
  <c r="AL43" i="12"/>
  <c r="AN42" i="12"/>
  <c r="AX43" i="12"/>
  <c r="AZ42" i="12"/>
  <c r="BJ43" i="12"/>
  <c r="BL42" i="12"/>
  <c r="BV43" i="12"/>
  <c r="BX42" i="12"/>
  <c r="CH43" i="12"/>
  <c r="CJ42" i="12"/>
  <c r="AH48" i="12" a="1"/>
  <c r="AH48" i="12" s="1"/>
  <c r="AH49" i="12" s="1"/>
  <c r="AH44" i="12"/>
  <c r="AH138" i="12" s="1"/>
  <c r="AR48" i="12" a="1"/>
  <c r="AR48" i="12" s="1"/>
  <c r="AR44" i="12"/>
  <c r="AT41" i="12"/>
  <c r="BD48" i="12" a="1"/>
  <c r="BD48" i="12" s="1"/>
  <c r="BD44" i="12"/>
  <c r="BF41" i="12"/>
  <c r="BP48" i="12" a="1"/>
  <c r="BP48" i="12" s="1"/>
  <c r="BP44" i="12"/>
  <c r="BR41" i="12"/>
  <c r="CB48" i="12" a="1"/>
  <c r="CB48" i="12" s="1"/>
  <c r="CB44" i="12"/>
  <c r="CD41" i="12"/>
  <c r="CN48" i="12" a="1"/>
  <c r="CN48" i="12" s="1"/>
  <c r="CN44" i="12"/>
  <c r="CP41" i="12"/>
  <c r="BE265" i="12"/>
  <c r="BE259" i="12"/>
  <c r="F35" i="22" a="1"/>
  <c r="F35" i="22" s="1"/>
  <c r="AD38" i="34" s="1"/>
  <c r="K34" i="22"/>
  <c r="AD90" i="34"/>
  <c r="T42" i="17"/>
  <c r="F44" i="17" a="1"/>
  <c r="F44" i="17" s="1"/>
  <c r="AG49" i="23" s="1"/>
  <c r="A42" i="17"/>
  <c r="T45" i="17"/>
  <c r="G45" i="17"/>
  <c r="F60" i="25" a="1"/>
  <c r="F60" i="25" s="1"/>
  <c r="CR274" i="12"/>
  <c r="CR266" i="12"/>
  <c r="CR260" i="12"/>
  <c r="BT274" i="12"/>
  <c r="BT266" i="12"/>
  <c r="BT260" i="12"/>
  <c r="BN274" i="12"/>
  <c r="BN266" i="12"/>
  <c r="BN260" i="12"/>
  <c r="AY43" i="24"/>
  <c r="BJ43" i="24" s="1"/>
  <c r="AI43" i="24"/>
  <c r="AR43" i="24"/>
  <c r="BH274" i="12"/>
  <c r="BH266" i="12"/>
  <c r="BH260" i="12"/>
  <c r="AF35" i="28"/>
  <c r="AI102" i="28"/>
  <c r="L77" i="12" a="1"/>
  <c r="L77" i="12" s="1"/>
  <c r="T76" i="12" a="1"/>
  <c r="T76" i="12" s="1"/>
  <c r="AS265" i="12"/>
  <c r="AS259" i="12"/>
  <c r="T34" i="27"/>
  <c r="F35" i="27" a="1"/>
  <c r="F35" i="27" s="1"/>
  <c r="F39" i="33" a="1"/>
  <c r="F39" i="33" s="1"/>
  <c r="F40" i="33" s="1" a="1"/>
  <c r="F40" i="33" s="1"/>
  <c r="F41" i="33" s="1" a="1"/>
  <c r="F41" i="33" s="1"/>
  <c r="F42" i="33" s="1" a="1"/>
  <c r="F42" i="33" s="1"/>
  <c r="CC265" i="12"/>
  <c r="CC259" i="12"/>
  <c r="T35" i="12" a="1"/>
  <c r="T35" i="12" s="1"/>
  <c r="U34" i="12"/>
  <c r="AG29" i="23"/>
  <c r="CO265" i="12"/>
  <c r="CO259" i="12"/>
  <c r="CO132" i="12"/>
  <c r="CO127" i="12"/>
  <c r="CO138" i="12"/>
  <c r="BQ132" i="12"/>
  <c r="BQ127" i="12"/>
  <c r="BQ138" i="12"/>
  <c r="AS132" i="12"/>
  <c r="AS127" i="12"/>
  <c r="AS138" i="12"/>
  <c r="AH34" i="23"/>
  <c r="BB35" i="23"/>
  <c r="AZ35" i="23"/>
  <c r="AX35" i="23"/>
  <c r="AV35" i="23"/>
  <c r="AT35" i="23"/>
  <c r="AR35" i="23"/>
  <c r="AR32" i="23" s="1"/>
  <c r="AP35" i="23"/>
  <c r="AP32" i="23" s="1"/>
  <c r="AN35" i="23"/>
  <c r="AN32" i="23" s="1"/>
  <c r="AL35" i="23"/>
  <c r="AL32" i="23" s="1"/>
  <c r="AJ35" i="23"/>
  <c r="AJ32" i="23" s="1"/>
  <c r="AF35" i="23"/>
  <c r="AF32" i="23" s="1"/>
  <c r="F36" i="23" a="1"/>
  <c r="F36" i="23" s="1"/>
  <c r="BC35" i="23"/>
  <c r="BC32" i="23" s="1"/>
  <c r="BA35" i="23"/>
  <c r="BL35" i="23" s="1"/>
  <c r="AY35" i="23"/>
  <c r="AW35" i="23"/>
  <c r="AU35" i="23"/>
  <c r="AS35" i="23"/>
  <c r="AS32" i="23" s="1"/>
  <c r="AQ35" i="23"/>
  <c r="AQ32" i="23" s="1"/>
  <c r="AO35" i="23"/>
  <c r="AO32" i="23" s="1"/>
  <c r="AM35" i="23"/>
  <c r="AM32" i="23" s="1"/>
  <c r="AK35" i="23"/>
  <c r="AK32" i="23" s="1"/>
  <c r="AI35" i="23"/>
  <c r="AG35" i="23"/>
  <c r="AE35" i="23"/>
  <c r="AE32" i="23" s="1"/>
  <c r="AU49" i="23" l="1"/>
  <c r="AI49" i="23"/>
  <c r="BB49" i="23"/>
  <c r="BC43" i="24"/>
  <c r="AM29" i="23"/>
  <c r="AJ29" i="23"/>
  <c r="AJ102" i="28"/>
  <c r="AG35" i="28"/>
  <c r="AH35" i="28" s="1"/>
  <c r="AJ43" i="24"/>
  <c r="AZ43" i="24"/>
  <c r="BK43" i="24" s="1"/>
  <c r="AQ43" i="24"/>
  <c r="AU29" i="23"/>
  <c r="BF29" i="23" s="1"/>
  <c r="AD35" i="34"/>
  <c r="AJ34" i="24"/>
  <c r="AN34" i="24"/>
  <c r="AR34" i="24"/>
  <c r="AV34" i="24"/>
  <c r="BG34" i="24" s="1"/>
  <c r="AZ34" i="24"/>
  <c r="BK34" i="24" s="1"/>
  <c r="AE34" i="24"/>
  <c r="AI34" i="24"/>
  <c r="BD34" i="24" s="1"/>
  <c r="AM34" i="24"/>
  <c r="AQ34" i="24"/>
  <c r="AU34" i="24"/>
  <c r="BF34" i="24" s="1"/>
  <c r="AY34" i="24"/>
  <c r="BJ34" i="24" s="1"/>
  <c r="BC34" i="24"/>
  <c r="AI52" i="23"/>
  <c r="BD52" i="23" s="1"/>
  <c r="BB52" i="23"/>
  <c r="BM52" i="23" s="1"/>
  <c r="AK102" i="28"/>
  <c r="AV43" i="24"/>
  <c r="BG43" i="24" s="1"/>
  <c r="AH55" i="23"/>
  <c r="BA32" i="23"/>
  <c r="BL32" i="23" s="1"/>
  <c r="AL102" i="28"/>
  <c r="CJ43" i="12"/>
  <c r="BL43" i="12"/>
  <c r="AN43" i="12"/>
  <c r="CS154" i="12"/>
  <c r="BU154" i="12"/>
  <c r="AW154" i="12"/>
  <c r="AU52" i="23"/>
  <c r="BF52" i="23" s="1"/>
  <c r="AL49" i="23"/>
  <c r="CD43" i="12"/>
  <c r="BF43" i="12"/>
  <c r="CP154" i="12"/>
  <c r="BR154" i="12"/>
  <c r="AT154" i="12"/>
  <c r="CA43" i="12"/>
  <c r="BC43" i="12"/>
  <c r="AH52" i="23"/>
  <c r="BM49" i="23"/>
  <c r="BD35" i="23"/>
  <c r="AI32" i="23"/>
  <c r="BD32" i="23" s="1"/>
  <c r="BF35" i="23"/>
  <c r="AU32" i="23"/>
  <c r="BF32" i="23" s="1"/>
  <c r="BJ35" i="23"/>
  <c r="AY32" i="23"/>
  <c r="BJ32" i="23" s="1"/>
  <c r="BE35" i="23"/>
  <c r="AT32" i="23"/>
  <c r="BE32" i="23" s="1"/>
  <c r="BI35" i="23"/>
  <c r="AX32" i="23"/>
  <c r="BI32" i="23" s="1"/>
  <c r="BM35" i="23"/>
  <c r="BB32" i="23"/>
  <c r="BM32" i="23" s="1"/>
  <c r="BF49" i="23"/>
  <c r="CC260" i="12"/>
  <c r="CC274" i="12"/>
  <c r="CC266" i="12"/>
  <c r="F43" i="33" a="1"/>
  <c r="F43" i="33" s="1"/>
  <c r="F44" i="33" s="1" a="1"/>
  <c r="F44" i="33" s="1"/>
  <c r="F45" i="33" s="1" a="1"/>
  <c r="F45" i="33" s="1"/>
  <c r="F46" i="33" s="1" a="1"/>
  <c r="F46" i="33" s="1"/>
  <c r="F47" i="33" s="1" a="1"/>
  <c r="F47" i="33" s="1"/>
  <c r="BE42" i="33"/>
  <c r="BG42" i="33" s="1"/>
  <c r="BC42" i="33"/>
  <c r="AY42" i="33"/>
  <c r="BA42" i="33" s="1"/>
  <c r="AW42" i="33"/>
  <c r="AS42" i="33"/>
  <c r="AU42" i="33" s="1"/>
  <c r="AQ42" i="33"/>
  <c r="AM42" i="33"/>
  <c r="AO42" i="33" s="1"/>
  <c r="AK42" i="33"/>
  <c r="AG42" i="33"/>
  <c r="AI42" i="33" s="1"/>
  <c r="AE42" i="33"/>
  <c r="BF42" i="33"/>
  <c r="BB42" i="33"/>
  <c r="BD42" i="33" s="1"/>
  <c r="AT42" i="33"/>
  <c r="AP42" i="33"/>
  <c r="AR42" i="33" s="1"/>
  <c r="AH42" i="33"/>
  <c r="AD42" i="33"/>
  <c r="AF42" i="33" s="1"/>
  <c r="AZ42" i="33"/>
  <c r="AV42" i="33"/>
  <c r="AX42" i="33" s="1"/>
  <c r="AN42" i="33"/>
  <c r="AJ42" i="33"/>
  <c r="AL42" i="33" s="1"/>
  <c r="T35" i="27"/>
  <c r="F36" i="27" a="1"/>
  <c r="F36" i="27" s="1"/>
  <c r="AS260" i="12"/>
  <c r="AS274" i="12"/>
  <c r="AS266" i="12"/>
  <c r="F62" i="25" a="1"/>
  <c r="F62" i="25" s="1"/>
  <c r="F61" i="25" a="1"/>
  <c r="F61" i="25" s="1"/>
  <c r="T44" i="17" a="1"/>
  <c r="T44" i="17" s="1"/>
  <c r="T43" i="17" a="1"/>
  <c r="T43" i="17" s="1"/>
  <c r="BE260" i="12"/>
  <c r="BE274" i="12"/>
  <c r="BE266" i="12"/>
  <c r="CP48" i="12" a="1"/>
  <c r="CP48" i="12" s="1"/>
  <c r="CP50" i="12" s="1"/>
  <c r="CP44" i="12"/>
  <c r="BR48" i="12" a="1"/>
  <c r="BR48" i="12" s="1"/>
  <c r="BR50" i="12" s="1"/>
  <c r="BR44" i="12"/>
  <c r="AT48" i="12" a="1"/>
  <c r="AT48" i="12" s="1"/>
  <c r="AT50" i="12" s="1"/>
  <c r="AT44" i="12"/>
  <c r="CD159" i="12" a="1"/>
  <c r="CD159" i="12" s="1"/>
  <c r="CD161" i="12" s="1"/>
  <c r="CD155" i="12"/>
  <c r="BF159" i="12" a="1"/>
  <c r="BF159" i="12" s="1"/>
  <c r="BF161" i="12" s="1"/>
  <c r="BF155" i="12"/>
  <c r="CM48" i="12" a="1"/>
  <c r="CM48" i="12" s="1"/>
  <c r="CM50" i="12" s="1"/>
  <c r="CM44" i="12"/>
  <c r="BO48" i="12" a="1"/>
  <c r="BO48" i="12" s="1"/>
  <c r="BO50" i="12" s="1"/>
  <c r="BO44" i="12"/>
  <c r="AQ48" i="12" a="1"/>
  <c r="AQ48" i="12" s="1"/>
  <c r="AQ50" i="12" s="1"/>
  <c r="AQ44" i="12"/>
  <c r="CA159" i="12" a="1"/>
  <c r="CA159" i="12" s="1"/>
  <c r="CA161" i="12" s="1"/>
  <c r="CA155" i="12"/>
  <c r="BC159" i="12" a="1"/>
  <c r="BC159" i="12" s="1"/>
  <c r="BC161" i="12" s="1"/>
  <c r="BC155" i="12"/>
  <c r="U40" i="6"/>
  <c r="F41" i="6" a="1"/>
  <c r="F41" i="6" s="1"/>
  <c r="U41" i="6" s="1"/>
  <c r="AM260" i="12"/>
  <c r="AM274" i="12"/>
  <c r="AM266" i="12"/>
  <c r="CI260" i="12"/>
  <c r="CI274" i="12"/>
  <c r="CI266" i="12"/>
  <c r="F36" i="18" a="1"/>
  <c r="F36" i="18" s="1"/>
  <c r="T35" i="18"/>
  <c r="N35" i="27" a="1"/>
  <c r="N35" i="27" s="1"/>
  <c r="BX34" i="27" a="1"/>
  <c r="BX34" i="27" s="1"/>
  <c r="F75" i="21" a="1"/>
  <c r="F75" i="21" s="1"/>
  <c r="AI83" i="27" s="1"/>
  <c r="T74" i="21"/>
  <c r="BQ260" i="12"/>
  <c r="BQ274" i="12"/>
  <c r="BQ266" i="12"/>
  <c r="S164" i="12" a="1"/>
  <c r="S164" i="12" s="1"/>
  <c r="U163" i="12"/>
  <c r="T66" i="17" a="1"/>
  <c r="T66" i="17" s="1"/>
  <c r="T65" i="17" a="1"/>
  <c r="T65" i="17" s="1"/>
  <c r="AI29" i="23"/>
  <c r="AQ29" i="23"/>
  <c r="BX48" i="12" a="1"/>
  <c r="BX48" i="12" s="1"/>
  <c r="BX50" i="12" s="1"/>
  <c r="BX44" i="12"/>
  <c r="AZ48" i="12" a="1"/>
  <c r="AZ48" i="12" s="1"/>
  <c r="AZ50" i="12" s="1"/>
  <c r="AZ44" i="12"/>
  <c r="CP43" i="12"/>
  <c r="BR43" i="12"/>
  <c r="AT43" i="12"/>
  <c r="BX159" i="12" a="1"/>
  <c r="BX159" i="12" s="1"/>
  <c r="BX161" i="12" s="1"/>
  <c r="BX155" i="12"/>
  <c r="AZ159" i="12" a="1"/>
  <c r="AZ159" i="12" s="1"/>
  <c r="AZ161" i="12" s="1"/>
  <c r="AZ155" i="12"/>
  <c r="CD154" i="12"/>
  <c r="BF154" i="12"/>
  <c r="CS48" i="12" a="1"/>
  <c r="CS48" i="12" s="1"/>
  <c r="CS50" i="12" s="1"/>
  <c r="CS44" i="12"/>
  <c r="BU48" i="12" a="1"/>
  <c r="BU48" i="12" s="1"/>
  <c r="BU50" i="12" s="1"/>
  <c r="BU44" i="12"/>
  <c r="AW48" i="12" a="1"/>
  <c r="AW48" i="12" s="1"/>
  <c r="AW50" i="12" s="1"/>
  <c r="AW44" i="12"/>
  <c r="CM43" i="12"/>
  <c r="BO43" i="12"/>
  <c r="AQ43" i="12"/>
  <c r="CG159" i="12" a="1"/>
  <c r="CG159" i="12" s="1"/>
  <c r="CG161" i="12" s="1"/>
  <c r="CG155" i="12"/>
  <c r="BI159" i="12" a="1"/>
  <c r="BI159" i="12" s="1"/>
  <c r="BI161" i="12" s="1"/>
  <c r="BI155" i="12"/>
  <c r="F37" i="8" a="1"/>
  <c r="F37" i="8" s="1"/>
  <c r="U36" i="8"/>
  <c r="BH55" i="23"/>
  <c r="AW52" i="23"/>
  <c r="BH52" i="23" s="1"/>
  <c r="BL55" i="23"/>
  <c r="BA52" i="23"/>
  <c r="BL52" i="23" s="1"/>
  <c r="BB59" i="23"/>
  <c r="BM59" i="23" s="1"/>
  <c r="AZ59" i="23"/>
  <c r="BK59" i="23" s="1"/>
  <c r="AX59" i="23"/>
  <c r="BI59" i="23" s="1"/>
  <c r="AV59" i="23"/>
  <c r="BG59" i="23" s="1"/>
  <c r="AT59" i="23"/>
  <c r="AR59" i="23"/>
  <c r="AP59" i="23"/>
  <c r="AN59" i="23"/>
  <c r="AL59" i="23"/>
  <c r="AJ59" i="23"/>
  <c r="AF59" i="23"/>
  <c r="F60" i="23" a="1"/>
  <c r="F60" i="23" s="1"/>
  <c r="F61" i="23" s="1" a="1"/>
  <c r="F61" i="23" s="1"/>
  <c r="F62" i="23" s="1" a="1"/>
  <c r="F62" i="23" s="1"/>
  <c r="F63" i="23" s="1" a="1"/>
  <c r="F63" i="23" s="1"/>
  <c r="BC59" i="23"/>
  <c r="BA59" i="23"/>
  <c r="BL59" i="23" s="1"/>
  <c r="AY59" i="23"/>
  <c r="BJ59" i="23" s="1"/>
  <c r="AW59" i="23"/>
  <c r="BH59" i="23" s="1"/>
  <c r="AU59" i="23"/>
  <c r="BF59" i="23" s="1"/>
  <c r="AS59" i="23"/>
  <c r="AQ59" i="23"/>
  <c r="AO59" i="23"/>
  <c r="AM59" i="23"/>
  <c r="AK59" i="23"/>
  <c r="AI59" i="23"/>
  <c r="BD59" i="23" s="1"/>
  <c r="AG59" i="23"/>
  <c r="AH59" i="23" s="1"/>
  <c r="AE59" i="23"/>
  <c r="BG55" i="23"/>
  <c r="AV52" i="23"/>
  <c r="BG52" i="23" s="1"/>
  <c r="BK55" i="23"/>
  <c r="AZ52" i="23"/>
  <c r="BK52" i="23" s="1"/>
  <c r="CY204" i="12" a="1"/>
  <c r="CY204" i="12" s="1"/>
  <c r="AG204" i="12"/>
  <c r="AE209" i="12" a="1"/>
  <c r="AE209" i="12" s="1"/>
  <c r="X209" i="12"/>
  <c r="F86" i="13" a="1"/>
  <c r="F86" i="13" s="1"/>
  <c r="A85" i="13"/>
  <c r="BK260" i="12"/>
  <c r="BK274" i="12"/>
  <c r="BK266" i="12"/>
  <c r="AH35" i="23"/>
  <c r="AG32" i="23"/>
  <c r="AH32" i="23" s="1"/>
  <c r="BH35" i="23"/>
  <c r="AW32" i="23"/>
  <c r="BH32" i="23" s="1"/>
  <c r="F37" i="23" a="1"/>
  <c r="F37" i="23" s="1"/>
  <c r="F38" i="23" s="1" a="1"/>
  <c r="F38" i="23" s="1"/>
  <c r="F39" i="23" s="1" a="1"/>
  <c r="F39" i="23" s="1"/>
  <c r="BG35" i="23"/>
  <c r="AV32" i="23"/>
  <c r="BG32" i="23" s="1"/>
  <c r="BK35" i="23"/>
  <c r="AZ32" i="23"/>
  <c r="BK32" i="23" s="1"/>
  <c r="CO260" i="12"/>
  <c r="CO274" i="12"/>
  <c r="CO266" i="12"/>
  <c r="AV29" i="23"/>
  <c r="AY49" i="23"/>
  <c r="T36" i="12" a="1"/>
  <c r="T36" i="12" s="1"/>
  <c r="U35" i="12"/>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T77" i="12"/>
  <c r="A44" i="17"/>
  <c r="AY29" i="23"/>
  <c r="AR49" i="23"/>
  <c r="AR62" i="23" s="1"/>
  <c r="AX29" i="23"/>
  <c r="BA49" i="23"/>
  <c r="AF29" i="23"/>
  <c r="AJ49" i="23"/>
  <c r="AJ62" i="23" s="1"/>
  <c r="AN29" i="23"/>
  <c r="AX49" i="23"/>
  <c r="AQ49" i="23"/>
  <c r="AQ62" i="23" s="1"/>
  <c r="BA29" i="23"/>
  <c r="AT49" i="23"/>
  <c r="AM49" i="23"/>
  <c r="AM62" i="23" s="1"/>
  <c r="AZ49" i="23"/>
  <c r="AK49" i="23"/>
  <c r="AK62" i="23" s="1"/>
  <c r="AR29" i="23"/>
  <c r="AO29" i="23"/>
  <c r="AF49" i="23"/>
  <c r="AF62" i="23" s="1"/>
  <c r="AZ29" i="23"/>
  <c r="AK29" i="23"/>
  <c r="BC49" i="23"/>
  <c r="BC62" i="23" s="1"/>
  <c r="AD83" i="34"/>
  <c r="AD85" i="34"/>
  <c r="AD88" i="34"/>
  <c r="AD34" i="34"/>
  <c r="AD33" i="34"/>
  <c r="AD86" i="34"/>
  <c r="AD32" i="34"/>
  <c r="AD84" i="34"/>
  <c r="AD89" i="34"/>
  <c r="AD39" i="34"/>
  <c r="AD87" i="34"/>
  <c r="CD48" i="12" a="1"/>
  <c r="CD48" i="12" s="1"/>
  <c r="CD50" i="12" s="1"/>
  <c r="CD44" i="12"/>
  <c r="BF48" i="12" a="1"/>
  <c r="BF48" i="12" s="1"/>
  <c r="BF50" i="12" s="1"/>
  <c r="BF44" i="12"/>
  <c r="BX43" i="12"/>
  <c r="AZ43" i="12"/>
  <c r="CP159" i="12" a="1"/>
  <c r="CP159" i="12" s="1"/>
  <c r="CP161" i="12" s="1"/>
  <c r="CP155" i="12"/>
  <c r="BR159" i="12" a="1"/>
  <c r="BR159" i="12" s="1"/>
  <c r="BR161" i="12" s="1"/>
  <c r="BR155" i="12"/>
  <c r="AT159" i="12" a="1"/>
  <c r="AT159" i="12" s="1"/>
  <c r="AT161" i="12" s="1"/>
  <c r="AT155" i="12"/>
  <c r="CA48" i="12" a="1"/>
  <c r="CA48" i="12" s="1"/>
  <c r="CA50" i="12" s="1"/>
  <c r="CA44" i="12"/>
  <c r="BC48" i="12" a="1"/>
  <c r="BC48" i="12" s="1"/>
  <c r="BC50" i="12" s="1"/>
  <c r="BC44" i="12"/>
  <c r="CM159" i="12" a="1"/>
  <c r="CM159" i="12" s="1"/>
  <c r="CM161" i="12" s="1"/>
  <c r="CM155" i="12"/>
  <c r="BO159" i="12" a="1"/>
  <c r="BO159" i="12" s="1"/>
  <c r="BO161" i="12" s="1"/>
  <c r="BO155" i="12"/>
  <c r="AQ159" i="12" a="1"/>
  <c r="AQ159" i="12" s="1"/>
  <c r="AQ161" i="12" s="1"/>
  <c r="AQ155" i="12"/>
  <c r="CG154" i="12"/>
  <c r="BI154" i="12"/>
  <c r="M103" i="28" a="1"/>
  <c r="M103" i="28" s="1"/>
  <c r="AS102" i="28" a="1"/>
  <c r="AS102" i="28" s="1"/>
  <c r="F36" i="30" a="1"/>
  <c r="F36" i="30" s="1"/>
  <c r="T35" i="30"/>
  <c r="F60" i="30" a="1"/>
  <c r="F60" i="30" s="1"/>
  <c r="T59" i="30"/>
  <c r="M63" i="31" a="1"/>
  <c r="M63" i="31" s="1"/>
  <c r="BI62" i="31" a="1"/>
  <c r="BI62" i="31" s="1"/>
  <c r="F36" i="31" a="1"/>
  <c r="F36" i="31" s="1"/>
  <c r="T35" i="31"/>
  <c r="AH34" i="24"/>
  <c r="F36" i="24" a="1"/>
  <c r="F36" i="24" s="1"/>
  <c r="AG34" i="25"/>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F65" i="8" a="1"/>
  <c r="F65" i="8" s="1"/>
  <c r="U64" i="8"/>
  <c r="F109" i="28" a="1"/>
  <c r="F109" i="28" s="1"/>
  <c r="F110" i="28" s="1" a="1"/>
  <c r="F110" i="28" s="1"/>
  <c r="F111" i="28" s="1" a="1"/>
  <c r="F111" i="28" s="1"/>
  <c r="AJ108" i="28"/>
  <c r="AF108" i="28"/>
  <c r="AK108" i="28"/>
  <c r="AG108" i="28"/>
  <c r="AH108" i="28" s="1"/>
  <c r="AI108" i="28"/>
  <c r="AL108" i="28" s="1"/>
  <c r="AE108" i="28"/>
  <c r="AY260" i="12"/>
  <c r="AY274" i="12"/>
  <c r="AY266" i="12"/>
  <c r="BW260" i="12"/>
  <c r="BW274" i="12"/>
  <c r="BW266" i="12"/>
  <c r="F89" i="33" a="1"/>
  <c r="F89" i="33" s="1"/>
  <c r="F90" i="33" s="1" a="1"/>
  <c r="F90" i="33" s="1"/>
  <c r="F91" i="33" s="1" a="1"/>
  <c r="F91" i="33" s="1"/>
  <c r="F92" i="33" s="1" a="1"/>
  <c r="F92" i="33" s="1"/>
  <c r="F93" i="33" s="1" a="1"/>
  <c r="F93" i="33" s="1"/>
  <c r="BE88" i="33"/>
  <c r="BG88" i="33" s="1"/>
  <c r="BC88" i="33"/>
  <c r="AY88" i="33"/>
  <c r="BA88" i="33" s="1"/>
  <c r="AW88" i="33"/>
  <c r="AS88" i="33"/>
  <c r="AU88" i="33" s="1"/>
  <c r="AQ88" i="33"/>
  <c r="AM88" i="33"/>
  <c r="AO88" i="33" s="1"/>
  <c r="AK88" i="33"/>
  <c r="AG88" i="33"/>
  <c r="AI88" i="33" s="1"/>
  <c r="AE88" i="33"/>
  <c r="BF88" i="33"/>
  <c r="BB88" i="33"/>
  <c r="BD88" i="33" s="1"/>
  <c r="AT88" i="33"/>
  <c r="AP88" i="33"/>
  <c r="AR88" i="33" s="1"/>
  <c r="AH88" i="33"/>
  <c r="AD88" i="33"/>
  <c r="AF88" i="33" s="1"/>
  <c r="AZ88" i="33"/>
  <c r="AV88" i="33"/>
  <c r="AX88" i="33" s="1"/>
  <c r="AN88" i="33"/>
  <c r="AJ88" i="33"/>
  <c r="AL88" i="33" s="1"/>
  <c r="F66" i="18" a="1"/>
  <c r="F66" i="18" s="1"/>
  <c r="T65" i="18"/>
  <c r="T195" i="12"/>
  <c r="L196" i="12" a="1"/>
  <c r="L196" i="12" s="1"/>
  <c r="AN49" i="23"/>
  <c r="AN62" i="23" s="1"/>
  <c r="AT29" i="23"/>
  <c r="BE52" i="23"/>
  <c r="AP49" i="23"/>
  <c r="AP62" i="23" s="1"/>
  <c r="AS29" i="23"/>
  <c r="AE49" i="23"/>
  <c r="AE62" i="23" s="1"/>
  <c r="F91" i="27" a="1"/>
  <c r="F91" i="27" s="1"/>
  <c r="T90" i="27"/>
  <c r="M36" i="28" a="1"/>
  <c r="M36" i="28" s="1"/>
  <c r="AS35" i="28" a="1"/>
  <c r="AS35" i="28" s="1"/>
  <c r="AK41" i="28"/>
  <c r="AI41" i="28"/>
  <c r="AL41" i="28" s="1"/>
  <c r="AG41" i="28"/>
  <c r="AE41" i="28"/>
  <c r="F42" i="28" a="1"/>
  <c r="F42" i="28" s="1"/>
  <c r="F43" i="28" s="1" a="1"/>
  <c r="F43" i="28" s="1"/>
  <c r="F44" i="28" s="1" a="1"/>
  <c r="F44" i="28" s="1"/>
  <c r="AJ41" i="28"/>
  <c r="AF41" i="28"/>
  <c r="AG54" i="25"/>
  <c r="AL29" i="23"/>
  <c r="A66" i="17"/>
  <c r="BC29" i="23"/>
  <c r="AO49" i="23"/>
  <c r="BB29" i="23"/>
  <c r="AV49" i="23"/>
  <c r="AW49" i="23"/>
  <c r="AE29" i="23"/>
  <c r="AP29" i="23"/>
  <c r="AS49" i="23"/>
  <c r="AD36" i="34"/>
  <c r="F63" i="31" a="1"/>
  <c r="F63" i="31" s="1"/>
  <c r="T62" i="31"/>
  <c r="M36" i="31" a="1"/>
  <c r="M36" i="31" s="1"/>
  <c r="BI35" i="31" a="1"/>
  <c r="BI35" i="31" s="1"/>
  <c r="T147" i="12" a="1"/>
  <c r="T147" i="12" s="1"/>
  <c r="U146" i="12"/>
  <c r="S53" i="12" a="1"/>
  <c r="S53" i="12" s="1"/>
  <c r="U52" i="12"/>
  <c r="AB68" i="13" a="1"/>
  <c r="AB68" i="13" s="1"/>
  <c r="V68" i="13" a="1"/>
  <c r="V68" i="13" s="1"/>
  <c r="CJ48" i="12" a="1"/>
  <c r="CJ48" i="12" s="1"/>
  <c r="CJ50" i="12" s="1"/>
  <c r="CJ44" i="12"/>
  <c r="BL48" i="12" a="1"/>
  <c r="BL48" i="12" s="1"/>
  <c r="BL50" i="12" s="1"/>
  <c r="BL44" i="12"/>
  <c r="AN48" i="12" a="1"/>
  <c r="AN48" i="12" s="1"/>
  <c r="AN50" i="12" s="1"/>
  <c r="AN44" i="12"/>
  <c r="CJ159" i="12" a="1"/>
  <c r="CJ159" i="12" s="1"/>
  <c r="CJ161" i="12" s="1"/>
  <c r="CJ155" i="12"/>
  <c r="BL159" i="12" a="1"/>
  <c r="BL159" i="12" s="1"/>
  <c r="BL161" i="12" s="1"/>
  <c r="BL155" i="12"/>
  <c r="AN159" i="12" a="1"/>
  <c r="AN159" i="12" s="1"/>
  <c r="AN161" i="12" s="1"/>
  <c r="AN155" i="12"/>
  <c r="CG48" i="12" a="1"/>
  <c r="CG48" i="12" s="1"/>
  <c r="CG50" i="12" s="1"/>
  <c r="CG44" i="12"/>
  <c r="BI48" i="12" a="1"/>
  <c r="BI48" i="12" s="1"/>
  <c r="BI50" i="12" s="1"/>
  <c r="BI44" i="12"/>
  <c r="CS159" i="12" a="1"/>
  <c r="CS159" i="12" s="1"/>
  <c r="CS161" i="12" s="1"/>
  <c r="CS155" i="12"/>
  <c r="BU159" i="12" a="1"/>
  <c r="BU159" i="12" s="1"/>
  <c r="BU161" i="12" s="1"/>
  <c r="BU155" i="12"/>
  <c r="AW159" i="12" a="1"/>
  <c r="AW159" i="12" s="1"/>
  <c r="AW161" i="12" s="1"/>
  <c r="AW155" i="12"/>
  <c r="CM154" i="12"/>
  <c r="CA154" i="12"/>
  <c r="BO154" i="12"/>
  <c r="BC154" i="12"/>
  <c r="AQ154" i="12"/>
  <c r="N90" i="27" a="1"/>
  <c r="N90" i="27" s="1"/>
  <c r="BX89" i="27" a="1"/>
  <c r="BX89" i="27" s="1"/>
  <c r="F44" i="13" a="1"/>
  <c r="F44" i="13" s="1"/>
  <c r="A43" i="13"/>
  <c r="BE55" i="23"/>
  <c r="T58" i="14"/>
  <c r="AZ33" i="24"/>
  <c r="BK33" i="24" s="1"/>
  <c r="AV33" i="24"/>
  <c r="BG33" i="24" s="1"/>
  <c r="AR33" i="24"/>
  <c r="AN33" i="24"/>
  <c r="AJ33" i="24"/>
  <c r="BA33" i="24"/>
  <c r="BL33" i="24" s="1"/>
  <c r="AW33" i="24"/>
  <c r="BH33" i="24" s="1"/>
  <c r="AS33" i="24"/>
  <c r="AO33" i="24"/>
  <c r="AK33" i="24"/>
  <c r="AG33" i="24"/>
  <c r="AK101" i="28"/>
  <c r="AI34" i="28"/>
  <c r="AL34" i="28" s="1"/>
  <c r="AJ34" i="28"/>
  <c r="AG101" i="28"/>
  <c r="AK34" i="28"/>
  <c r="AF34" i="28"/>
  <c r="AG102" i="28"/>
  <c r="AE35" i="28"/>
  <c r="AL43" i="24"/>
  <c r="AT43" i="24"/>
  <c r="BE43" i="24" s="1"/>
  <c r="BB43" i="24"/>
  <c r="BM43" i="24" s="1"/>
  <c r="AK43" i="24"/>
  <c r="AS43" i="24"/>
  <c r="BA43" i="24"/>
  <c r="BL43" i="24" s="1"/>
  <c r="AZ44" i="24"/>
  <c r="BK44" i="24" s="1"/>
  <c r="AV44" i="24"/>
  <c r="BG44" i="24" s="1"/>
  <c r="AR44" i="24"/>
  <c r="AN44" i="24"/>
  <c r="AJ44" i="24"/>
  <c r="BA44" i="24"/>
  <c r="BL44" i="24" s="1"/>
  <c r="AW44" i="24"/>
  <c r="BH44" i="24" s="1"/>
  <c r="AS44" i="24"/>
  <c r="AO44" i="24"/>
  <c r="AK44" i="24"/>
  <c r="AG44" i="24"/>
  <c r="AE102" i="28"/>
  <c r="AF102" i="28"/>
  <c r="AJ35" i="28"/>
  <c r="AI35" i="28"/>
  <c r="AL35" i="28" s="1"/>
  <c r="AF43" i="24"/>
  <c r="AP43" i="24"/>
  <c r="AX43" i="24"/>
  <c r="BI43" i="24" s="1"/>
  <c r="AG43" i="24"/>
  <c r="AO43" i="24"/>
  <c r="AW43" i="24"/>
  <c r="BH43" i="24" s="1"/>
  <c r="BB44" i="24"/>
  <c r="BM44" i="24" s="1"/>
  <c r="AX44" i="24"/>
  <c r="BI44" i="24" s="1"/>
  <c r="AT44" i="24"/>
  <c r="AP44" i="24"/>
  <c r="AL44" i="24"/>
  <c r="AF44" i="24"/>
  <c r="BC44" i="24"/>
  <c r="AY44" i="24"/>
  <c r="BJ44" i="24" s="1"/>
  <c r="AU44" i="24"/>
  <c r="BF44" i="24" s="1"/>
  <c r="AQ44" i="24"/>
  <c r="AM44" i="24"/>
  <c r="AI44" i="24"/>
  <c r="AE44" i="24"/>
  <c r="BB33" i="24"/>
  <c r="BM33" i="24" s="1"/>
  <c r="AX33" i="24"/>
  <c r="BI33" i="24" s="1"/>
  <c r="AT33" i="24"/>
  <c r="BE33" i="24" s="1"/>
  <c r="AP33" i="24"/>
  <c r="AL33" i="24"/>
  <c r="AF33" i="24"/>
  <c r="AF44" i="25" s="1"/>
  <c r="BC33" i="24"/>
  <c r="AY33" i="24"/>
  <c r="BJ33" i="24" s="1"/>
  <c r="AU33" i="24"/>
  <c r="BF33" i="24" s="1"/>
  <c r="AQ33" i="24"/>
  <c r="AM33" i="24"/>
  <c r="AI33" i="24"/>
  <c r="BD33" i="24" s="1"/>
  <c r="AE33" i="24"/>
  <c r="AJ101" i="28"/>
  <c r="AI101" i="28"/>
  <c r="AL101" i="28" s="1"/>
  <c r="AE34" i="28"/>
  <c r="AF101" i="28"/>
  <c r="AE101" i="28"/>
  <c r="AG34" i="28"/>
  <c r="T85" i="13" a="1"/>
  <c r="T85" i="13" s="1"/>
  <c r="T86" i="13" s="1" a="1"/>
  <c r="T86" i="13" s="1"/>
  <c r="T87" i="13" s="1" a="1"/>
  <c r="T87" i="13" s="1"/>
  <c r="T88" i="13" s="1" a="1"/>
  <c r="T88" i="13" s="1"/>
  <c r="T84" i="13" a="1"/>
  <c r="T84" i="13" s="1"/>
  <c r="T50" i="21"/>
  <c r="AE83" i="27"/>
  <c r="CZ204" i="12" a="1"/>
  <c r="CZ204" i="12" s="1"/>
  <c r="AF209" i="12" a="1"/>
  <c r="AF209" i="12" s="1"/>
  <c r="AW29" i="23"/>
  <c r="AD37" i="34"/>
  <c r="AG79" i="25" l="1"/>
  <c r="BD49" i="23"/>
  <c r="AF79" i="25"/>
  <c r="AI43" i="22"/>
  <c r="AH34" i="28"/>
  <c r="AS62" i="23"/>
  <c r="AO62" i="23"/>
  <c r="AL62" i="23"/>
  <c r="BE44" i="24"/>
  <c r="AH101" i="28"/>
  <c r="AH33" i="24"/>
  <c r="AG44" i="25"/>
  <c r="A44" i="13"/>
  <c r="F45" i="13" a="1"/>
  <c r="F45" i="13" s="1"/>
  <c r="N91" i="27" a="1"/>
  <c r="N91" i="27" s="1"/>
  <c r="BX90" i="27" a="1"/>
  <c r="BX90" i="27" s="1"/>
  <c r="AV62" i="23"/>
  <c r="BG49" i="23"/>
  <c r="M37" i="28" a="1"/>
  <c r="M37" i="28" s="1"/>
  <c r="AS36" i="28" a="1"/>
  <c r="AS36" i="28" s="1"/>
  <c r="F92" i="27" a="1"/>
  <c r="F92" i="27" s="1"/>
  <c r="T91" i="27"/>
  <c r="BE29" i="23"/>
  <c r="L197" i="12" a="1"/>
  <c r="L197" i="12" s="1"/>
  <c r="L198" i="12" s="1" a="1"/>
  <c r="L198" i="12" s="1"/>
  <c r="L199" i="12" s="1" a="1"/>
  <c r="L199" i="12" s="1"/>
  <c r="L200" i="12" s="1" a="1"/>
  <c r="L200" i="12" s="1"/>
  <c r="L201" i="12" s="1" a="1"/>
  <c r="L201" i="12" s="1"/>
  <c r="L202" i="12" s="1" a="1"/>
  <c r="L202" i="12" s="1"/>
  <c r="L203" i="12" s="1" a="1"/>
  <c r="L203" i="12" s="1"/>
  <c r="L204" i="12" s="1" a="1"/>
  <c r="L204" i="12" s="1"/>
  <c r="L205" i="12" s="1" a="1"/>
  <c r="L205" i="12" s="1"/>
  <c r="L206" i="12" s="1" a="1"/>
  <c r="L206" i="12" s="1"/>
  <c r="L207" i="12" s="1" a="1"/>
  <c r="L207" i="12" s="1"/>
  <c r="L208" i="12" s="1" a="1"/>
  <c r="L208" i="12" s="1"/>
  <c r="L209" i="12" s="1" a="1"/>
  <c r="L209" i="12" s="1"/>
  <c r="L210" i="12" s="1" a="1"/>
  <c r="L210" i="12" s="1"/>
  <c r="L211" i="12" s="1" a="1"/>
  <c r="L211" i="12" s="1"/>
  <c r="T196" i="12"/>
  <c r="F94" i="33" a="1"/>
  <c r="F94" i="33" s="1"/>
  <c r="H93" i="33"/>
  <c r="U65" i="8"/>
  <c r="F66" i="8" a="1"/>
  <c r="F66" i="8" s="1"/>
  <c r="F37" i="31" a="1"/>
  <c r="F37" i="31" s="1"/>
  <c r="T36" i="31"/>
  <c r="M64" i="31" a="1"/>
  <c r="M64" i="31" s="1"/>
  <c r="BI63" i="31" a="1"/>
  <c r="BI63" i="31" s="1"/>
  <c r="F61" i="30" a="1"/>
  <c r="F61" i="30" s="1"/>
  <c r="T60" i="30"/>
  <c r="F37" i="30" a="1"/>
  <c r="F37" i="30" s="1"/>
  <c r="T36" i="30"/>
  <c r="M104" i="28" a="1"/>
  <c r="M104" i="28" s="1"/>
  <c r="AS103" i="28" a="1"/>
  <c r="AS103" i="28" s="1"/>
  <c r="AQ162" i="12"/>
  <c r="AO161" i="12"/>
  <c r="BO163" i="12"/>
  <c r="BO162" i="12"/>
  <c r="BM161" i="12"/>
  <c r="CM162" i="12"/>
  <c r="CK161" i="12"/>
  <c r="BC51" i="12"/>
  <c r="BC52" i="12" s="1"/>
  <c r="BA50" i="12"/>
  <c r="CA51" i="12"/>
  <c r="BY50" i="12"/>
  <c r="AT162" i="12"/>
  <c r="AR161" i="12"/>
  <c r="BR162" i="12"/>
  <c r="BR163" i="12" s="1"/>
  <c r="BP161" i="12"/>
  <c r="CP162" i="12"/>
  <c r="CN161" i="12"/>
  <c r="BF51" i="12"/>
  <c r="BF52" i="12"/>
  <c r="BD50" i="12"/>
  <c r="CD51" i="12"/>
  <c r="CB50" i="12"/>
  <c r="BK29" i="23"/>
  <c r="BL29" i="23"/>
  <c r="AX62" i="23"/>
  <c r="BI49" i="23"/>
  <c r="BA62" i="23"/>
  <c r="BL49" i="23"/>
  <c r="T89" i="12" a="1"/>
  <c r="T89" i="12" s="1"/>
  <c r="L90" i="12" a="1"/>
  <c r="L90" i="12" s="1"/>
  <c r="AY62" i="23"/>
  <c r="BJ49" i="23"/>
  <c r="BB39" i="23"/>
  <c r="BM39" i="23" s="1"/>
  <c r="AZ39" i="23"/>
  <c r="BK39" i="23" s="1"/>
  <c r="AX39" i="23"/>
  <c r="BI39" i="23" s="1"/>
  <c r="AV39" i="23"/>
  <c r="BG39" i="23" s="1"/>
  <c r="AT39" i="23"/>
  <c r="BE39" i="23" s="1"/>
  <c r="AR39" i="23"/>
  <c r="AP39" i="23"/>
  <c r="AN39" i="23"/>
  <c r="AL39" i="23"/>
  <c r="AJ39" i="23"/>
  <c r="AJ42" i="23" s="1"/>
  <c r="AF39" i="23"/>
  <c r="F40" i="23" a="1"/>
  <c r="F40" i="23" s="1"/>
  <c r="BC39" i="23"/>
  <c r="BA39" i="23"/>
  <c r="BL39" i="23" s="1"/>
  <c r="AY39" i="23"/>
  <c r="BJ39" i="23" s="1"/>
  <c r="AW39" i="23"/>
  <c r="BH39" i="23" s="1"/>
  <c r="AU39" i="23"/>
  <c r="BF39" i="23" s="1"/>
  <c r="AS39" i="23"/>
  <c r="AQ39" i="23"/>
  <c r="AO39" i="23"/>
  <c r="AO42" i="23" s="1"/>
  <c r="AM39" i="23"/>
  <c r="AM42" i="23" s="1"/>
  <c r="AK39" i="23"/>
  <c r="AK42" i="23" s="1"/>
  <c r="AI39" i="23"/>
  <c r="BD39" i="23" s="1"/>
  <c r="AG39" i="23"/>
  <c r="AH39" i="23" s="1"/>
  <c r="AE39" i="23"/>
  <c r="AE42" i="23" s="1"/>
  <c r="BE59" i="23"/>
  <c r="F38" i="8" a="1"/>
  <c r="F38" i="8" s="1"/>
  <c r="U37" i="8"/>
  <c r="BI162" i="12"/>
  <c r="BI163" i="12" s="1"/>
  <c r="BG161" i="12"/>
  <c r="CG162" i="12"/>
  <c r="CG163" i="12" s="1"/>
  <c r="CE161" i="12"/>
  <c r="AZ51" i="12"/>
  <c r="AZ52" i="12" s="1"/>
  <c r="AX50" i="12"/>
  <c r="BX51" i="12"/>
  <c r="BX52" i="12" s="1"/>
  <c r="BV50" i="12"/>
  <c r="AI42" i="23"/>
  <c r="BD29" i="23"/>
  <c r="AG62" i="23"/>
  <c r="N36" i="27" a="1"/>
  <c r="N36" i="27" s="1"/>
  <c r="BX35" i="27" a="1"/>
  <c r="BX35" i="27" s="1"/>
  <c r="F37" i="18" a="1"/>
  <c r="F37" i="18" s="1"/>
  <c r="T36" i="18"/>
  <c r="T37" i="18" s="1" a="1"/>
  <c r="T37" i="18" s="1"/>
  <c r="T38" i="18" s="1" a="1"/>
  <c r="T38" i="18" s="1"/>
  <c r="BC162" i="12"/>
  <c r="BC163" i="12" s="1"/>
  <c r="BA161" i="12"/>
  <c r="CA162" i="12"/>
  <c r="CA163" i="12" s="1"/>
  <c r="BY161" i="12"/>
  <c r="AQ51" i="12"/>
  <c r="AQ52" i="12" s="1"/>
  <c r="AO50" i="12"/>
  <c r="BO51" i="12"/>
  <c r="BO52" i="12" s="1"/>
  <c r="BM50" i="12"/>
  <c r="CM51" i="12"/>
  <c r="CM52" i="12" s="1"/>
  <c r="CK50" i="12"/>
  <c r="BF162" i="12"/>
  <c r="BF163" i="12" s="1"/>
  <c r="BD161" i="12"/>
  <c r="CD162" i="12"/>
  <c r="CD163" i="12" s="1"/>
  <c r="CB161" i="12"/>
  <c r="AT51" i="12"/>
  <c r="AT52" i="12" s="1"/>
  <c r="AR50" i="12"/>
  <c r="BR51" i="12"/>
  <c r="BR52" i="12" s="1"/>
  <c r="BP50" i="12"/>
  <c r="CP51" i="12"/>
  <c r="CP52" i="12" s="1"/>
  <c r="CN50" i="12"/>
  <c r="F63" i="25" a="1"/>
  <c r="F63" i="25" s="1"/>
  <c r="AW42" i="23"/>
  <c r="BH29" i="23"/>
  <c r="AF213" i="12" a="1"/>
  <c r="AF213" i="12" s="1"/>
  <c r="CZ209" i="12" a="1"/>
  <c r="CZ209" i="12" s="1"/>
  <c r="AJ43" i="22"/>
  <c r="BD44" i="24"/>
  <c r="AH43" i="24"/>
  <c r="AH44" i="24"/>
  <c r="AH102" i="28"/>
  <c r="AW162" i="12"/>
  <c r="AW163" i="12" s="1"/>
  <c r="AU161" i="12"/>
  <c r="BU162" i="12"/>
  <c r="BU163" i="12" s="1"/>
  <c r="BS161" i="12"/>
  <c r="CS162" i="12"/>
  <c r="CS163" i="12" s="1"/>
  <c r="CQ161" i="12"/>
  <c r="BI51" i="12"/>
  <c r="BI52" i="12" s="1"/>
  <c r="BG50" i="12"/>
  <c r="CG51" i="12"/>
  <c r="CG52" i="12" s="1"/>
  <c r="CE50" i="12"/>
  <c r="AN162" i="12"/>
  <c r="AN163" i="12" s="1"/>
  <c r="AL161" i="12"/>
  <c r="BL162" i="12"/>
  <c r="BL163" i="12" s="1"/>
  <c r="BJ161" i="12"/>
  <c r="CJ162" i="12"/>
  <c r="CJ163" i="12" s="1"/>
  <c r="CH161" i="12"/>
  <c r="AN51" i="12"/>
  <c r="AN52" i="12" s="1"/>
  <c r="AL50" i="12"/>
  <c r="BL51" i="12"/>
  <c r="BL52" i="12" s="1"/>
  <c r="BJ50" i="12"/>
  <c r="CJ51" i="12"/>
  <c r="CJ52" i="12" s="1"/>
  <c r="CH50" i="12"/>
  <c r="AB40" i="14" a="1"/>
  <c r="AB40" i="14" s="1"/>
  <c r="V40" i="14" a="1"/>
  <c r="V40" i="14" s="1"/>
  <c r="S54" i="12" a="1"/>
  <c r="S54" i="12" s="1"/>
  <c r="U53" i="12"/>
  <c r="T148" i="12" a="1"/>
  <c r="T148" i="12" s="1"/>
  <c r="U147" i="12"/>
  <c r="M37" i="31" a="1"/>
  <c r="M37" i="31" s="1"/>
  <c r="BI36" i="31" a="1"/>
  <c r="BI36" i="31" s="1"/>
  <c r="F64" i="31" a="1"/>
  <c r="F64" i="31" s="1"/>
  <c r="T63" i="31"/>
  <c r="AP42" i="23"/>
  <c r="AW62" i="23"/>
  <c r="BH49" i="23"/>
  <c r="BB42" i="23"/>
  <c r="BM29" i="23"/>
  <c r="BC42" i="23"/>
  <c r="AL42" i="23"/>
  <c r="AK44" i="28"/>
  <c r="AI44" i="28"/>
  <c r="AL44" i="28" s="1"/>
  <c r="AG44" i="28"/>
  <c r="AE44" i="28"/>
  <c r="F45" i="28" a="1"/>
  <c r="F45" i="28" s="1"/>
  <c r="AJ44" i="28"/>
  <c r="AF44" i="28"/>
  <c r="AH41" i="28"/>
  <c r="AS42" i="23"/>
  <c r="F67" i="18" a="1"/>
  <c r="F67" i="18" s="1"/>
  <c r="T66" i="18"/>
  <c r="F112" i="28" a="1"/>
  <c r="F112" i="28" s="1"/>
  <c r="AJ111" i="28"/>
  <c r="AF111" i="28"/>
  <c r="AK111" i="28"/>
  <c r="AG111" i="28"/>
  <c r="AH111" i="28" s="1"/>
  <c r="AI111" i="28"/>
  <c r="AL111" i="28" s="1"/>
  <c r="AE111" i="28"/>
  <c r="AG81" i="25"/>
  <c r="AF91" i="25"/>
  <c r="AF54" i="25"/>
  <c r="AG101" i="25"/>
  <c r="AF101" i="25"/>
  <c r="AF34" i="25"/>
  <c r="AF81" i="25"/>
  <c r="AG91" i="25"/>
  <c r="AR42" i="23"/>
  <c r="AZ62" i="23"/>
  <c r="BK49" i="23"/>
  <c r="AT62" i="23"/>
  <c r="BE49" i="23"/>
  <c r="AN42" i="23"/>
  <c r="AF42" i="23"/>
  <c r="AX42" i="23"/>
  <c r="BI29" i="23"/>
  <c r="AY42" i="23"/>
  <c r="BJ29" i="23"/>
  <c r="BD43" i="24"/>
  <c r="T37" i="12" a="1"/>
  <c r="T37" i="12" s="1"/>
  <c r="U36" i="12"/>
  <c r="AV42" i="23"/>
  <c r="BG29" i="23"/>
  <c r="F87" i="13" a="1"/>
  <c r="F87" i="13" s="1"/>
  <c r="A86" i="13"/>
  <c r="AE213" i="12" a="1"/>
  <c r="AE213" i="12" s="1"/>
  <c r="X213" i="12"/>
  <c r="CY209" i="12" a="1"/>
  <c r="CY209" i="12" s="1"/>
  <c r="BB63" i="23"/>
  <c r="BM63" i="23" s="1"/>
  <c r="AZ63" i="23"/>
  <c r="BK63" i="23" s="1"/>
  <c r="AX63" i="23"/>
  <c r="BI63" i="23" s="1"/>
  <c r="AV63" i="23"/>
  <c r="BG63" i="23" s="1"/>
  <c r="AT63" i="23"/>
  <c r="BE63" i="23" s="1"/>
  <c r="AR63" i="23"/>
  <c r="AP63" i="23"/>
  <c r="AN63" i="23"/>
  <c r="AL63" i="23"/>
  <c r="AJ63" i="23"/>
  <c r="AF63" i="23"/>
  <c r="AF66" i="23" s="1"/>
  <c r="AF48" i="23" s="1" a="1"/>
  <c r="AF48" i="23" s="1"/>
  <c r="F64" i="23" a="1"/>
  <c r="F64" i="23" s="1"/>
  <c r="BC63" i="23"/>
  <c r="BA63" i="23"/>
  <c r="BL63" i="23" s="1"/>
  <c r="AY63" i="23"/>
  <c r="BJ63" i="23" s="1"/>
  <c r="AW63" i="23"/>
  <c r="BH63" i="23" s="1"/>
  <c r="AU63" i="23"/>
  <c r="BF63" i="23" s="1"/>
  <c r="AS63" i="23"/>
  <c r="AQ63" i="23"/>
  <c r="AO63" i="23"/>
  <c r="AM63" i="23"/>
  <c r="AK63" i="23"/>
  <c r="AI63" i="23"/>
  <c r="BD63" i="23" s="1"/>
  <c r="AG63" i="23"/>
  <c r="AE63" i="23"/>
  <c r="AE66" i="23" s="1"/>
  <c r="AE48" i="23" s="1" a="1"/>
  <c r="AE48" i="23" s="1"/>
  <c r="AW51" i="12"/>
  <c r="AW52" i="12" s="1"/>
  <c r="AU50" i="12"/>
  <c r="BU51" i="12"/>
  <c r="BU52" i="12" s="1"/>
  <c r="BS50" i="12"/>
  <c r="CS51" i="12"/>
  <c r="CS52" i="12" s="1"/>
  <c r="CQ50" i="12"/>
  <c r="AZ162" i="12"/>
  <c r="AZ163" i="12" s="1"/>
  <c r="AX161" i="12"/>
  <c r="BX162" i="12"/>
  <c r="BX163" i="12" s="1"/>
  <c r="BV161" i="12"/>
  <c r="AQ42" i="23"/>
  <c r="AH49" i="23"/>
  <c r="S165" i="12" a="1"/>
  <c r="S165" i="12" s="1"/>
  <c r="U164" i="12"/>
  <c r="AI62" i="23"/>
  <c r="T75" i="21"/>
  <c r="AG83" i="27"/>
  <c r="AF83" i="27"/>
  <c r="T36" i="27"/>
  <c r="F37" i="27" a="1"/>
  <c r="F37" i="27" s="1"/>
  <c r="F48" i="33" a="1"/>
  <c r="F48" i="33" s="1"/>
  <c r="H47" i="33"/>
  <c r="AU62" i="23"/>
  <c r="AH29" i="23"/>
  <c r="BB62" i="23"/>
  <c r="AU42" i="23"/>
  <c r="AH63" i="23" l="1"/>
  <c r="AG42" i="23"/>
  <c r="CJ123" i="12"/>
  <c r="CJ119" i="12"/>
  <c r="CH119" i="12" s="1"/>
  <c r="BL256" i="12"/>
  <c r="BJ256" i="12" s="1"/>
  <c r="BL250" i="12"/>
  <c r="BJ250" i="12" s="1"/>
  <c r="BL255" i="12"/>
  <c r="BI123" i="12"/>
  <c r="BI119" i="12"/>
  <c r="BG119" i="12" s="1"/>
  <c r="AT123" i="12"/>
  <c r="AT119" i="12"/>
  <c r="AR119" i="12" s="1"/>
  <c r="AQ123" i="12"/>
  <c r="AQ119" i="12"/>
  <c r="AO119" i="12" s="1"/>
  <c r="BX256" i="12"/>
  <c r="BV256" i="12" s="1"/>
  <c r="BX250" i="12"/>
  <c r="BV250" i="12" s="1"/>
  <c r="BX255" i="12"/>
  <c r="BU123" i="12"/>
  <c r="BU119" i="12"/>
  <c r="BS119" i="12" s="1"/>
  <c r="AN123" i="12"/>
  <c r="AN119" i="12"/>
  <c r="AL119" i="12" s="1"/>
  <c r="BU255" i="12"/>
  <c r="BU256" i="12"/>
  <c r="BS256" i="12" s="1"/>
  <c r="BU250" i="12"/>
  <c r="BS250" i="12" s="1"/>
  <c r="CP123" i="12"/>
  <c r="CP119" i="12"/>
  <c r="CN119" i="12" s="1"/>
  <c r="BF256" i="12"/>
  <c r="BD256" i="12" s="1"/>
  <c r="BF250" i="12"/>
  <c r="BD250" i="12" s="1"/>
  <c r="BF255" i="12"/>
  <c r="CM123" i="12"/>
  <c r="CM119" i="12"/>
  <c r="CK119" i="12" s="1"/>
  <c r="BC255" i="12"/>
  <c r="BC256" i="12"/>
  <c r="BA256" i="12" s="1"/>
  <c r="BC250" i="12"/>
  <c r="BA250" i="12" s="1"/>
  <c r="AZ123" i="12"/>
  <c r="AZ119" i="12"/>
  <c r="AX119" i="12" s="1"/>
  <c r="CG255" i="12"/>
  <c r="CG256" i="12"/>
  <c r="CE256" i="12" s="1"/>
  <c r="CG250" i="12"/>
  <c r="CE250" i="12" s="1"/>
  <c r="BF42" i="23"/>
  <c r="AH83" i="27"/>
  <c r="AI66" i="23"/>
  <c r="BD62" i="23"/>
  <c r="S166" i="12" a="1"/>
  <c r="S166" i="12" s="1"/>
  <c r="U165" i="12"/>
  <c r="AZ167" i="12"/>
  <c r="AZ166" i="12"/>
  <c r="AX162" i="12"/>
  <c r="AX163" i="12" s="1"/>
  <c r="CS55" i="12"/>
  <c r="CQ51" i="12"/>
  <c r="AW55" i="12"/>
  <c r="AU51" i="12"/>
  <c r="BE62" i="23"/>
  <c r="BK62" i="23"/>
  <c r="F113" i="28" a="1"/>
  <c r="F113" i="28" s="1"/>
  <c r="F114" i="28" s="1" a="1"/>
  <c r="F114" i="28" s="1"/>
  <c r="F115" i="28" s="1" a="1"/>
  <c r="F115" i="28" s="1"/>
  <c r="AJ112" i="28"/>
  <c r="AF112" i="28"/>
  <c r="AK112" i="28"/>
  <c r="AG112" i="28"/>
  <c r="AH112" i="28" s="1"/>
  <c r="AI112" i="28"/>
  <c r="AL112" i="28" s="1"/>
  <c r="AE112" i="28"/>
  <c r="T67" i="18"/>
  <c r="T68" i="18" s="1" a="1"/>
  <c r="T68" i="18" s="1"/>
  <c r="T69" i="18" s="1" a="1"/>
  <c r="T69" i="18" s="1"/>
  <c r="F68" i="18" a="1"/>
  <c r="F68" i="18" s="1"/>
  <c r="F69" i="18" s="1" a="1"/>
  <c r="F69" i="18" s="1"/>
  <c r="F70" i="18" s="1" a="1"/>
  <c r="F70" i="18" s="1"/>
  <c r="T64" i="31"/>
  <c r="F65" i="31" a="1"/>
  <c r="F65" i="31" s="1"/>
  <c r="M38" i="31" a="1"/>
  <c r="M38" i="31" s="1"/>
  <c r="M39" i="31" s="1" a="1"/>
  <c r="M39" i="31" s="1"/>
  <c r="BI37" i="31" a="1"/>
  <c r="BI37" i="31" s="1"/>
  <c r="T149" i="12" a="1"/>
  <c r="T149" i="12" s="1"/>
  <c r="U148" i="12"/>
  <c r="S55" i="12" a="1"/>
  <c r="S55" i="12" s="1"/>
  <c r="U54" i="12"/>
  <c r="AB126" i="15" a="1"/>
  <c r="AB126" i="15" s="1"/>
  <c r="V126" i="15" a="1"/>
  <c r="V126" i="15" s="1"/>
  <c r="BL55" i="12"/>
  <c r="BJ51" i="12"/>
  <c r="BJ52" i="12" s="1"/>
  <c r="CJ167" i="12"/>
  <c r="CJ166" i="12"/>
  <c r="CH162" i="12"/>
  <c r="CH163" i="12" s="1"/>
  <c r="AN167" i="12"/>
  <c r="AN166" i="12"/>
  <c r="AL162" i="12"/>
  <c r="AL163" i="12" s="1"/>
  <c r="CG55" i="12"/>
  <c r="CE51" i="12"/>
  <c r="CE52" i="12" s="1"/>
  <c r="CS167" i="12"/>
  <c r="CS166" i="12"/>
  <c r="CQ162" i="12"/>
  <c r="AW167" i="12"/>
  <c r="AW166" i="12"/>
  <c r="AU162" i="12"/>
  <c r="AU163" i="12" s="1"/>
  <c r="BH42" i="23"/>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BR55" i="12"/>
  <c r="BP51" i="12"/>
  <c r="BP52" i="12" s="1"/>
  <c r="CD167" i="12"/>
  <c r="CD166" i="12"/>
  <c r="CB162" i="12"/>
  <c r="CB163" i="12" s="1"/>
  <c r="BO55" i="12"/>
  <c r="BM51" i="12"/>
  <c r="CA167" i="12"/>
  <c r="CA166" i="12"/>
  <c r="BY162" i="12"/>
  <c r="F38" i="18" a="1"/>
  <c r="F38" i="18" s="1"/>
  <c r="N37" i="27" a="1"/>
  <c r="N37" i="27" s="1"/>
  <c r="BX36" i="27" a="1"/>
  <c r="BX36" i="27" s="1"/>
  <c r="BX55" i="12"/>
  <c r="BV51" i="12"/>
  <c r="BV52" i="12" s="1"/>
  <c r="BI167" i="12"/>
  <c r="BI166" i="12"/>
  <c r="BG162" i="12"/>
  <c r="BG163" i="12" s="1"/>
  <c r="F41" i="23" a="1"/>
  <c r="F41" i="23" s="1"/>
  <c r="F42" i="23" s="1" a="1"/>
  <c r="F42" i="23" s="1"/>
  <c r="F43" i="23" s="1" a="1"/>
  <c r="F43" i="23" s="1"/>
  <c r="T90" i="12"/>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BL62" i="23"/>
  <c r="AZ42" i="23"/>
  <c r="CD55" i="12"/>
  <c r="CB51" i="12"/>
  <c r="CB52" i="12" s="1"/>
  <c r="BF123" i="12"/>
  <c r="BF119" i="12"/>
  <c r="BD119" i="12" s="1"/>
  <c r="CP167" i="12"/>
  <c r="CP166" i="12"/>
  <c r="CN162" i="12"/>
  <c r="CN163" i="12" s="1"/>
  <c r="BR256" i="12"/>
  <c r="BP256" i="12" s="1"/>
  <c r="BR250" i="12"/>
  <c r="BP250" i="12" s="1"/>
  <c r="BR255" i="12"/>
  <c r="AT167" i="12"/>
  <c r="AT166" i="12"/>
  <c r="AR162" i="12"/>
  <c r="AR163" i="12" s="1"/>
  <c r="CA55" i="12"/>
  <c r="BY51" i="12"/>
  <c r="BC123" i="12"/>
  <c r="BC119" i="12"/>
  <c r="BA119" i="12" s="1"/>
  <c r="CM167" i="12"/>
  <c r="CM166" i="12"/>
  <c r="CK162" i="12"/>
  <c r="BO255" i="12"/>
  <c r="BO256" i="12"/>
  <c r="BM256" i="12" s="1"/>
  <c r="BO250" i="12"/>
  <c r="BM250" i="12" s="1"/>
  <c r="AQ167" i="12"/>
  <c r="AQ166" i="12"/>
  <c r="AO162" i="12"/>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T211" i="12" a="1"/>
  <c r="T211" i="12" s="1"/>
  <c r="L212" i="12" a="1"/>
  <c r="L212" i="12" s="1"/>
  <c r="AT42" i="23"/>
  <c r="F93" i="27" a="1"/>
  <c r="F93" i="27" s="1"/>
  <c r="T92" i="27"/>
  <c r="M38" i="28" a="1"/>
  <c r="M38" i="28" s="1"/>
  <c r="AS37" i="28" a="1"/>
  <c r="AS37" i="28" s="1"/>
  <c r="F46" i="13" a="1"/>
  <c r="F46" i="13" s="1"/>
  <c r="T45" i="13"/>
  <c r="BM62" i="23"/>
  <c r="BF62" i="23"/>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37" i="27"/>
  <c r="F38" i="27" a="1"/>
  <c r="F38" i="27" s="1"/>
  <c r="BX167" i="12"/>
  <c r="BX166" i="12"/>
  <c r="BV162" i="12"/>
  <c r="BV163" i="12" s="1"/>
  <c r="AZ256" i="12"/>
  <c r="AX256" i="12" s="1"/>
  <c r="AZ250" i="12"/>
  <c r="AX250" i="12" s="1"/>
  <c r="AZ255" i="12"/>
  <c r="CQ52" i="12"/>
  <c r="CS123" i="12"/>
  <c r="CS119" i="12"/>
  <c r="CQ119" i="12" s="1"/>
  <c r="BU55" i="12"/>
  <c r="BS51" i="12"/>
  <c r="BS52" i="12" s="1"/>
  <c r="AU52" i="12"/>
  <c r="AW123" i="12"/>
  <c r="AW119" i="12"/>
  <c r="AU119" i="12" s="1"/>
  <c r="F65" i="23" a="1"/>
  <c r="F65" i="23" s="1"/>
  <c r="F66" i="23" s="1" a="1"/>
  <c r="F66" i="23" s="1"/>
  <c r="CY213" i="12" a="1"/>
  <c r="CY213" i="12" s="1"/>
  <c r="AE217" i="12" a="1"/>
  <c r="AE217" i="12" s="1"/>
  <c r="X217" i="12"/>
  <c r="F88" i="13" a="1"/>
  <c r="F88" i="13" s="1"/>
  <c r="A87" i="13"/>
  <c r="BG42" i="23"/>
  <c r="T38" i="12" a="1"/>
  <c r="T38" i="12" s="1"/>
  <c r="U37" i="12"/>
  <c r="BJ42" i="23"/>
  <c r="BI42" i="23"/>
  <c r="AK45" i="28"/>
  <c r="AI45" i="28"/>
  <c r="AL45" i="28" s="1"/>
  <c r="AG45" i="28"/>
  <c r="AE45" i="28"/>
  <c r="F46" i="28" a="1"/>
  <c r="F46" i="28" s="1"/>
  <c r="F47" i="28" s="1" a="1"/>
  <c r="F47" i="28" s="1"/>
  <c r="F48" i="28" s="1" a="1"/>
  <c r="F48" i="28" s="1"/>
  <c r="AJ45" i="28"/>
  <c r="AF45" i="28"/>
  <c r="AH44" i="28"/>
  <c r="BM42" i="23"/>
  <c r="BH62" i="23"/>
  <c r="CJ55" i="12"/>
  <c r="CH51" i="12"/>
  <c r="CH52" i="12" s="1"/>
  <c r="BL123" i="12"/>
  <c r="BL119" i="12"/>
  <c r="BJ119" i="12" s="1"/>
  <c r="AN55" i="12"/>
  <c r="AL51" i="12"/>
  <c r="AL52" i="12" s="1"/>
  <c r="CJ256" i="12"/>
  <c r="CH256" i="12" s="1"/>
  <c r="CJ250" i="12"/>
  <c r="CH250" i="12" s="1"/>
  <c r="CJ255" i="12"/>
  <c r="BL167" i="12"/>
  <c r="BL166" i="12"/>
  <c r="BJ162" i="12"/>
  <c r="BJ163" i="12" s="1"/>
  <c r="AN256" i="12"/>
  <c r="AL256" i="12" s="1"/>
  <c r="AN250" i="12"/>
  <c r="AL250" i="12" s="1"/>
  <c r="AN255" i="12"/>
  <c r="CG123" i="12"/>
  <c r="CG119" i="12"/>
  <c r="CE119" i="12" s="1"/>
  <c r="BI55" i="12"/>
  <c r="BG51" i="12"/>
  <c r="BG52" i="12" s="1"/>
  <c r="CQ163" i="12"/>
  <c r="CS255" i="12"/>
  <c r="CS256" i="12"/>
  <c r="CQ256" i="12" s="1"/>
  <c r="CS250" i="12"/>
  <c r="CQ250" i="12" s="1"/>
  <c r="BU167" i="12"/>
  <c r="BU166" i="12"/>
  <c r="BS162" i="12"/>
  <c r="BS163" i="12" s="1"/>
  <c r="AW255" i="12"/>
  <c r="AW256" i="12"/>
  <c r="AU256" i="12" s="1"/>
  <c r="AW250" i="12"/>
  <c r="AU250" i="12" s="1"/>
  <c r="AJ83" i="27"/>
  <c r="CZ213" i="12" a="1"/>
  <c r="CZ213" i="12" s="1"/>
  <c r="AF217" i="12" a="1"/>
  <c r="AF217" i="12" s="1"/>
  <c r="AH42" i="23"/>
  <c r="CP55" i="12"/>
  <c r="CN51" i="12"/>
  <c r="CN52" i="12" s="1"/>
  <c r="BR123" i="12"/>
  <c r="BR119" i="12"/>
  <c r="BP119" i="12" s="1"/>
  <c r="AT55" i="12"/>
  <c r="AR51" i="12"/>
  <c r="AR52" i="12" s="1"/>
  <c r="CD256" i="12"/>
  <c r="CB256" i="12" s="1"/>
  <c r="CD250" i="12"/>
  <c r="CB250" i="12" s="1"/>
  <c r="CD255" i="12"/>
  <c r="BF167" i="12"/>
  <c r="BF166" i="12"/>
  <c r="BD162" i="12"/>
  <c r="BD163" i="12" s="1"/>
  <c r="CM55" i="12"/>
  <c r="CK51" i="12"/>
  <c r="CK52" i="12" s="1"/>
  <c r="BM52" i="12"/>
  <c r="BO123" i="12"/>
  <c r="BO119" i="12"/>
  <c r="BM119" i="12" s="1"/>
  <c r="AQ55" i="12"/>
  <c r="AO51" i="12"/>
  <c r="AO52" i="12" s="1"/>
  <c r="BY163" i="12"/>
  <c r="CA255" i="12"/>
  <c r="CA256" i="12"/>
  <c r="BY256" i="12" s="1"/>
  <c r="CA250" i="12"/>
  <c r="BY250" i="12" s="1"/>
  <c r="BC167" i="12"/>
  <c r="BC166" i="12"/>
  <c r="BA162" i="12"/>
  <c r="BA163" i="12" s="1"/>
  <c r="AG66" i="23"/>
  <c r="AH62" i="23"/>
  <c r="BD42" i="23"/>
  <c r="BX123" i="12"/>
  <c r="BX119" i="12"/>
  <c r="BV119" i="12" s="1"/>
  <c r="AZ55" i="12"/>
  <c r="AX51" i="12"/>
  <c r="AX52" i="12" s="1"/>
  <c r="CG167" i="12"/>
  <c r="CG166" i="12"/>
  <c r="CE162" i="12"/>
  <c r="CE163" i="12" s="1"/>
  <c r="BI255" i="12"/>
  <c r="BI256" i="12"/>
  <c r="BG256" i="12" s="1"/>
  <c r="BI250" i="12"/>
  <c r="BG250" i="12" s="1"/>
  <c r="F39" i="8" a="1"/>
  <c r="F39" i="8" s="1"/>
  <c r="U38" i="8"/>
  <c r="BJ62" i="23"/>
  <c r="BI62" i="23"/>
  <c r="BA42" i="23"/>
  <c r="CD52" i="12"/>
  <c r="BF55" i="12"/>
  <c r="BD51" i="12"/>
  <c r="BD52" i="12" s="1"/>
  <c r="CP163" i="12"/>
  <c r="BR167" i="12"/>
  <c r="BR166" i="12"/>
  <c r="BP162" i="12"/>
  <c r="BP163" i="12" s="1"/>
  <c r="AT163" i="12"/>
  <c r="BY52" i="12"/>
  <c r="CA52" i="12"/>
  <c r="BC55" i="12"/>
  <c r="BA51" i="12"/>
  <c r="BA52" i="12" s="1"/>
  <c r="CK163" i="12"/>
  <c r="CM163" i="12"/>
  <c r="BO167" i="12"/>
  <c r="BO166" i="12"/>
  <c r="BM162" i="12"/>
  <c r="BM163" i="12" s="1"/>
  <c r="AO163" i="12"/>
  <c r="AQ163" i="12"/>
  <c r="M105" i="28" a="1"/>
  <c r="M105" i="28" s="1"/>
  <c r="AS104" i="28" a="1"/>
  <c r="AS104" i="28" s="1"/>
  <c r="F38" i="30" a="1"/>
  <c r="F38" i="30" s="1"/>
  <c r="T37" i="30"/>
  <c r="F62" i="30" a="1"/>
  <c r="F62" i="30" s="1"/>
  <c r="T61" i="30"/>
  <c r="M65" i="31" a="1"/>
  <c r="M65" i="31" s="1"/>
  <c r="M66" i="31" s="1" a="1"/>
  <c r="M66" i="31" s="1"/>
  <c r="BI64" i="31" a="1"/>
  <c r="BI64" i="31" s="1"/>
  <c r="F38" i="31" a="1"/>
  <c r="F38" i="31" s="1"/>
  <c r="T37" i="31"/>
  <c r="F67" i="8" a="1"/>
  <c r="F67" i="8" s="1"/>
  <c r="U66" i="8"/>
  <c r="BG62" i="23"/>
  <c r="N92" i="27" a="1"/>
  <c r="N92" i="27" s="1"/>
  <c r="BX91" i="27" a="1"/>
  <c r="BX91" i="27" s="1"/>
  <c r="AQ255" i="12" l="1"/>
  <c r="AQ256" i="12"/>
  <c r="AO256" i="12" s="1"/>
  <c r="AQ250" i="12"/>
  <c r="AO250" i="12" s="1"/>
  <c r="BC64" i="12"/>
  <c r="BC53" i="12"/>
  <c r="BC54" i="12" s="1"/>
  <c r="BA54" i="12" s="1"/>
  <c r="BA55" i="12"/>
  <c r="CP256" i="12"/>
  <c r="CN256" i="12" s="1"/>
  <c r="CP250" i="12"/>
  <c r="CN250" i="12" s="1"/>
  <c r="CP255" i="12"/>
  <c r="CD123" i="12"/>
  <c r="CD119" i="12"/>
  <c r="CB119" i="12" s="1"/>
  <c r="CG179" i="12"/>
  <c r="CE167" i="12"/>
  <c r="AZ64" i="12"/>
  <c r="AZ53" i="12"/>
  <c r="AZ54" i="12" s="1"/>
  <c r="AX54" i="12" s="1"/>
  <c r="AX55" i="12"/>
  <c r="BC179" i="12"/>
  <c r="BA167" i="12"/>
  <c r="CA254" i="12"/>
  <c r="BY255" i="12"/>
  <c r="BY254" i="12" s="1"/>
  <c r="AQ64" i="12"/>
  <c r="AQ53" i="12"/>
  <c r="AQ54" i="12" s="1"/>
  <c r="AO54" i="12" s="1"/>
  <c r="AO55" i="12"/>
  <c r="BO122" i="12"/>
  <c r="BM123" i="12"/>
  <c r="BM122" i="12" s="1"/>
  <c r="BF179" i="12"/>
  <c r="BD167" i="12"/>
  <c r="AT64" i="12"/>
  <c r="AT53" i="12"/>
  <c r="AT54" i="12" s="1"/>
  <c r="AR54" i="12" s="1"/>
  <c r="AR55" i="12"/>
  <c r="AF221" i="12" a="1"/>
  <c r="AF221" i="12" s="1"/>
  <c r="CZ217" i="12" a="1"/>
  <c r="CZ217" i="12" s="1"/>
  <c r="BU179" i="12"/>
  <c r="BS167" i="12"/>
  <c r="CS254" i="12"/>
  <c r="CQ255" i="12"/>
  <c r="CQ254" i="12" s="1"/>
  <c r="BI64" i="12"/>
  <c r="BI53" i="12"/>
  <c r="BI54" i="12" s="1"/>
  <c r="BG54" i="12" s="1"/>
  <c r="BG55" i="12"/>
  <c r="CG122" i="12"/>
  <c r="CE123" i="12"/>
  <c r="CE122" i="12" s="1"/>
  <c r="BL164" i="12"/>
  <c r="BL165" i="12" s="1"/>
  <c r="BJ165" i="12" s="1"/>
  <c r="BL178" i="12"/>
  <c r="BJ166" i="12"/>
  <c r="CJ254" i="12"/>
  <c r="CH255" i="12"/>
  <c r="CH254" i="12" s="1"/>
  <c r="BL122" i="12"/>
  <c r="BJ123" i="12"/>
  <c r="BJ122" i="12" s="1"/>
  <c r="CJ64" i="12"/>
  <c r="CJ53" i="12"/>
  <c r="CJ54" i="12" s="1"/>
  <c r="CH54" i="12" s="1"/>
  <c r="CH55" i="12"/>
  <c r="AK48" i="28"/>
  <c r="AI48" i="28"/>
  <c r="AL48" i="28" s="1"/>
  <c r="AG48" i="28"/>
  <c r="AE48" i="28"/>
  <c r="F49" i="28" a="1"/>
  <c r="F49" i="28" s="1"/>
  <c r="F50" i="28" s="1" a="1"/>
  <c r="F50" i="28" s="1"/>
  <c r="AJ48" i="28"/>
  <c r="AF48" i="28"/>
  <c r="AH45" i="28"/>
  <c r="T39" i="12" a="1"/>
  <c r="T39" i="12" s="1"/>
  <c r="U38" i="12"/>
  <c r="F89" i="13" a="1"/>
  <c r="F89" i="13" s="1"/>
  <c r="A88" i="13"/>
  <c r="AE221" i="12" a="1"/>
  <c r="AE221" i="12" s="1"/>
  <c r="X221" i="12"/>
  <c r="CY217" i="12" a="1"/>
  <c r="CY217" i="12" s="1"/>
  <c r="AW122" i="12"/>
  <c r="AU123" i="12"/>
  <c r="AU122" i="12" s="1"/>
  <c r="AZ254" i="12"/>
  <c r="AX255" i="12"/>
  <c r="AX254" i="12" s="1"/>
  <c r="BX179" i="12"/>
  <c r="BV167" i="12"/>
  <c r="T38" i="27"/>
  <c r="F39" i="27" a="1"/>
  <c r="F39" i="27" s="1"/>
  <c r="F47" i="13" a="1"/>
  <c r="F47" i="13" s="1"/>
  <c r="T46" i="13"/>
  <c r="M39" i="28" a="1"/>
  <c r="M39" i="28" s="1"/>
  <c r="AS38" i="28" a="1"/>
  <c r="AS38" i="28" s="1"/>
  <c r="F94" i="27" a="1"/>
  <c r="F94" i="27" s="1"/>
  <c r="T93" i="27"/>
  <c r="L213" i="12" a="1"/>
  <c r="L213" i="12" s="1"/>
  <c r="T212" i="12"/>
  <c r="AQ179" i="12"/>
  <c r="AO167" i="12"/>
  <c r="BO254" i="12"/>
  <c r="BM255" i="12"/>
  <c r="BM254" i="12" s="1"/>
  <c r="CM178" i="12"/>
  <c r="CM164" i="12"/>
  <c r="CK166" i="12"/>
  <c r="CA64" i="12"/>
  <c r="CA53" i="12"/>
  <c r="BY55" i="12"/>
  <c r="AT164" i="12"/>
  <c r="AT178" i="12"/>
  <c r="AR166" i="12"/>
  <c r="BR254" i="12"/>
  <c r="BP255" i="12"/>
  <c r="BP254" i="12" s="1"/>
  <c r="CP179" i="12"/>
  <c r="CN167" i="12"/>
  <c r="L103" i="12" a="1"/>
  <c r="L103" i="12" s="1"/>
  <c r="T102" i="12" a="1"/>
  <c r="T102" i="12" s="1"/>
  <c r="BI178" i="12"/>
  <c r="BI164" i="12"/>
  <c r="BI165" i="12" s="1"/>
  <c r="BG165" i="12" s="1"/>
  <c r="BG166" i="12"/>
  <c r="BX64" i="12"/>
  <c r="BX53" i="12"/>
  <c r="BX54" i="12" s="1"/>
  <c r="BV54" i="12" s="1"/>
  <c r="BV55" i="12"/>
  <c r="F39" i="18" a="1"/>
  <c r="F39" i="18" s="1"/>
  <c r="CA179" i="12"/>
  <c r="BY167" i="12"/>
  <c r="CD164" i="12"/>
  <c r="CD165" i="12" s="1"/>
  <c r="CB165" i="12" s="1"/>
  <c r="CD178" i="12"/>
  <c r="CB166" i="12"/>
  <c r="BR64" i="12"/>
  <c r="BR53" i="12"/>
  <c r="BR54" i="12" s="1"/>
  <c r="BP54" i="12" s="1"/>
  <c r="BP55" i="12"/>
  <c r="AW178" i="12"/>
  <c r="AW164" i="12"/>
  <c r="AW165" i="12" s="1"/>
  <c r="AU165" i="12" s="1"/>
  <c r="AU166" i="12"/>
  <c r="CS178" i="12"/>
  <c r="CS164" i="12"/>
  <c r="CS165" i="12" s="1"/>
  <c r="CQ165" i="12" s="1"/>
  <c r="CQ166" i="12"/>
  <c r="CG64" i="12"/>
  <c r="CG53" i="12"/>
  <c r="CG54" i="12" s="1"/>
  <c r="CE54" i="12" s="1"/>
  <c r="CE55" i="12"/>
  <c r="AN164" i="12"/>
  <c r="AN165" i="12" s="1"/>
  <c r="AL165" i="12" s="1"/>
  <c r="AN178" i="12"/>
  <c r="AL166" i="12"/>
  <c r="CJ164" i="12"/>
  <c r="CJ165" i="12" s="1"/>
  <c r="CH165" i="12" s="1"/>
  <c r="CJ178" i="12"/>
  <c r="CH166" i="12"/>
  <c r="BL64" i="12"/>
  <c r="BL53" i="12"/>
  <c r="BL54" i="12" s="1"/>
  <c r="BJ54" i="12" s="1"/>
  <c r="BJ55" i="12"/>
  <c r="T65" i="31"/>
  <c r="F66" i="31" a="1"/>
  <c r="F66" i="31" s="1"/>
  <c r="H70" i="18"/>
  <c r="F71" i="18" a="1"/>
  <c r="F71" i="18" s="1"/>
  <c r="T70" i="18"/>
  <c r="F116" i="28" a="1"/>
  <c r="F116" i="28" s="1"/>
  <c r="F117" i="28" s="1" a="1"/>
  <c r="F117" i="28" s="1"/>
  <c r="AJ115" i="28"/>
  <c r="AF115" i="28"/>
  <c r="AK115" i="28"/>
  <c r="AG115" i="28"/>
  <c r="AH115" i="28" s="1"/>
  <c r="AI115" i="28"/>
  <c r="AL115" i="28" s="1"/>
  <c r="AE115" i="28"/>
  <c r="AW64" i="12"/>
  <c r="AW53" i="12"/>
  <c r="AW54" i="12" s="1"/>
  <c r="AU54" i="12" s="1"/>
  <c r="AU55" i="12"/>
  <c r="AZ179" i="12"/>
  <c r="AX167" i="12"/>
  <c r="S167" i="12" a="1"/>
  <c r="S167" i="12" s="1"/>
  <c r="U166" i="12"/>
  <c r="AI48" i="23" a="1"/>
  <c r="AI48" i="23" s="1"/>
  <c r="AZ122" i="12"/>
  <c r="AX123" i="12"/>
  <c r="AX122" i="12" s="1"/>
  <c r="BC254" i="12"/>
  <c r="BA255" i="12"/>
  <c r="BA254" i="12" s="1"/>
  <c r="CP122" i="12"/>
  <c r="CN123" i="12"/>
  <c r="CN122" i="12" s="1"/>
  <c r="BU254" i="12"/>
  <c r="BS255" i="12"/>
  <c r="BS254" i="12" s="1"/>
  <c r="BU122" i="12"/>
  <c r="BS123" i="12"/>
  <c r="BS122" i="12" s="1"/>
  <c r="BX254" i="12"/>
  <c r="BV255" i="12"/>
  <c r="BV254" i="12" s="1"/>
  <c r="AQ122" i="12"/>
  <c r="AO123" i="12"/>
  <c r="AO122" i="12" s="1"/>
  <c r="AT122" i="12"/>
  <c r="AR123" i="12"/>
  <c r="AR122" i="12" s="1"/>
  <c r="BI122" i="12"/>
  <c r="BG123" i="12"/>
  <c r="BG122" i="12" s="1"/>
  <c r="BL254" i="12"/>
  <c r="BJ255" i="12"/>
  <c r="BJ254" i="12" s="1"/>
  <c r="N93" i="27" a="1"/>
  <c r="N93" i="27" s="1"/>
  <c r="BX92" i="27" a="1"/>
  <c r="BX92" i="27" s="1"/>
  <c r="BO179" i="12"/>
  <c r="BM167" i="12"/>
  <c r="BR179" i="12"/>
  <c r="BP167" i="12"/>
  <c r="BF64" i="12"/>
  <c r="BF53" i="12"/>
  <c r="BF54" i="12" s="1"/>
  <c r="BD54" i="12" s="1"/>
  <c r="BD55" i="12"/>
  <c r="F68" i="8" a="1"/>
  <c r="F68" i="8" s="1"/>
  <c r="U67" i="8"/>
  <c r="F39" i="31" a="1"/>
  <c r="F39" i="31" s="1"/>
  <c r="T38" i="31"/>
  <c r="M67" i="31" a="1"/>
  <c r="M67" i="31" s="1"/>
  <c r="BI66" i="31" a="1"/>
  <c r="BI66" i="31" s="1"/>
  <c r="F63" i="30" a="1"/>
  <c r="F63" i="30" s="1"/>
  <c r="T62" i="30"/>
  <c r="F39" i="30" a="1"/>
  <c r="F39" i="30" s="1"/>
  <c r="T38" i="30"/>
  <c r="M106" i="28" a="1"/>
  <c r="M106" i="28" s="1"/>
  <c r="AS105" i="28" a="1"/>
  <c r="AS105" i="28" s="1"/>
  <c r="BO178" i="12"/>
  <c r="BO164" i="12"/>
  <c r="BO165" i="12" s="1"/>
  <c r="BM165" i="12" s="1"/>
  <c r="BM166" i="12"/>
  <c r="CM255" i="12"/>
  <c r="CM256" i="12"/>
  <c r="CK256" i="12" s="1"/>
  <c r="CM250" i="12"/>
  <c r="CK250" i="12" s="1"/>
  <c r="CM165" i="12"/>
  <c r="CK165" i="12" s="1"/>
  <c r="CA54" i="12"/>
  <c r="BY54" i="12" s="1"/>
  <c r="CA123" i="12"/>
  <c r="CA119" i="12"/>
  <c r="BY119" i="12" s="1"/>
  <c r="AT256" i="12"/>
  <c r="AR256" i="12" s="1"/>
  <c r="AT250" i="12"/>
  <c r="AR250" i="12" s="1"/>
  <c r="AT255" i="12"/>
  <c r="AT165" i="12"/>
  <c r="AR165" i="12" s="1"/>
  <c r="BR164" i="12"/>
  <c r="BR165" i="12" s="1"/>
  <c r="BP165" i="12" s="1"/>
  <c r="BR178" i="12"/>
  <c r="BP166" i="12"/>
  <c r="BL42" i="23"/>
  <c r="U39" i="8"/>
  <c r="F40" i="8" a="1"/>
  <c r="F40" i="8" s="1"/>
  <c r="BI254" i="12"/>
  <c r="BG255" i="12"/>
  <c r="BG254" i="12" s="1"/>
  <c r="CG178" i="12"/>
  <c r="CG164" i="12"/>
  <c r="CG165" i="12" s="1"/>
  <c r="CE165" i="12" s="1"/>
  <c r="CE166" i="12"/>
  <c r="BX122" i="12"/>
  <c r="BV123" i="12"/>
  <c r="BV122" i="12" s="1"/>
  <c r="AG48" i="23" a="1"/>
  <c r="AG48" i="23" s="1"/>
  <c r="AH66" i="23"/>
  <c r="AH48" i="23" s="1" a="1"/>
  <c r="AH48" i="23" s="1"/>
  <c r="BC178" i="12"/>
  <c r="BC164" i="12"/>
  <c r="BC165" i="12" s="1"/>
  <c r="BA165" i="12" s="1"/>
  <c r="BA166" i="12"/>
  <c r="CM64" i="12"/>
  <c r="CM53" i="12"/>
  <c r="CM54" i="12" s="1"/>
  <c r="CK54" i="12" s="1"/>
  <c r="CK55" i="12"/>
  <c r="BF164" i="12"/>
  <c r="BF165" i="12" s="1"/>
  <c r="BD165" i="12" s="1"/>
  <c r="BF178" i="12"/>
  <c r="BD166" i="12"/>
  <c r="CD254" i="12"/>
  <c r="CB255" i="12"/>
  <c r="CB254" i="12" s="1"/>
  <c r="BR122" i="12"/>
  <c r="BP123" i="12"/>
  <c r="BP122" i="12" s="1"/>
  <c r="CP64" i="12"/>
  <c r="CP53" i="12"/>
  <c r="CP54" i="12" s="1"/>
  <c r="CN54" i="12" s="1"/>
  <c r="CN55" i="12"/>
  <c r="AW254" i="12"/>
  <c r="AU255" i="12"/>
  <c r="AU254" i="12" s="1"/>
  <c r="BU178" i="12"/>
  <c r="BU164" i="12"/>
  <c r="BU165" i="12" s="1"/>
  <c r="BS165" i="12" s="1"/>
  <c r="BS166" i="12"/>
  <c r="AN254" i="12"/>
  <c r="AL255" i="12"/>
  <c r="AL254" i="12" s="1"/>
  <c r="BL179" i="12"/>
  <c r="BJ167" i="12"/>
  <c r="AN64" i="12"/>
  <c r="AN53" i="12"/>
  <c r="AN54" i="12" s="1"/>
  <c r="AL54" i="12" s="1"/>
  <c r="AL55" i="12"/>
  <c r="BU64" i="12"/>
  <c r="BU53" i="12"/>
  <c r="BU54" i="12" s="1"/>
  <c r="BS54" i="12" s="1"/>
  <c r="BS55" i="12"/>
  <c r="CS122" i="12"/>
  <c r="CQ123" i="12"/>
  <c r="CQ122" i="12" s="1"/>
  <c r="BX164" i="12"/>
  <c r="BX165" i="12" s="1"/>
  <c r="BV165" i="12" s="1"/>
  <c r="BX178" i="12"/>
  <c r="BV166" i="12"/>
  <c r="F51" i="33" a="1"/>
  <c r="F51" i="33" s="1"/>
  <c r="BE42" i="23"/>
  <c r="F97" i="33" a="1"/>
  <c r="F97" i="33" s="1"/>
  <c r="AQ178" i="12"/>
  <c r="AQ164" i="12"/>
  <c r="AQ165" i="12" s="1"/>
  <c r="AO165" i="12" s="1"/>
  <c r="AO166" i="12"/>
  <c r="CM179" i="12"/>
  <c r="CK167" i="12"/>
  <c r="BC122" i="12"/>
  <c r="BA123" i="12"/>
  <c r="BA122" i="12" s="1"/>
  <c r="AT179" i="12"/>
  <c r="AR167" i="12"/>
  <c r="CP164" i="12"/>
  <c r="CP165" i="12" s="1"/>
  <c r="CN165" i="12" s="1"/>
  <c r="CP178" i="12"/>
  <c r="CN166" i="12"/>
  <c r="BF122" i="12"/>
  <c r="BD123" i="12"/>
  <c r="BD122" i="12" s="1"/>
  <c r="CD64" i="12"/>
  <c r="CD53" i="12"/>
  <c r="CD54" i="12" s="1"/>
  <c r="CB54" i="12" s="1"/>
  <c r="CB55" i="12"/>
  <c r="BK42" i="23"/>
  <c r="BB43" i="23"/>
  <c r="AZ43" i="23"/>
  <c r="BK43" i="23" s="1"/>
  <c r="AX43" i="23"/>
  <c r="AV43" i="23"/>
  <c r="AT43" i="23"/>
  <c r="BE43" i="23" s="1"/>
  <c r="AR43" i="23"/>
  <c r="AP43" i="23"/>
  <c r="AN43" i="23"/>
  <c r="AL43" i="23"/>
  <c r="AJ43" i="23"/>
  <c r="AF43" i="23"/>
  <c r="AF46" i="23" s="1"/>
  <c r="AF28" i="23" s="1" a="1"/>
  <c r="AF28" i="23" s="1"/>
  <c r="F44" i="23" a="1"/>
  <c r="F44" i="23" s="1"/>
  <c r="BC43" i="23"/>
  <c r="BA43" i="23"/>
  <c r="BL43" i="23" s="1"/>
  <c r="AY43" i="23"/>
  <c r="AW43" i="23"/>
  <c r="AU43" i="23"/>
  <c r="AS43" i="23"/>
  <c r="AQ43" i="23"/>
  <c r="AO43" i="23"/>
  <c r="AM43" i="23"/>
  <c r="AK43" i="23"/>
  <c r="AI43" i="23"/>
  <c r="AG43" i="23"/>
  <c r="AE43" i="23"/>
  <c r="AE46" i="23" s="1"/>
  <c r="AE28" i="23" s="1" a="1"/>
  <c r="AE28" i="23" s="1"/>
  <c r="BI179" i="12"/>
  <c r="BG167" i="12"/>
  <c r="N38" i="27" a="1"/>
  <c r="N38" i="27" s="1"/>
  <c r="BX37" i="27" a="1"/>
  <c r="BX37" i="27" s="1"/>
  <c r="CA178" i="12"/>
  <c r="CA164" i="12"/>
  <c r="CA165" i="12" s="1"/>
  <c r="BY165" i="12" s="1"/>
  <c r="BY166" i="12"/>
  <c r="BO64" i="12"/>
  <c r="BO53" i="12"/>
  <c r="BO54" i="12" s="1"/>
  <c r="BM54" i="12" s="1"/>
  <c r="BM55" i="12"/>
  <c r="CD179" i="12"/>
  <c r="CB167" i="12"/>
  <c r="AW179" i="12"/>
  <c r="AU167" i="12"/>
  <c r="CS179" i="12"/>
  <c r="CQ167" i="12"/>
  <c r="AN179" i="12"/>
  <c r="AL167" i="12"/>
  <c r="CJ179" i="12"/>
  <c r="CH167" i="12"/>
  <c r="AB39" i="16" a="1"/>
  <c r="AB39" i="16" s="1"/>
  <c r="V39" i="16" a="1"/>
  <c r="V39" i="16" s="1"/>
  <c r="S56" i="12" a="1"/>
  <c r="S56" i="12" s="1"/>
  <c r="U55" i="12"/>
  <c r="T150" i="12" a="1"/>
  <c r="T150" i="12" s="1"/>
  <c r="U149" i="12"/>
  <c r="M40" i="31" a="1"/>
  <c r="M40" i="31" s="1"/>
  <c r="BI39" i="31" a="1"/>
  <c r="BI39" i="31" s="1"/>
  <c r="CS64" i="12"/>
  <c r="CS53" i="12"/>
  <c r="CS54" i="12" s="1"/>
  <c r="CQ54" i="12" s="1"/>
  <c r="CQ55" i="12"/>
  <c r="AZ164" i="12"/>
  <c r="AZ165" i="12" s="1"/>
  <c r="AX165" i="12" s="1"/>
  <c r="AZ178" i="12"/>
  <c r="AX166" i="12"/>
  <c r="CG254" i="12"/>
  <c r="CE255" i="12"/>
  <c r="CE254" i="12" s="1"/>
  <c r="CM122" i="12"/>
  <c r="CK123" i="12"/>
  <c r="CK122" i="12" s="1"/>
  <c r="BF254" i="12"/>
  <c r="BD255" i="12"/>
  <c r="BD254" i="12" s="1"/>
  <c r="AN122" i="12"/>
  <c r="AL123" i="12"/>
  <c r="AL122" i="12" s="1"/>
  <c r="CJ122" i="12"/>
  <c r="CH123" i="12"/>
  <c r="CH122" i="12" s="1"/>
  <c r="AZ242" i="12" l="1"/>
  <c r="AZ225" i="12"/>
  <c r="AZ208" i="12"/>
  <c r="AZ191" i="12"/>
  <c r="AX178" i="12"/>
  <c r="CQ58" i="12"/>
  <c r="CQ57" i="12" s="1"/>
  <c r="CQ53" i="12"/>
  <c r="CS100" i="12"/>
  <c r="CS74" i="12"/>
  <c r="CS113" i="12"/>
  <c r="CS87" i="12"/>
  <c r="CQ64" i="12"/>
  <c r="CQ61" i="12" s="1"/>
  <c r="M41" i="31" a="1"/>
  <c r="M41" i="31" s="1"/>
  <c r="M42" i="31" s="1" a="1"/>
  <c r="M42" i="31" s="1"/>
  <c r="BI40" i="31" a="1"/>
  <c r="BI40" i="31" s="1"/>
  <c r="T151" i="12" a="1"/>
  <c r="T151" i="12" s="1"/>
  <c r="U151" i="12" s="1"/>
  <c r="U150" i="12"/>
  <c r="S57" i="12" a="1"/>
  <c r="S57" i="12" s="1"/>
  <c r="U56" i="12"/>
  <c r="AB46" i="17" a="1"/>
  <c r="AB46" i="17" s="1"/>
  <c r="V46" i="17" a="1"/>
  <c r="V46" i="17" s="1"/>
  <c r="CJ226" i="12"/>
  <c r="CJ243" i="12"/>
  <c r="CJ209" i="12"/>
  <c r="CJ192" i="12"/>
  <c r="CH179" i="12"/>
  <c r="AN226" i="12"/>
  <c r="AN209" i="12"/>
  <c r="AN192" i="12"/>
  <c r="AN243" i="12"/>
  <c r="AL179" i="12"/>
  <c r="CS243" i="12"/>
  <c r="CS226" i="12"/>
  <c r="CS209" i="12"/>
  <c r="CS192" i="12"/>
  <c r="CQ179" i="12"/>
  <c r="AW243" i="12"/>
  <c r="AW226" i="12"/>
  <c r="AW209" i="12"/>
  <c r="AW192" i="12"/>
  <c r="AU179" i="12"/>
  <c r="CB171" i="12"/>
  <c r="BM58" i="12"/>
  <c r="BM57" i="12" s="1"/>
  <c r="BM53" i="12"/>
  <c r="BO100" i="12"/>
  <c r="BO74" i="12"/>
  <c r="BO113" i="12"/>
  <c r="BO87" i="12"/>
  <c r="BM64" i="12"/>
  <c r="BM61" i="12" s="1"/>
  <c r="N39" i="27" a="1"/>
  <c r="N39" i="27" s="1"/>
  <c r="BX38" i="27" a="1"/>
  <c r="BX38" i="27" s="1"/>
  <c r="BI243" i="12"/>
  <c r="BI226" i="12"/>
  <c r="BI209" i="12"/>
  <c r="BI192" i="12"/>
  <c r="BG179" i="12"/>
  <c r="BD43" i="23"/>
  <c r="AI46" i="23"/>
  <c r="BF43" i="23"/>
  <c r="BJ43" i="23"/>
  <c r="BI43" i="23"/>
  <c r="BM43" i="23"/>
  <c r="CB53" i="12"/>
  <c r="CB58" i="12"/>
  <c r="CB57" i="12" s="1"/>
  <c r="CD113" i="12"/>
  <c r="CD87" i="12"/>
  <c r="CD100" i="12"/>
  <c r="CD74" i="12"/>
  <c r="CB64" i="12"/>
  <c r="CB61" i="12" s="1"/>
  <c r="CP242" i="12"/>
  <c r="CP225" i="12"/>
  <c r="CP208" i="12"/>
  <c r="CP191" i="12"/>
  <c r="CN178" i="12"/>
  <c r="AR171" i="12"/>
  <c r="CK171" i="12"/>
  <c r="AO170" i="12"/>
  <c r="AO164" i="12"/>
  <c r="AQ242" i="12"/>
  <c r="AQ225" i="12"/>
  <c r="AQ208" i="12"/>
  <c r="AQ191" i="12"/>
  <c r="AO178" i="12"/>
  <c r="AO174" i="12" s="1"/>
  <c r="F52" i="33" a="1"/>
  <c r="F52" i="33" s="1"/>
  <c r="BV164" i="12"/>
  <c r="BV170" i="12"/>
  <c r="AL53" i="12"/>
  <c r="AL58" i="12"/>
  <c r="AL57" i="12" s="1"/>
  <c r="AN113" i="12"/>
  <c r="AN87" i="12"/>
  <c r="AN100" i="12"/>
  <c r="AN74" i="12"/>
  <c r="AL64" i="12"/>
  <c r="AL61" i="12" s="1"/>
  <c r="BL226" i="12"/>
  <c r="BL243" i="12"/>
  <c r="BL209" i="12"/>
  <c r="BL192" i="12"/>
  <c r="BJ179" i="12"/>
  <c r="CN53" i="12"/>
  <c r="CN58" i="12"/>
  <c r="CN57" i="12" s="1"/>
  <c r="CP113" i="12"/>
  <c r="CP87" i="12"/>
  <c r="CP100" i="12"/>
  <c r="CP74" i="12"/>
  <c r="CN64" i="12"/>
  <c r="CN61" i="12" s="1"/>
  <c r="BF242" i="12"/>
  <c r="BF225" i="12"/>
  <c r="BF208" i="12"/>
  <c r="BF191" i="12"/>
  <c r="BD178" i="12"/>
  <c r="CK58" i="12"/>
  <c r="CK57" i="12" s="1"/>
  <c r="CK53" i="12"/>
  <c r="CM100" i="12"/>
  <c r="CM74" i="12"/>
  <c r="CM113" i="12"/>
  <c r="CM87" i="12"/>
  <c r="CK64" i="12"/>
  <c r="CK61" i="12" s="1"/>
  <c r="CE170" i="12"/>
  <c r="CE164" i="12"/>
  <c r="CG242" i="12"/>
  <c r="CG225" i="12"/>
  <c r="CG208" i="12"/>
  <c r="CG191" i="12"/>
  <c r="CE178" i="12"/>
  <c r="CE174" i="12" s="1"/>
  <c r="F41" i="8" a="1"/>
  <c r="F41" i="8" s="1"/>
  <c r="U40" i="8"/>
  <c r="BP164" i="12"/>
  <c r="BP170" i="12"/>
  <c r="AT254" i="12"/>
  <c r="AR255" i="12"/>
  <c r="AR254" i="12" s="1"/>
  <c r="BD53" i="12"/>
  <c r="BD58" i="12"/>
  <c r="BD57" i="12" s="1"/>
  <c r="BF113" i="12"/>
  <c r="BF87" i="12"/>
  <c r="BF100" i="12"/>
  <c r="BF74" i="12"/>
  <c r="BD64" i="12"/>
  <c r="BD61" i="12" s="1"/>
  <c r="BR226" i="12"/>
  <c r="BR209" i="12"/>
  <c r="BR192" i="12"/>
  <c r="BR243" i="12"/>
  <c r="BP179" i="12"/>
  <c r="BO243" i="12"/>
  <c r="BO226" i="12"/>
  <c r="BO209" i="12"/>
  <c r="BO192" i="12"/>
  <c r="BM179" i="12"/>
  <c r="N94" i="27" a="1"/>
  <c r="N94" i="27" s="1"/>
  <c r="BX93" i="27" a="1"/>
  <c r="BX93" i="27" s="1"/>
  <c r="AX171" i="12"/>
  <c r="AU58" i="12"/>
  <c r="AU57" i="12" s="1"/>
  <c r="AU53" i="12"/>
  <c r="AW100" i="12"/>
  <c r="AW74" i="12"/>
  <c r="AW113" i="12"/>
  <c r="AW87" i="12"/>
  <c r="AU64" i="12"/>
  <c r="AU61" i="12" s="1"/>
  <c r="CH164" i="12"/>
  <c r="CH170" i="12"/>
  <c r="AN242" i="12"/>
  <c r="AN225" i="12"/>
  <c r="AN208" i="12"/>
  <c r="AN191" i="12"/>
  <c r="AL178" i="12"/>
  <c r="CE58" i="12"/>
  <c r="CE57" i="12" s="1"/>
  <c r="CE53" i="12"/>
  <c r="CG100" i="12"/>
  <c r="CG74" i="12"/>
  <c r="CG113" i="12"/>
  <c r="CG87" i="12"/>
  <c r="CE64" i="12"/>
  <c r="CE61" i="12" s="1"/>
  <c r="AU170" i="12"/>
  <c r="AU164" i="12"/>
  <c r="AW242" i="12"/>
  <c r="AW225" i="12"/>
  <c r="AW208" i="12"/>
  <c r="AW191" i="12"/>
  <c r="AU178" i="12"/>
  <c r="AU174" i="12" s="1"/>
  <c r="BP53" i="12"/>
  <c r="BP58" i="12"/>
  <c r="BP57" i="12" s="1"/>
  <c r="BR113" i="12"/>
  <c r="BR87" i="12"/>
  <c r="BR100" i="12"/>
  <c r="BR74" i="12"/>
  <c r="BP64" i="12"/>
  <c r="BP61" i="12" s="1"/>
  <c r="CD242" i="12"/>
  <c r="CD225" i="12"/>
  <c r="CD208" i="12"/>
  <c r="CD191" i="12"/>
  <c r="CB178" i="12"/>
  <c r="BY171" i="12"/>
  <c r="F40" i="18" a="1"/>
  <c r="F40" i="18" s="1"/>
  <c r="T39" i="18"/>
  <c r="H39" i="18"/>
  <c r="BG170" i="12"/>
  <c r="BG164" i="12"/>
  <c r="BI242" i="12"/>
  <c r="BI225" i="12"/>
  <c r="BI208" i="12"/>
  <c r="BI191" i="12"/>
  <c r="BG178" i="12"/>
  <c r="BG174" i="12" s="1"/>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T103" i="12"/>
  <c r="CP226" i="12"/>
  <c r="CP243" i="12"/>
  <c r="CP209" i="12"/>
  <c r="CP192" i="12"/>
  <c r="CN179" i="12"/>
  <c r="AT242" i="12"/>
  <c r="AT225" i="12"/>
  <c r="AT208" i="12"/>
  <c r="AT191" i="12"/>
  <c r="AR178" i="12"/>
  <c r="BY58" i="12"/>
  <c r="BY57" i="12" s="1"/>
  <c r="BY53" i="12"/>
  <c r="CA100" i="12"/>
  <c r="CA74" i="12"/>
  <c r="CA113" i="12"/>
  <c r="CA87" i="12"/>
  <c r="BY64" i="12"/>
  <c r="BY61" i="12" s="1"/>
  <c r="AO171" i="12"/>
  <c r="F48" i="13" a="1"/>
  <c r="F48" i="13" s="1"/>
  <c r="T47" i="13"/>
  <c r="T49" i="13" s="1" a="1"/>
  <c r="T49" i="13" s="1"/>
  <c r="T39" i="27"/>
  <c r="F40" i="27" a="1"/>
  <c r="F40" i="27" s="1"/>
  <c r="BV171" i="12"/>
  <c r="CY221" i="12" a="1"/>
  <c r="CY221" i="12" s="1"/>
  <c r="AG221" i="12"/>
  <c r="AE226" i="12" a="1"/>
  <c r="AE226" i="12" s="1"/>
  <c r="X226" i="12"/>
  <c r="F90" i="13" a="1"/>
  <c r="F90" i="13" s="1"/>
  <c r="T89" i="13"/>
  <c r="T40" i="12" a="1"/>
  <c r="T40" i="12" s="1"/>
  <c r="U40" i="12" s="1"/>
  <c r="U39" i="12"/>
  <c r="AK50" i="28"/>
  <c r="AI50" i="28"/>
  <c r="AG50" i="28"/>
  <c r="AE50" i="28"/>
  <c r="F51" i="28" a="1"/>
  <c r="F51" i="28" s="1"/>
  <c r="AJ50" i="28"/>
  <c r="AF50" i="28"/>
  <c r="AH48" i="28"/>
  <c r="BJ164" i="12"/>
  <c r="BJ170" i="12"/>
  <c r="BS171" i="12"/>
  <c r="CZ221" i="12" a="1"/>
  <c r="CZ221" i="12" s="1"/>
  <c r="AF226" i="12" a="1"/>
  <c r="AF226" i="12" s="1"/>
  <c r="BD171" i="12"/>
  <c r="AO58" i="12"/>
  <c r="AO57" i="12" s="1"/>
  <c r="AO53" i="12"/>
  <c r="AQ100" i="12"/>
  <c r="AQ74" i="12"/>
  <c r="AQ113" i="12"/>
  <c r="AQ87" i="12"/>
  <c r="AO64" i="12"/>
  <c r="AO61" i="12" s="1"/>
  <c r="BC243" i="12"/>
  <c r="BC226" i="12"/>
  <c r="BC209" i="12"/>
  <c r="BC192" i="12"/>
  <c r="BA179" i="12"/>
  <c r="CE171" i="12"/>
  <c r="AX164" i="12"/>
  <c r="AX174" i="12"/>
  <c r="AX170" i="12"/>
  <c r="AX169" i="12" s="1"/>
  <c r="CH175" i="12"/>
  <c r="CH171" i="12"/>
  <c r="AL175" i="12"/>
  <c r="AL171" i="12"/>
  <c r="CQ171" i="12"/>
  <c r="CQ175" i="12"/>
  <c r="AU171" i="12"/>
  <c r="AU175" i="12"/>
  <c r="CD226" i="12"/>
  <c r="CD243" i="12"/>
  <c r="CD209" i="12"/>
  <c r="CD192" i="12"/>
  <c r="CB179" i="12"/>
  <c r="CB175" i="12" s="1"/>
  <c r="BY170" i="12"/>
  <c r="BY164" i="12"/>
  <c r="CA242" i="12"/>
  <c r="CA225" i="12"/>
  <c r="CA208" i="12"/>
  <c r="CA191" i="12"/>
  <c r="BY178" i="12"/>
  <c r="BY174" i="12" s="1"/>
  <c r="BG171" i="12"/>
  <c r="BG175" i="12"/>
  <c r="AH43" i="23"/>
  <c r="AG46" i="23"/>
  <c r="BH43" i="23"/>
  <c r="F45" i="23" a="1"/>
  <c r="F45" i="23" s="1"/>
  <c r="F46" i="23" s="1" a="1"/>
  <c r="F46" i="23" s="1"/>
  <c r="AF84" i="27" s="1"/>
  <c r="BG43" i="23"/>
  <c r="AG84" i="27"/>
  <c r="CN164" i="12"/>
  <c r="CN174" i="12"/>
  <c r="CN170" i="12"/>
  <c r="AT226" i="12"/>
  <c r="AT243" i="12"/>
  <c r="AT209" i="12"/>
  <c r="AT192" i="12"/>
  <c r="AR179" i="12"/>
  <c r="AR175" i="12" s="1"/>
  <c r="CM243" i="12"/>
  <c r="CM226" i="12"/>
  <c r="CM209" i="12"/>
  <c r="CM192" i="12"/>
  <c r="CK179" i="12"/>
  <c r="CK175" i="12" s="1"/>
  <c r="F98" i="33" a="1"/>
  <c r="F98" i="33" s="1"/>
  <c r="BX242" i="12"/>
  <c r="BX225" i="12"/>
  <c r="BX208" i="12"/>
  <c r="BX191" i="12"/>
  <c r="BV178" i="12"/>
  <c r="BV174" i="12" s="1"/>
  <c r="BS58" i="12"/>
  <c r="BS57" i="12" s="1"/>
  <c r="BS53" i="12"/>
  <c r="BU100" i="12"/>
  <c r="BU74" i="12"/>
  <c r="BU113" i="12"/>
  <c r="BU87" i="12"/>
  <c r="BS64" i="12"/>
  <c r="BS61" i="12" s="1"/>
  <c r="BJ175" i="12"/>
  <c r="BJ171" i="12"/>
  <c r="BS170" i="12"/>
  <c r="BS164" i="12"/>
  <c r="BU242" i="12"/>
  <c r="BU225" i="12"/>
  <c r="BU208" i="12"/>
  <c r="BU191" i="12"/>
  <c r="BS178" i="12"/>
  <c r="BS174" i="12" s="1"/>
  <c r="BD164" i="12"/>
  <c r="BD174" i="12"/>
  <c r="BD170" i="12"/>
  <c r="BD169" i="12" s="1"/>
  <c r="BA170" i="12"/>
  <c r="BA164" i="12"/>
  <c r="BC242" i="12"/>
  <c r="BC225" i="12"/>
  <c r="BC208" i="12"/>
  <c r="BC191" i="12"/>
  <c r="BA178" i="12"/>
  <c r="BA174" i="12" s="1"/>
  <c r="BR242" i="12"/>
  <c r="BR225" i="12"/>
  <c r="BR208" i="12"/>
  <c r="BR191" i="12"/>
  <c r="BP178" i="12"/>
  <c r="BP174" i="12" s="1"/>
  <c r="CA122" i="12"/>
  <c r="BY123" i="12"/>
  <c r="BY122" i="12" s="1"/>
  <c r="CM254" i="12"/>
  <c r="CK255" i="12"/>
  <c r="CK254" i="12" s="1"/>
  <c r="BM170" i="12"/>
  <c r="BM164" i="12"/>
  <c r="BO242" i="12"/>
  <c r="BO225" i="12"/>
  <c r="BO208" i="12"/>
  <c r="BO191" i="12"/>
  <c r="BM178" i="12"/>
  <c r="BM174" i="12" s="1"/>
  <c r="M107" i="28" a="1"/>
  <c r="M107" i="28" s="1"/>
  <c r="AS106" i="28" a="1"/>
  <c r="AS106" i="28" s="1"/>
  <c r="T39" i="30"/>
  <c r="F40" i="30" a="1"/>
  <c r="F40" i="30" s="1"/>
  <c r="T63" i="30"/>
  <c r="F64" i="30" a="1"/>
  <c r="F64" i="30" s="1"/>
  <c r="M68" i="31" a="1"/>
  <c r="M68" i="31" s="1"/>
  <c r="M69" i="31" s="1" a="1"/>
  <c r="M69" i="31" s="1"/>
  <c r="BI67" i="31" a="1"/>
  <c r="BI67" i="31" s="1"/>
  <c r="F40" i="31" a="1"/>
  <c r="F40" i="31" s="1"/>
  <c r="T39" i="31"/>
  <c r="F69" i="8" a="1"/>
  <c r="F69" i="8" s="1"/>
  <c r="U68" i="8"/>
  <c r="BP175" i="12"/>
  <c r="BP171" i="12"/>
  <c r="BM171" i="12"/>
  <c r="BM175" i="12"/>
  <c r="S168" i="12" a="1"/>
  <c r="S168" i="12" s="1"/>
  <c r="U167" i="12"/>
  <c r="AZ226" i="12"/>
  <c r="AZ243" i="12"/>
  <c r="AZ209" i="12"/>
  <c r="AZ192" i="12"/>
  <c r="AX179" i="12"/>
  <c r="AX175" i="12" s="1"/>
  <c r="F118" i="28" a="1"/>
  <c r="F118" i="28" s="1"/>
  <c r="AJ117" i="28"/>
  <c r="AF117" i="28"/>
  <c r="AK117" i="28"/>
  <c r="AG117" i="28"/>
  <c r="AI117" i="28"/>
  <c r="AE117" i="28"/>
  <c r="F72" i="18" a="1"/>
  <c r="F72" i="18" s="1"/>
  <c r="T71" i="18"/>
  <c r="F67" i="31" a="1"/>
  <c r="F67" i="31" s="1"/>
  <c r="T66" i="31"/>
  <c r="BJ53" i="12"/>
  <c r="BJ58" i="12"/>
  <c r="BJ57" i="12" s="1"/>
  <c r="BL113" i="12"/>
  <c r="BL87" i="12"/>
  <c r="BL100" i="12"/>
  <c r="BL74" i="12"/>
  <c r="BJ64" i="12"/>
  <c r="BJ61" i="12" s="1"/>
  <c r="CJ242" i="12"/>
  <c r="CJ225" i="12"/>
  <c r="CJ208" i="12"/>
  <c r="CJ191" i="12"/>
  <c r="CH178" i="12"/>
  <c r="CH174" i="12" s="1"/>
  <c r="AL164" i="12"/>
  <c r="AL174" i="12"/>
  <c r="AL170" i="12"/>
  <c r="AL169" i="12" s="1"/>
  <c r="CQ170" i="12"/>
  <c r="CQ169" i="12" s="1"/>
  <c r="CQ164" i="12"/>
  <c r="CS242" i="12"/>
  <c r="CS225" i="12"/>
  <c r="CS208" i="12"/>
  <c r="CS191" i="12"/>
  <c r="CQ178" i="12"/>
  <c r="CQ174" i="12" s="1"/>
  <c r="CB164" i="12"/>
  <c r="CB174" i="12"/>
  <c r="CB170" i="12"/>
  <c r="CB169" i="12" s="1"/>
  <c r="CA243" i="12"/>
  <c r="CA226" i="12"/>
  <c r="CA209" i="12"/>
  <c r="CA192" i="12"/>
  <c r="BY179" i="12"/>
  <c r="BY175" i="12" s="1"/>
  <c r="BV53" i="12"/>
  <c r="BV58" i="12"/>
  <c r="BV57" i="12" s="1"/>
  <c r="BX113" i="12"/>
  <c r="BX87" i="12"/>
  <c r="BX100" i="12"/>
  <c r="BX74" i="12"/>
  <c r="BV64" i="12"/>
  <c r="BV61" i="12" s="1"/>
  <c r="CN175" i="12"/>
  <c r="CN171" i="12"/>
  <c r="AR164" i="12"/>
  <c r="AR174" i="12"/>
  <c r="AR170" i="12"/>
  <c r="AR169" i="12" s="1"/>
  <c r="CK170" i="12"/>
  <c r="CK169" i="12" s="1"/>
  <c r="CK164" i="12"/>
  <c r="CM242" i="12"/>
  <c r="CM225" i="12"/>
  <c r="CM208" i="12"/>
  <c r="CM191" i="12"/>
  <c r="CK178" i="12"/>
  <c r="CK174" i="12" s="1"/>
  <c r="AQ243" i="12"/>
  <c r="AQ226" i="12"/>
  <c r="AQ209" i="12"/>
  <c r="AQ192" i="12"/>
  <c r="AO179" i="12"/>
  <c r="AO175" i="12" s="1"/>
  <c r="L214" i="12"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L223" i="12" s="1" a="1"/>
  <c r="L223" i="12" s="1"/>
  <c r="L224" i="12" s="1" a="1"/>
  <c r="L224" i="12" s="1"/>
  <c r="L225" i="12" s="1" a="1"/>
  <c r="L225" i="12" s="1"/>
  <c r="L226" i="12" s="1" a="1"/>
  <c r="L226" i="12" s="1"/>
  <c r="L227" i="12" s="1" a="1"/>
  <c r="L227" i="12" s="1"/>
  <c r="L228" i="12" s="1" a="1"/>
  <c r="L228" i="12" s="1"/>
  <c r="T213" i="12"/>
  <c r="F95" i="27" a="1"/>
  <c r="F95" i="27" s="1"/>
  <c r="T94" i="27"/>
  <c r="M40" i="28" a="1"/>
  <c r="M40" i="28" s="1"/>
  <c r="AS39" i="28" a="1"/>
  <c r="AS39" i="28" s="1"/>
  <c r="BX226" i="12"/>
  <c r="BX243" i="12"/>
  <c r="BX209" i="12"/>
  <c r="BX192" i="12"/>
  <c r="BV179" i="12"/>
  <c r="BV175" i="12" s="1"/>
  <c r="CH53" i="12"/>
  <c r="CH58" i="12"/>
  <c r="CH57" i="12" s="1"/>
  <c r="CJ113" i="12"/>
  <c r="CJ87" i="12"/>
  <c r="CJ100" i="12"/>
  <c r="CJ74" i="12"/>
  <c r="CH64" i="12"/>
  <c r="CH61" i="12" s="1"/>
  <c r="BL242" i="12"/>
  <c r="BL225" i="12"/>
  <c r="BL208" i="12"/>
  <c r="BL191" i="12"/>
  <c r="BJ178" i="12"/>
  <c r="BJ174" i="12" s="1"/>
  <c r="BG58" i="12"/>
  <c r="BG57" i="12" s="1"/>
  <c r="BG53" i="12"/>
  <c r="BI100" i="12"/>
  <c r="BI74" i="12"/>
  <c r="BI113" i="12"/>
  <c r="BI87" i="12"/>
  <c r="BG64" i="12"/>
  <c r="BG61" i="12" s="1"/>
  <c r="BU243" i="12"/>
  <c r="BU226" i="12"/>
  <c r="BU209" i="12"/>
  <c r="BU192" i="12"/>
  <c r="BS179" i="12"/>
  <c r="BS175" i="12" s="1"/>
  <c r="AR53" i="12"/>
  <c r="AR58" i="12"/>
  <c r="AR57" i="12" s="1"/>
  <c r="AT113" i="12"/>
  <c r="AT87" i="12"/>
  <c r="AT100" i="12"/>
  <c r="AT74" i="12"/>
  <c r="AR64" i="12"/>
  <c r="AR61" i="12" s="1"/>
  <c r="BF226" i="12"/>
  <c r="BF243" i="12"/>
  <c r="BF209" i="12"/>
  <c r="BF192" i="12"/>
  <c r="BD179" i="12"/>
  <c r="BD175" i="12" s="1"/>
  <c r="BA171" i="12"/>
  <c r="BA175" i="12"/>
  <c r="AX53" i="12"/>
  <c r="AX58" i="12"/>
  <c r="AX57" i="12" s="1"/>
  <c r="AZ113" i="12"/>
  <c r="AZ87" i="12"/>
  <c r="AZ100" i="12"/>
  <c r="AZ74" i="12"/>
  <c r="AX64" i="12"/>
  <c r="AX61" i="12" s="1"/>
  <c r="CG243" i="12"/>
  <c r="CG226" i="12"/>
  <c r="CG209" i="12"/>
  <c r="CG192" i="12"/>
  <c r="CE179" i="12"/>
  <c r="CE175" i="12" s="1"/>
  <c r="CD122" i="12"/>
  <c r="CB123" i="12"/>
  <c r="CB122" i="12" s="1"/>
  <c r="CP254" i="12"/>
  <c r="CN255" i="12"/>
  <c r="CN254" i="12" s="1"/>
  <c r="BA58" i="12"/>
  <c r="BA57" i="12" s="1"/>
  <c r="BA53" i="12"/>
  <c r="BC100" i="12"/>
  <c r="BC74" i="12"/>
  <c r="BC113" i="12"/>
  <c r="BC87" i="12"/>
  <c r="BA64" i="12"/>
  <c r="BA61" i="12" s="1"/>
  <c r="AQ254" i="12"/>
  <c r="AO255" i="12"/>
  <c r="AO254" i="12" s="1"/>
  <c r="BS169" i="12" l="1"/>
  <c r="BY169" i="12"/>
  <c r="BM169" i="12"/>
  <c r="CE243" i="12"/>
  <c r="CE238" i="12" s="1"/>
  <c r="CG247" i="12"/>
  <c r="CE247" i="12" s="1"/>
  <c r="BD243" i="12"/>
  <c r="BD238" i="12" s="1"/>
  <c r="BF247" i="12"/>
  <c r="BD247" i="12" s="1"/>
  <c r="AT98" i="12"/>
  <c r="AT99" i="12" s="1"/>
  <c r="AR99" i="12" s="1"/>
  <c r="AR100" i="12"/>
  <c r="AT103" i="12"/>
  <c r="AT111" i="12"/>
  <c r="AT112" i="12" s="1"/>
  <c r="AR112" i="12" s="1"/>
  <c r="AR113" i="12"/>
  <c r="AT116" i="12"/>
  <c r="BS243" i="12"/>
  <c r="BS238" i="12" s="1"/>
  <c r="BU247" i="12"/>
  <c r="BS247" i="12" s="1"/>
  <c r="BI85" i="12"/>
  <c r="BI86" i="12" s="1"/>
  <c r="BG86" i="12" s="1"/>
  <c r="BG87" i="12"/>
  <c r="BI90" i="12"/>
  <c r="BI129" i="12"/>
  <c r="BI72" i="12"/>
  <c r="BI73" i="12" s="1"/>
  <c r="BG73" i="12" s="1"/>
  <c r="BG74" i="12"/>
  <c r="BI77" i="12"/>
  <c r="BL262" i="12"/>
  <c r="BL189" i="12"/>
  <c r="BL190" i="12" s="1"/>
  <c r="BJ190" i="12" s="1"/>
  <c r="BJ191" i="12"/>
  <c r="BL195" i="12"/>
  <c r="BL223" i="12"/>
  <c r="BL224" i="12" s="1"/>
  <c r="BJ224" i="12" s="1"/>
  <c r="BJ225" i="12"/>
  <c r="BL229" i="12"/>
  <c r="CJ98" i="12"/>
  <c r="CJ99" i="12" s="1"/>
  <c r="CH99" i="12" s="1"/>
  <c r="CH100" i="12"/>
  <c r="CJ103" i="12"/>
  <c r="CJ111" i="12"/>
  <c r="CJ112" i="12" s="1"/>
  <c r="CH112" i="12" s="1"/>
  <c r="CH113" i="12"/>
  <c r="CJ116" i="12"/>
  <c r="T228" i="12" a="1"/>
  <c r="T228" i="12" s="1"/>
  <c r="L229" i="12" a="1"/>
  <c r="L229" i="12" s="1"/>
  <c r="AQ263" i="12"/>
  <c r="AO192" i="12"/>
  <c r="AQ196" i="12"/>
  <c r="AO196" i="12" s="1"/>
  <c r="AO226" i="12"/>
  <c r="AO221" i="12" s="1"/>
  <c r="AQ230" i="12"/>
  <c r="AO230" i="12" s="1"/>
  <c r="CM206" i="12"/>
  <c r="CM207" i="12" s="1"/>
  <c r="CK207" i="12" s="1"/>
  <c r="CK208" i="12"/>
  <c r="CM212" i="12"/>
  <c r="CM240" i="12"/>
  <c r="CM241" i="12" s="1"/>
  <c r="CK241" i="12" s="1"/>
  <c r="CK242" i="12"/>
  <c r="CM246" i="12"/>
  <c r="BX129" i="12"/>
  <c r="BX72" i="12"/>
  <c r="BX73" i="12" s="1"/>
  <c r="BV73" i="12" s="1"/>
  <c r="BV74" i="12"/>
  <c r="BX77" i="12"/>
  <c r="BX85" i="12"/>
  <c r="BX86" i="12" s="1"/>
  <c r="BV86" i="12" s="1"/>
  <c r="BV87" i="12"/>
  <c r="BX90" i="12"/>
  <c r="BY209" i="12"/>
  <c r="BY204" i="12" s="1"/>
  <c r="CA213" i="12"/>
  <c r="BY213" i="12" s="1"/>
  <c r="BY243" i="12"/>
  <c r="BY238" i="12" s="1"/>
  <c r="CA247" i="12"/>
  <c r="BY247" i="12" s="1"/>
  <c r="CS206" i="12"/>
  <c r="CS207" i="12" s="1"/>
  <c r="CQ207" i="12" s="1"/>
  <c r="CQ208" i="12"/>
  <c r="CS212" i="12"/>
  <c r="CS240" i="12"/>
  <c r="CS241" i="12" s="1"/>
  <c r="CQ241" i="12" s="1"/>
  <c r="CQ242" i="12"/>
  <c r="CS246" i="12"/>
  <c r="CJ262" i="12"/>
  <c r="CJ189" i="12"/>
  <c r="CJ190" i="12" s="1"/>
  <c r="CH190" i="12" s="1"/>
  <c r="CH191" i="12"/>
  <c r="CJ195" i="12"/>
  <c r="CJ223" i="12"/>
  <c r="CJ224" i="12" s="1"/>
  <c r="CH224" i="12" s="1"/>
  <c r="CH225" i="12"/>
  <c r="CJ229" i="12"/>
  <c r="BL98" i="12"/>
  <c r="BL99" i="12" s="1"/>
  <c r="BJ99" i="12" s="1"/>
  <c r="BJ100" i="12"/>
  <c r="BL103" i="12"/>
  <c r="BL111" i="12"/>
  <c r="BL112" i="12" s="1"/>
  <c r="BJ112" i="12" s="1"/>
  <c r="BJ113" i="12"/>
  <c r="BL116" i="12"/>
  <c r="AH117" i="28"/>
  <c r="F119" i="28" a="1"/>
  <c r="F119" i="28" s="1"/>
  <c r="AJ118" i="28"/>
  <c r="AF118" i="28"/>
  <c r="AK118" i="28"/>
  <c r="AG118" i="28"/>
  <c r="AH118" i="28" s="1"/>
  <c r="AI118" i="28"/>
  <c r="AL118" i="28" s="1"/>
  <c r="AE118" i="28"/>
  <c r="AZ263" i="12"/>
  <c r="AX192" i="12"/>
  <c r="AZ196" i="12"/>
  <c r="AX196" i="12" s="1"/>
  <c r="AX243" i="12"/>
  <c r="AX238" i="12" s="1"/>
  <c r="AZ247" i="12"/>
  <c r="AX247" i="12" s="1"/>
  <c r="T64" i="30"/>
  <c r="F65" i="30" a="1"/>
  <c r="F65" i="30" s="1"/>
  <c r="T40" i="30"/>
  <c r="F41" i="30" a="1"/>
  <c r="F41" i="30" s="1"/>
  <c r="BO206" i="12"/>
  <c r="BO207" i="12" s="1"/>
  <c r="BM207" i="12" s="1"/>
  <c r="BM208" i="12"/>
  <c r="BO212" i="12"/>
  <c r="BO240" i="12"/>
  <c r="BO241" i="12" s="1"/>
  <c r="BM241" i="12" s="1"/>
  <c r="BM242" i="12"/>
  <c r="BO246" i="12"/>
  <c r="BR206" i="12"/>
  <c r="BR207" i="12" s="1"/>
  <c r="BP207" i="12" s="1"/>
  <c r="BP208" i="12"/>
  <c r="BR212" i="12"/>
  <c r="BR240" i="12"/>
  <c r="BR241" i="12" s="1"/>
  <c r="BP241" i="12" s="1"/>
  <c r="BP242" i="12"/>
  <c r="BR246" i="12"/>
  <c r="BC206" i="12"/>
  <c r="BC207" i="12" s="1"/>
  <c r="BA207" i="12" s="1"/>
  <c r="BA208" i="12"/>
  <c r="BC212" i="12"/>
  <c r="BC240" i="12"/>
  <c r="BC241" i="12" s="1"/>
  <c r="BA241" i="12" s="1"/>
  <c r="BA242" i="12"/>
  <c r="BC246" i="12"/>
  <c r="BA169" i="12"/>
  <c r="BU262" i="12"/>
  <c r="BU189" i="12"/>
  <c r="BU190" i="12" s="1"/>
  <c r="BS190" i="12" s="1"/>
  <c r="BS191" i="12"/>
  <c r="BU195" i="12"/>
  <c r="BU223" i="12"/>
  <c r="BU224" i="12" s="1"/>
  <c r="BS224" i="12" s="1"/>
  <c r="BS225" i="12"/>
  <c r="BU229" i="12"/>
  <c r="BU85" i="12"/>
  <c r="BU86" i="12" s="1"/>
  <c r="BS86" i="12" s="1"/>
  <c r="BS87" i="12"/>
  <c r="BU90" i="12"/>
  <c r="BU129" i="12"/>
  <c r="BU72" i="12"/>
  <c r="BU73" i="12" s="1"/>
  <c r="BS73" i="12" s="1"/>
  <c r="BS74" i="12"/>
  <c r="BU77" i="12"/>
  <c r="BX262" i="12"/>
  <c r="BX189" i="12"/>
  <c r="BX190" i="12" s="1"/>
  <c r="BV190" i="12" s="1"/>
  <c r="BV191" i="12"/>
  <c r="BX195" i="12"/>
  <c r="BX223" i="12"/>
  <c r="BX224" i="12" s="1"/>
  <c r="BV224" i="12" s="1"/>
  <c r="BV225" i="12"/>
  <c r="BX229" i="12"/>
  <c r="CK209" i="12"/>
  <c r="CK204" i="12" s="1"/>
  <c r="CM213" i="12"/>
  <c r="CK213" i="12" s="1"/>
  <c r="CK243" i="12"/>
  <c r="CK238" i="12" s="1"/>
  <c r="CM247" i="12"/>
  <c r="CK247" i="12" s="1"/>
  <c r="AT263" i="12"/>
  <c r="AR192" i="12"/>
  <c r="AT196" i="12"/>
  <c r="AR196" i="12" s="1"/>
  <c r="AR243" i="12"/>
  <c r="AR238" i="12" s="1"/>
  <c r="AT247" i="12"/>
  <c r="AR247" i="12" s="1"/>
  <c r="CN169" i="12"/>
  <c r="AH84" i="27"/>
  <c r="CA262" i="12"/>
  <c r="CA189" i="12"/>
  <c r="CA190" i="12" s="1"/>
  <c r="BY190" i="12" s="1"/>
  <c r="BY191" i="12"/>
  <c r="CA195" i="12"/>
  <c r="CA223" i="12"/>
  <c r="CA224" i="12" s="1"/>
  <c r="BY224" i="12" s="1"/>
  <c r="BY225" i="12"/>
  <c r="CA229" i="12"/>
  <c r="CD263" i="12"/>
  <c r="CB192" i="12"/>
  <c r="CD196" i="12"/>
  <c r="CB196" i="12" s="1"/>
  <c r="CB243" i="12"/>
  <c r="CB238" i="12" s="1"/>
  <c r="CD247" i="12"/>
  <c r="CB247" i="12" s="1"/>
  <c r="BC263" i="12"/>
  <c r="BA192" i="12"/>
  <c r="BC196" i="12"/>
  <c r="BA196" i="12" s="1"/>
  <c r="BA226" i="12"/>
  <c r="BA221" i="12" s="1"/>
  <c r="BC230" i="12"/>
  <c r="BA230" i="12" s="1"/>
  <c r="AQ111" i="12"/>
  <c r="AQ112" i="12" s="1"/>
  <c r="AO112" i="12" s="1"/>
  <c r="AO113" i="12"/>
  <c r="AQ116" i="12"/>
  <c r="AQ98" i="12"/>
  <c r="AQ99" i="12" s="1"/>
  <c r="AO99" i="12" s="1"/>
  <c r="AO100" i="12"/>
  <c r="AQ103" i="12"/>
  <c r="AF230" i="12" a="1"/>
  <c r="AF230" i="12" s="1"/>
  <c r="CZ226" i="12" a="1"/>
  <c r="CZ226" i="12" s="1"/>
  <c r="BJ169" i="12"/>
  <c r="AK51" i="28"/>
  <c r="AI51" i="28"/>
  <c r="AL51" i="28" s="1"/>
  <c r="AG51" i="28"/>
  <c r="AE51" i="28"/>
  <c r="F52" i="28" a="1"/>
  <c r="F52" i="28" s="1"/>
  <c r="AJ51" i="28"/>
  <c r="AF51" i="28"/>
  <c r="AH50" i="28"/>
  <c r="F91" i="13" a="1"/>
  <c r="F91" i="13" s="1"/>
  <c r="T90" i="13"/>
  <c r="AE230" i="12" a="1"/>
  <c r="AE230" i="12" s="1"/>
  <c r="X230" i="12"/>
  <c r="CY226" i="12" a="1"/>
  <c r="CY226" i="12" s="1"/>
  <c r="AI84" i="27"/>
  <c r="T40" i="27"/>
  <c r="F41" i="27" a="1"/>
  <c r="F41" i="27" s="1"/>
  <c r="L48" i="13" a="1"/>
  <c r="L48" i="13" s="1"/>
  <c r="F49" i="13" a="1"/>
  <c r="F49" i="13" s="1"/>
  <c r="F50" i="13" s="1" a="1"/>
  <c r="F50" i="13" s="1"/>
  <c r="F51" i="13" s="1" a="1"/>
  <c r="F51" i="13" s="1"/>
  <c r="F52" i="13" s="1" a="1"/>
  <c r="F52" i="13" s="1"/>
  <c r="F53" i="13" s="1" a="1"/>
  <c r="F53" i="13" s="1"/>
  <c r="T48" i="13"/>
  <c r="CA111" i="12"/>
  <c r="CA112" i="12" s="1"/>
  <c r="BY112" i="12" s="1"/>
  <c r="BY113" i="12"/>
  <c r="CA116" i="12"/>
  <c r="CA98" i="12"/>
  <c r="CA99" i="12" s="1"/>
  <c r="BY99" i="12" s="1"/>
  <c r="BY100" i="12"/>
  <c r="CA103" i="12"/>
  <c r="AT206" i="12"/>
  <c r="AT207" i="12" s="1"/>
  <c r="AR207" i="12" s="1"/>
  <c r="AR208" i="12"/>
  <c r="AT212" i="12"/>
  <c r="AT240" i="12"/>
  <c r="AT241" i="12" s="1"/>
  <c r="AR241" i="12" s="1"/>
  <c r="AR242" i="12"/>
  <c r="AT246" i="12"/>
  <c r="CP263" i="12"/>
  <c r="CN192" i="12"/>
  <c r="CP196" i="12"/>
  <c r="CN196" i="12" s="1"/>
  <c r="CN243" i="12"/>
  <c r="CN238" i="12" s="1"/>
  <c r="CP247" i="12"/>
  <c r="CN247" i="12" s="1"/>
  <c r="BI262" i="12"/>
  <c r="BI189" i="12"/>
  <c r="BI190" i="12" s="1"/>
  <c r="BG190" i="12" s="1"/>
  <c r="BG191" i="12"/>
  <c r="BI195" i="12"/>
  <c r="BI223" i="12"/>
  <c r="BI224" i="12" s="1"/>
  <c r="BG224" i="12" s="1"/>
  <c r="BG225" i="12"/>
  <c r="BI229" i="12"/>
  <c r="F41" i="18" a="1"/>
  <c r="F41" i="18" s="1"/>
  <c r="T40" i="18"/>
  <c r="CD262" i="12"/>
  <c r="CD189" i="12"/>
  <c r="CD190" i="12" s="1"/>
  <c r="CB190" i="12" s="1"/>
  <c r="CB191" i="12"/>
  <c r="CD195" i="12"/>
  <c r="CD223" i="12"/>
  <c r="CD224" i="12" s="1"/>
  <c r="CB224" i="12" s="1"/>
  <c r="CB225" i="12"/>
  <c r="CD229" i="12"/>
  <c r="BR98" i="12"/>
  <c r="BR99" i="12" s="1"/>
  <c r="BP99" i="12" s="1"/>
  <c r="BP100" i="12"/>
  <c r="BR103" i="12"/>
  <c r="BR111" i="12"/>
  <c r="BR112" i="12" s="1"/>
  <c r="BP112" i="12" s="1"/>
  <c r="BP113" i="12"/>
  <c r="BR116" i="12"/>
  <c r="AW206" i="12"/>
  <c r="AW207" i="12" s="1"/>
  <c r="AU207" i="12" s="1"/>
  <c r="AU208" i="12"/>
  <c r="AW212" i="12"/>
  <c r="AW240" i="12"/>
  <c r="AW241" i="12" s="1"/>
  <c r="AU241" i="12" s="1"/>
  <c r="AU242" i="12"/>
  <c r="AW246" i="12"/>
  <c r="AU169" i="12"/>
  <c r="CG111" i="12"/>
  <c r="CG112" i="12" s="1"/>
  <c r="CE112" i="12" s="1"/>
  <c r="CE113" i="12"/>
  <c r="CG116" i="12"/>
  <c r="CG98" i="12"/>
  <c r="CG99" i="12" s="1"/>
  <c r="CE99" i="12" s="1"/>
  <c r="CE100" i="12"/>
  <c r="CG103" i="12"/>
  <c r="AN206" i="12"/>
  <c r="AN207" i="12" s="1"/>
  <c r="AL207" i="12" s="1"/>
  <c r="AL208" i="12"/>
  <c r="AN212" i="12"/>
  <c r="AN240" i="12"/>
  <c r="AN241" i="12" s="1"/>
  <c r="AL241" i="12" s="1"/>
  <c r="AL242" i="12"/>
  <c r="AN246" i="12"/>
  <c r="AW111" i="12"/>
  <c r="AW112" i="12" s="1"/>
  <c r="AU112" i="12" s="1"/>
  <c r="AU113" i="12"/>
  <c r="AW116" i="12"/>
  <c r="AW98" i="12"/>
  <c r="AW99" i="12" s="1"/>
  <c r="AU99" i="12" s="1"/>
  <c r="AU100" i="12"/>
  <c r="AW103" i="12"/>
  <c r="BM209" i="12"/>
  <c r="BM204" i="12" s="1"/>
  <c r="BO213" i="12"/>
  <c r="BM213" i="12" s="1"/>
  <c r="BM243" i="12"/>
  <c r="BM238" i="12" s="1"/>
  <c r="BO247" i="12"/>
  <c r="BM247" i="12" s="1"/>
  <c r="BP243" i="12"/>
  <c r="BP238" i="12" s="1"/>
  <c r="BR247" i="12"/>
  <c r="BP247" i="12" s="1"/>
  <c r="BP209" i="12"/>
  <c r="BP204" i="12" s="1"/>
  <c r="BR213" i="12"/>
  <c r="BP213" i="12" s="1"/>
  <c r="BF98" i="12"/>
  <c r="BF99" i="12" s="1"/>
  <c r="BD99" i="12" s="1"/>
  <c r="BD100" i="12"/>
  <c r="BF103" i="12"/>
  <c r="BF111" i="12"/>
  <c r="BF112" i="12" s="1"/>
  <c r="BD112" i="12" s="1"/>
  <c r="BD113" i="12"/>
  <c r="BF116" i="12"/>
  <c r="BP169" i="12"/>
  <c r="F42" i="8" a="1"/>
  <c r="F42" i="8" s="1"/>
  <c r="U41" i="8"/>
  <c r="CG262" i="12"/>
  <c r="CG189" i="12"/>
  <c r="CG190" i="12" s="1"/>
  <c r="CE190" i="12" s="1"/>
  <c r="CE191" i="12"/>
  <c r="CG195" i="12"/>
  <c r="CG223" i="12"/>
  <c r="CG224" i="12" s="1"/>
  <c r="CE224" i="12" s="1"/>
  <c r="CE225" i="12"/>
  <c r="CG229" i="12"/>
  <c r="CM85" i="12"/>
  <c r="CM86" i="12" s="1"/>
  <c r="CK86" i="12" s="1"/>
  <c r="CK87" i="12"/>
  <c r="CM90" i="12"/>
  <c r="CM129" i="12"/>
  <c r="CM72" i="12"/>
  <c r="CM73" i="12" s="1"/>
  <c r="CK73" i="12" s="1"/>
  <c r="CK74" i="12"/>
  <c r="CM77" i="12"/>
  <c r="BF262" i="12"/>
  <c r="BF189" i="12"/>
  <c r="BF190" i="12" s="1"/>
  <c r="BD190" i="12" s="1"/>
  <c r="BD191" i="12"/>
  <c r="BF195" i="12"/>
  <c r="BF223" i="12"/>
  <c r="BF224" i="12" s="1"/>
  <c r="BD224" i="12" s="1"/>
  <c r="BD225" i="12"/>
  <c r="BF229" i="12"/>
  <c r="CP98" i="12"/>
  <c r="CP99" i="12" s="1"/>
  <c r="CN99" i="12" s="1"/>
  <c r="CN100" i="12"/>
  <c r="CP103" i="12"/>
  <c r="CP111" i="12"/>
  <c r="CP112" i="12" s="1"/>
  <c r="CN112" i="12" s="1"/>
  <c r="CN113" i="12"/>
  <c r="CP116" i="12"/>
  <c r="BJ209" i="12"/>
  <c r="BJ204" i="12" s="1"/>
  <c r="BL213" i="12"/>
  <c r="BJ213" i="12" s="1"/>
  <c r="BJ226" i="12"/>
  <c r="BJ221" i="12" s="1"/>
  <c r="BL230" i="12"/>
  <c r="BJ230" i="12" s="1"/>
  <c r="AN129" i="12"/>
  <c r="AN72" i="12"/>
  <c r="AN73" i="12" s="1"/>
  <c r="AL73" i="12" s="1"/>
  <c r="AL74" i="12"/>
  <c r="AN77" i="12"/>
  <c r="AN85" i="12"/>
  <c r="AN86" i="12" s="1"/>
  <c r="AL86" i="12" s="1"/>
  <c r="AL87" i="12"/>
  <c r="AN90" i="12"/>
  <c r="F53" i="33" a="1"/>
  <c r="F53" i="33" s="1"/>
  <c r="AQ262" i="12"/>
  <c r="AQ189" i="12"/>
  <c r="AQ190" i="12" s="1"/>
  <c r="AO190" i="12" s="1"/>
  <c r="AO191" i="12"/>
  <c r="AQ195" i="12"/>
  <c r="AQ223" i="12"/>
  <c r="AQ224" i="12" s="1"/>
  <c r="AO224" i="12" s="1"/>
  <c r="AO225" i="12"/>
  <c r="AQ229" i="12"/>
  <c r="CP262" i="12"/>
  <c r="CP189" i="12"/>
  <c r="CP190" i="12" s="1"/>
  <c r="CN190" i="12" s="1"/>
  <c r="CN191" i="12"/>
  <c r="CP195" i="12"/>
  <c r="CP223" i="12"/>
  <c r="CP224" i="12" s="1"/>
  <c r="CN224" i="12" s="1"/>
  <c r="CN225" i="12"/>
  <c r="CP229" i="12"/>
  <c r="CD98" i="12"/>
  <c r="CD99" i="12" s="1"/>
  <c r="CB99" i="12" s="1"/>
  <c r="CB100" i="12"/>
  <c r="CD103" i="12"/>
  <c r="CD111" i="12"/>
  <c r="CD112" i="12" s="1"/>
  <c r="CB112" i="12" s="1"/>
  <c r="CB113" i="12"/>
  <c r="CD116" i="12"/>
  <c r="AE84" i="27"/>
  <c r="AF29" i="27"/>
  <c r="AI28" i="23" a="1"/>
  <c r="AI28" i="23" s="1"/>
  <c r="AI29" i="27" s="1"/>
  <c r="BD29" i="27" s="1"/>
  <c r="BD46" i="23"/>
  <c r="BD28" i="23" s="1" a="1"/>
  <c r="BD28" i="23" s="1"/>
  <c r="AE29" i="27"/>
  <c r="BI263" i="12"/>
  <c r="BG192" i="12"/>
  <c r="BI196" i="12"/>
  <c r="BG196" i="12" s="1"/>
  <c r="BG226" i="12"/>
  <c r="BG221" i="12" s="1"/>
  <c r="BI230" i="12"/>
  <c r="BG230" i="12" s="1"/>
  <c r="BO111" i="12"/>
  <c r="BO112" i="12" s="1"/>
  <c r="BM112" i="12" s="1"/>
  <c r="BM113" i="12"/>
  <c r="BO116" i="12"/>
  <c r="BO98" i="12"/>
  <c r="BO99" i="12" s="1"/>
  <c r="BM99" i="12" s="1"/>
  <c r="BM100" i="12"/>
  <c r="BO103" i="12"/>
  <c r="AU209" i="12"/>
  <c r="AU204" i="12" s="1"/>
  <c r="AW213" i="12"/>
  <c r="AU213" i="12" s="1"/>
  <c r="AU243" i="12"/>
  <c r="AU238" i="12" s="1"/>
  <c r="AW247" i="12"/>
  <c r="AU247" i="12" s="1"/>
  <c r="CS263" i="12"/>
  <c r="CQ192" i="12"/>
  <c r="CS196" i="12"/>
  <c r="CQ196" i="12" s="1"/>
  <c r="CQ226" i="12"/>
  <c r="CQ221" i="12" s="1"/>
  <c r="CS230" i="12"/>
  <c r="CQ230" i="12" s="1"/>
  <c r="AN263" i="12"/>
  <c r="AL192" i="12"/>
  <c r="AN196" i="12"/>
  <c r="AL196" i="12" s="1"/>
  <c r="AL226" i="12"/>
  <c r="AL221" i="12" s="1"/>
  <c r="AN230" i="12"/>
  <c r="AL230" i="12" s="1"/>
  <c r="CJ263" i="12"/>
  <c r="CH192" i="12"/>
  <c r="CJ196" i="12"/>
  <c r="CH196" i="12" s="1"/>
  <c r="CH243" i="12"/>
  <c r="CH238" i="12" s="1"/>
  <c r="CJ247" i="12"/>
  <c r="CH247" i="12" s="1"/>
  <c r="CS111" i="12"/>
  <c r="CS112" i="12" s="1"/>
  <c r="CQ112" i="12" s="1"/>
  <c r="CQ113" i="12"/>
  <c r="CS116" i="12"/>
  <c r="CS98" i="12"/>
  <c r="CS99" i="12" s="1"/>
  <c r="CQ99" i="12" s="1"/>
  <c r="CQ100" i="12"/>
  <c r="CS103" i="12"/>
  <c r="AZ206" i="12"/>
  <c r="AZ207" i="12" s="1"/>
  <c r="AX207" i="12" s="1"/>
  <c r="AX208" i="12"/>
  <c r="AZ212" i="12"/>
  <c r="AZ240" i="12"/>
  <c r="AZ241" i="12" s="1"/>
  <c r="AX241" i="12" s="1"/>
  <c r="AX242" i="12"/>
  <c r="AZ246" i="12"/>
  <c r="BC111" i="12"/>
  <c r="BC112" i="12" s="1"/>
  <c r="BA112" i="12" s="1"/>
  <c r="BA113" i="12"/>
  <c r="BC116" i="12"/>
  <c r="BC98" i="12"/>
  <c r="BC99" i="12" s="1"/>
  <c r="BA99" i="12" s="1"/>
  <c r="BA100" i="12"/>
  <c r="BC103" i="12"/>
  <c r="CE209" i="12"/>
  <c r="CE204" i="12" s="1"/>
  <c r="CG213" i="12"/>
  <c r="CE213" i="12" s="1"/>
  <c r="AZ129" i="12"/>
  <c r="AZ72" i="12"/>
  <c r="AZ73" i="12" s="1"/>
  <c r="AX73" i="12" s="1"/>
  <c r="AX74" i="12"/>
  <c r="AZ77" i="12"/>
  <c r="AZ85" i="12"/>
  <c r="AZ86" i="12" s="1"/>
  <c r="AX86" i="12" s="1"/>
  <c r="AX87" i="12"/>
  <c r="AZ90" i="12"/>
  <c r="BF263" i="12"/>
  <c r="BD192" i="12"/>
  <c r="BF196" i="12"/>
  <c r="BD196" i="12" s="1"/>
  <c r="BS209" i="12"/>
  <c r="BS204" i="12" s="1"/>
  <c r="BU213" i="12"/>
  <c r="BS213" i="12" s="1"/>
  <c r="BV209" i="12"/>
  <c r="BV204" i="12" s="1"/>
  <c r="BX213" i="12"/>
  <c r="BV213" i="12" s="1"/>
  <c r="BV226" i="12"/>
  <c r="BV221" i="12" s="1"/>
  <c r="BX230" i="12"/>
  <c r="BV230" i="12" s="1"/>
  <c r="M41" i="28" a="1"/>
  <c r="M41" i="28" s="1"/>
  <c r="AS40" i="28" a="1"/>
  <c r="AS40" i="28" s="1"/>
  <c r="F96" i="27" a="1"/>
  <c r="F96" i="27" s="1"/>
  <c r="T95" i="27"/>
  <c r="BC85" i="12"/>
  <c r="BC86" i="12" s="1"/>
  <c r="BA86" i="12" s="1"/>
  <c r="BA87" i="12"/>
  <c r="BC90" i="12"/>
  <c r="BC129" i="12"/>
  <c r="BC72" i="12"/>
  <c r="BC73" i="12" s="1"/>
  <c r="BA73" i="12" s="1"/>
  <c r="BA74" i="12"/>
  <c r="BC77" i="12"/>
  <c r="CG263" i="12"/>
  <c r="CE192" i="12"/>
  <c r="CG196" i="12"/>
  <c r="CE196" i="12" s="1"/>
  <c r="CE226" i="12"/>
  <c r="CE221" i="12" s="1"/>
  <c r="CG230" i="12"/>
  <c r="CE230" i="12" s="1"/>
  <c r="AZ98" i="12"/>
  <c r="AZ99" i="12" s="1"/>
  <c r="AX99" i="12" s="1"/>
  <c r="AX100" i="12"/>
  <c r="AZ103" i="12"/>
  <c r="AZ111" i="12"/>
  <c r="AZ112" i="12" s="1"/>
  <c r="AX112" i="12" s="1"/>
  <c r="AX113" i="12"/>
  <c r="AZ116" i="12"/>
  <c r="BD209" i="12"/>
  <c r="BD204" i="12" s="1"/>
  <c r="BF213" i="12"/>
  <c r="BD213" i="12" s="1"/>
  <c r="BD226" i="12"/>
  <c r="BD221" i="12" s="1"/>
  <c r="BF230" i="12"/>
  <c r="BD230" i="12" s="1"/>
  <c r="AT129" i="12"/>
  <c r="AT72" i="12"/>
  <c r="AT73" i="12" s="1"/>
  <c r="AR73" i="12" s="1"/>
  <c r="AR74" i="12"/>
  <c r="AT77" i="12"/>
  <c r="AT85" i="12"/>
  <c r="AT86" i="12" s="1"/>
  <c r="AR86" i="12" s="1"/>
  <c r="AR87" i="12"/>
  <c r="AT90" i="12"/>
  <c r="BU263" i="12"/>
  <c r="BS192" i="12"/>
  <c r="BU196" i="12"/>
  <c r="BS196" i="12" s="1"/>
  <c r="BS226" i="12"/>
  <c r="BS221" i="12" s="1"/>
  <c r="BU230" i="12"/>
  <c r="BS230" i="12" s="1"/>
  <c r="BI111" i="12"/>
  <c r="BI112" i="12" s="1"/>
  <c r="BG112" i="12" s="1"/>
  <c r="BG113" i="12"/>
  <c r="BI116" i="12"/>
  <c r="BI98" i="12"/>
  <c r="BI99" i="12" s="1"/>
  <c r="BG99" i="12" s="1"/>
  <c r="BG100" i="12"/>
  <c r="BI103" i="12"/>
  <c r="BL206" i="12"/>
  <c r="BL207" i="12" s="1"/>
  <c r="BJ207" i="12" s="1"/>
  <c r="BJ208" i="12"/>
  <c r="BL212" i="12"/>
  <c r="BL240" i="12"/>
  <c r="BL241" i="12" s="1"/>
  <c r="BJ241" i="12" s="1"/>
  <c r="BJ242" i="12"/>
  <c r="BL246" i="12"/>
  <c r="CJ129" i="12"/>
  <c r="CJ72" i="12"/>
  <c r="CJ73" i="12" s="1"/>
  <c r="CH73" i="12" s="1"/>
  <c r="CH74" i="12"/>
  <c r="CJ77" i="12"/>
  <c r="CJ85" i="12"/>
  <c r="CJ86" i="12" s="1"/>
  <c r="CH86" i="12" s="1"/>
  <c r="CH87" i="12"/>
  <c r="CJ90" i="12"/>
  <c r="BX263" i="12"/>
  <c r="BV192" i="12"/>
  <c r="BX196" i="12"/>
  <c r="BV196" i="12" s="1"/>
  <c r="BV243" i="12"/>
  <c r="BV238" i="12" s="1"/>
  <c r="BX247" i="12"/>
  <c r="BV247" i="12" s="1"/>
  <c r="AO209" i="12"/>
  <c r="AO204" i="12" s="1"/>
  <c r="AQ213" i="12"/>
  <c r="AO213" i="12" s="1"/>
  <c r="AO243" i="12"/>
  <c r="AO238" i="12" s="1"/>
  <c r="AQ247" i="12"/>
  <c r="AO247" i="12" s="1"/>
  <c r="CM262" i="12"/>
  <c r="CM189" i="12"/>
  <c r="CM190" i="12" s="1"/>
  <c r="CK190" i="12" s="1"/>
  <c r="CK191" i="12"/>
  <c r="CM195" i="12"/>
  <c r="CM223" i="12"/>
  <c r="CM224" i="12" s="1"/>
  <c r="CK224" i="12" s="1"/>
  <c r="CK225" i="12"/>
  <c r="CM229" i="12"/>
  <c r="BX98" i="12"/>
  <c r="BX99" i="12" s="1"/>
  <c r="BV99" i="12" s="1"/>
  <c r="BV100" i="12"/>
  <c r="BX103" i="12"/>
  <c r="BX111" i="12"/>
  <c r="BX112" i="12" s="1"/>
  <c r="BV112" i="12" s="1"/>
  <c r="BV113" i="12"/>
  <c r="BX116" i="12"/>
  <c r="CA263" i="12"/>
  <c r="BY192" i="12"/>
  <c r="CA196" i="12"/>
  <c r="BY196" i="12" s="1"/>
  <c r="BY226" i="12"/>
  <c r="BY221" i="12" s="1"/>
  <c r="CA230" i="12"/>
  <c r="BY230" i="12" s="1"/>
  <c r="CS262" i="12"/>
  <c r="CS189" i="12"/>
  <c r="CS190" i="12" s="1"/>
  <c r="CQ190" i="12" s="1"/>
  <c r="CQ191" i="12"/>
  <c r="CS195" i="12"/>
  <c r="CS223" i="12"/>
  <c r="CS224" i="12" s="1"/>
  <c r="CQ224" i="12" s="1"/>
  <c r="CQ225" i="12"/>
  <c r="CS229" i="12"/>
  <c r="CJ206" i="12"/>
  <c r="CJ207" i="12" s="1"/>
  <c r="CH207" i="12" s="1"/>
  <c r="CH208" i="12"/>
  <c r="CJ212" i="12"/>
  <c r="CJ240" i="12"/>
  <c r="CJ241" i="12" s="1"/>
  <c r="CH241" i="12" s="1"/>
  <c r="CH242" i="12"/>
  <c r="CJ246" i="12"/>
  <c r="BL129" i="12"/>
  <c r="BL72" i="12"/>
  <c r="BL73" i="12" s="1"/>
  <c r="BJ73" i="12" s="1"/>
  <c r="BJ74" i="12"/>
  <c r="BL77" i="12"/>
  <c r="BL85" i="12"/>
  <c r="BL86" i="12" s="1"/>
  <c r="BJ86" i="12" s="1"/>
  <c r="BJ87" i="12"/>
  <c r="BL90" i="12"/>
  <c r="F68" i="31" a="1"/>
  <c r="F68" i="31" s="1"/>
  <c r="T67" i="31"/>
  <c r="F73" i="18" a="1"/>
  <c r="F73" i="18" s="1"/>
  <c r="T72" i="18"/>
  <c r="AL117" i="28"/>
  <c r="AX209" i="12"/>
  <c r="AX204" i="12" s="1"/>
  <c r="AZ213" i="12"/>
  <c r="AX213" i="12" s="1"/>
  <c r="AX226" i="12"/>
  <c r="AX221" i="12" s="1"/>
  <c r="AZ230" i="12"/>
  <c r="AX230" i="12" s="1"/>
  <c r="S169" i="12" a="1"/>
  <c r="S169" i="12" s="1"/>
  <c r="U168" i="12"/>
  <c r="U69" i="8"/>
  <c r="F70" i="8" a="1"/>
  <c r="F70" i="8" s="1"/>
  <c r="T40" i="31"/>
  <c r="F41" i="31" a="1"/>
  <c r="F41" i="31" s="1"/>
  <c r="M70" i="31" a="1"/>
  <c r="M70" i="31" s="1"/>
  <c r="BI69" i="31" a="1"/>
  <c r="BI69" i="31" s="1"/>
  <c r="M108" i="28" a="1"/>
  <c r="M108" i="28" s="1"/>
  <c r="AS107" i="28" a="1"/>
  <c r="AS107" i="28" s="1"/>
  <c r="BO262" i="12"/>
  <c r="BO189" i="12"/>
  <c r="BO190" i="12" s="1"/>
  <c r="BM190" i="12" s="1"/>
  <c r="BM191" i="12"/>
  <c r="BO195" i="12"/>
  <c r="BO223" i="12"/>
  <c r="BO224" i="12" s="1"/>
  <c r="BM224" i="12" s="1"/>
  <c r="BM225" i="12"/>
  <c r="BO229" i="12"/>
  <c r="BR262" i="12"/>
  <c r="BR189" i="12"/>
  <c r="BR190" i="12" s="1"/>
  <c r="BP190" i="12" s="1"/>
  <c r="BP191" i="12"/>
  <c r="BR195" i="12"/>
  <c r="BR223" i="12"/>
  <c r="BR224" i="12" s="1"/>
  <c r="BP224" i="12" s="1"/>
  <c r="BP225" i="12"/>
  <c r="BR229" i="12"/>
  <c r="BC262" i="12"/>
  <c r="BC189" i="12"/>
  <c r="BC190" i="12" s="1"/>
  <c r="BA190" i="12" s="1"/>
  <c r="BA191" i="12"/>
  <c r="BC195" i="12"/>
  <c r="BC223" i="12"/>
  <c r="BC224" i="12" s="1"/>
  <c r="BA224" i="12" s="1"/>
  <c r="BA225" i="12"/>
  <c r="BC229" i="12"/>
  <c r="BU206" i="12"/>
  <c r="BU207" i="12" s="1"/>
  <c r="BS207" i="12" s="1"/>
  <c r="BS208" i="12"/>
  <c r="BU212" i="12"/>
  <c r="BU240" i="12"/>
  <c r="BU241" i="12" s="1"/>
  <c r="BS241" i="12" s="1"/>
  <c r="BS242" i="12"/>
  <c r="BU246" i="12"/>
  <c r="BU111" i="12"/>
  <c r="BU112" i="12" s="1"/>
  <c r="BS112" i="12" s="1"/>
  <c r="BS113" i="12"/>
  <c r="BU116" i="12"/>
  <c r="BU98" i="12"/>
  <c r="BU99" i="12" s="1"/>
  <c r="BS99" i="12" s="1"/>
  <c r="BS100" i="12"/>
  <c r="BU103" i="12"/>
  <c r="BX206" i="12"/>
  <c r="BX207" i="12" s="1"/>
  <c r="BV207" i="12" s="1"/>
  <c r="BV208" i="12"/>
  <c r="BX212" i="12"/>
  <c r="BX240" i="12"/>
  <c r="BX241" i="12" s="1"/>
  <c r="BV241" i="12" s="1"/>
  <c r="BV242" i="12"/>
  <c r="BX246" i="12"/>
  <c r="F99" i="33" a="1"/>
  <c r="F99" i="33" s="1"/>
  <c r="CM263" i="12"/>
  <c r="CK192" i="12"/>
  <c r="CM196" i="12"/>
  <c r="CK196" i="12" s="1"/>
  <c r="CK226" i="12"/>
  <c r="CK221" i="12" s="1"/>
  <c r="CM230" i="12"/>
  <c r="CK230" i="12" s="1"/>
  <c r="AR209" i="12"/>
  <c r="AR204" i="12" s="1"/>
  <c r="AT213" i="12"/>
  <c r="AR213" i="12" s="1"/>
  <c r="AR226" i="12"/>
  <c r="AR221" i="12" s="1"/>
  <c r="AT230" i="12"/>
  <c r="AR230" i="12" s="1"/>
  <c r="AG28" i="23" a="1"/>
  <c r="AG28" i="23" s="1"/>
  <c r="AG29" i="27" s="1"/>
  <c r="AH46" i="23"/>
  <c r="AH28" i="23" s="1" a="1"/>
  <c r="AH28" i="23" s="1"/>
  <c r="CA206" i="12"/>
  <c r="CA207" i="12" s="1"/>
  <c r="BY207" i="12" s="1"/>
  <c r="BY208" i="12"/>
  <c r="CA212" i="12"/>
  <c r="CA240" i="12"/>
  <c r="CA241" i="12" s="1"/>
  <c r="BY241" i="12" s="1"/>
  <c r="BY242" i="12"/>
  <c r="CA246" i="12"/>
  <c r="CB209" i="12"/>
  <c r="CB204" i="12" s="1"/>
  <c r="CD213" i="12"/>
  <c r="CB213" i="12" s="1"/>
  <c r="CB226" i="12"/>
  <c r="CB221" i="12" s="1"/>
  <c r="CD230" i="12"/>
  <c r="CB230" i="12" s="1"/>
  <c r="BA209" i="12"/>
  <c r="BA204" i="12" s="1"/>
  <c r="BC213" i="12"/>
  <c r="BA213" i="12" s="1"/>
  <c r="BA243" i="12"/>
  <c r="BA238" i="12" s="1"/>
  <c r="BC247" i="12"/>
  <c r="BA247" i="12" s="1"/>
  <c r="AQ85" i="12"/>
  <c r="AQ86" i="12" s="1"/>
  <c r="AO86" i="12" s="1"/>
  <c r="AO87" i="12"/>
  <c r="AQ90" i="12"/>
  <c r="AQ129" i="12"/>
  <c r="AQ72" i="12"/>
  <c r="AQ73" i="12" s="1"/>
  <c r="AO73" i="12" s="1"/>
  <c r="AO74" i="12"/>
  <c r="AQ77" i="12"/>
  <c r="AL50" i="28"/>
  <c r="T51" i="13" a="1"/>
  <c r="T51" i="13" s="1"/>
  <c r="T52" i="13" s="1" a="1"/>
  <c r="T52" i="13" s="1"/>
  <c r="T50" i="13" a="1"/>
  <c r="T50" i="13" s="1"/>
  <c r="CA85" i="12"/>
  <c r="CA86" i="12" s="1"/>
  <c r="BY86" i="12" s="1"/>
  <c r="BY87" i="12"/>
  <c r="CA90" i="12"/>
  <c r="CA129" i="12"/>
  <c r="CA72" i="12"/>
  <c r="CA73" i="12" s="1"/>
  <c r="BY73" i="12" s="1"/>
  <c r="BY74" i="12"/>
  <c r="CA77" i="12"/>
  <c r="AT262" i="12"/>
  <c r="AT189" i="12"/>
  <c r="AT190" i="12" s="1"/>
  <c r="AR190" i="12" s="1"/>
  <c r="AR191" i="12"/>
  <c r="AT195" i="12"/>
  <c r="AT223" i="12"/>
  <c r="AT224" i="12" s="1"/>
  <c r="AR224" i="12" s="1"/>
  <c r="AR225" i="12"/>
  <c r="AT229" i="12"/>
  <c r="CN209" i="12"/>
  <c r="CN204" i="12" s="1"/>
  <c r="CP213" i="12"/>
  <c r="CN213" i="12" s="1"/>
  <c r="CN226" i="12"/>
  <c r="CN221" i="12" s="1"/>
  <c r="CP230" i="12"/>
  <c r="CN230" i="12" s="1"/>
  <c r="T115" i="12" a="1"/>
  <c r="T115" i="12" s="1"/>
  <c r="L116" i="12" a="1"/>
  <c r="L116" i="12" s="1"/>
  <c r="BI206" i="12"/>
  <c r="BI207" i="12" s="1"/>
  <c r="BG207" i="12" s="1"/>
  <c r="BG208" i="12"/>
  <c r="BI212" i="12"/>
  <c r="BI240" i="12"/>
  <c r="BI241" i="12" s="1"/>
  <c r="BG241" i="12" s="1"/>
  <c r="BG242" i="12"/>
  <c r="BI246" i="12"/>
  <c r="BG169" i="12"/>
  <c r="CD206" i="12"/>
  <c r="CD207" i="12" s="1"/>
  <c r="CB207" i="12" s="1"/>
  <c r="CB208" i="12"/>
  <c r="CD212" i="12"/>
  <c r="CD240" i="12"/>
  <c r="CD241" i="12" s="1"/>
  <c r="CB241" i="12" s="1"/>
  <c r="CB242" i="12"/>
  <c r="CD246" i="12"/>
  <c r="BR129" i="12"/>
  <c r="BR72" i="12"/>
  <c r="BR73" i="12" s="1"/>
  <c r="BP73" i="12" s="1"/>
  <c r="BP74" i="12"/>
  <c r="BR77" i="12"/>
  <c r="BR85" i="12"/>
  <c r="BR86" i="12" s="1"/>
  <c r="BP86" i="12" s="1"/>
  <c r="BP87" i="12"/>
  <c r="BR90" i="12"/>
  <c r="AW262" i="12"/>
  <c r="AW189" i="12"/>
  <c r="AW190" i="12" s="1"/>
  <c r="AU190" i="12" s="1"/>
  <c r="AU191" i="12"/>
  <c r="AW195" i="12"/>
  <c r="AW223" i="12"/>
  <c r="AW224" i="12" s="1"/>
  <c r="AU224" i="12" s="1"/>
  <c r="AU225" i="12"/>
  <c r="AW229" i="12"/>
  <c r="CG85" i="12"/>
  <c r="CG86" i="12" s="1"/>
  <c r="CE86" i="12" s="1"/>
  <c r="CE87" i="12"/>
  <c r="CG90" i="12"/>
  <c r="CG129" i="12"/>
  <c r="CG72" i="12"/>
  <c r="CG73" i="12" s="1"/>
  <c r="CE73" i="12" s="1"/>
  <c r="CE74" i="12"/>
  <c r="CG77" i="12"/>
  <c r="AN262" i="12"/>
  <c r="AN189" i="12"/>
  <c r="AN190" i="12" s="1"/>
  <c r="AL190" i="12" s="1"/>
  <c r="AL191" i="12"/>
  <c r="AN195" i="12"/>
  <c r="AN223" i="12"/>
  <c r="AN224" i="12" s="1"/>
  <c r="AL224" i="12" s="1"/>
  <c r="AL225" i="12"/>
  <c r="AN229" i="12"/>
  <c r="CH169" i="12"/>
  <c r="AW85" i="12"/>
  <c r="AW86" i="12" s="1"/>
  <c r="AU86" i="12" s="1"/>
  <c r="AU87" i="12"/>
  <c r="AW90" i="12"/>
  <c r="AW129" i="12"/>
  <c r="AW72" i="12"/>
  <c r="AW73" i="12" s="1"/>
  <c r="AU73" i="12" s="1"/>
  <c r="AU74" i="12"/>
  <c r="AW77" i="12"/>
  <c r="N95" i="27" a="1"/>
  <c r="N95" i="27" s="1"/>
  <c r="BX94" i="27" a="1"/>
  <c r="BX94" i="27" s="1"/>
  <c r="BO263" i="12"/>
  <c r="BM192" i="12"/>
  <c r="BO196" i="12"/>
  <c r="BM196" i="12" s="1"/>
  <c r="BM226" i="12"/>
  <c r="BM221" i="12" s="1"/>
  <c r="BO230" i="12"/>
  <c r="BM230" i="12" s="1"/>
  <c r="BR263" i="12"/>
  <c r="BP192" i="12"/>
  <c r="BR196" i="12"/>
  <c r="BP196" i="12" s="1"/>
  <c r="BP226" i="12"/>
  <c r="BP221" i="12" s="1"/>
  <c r="BR230" i="12"/>
  <c r="BP230" i="12" s="1"/>
  <c r="BF129" i="12"/>
  <c r="BF72" i="12"/>
  <c r="BF73" i="12" s="1"/>
  <c r="BD73" i="12" s="1"/>
  <c r="BD74" i="12"/>
  <c r="BF77" i="12"/>
  <c r="BF85" i="12"/>
  <c r="BF86" i="12" s="1"/>
  <c r="BD86" i="12" s="1"/>
  <c r="BD87" i="12"/>
  <c r="BF90" i="12"/>
  <c r="CG206" i="12"/>
  <c r="CG207" i="12" s="1"/>
  <c r="CE207" i="12" s="1"/>
  <c r="CE208" i="12"/>
  <c r="CG212" i="12"/>
  <c r="CG240" i="12"/>
  <c r="CG241" i="12" s="1"/>
  <c r="CE241" i="12" s="1"/>
  <c r="CE242" i="12"/>
  <c r="CG246" i="12"/>
  <c r="CE169" i="12"/>
  <c r="CM111" i="12"/>
  <c r="CM112" i="12" s="1"/>
  <c r="CK112" i="12" s="1"/>
  <c r="CK113" i="12"/>
  <c r="CM116" i="12"/>
  <c r="CM98" i="12"/>
  <c r="CM99" i="12" s="1"/>
  <c r="CK99" i="12" s="1"/>
  <c r="CK100" i="12"/>
  <c r="CM103" i="12"/>
  <c r="BF206" i="12"/>
  <c r="BF207" i="12" s="1"/>
  <c r="BD207" i="12" s="1"/>
  <c r="BD208" i="12"/>
  <c r="BF212" i="12"/>
  <c r="BF240" i="12"/>
  <c r="BF241" i="12" s="1"/>
  <c r="BD241" i="12" s="1"/>
  <c r="BD242" i="12"/>
  <c r="BF246" i="12"/>
  <c r="CP129" i="12"/>
  <c r="CP72" i="12"/>
  <c r="CP73" i="12" s="1"/>
  <c r="CN73" i="12" s="1"/>
  <c r="CN74" i="12"/>
  <c r="CP77" i="12"/>
  <c r="CP85" i="12"/>
  <c r="CP86" i="12" s="1"/>
  <c r="CN86" i="12" s="1"/>
  <c r="CN87" i="12"/>
  <c r="CP90" i="12"/>
  <c r="BL263" i="12"/>
  <c r="BJ192" i="12"/>
  <c r="BL196" i="12"/>
  <c r="BJ196" i="12" s="1"/>
  <c r="BJ243" i="12"/>
  <c r="BJ238" i="12" s="1"/>
  <c r="BL247" i="12"/>
  <c r="BJ247" i="12" s="1"/>
  <c r="AN98" i="12"/>
  <c r="AN99" i="12" s="1"/>
  <c r="AL99" i="12" s="1"/>
  <c r="AL100" i="12"/>
  <c r="AN103" i="12"/>
  <c r="AN111" i="12"/>
  <c r="AN112" i="12" s="1"/>
  <c r="AL112" i="12" s="1"/>
  <c r="AL113" i="12"/>
  <c r="AN116" i="12"/>
  <c r="BV169" i="12"/>
  <c r="AQ206" i="12"/>
  <c r="AQ207" i="12" s="1"/>
  <c r="AO207" i="12" s="1"/>
  <c r="AO208" i="12"/>
  <c r="AQ212" i="12"/>
  <c r="AQ240" i="12"/>
  <c r="AQ241" i="12" s="1"/>
  <c r="AO241" i="12" s="1"/>
  <c r="AO242" i="12"/>
  <c r="AQ246" i="12"/>
  <c r="AO169" i="12"/>
  <c r="CP206" i="12"/>
  <c r="CP207" i="12" s="1"/>
  <c r="CN207" i="12" s="1"/>
  <c r="CN208" i="12"/>
  <c r="CP212" i="12"/>
  <c r="CP240" i="12"/>
  <c r="CP241" i="12" s="1"/>
  <c r="CN241" i="12" s="1"/>
  <c r="CN242" i="12"/>
  <c r="CP246" i="12"/>
  <c r="CD129" i="12"/>
  <c r="CD72" i="12"/>
  <c r="CD73" i="12" s="1"/>
  <c r="CB73" i="12" s="1"/>
  <c r="CB74" i="12"/>
  <c r="CD77" i="12"/>
  <c r="CD85" i="12"/>
  <c r="CD86" i="12" s="1"/>
  <c r="CB86" i="12" s="1"/>
  <c r="CB87" i="12"/>
  <c r="CD90" i="12"/>
  <c r="BG209" i="12"/>
  <c r="BG204" i="12" s="1"/>
  <c r="BI213" i="12"/>
  <c r="BG213" i="12" s="1"/>
  <c r="BG243" i="12"/>
  <c r="BG238" i="12" s="1"/>
  <c r="BI247" i="12"/>
  <c r="BG247" i="12" s="1"/>
  <c r="N40" i="27" a="1"/>
  <c r="N40" i="27" s="1"/>
  <c r="BX39" i="27" a="1"/>
  <c r="BX39" i="27" s="1"/>
  <c r="BO85" i="12"/>
  <c r="BO86" i="12" s="1"/>
  <c r="BM86" i="12" s="1"/>
  <c r="BM87" i="12"/>
  <c r="BO90" i="12"/>
  <c r="BO129" i="12"/>
  <c r="BO72" i="12"/>
  <c r="BO73" i="12" s="1"/>
  <c r="BM73" i="12" s="1"/>
  <c r="BM74" i="12"/>
  <c r="BO77" i="12"/>
  <c r="AW263" i="12"/>
  <c r="AU192" i="12"/>
  <c r="AW196" i="12"/>
  <c r="AU196" i="12" s="1"/>
  <c r="AU226" i="12"/>
  <c r="AU221" i="12" s="1"/>
  <c r="AW230" i="12"/>
  <c r="AU230" i="12" s="1"/>
  <c r="CQ209" i="12"/>
  <c r="CQ204" i="12" s="1"/>
  <c r="CS213" i="12"/>
  <c r="CQ213" i="12" s="1"/>
  <c r="CQ243" i="12"/>
  <c r="CQ238" i="12" s="1"/>
  <c r="CS247" i="12"/>
  <c r="CQ247" i="12" s="1"/>
  <c r="AL243" i="12"/>
  <c r="AL238" i="12" s="1"/>
  <c r="AN247" i="12"/>
  <c r="AL247" i="12" s="1"/>
  <c r="AL209" i="12"/>
  <c r="AL204" i="12" s="1"/>
  <c r="AN213" i="12"/>
  <c r="AL213" i="12" s="1"/>
  <c r="CH209" i="12"/>
  <c r="CH204" i="12" s="1"/>
  <c r="CJ213" i="12"/>
  <c r="CH213" i="12" s="1"/>
  <c r="CH226" i="12"/>
  <c r="CH221" i="12" s="1"/>
  <c r="CJ230" i="12"/>
  <c r="CH230" i="12" s="1"/>
  <c r="AB52" i="18" a="1"/>
  <c r="AB52" i="18" s="1"/>
  <c r="V52" i="18" a="1"/>
  <c r="V52" i="18" s="1"/>
  <c r="S58" i="12" a="1"/>
  <c r="S58" i="12" s="1"/>
  <c r="U57" i="12"/>
  <c r="M43" i="31" a="1"/>
  <c r="M43" i="31" s="1"/>
  <c r="BI42" i="31" a="1"/>
  <c r="BI42" i="31" s="1"/>
  <c r="CS85" i="12"/>
  <c r="CS86" i="12" s="1"/>
  <c r="CQ86" i="12" s="1"/>
  <c r="CQ87" i="12"/>
  <c r="CS90" i="12"/>
  <c r="CS129" i="12"/>
  <c r="CS72" i="12"/>
  <c r="CS73" i="12" s="1"/>
  <c r="CQ73" i="12" s="1"/>
  <c r="CQ74" i="12"/>
  <c r="CS77" i="12"/>
  <c r="AZ262" i="12"/>
  <c r="AZ189" i="12"/>
  <c r="AZ190" i="12" s="1"/>
  <c r="AX190" i="12" s="1"/>
  <c r="AX191" i="12"/>
  <c r="AZ195" i="12"/>
  <c r="AZ223" i="12"/>
  <c r="AZ224" i="12" s="1"/>
  <c r="AX224" i="12" s="1"/>
  <c r="AX225" i="12"/>
  <c r="AZ229" i="12"/>
  <c r="AX223" i="12" l="1"/>
  <c r="AX220" i="12"/>
  <c r="AZ194" i="12"/>
  <c r="AX195" i="12"/>
  <c r="AX194" i="12" s="1"/>
  <c r="M44" i="31" a="1"/>
  <c r="M44" i="31" s="1"/>
  <c r="M45" i="31" s="1" a="1"/>
  <c r="M45" i="31" s="1"/>
  <c r="BI43" i="31" a="1"/>
  <c r="BI43" i="31" s="1"/>
  <c r="S59" i="12" a="1"/>
  <c r="S59" i="12" s="1"/>
  <c r="U58" i="12"/>
  <c r="BO89" i="12"/>
  <c r="BM90" i="12"/>
  <c r="BM89" i="12" s="1"/>
  <c r="CB85" i="12"/>
  <c r="CB83" i="12"/>
  <c r="CD76" i="12"/>
  <c r="CB77" i="12"/>
  <c r="CB76" i="12" s="1"/>
  <c r="CP245" i="12"/>
  <c r="CN246" i="12"/>
  <c r="CN245" i="12" s="1"/>
  <c r="CN206" i="12"/>
  <c r="CN203" i="12"/>
  <c r="AO240" i="12"/>
  <c r="AO237" i="12"/>
  <c r="AQ211" i="12"/>
  <c r="AO212" i="12"/>
  <c r="AO211" i="12" s="1"/>
  <c r="AZ228" i="12"/>
  <c r="AX229" i="12"/>
  <c r="AX228" i="12" s="1"/>
  <c r="AX262" i="12"/>
  <c r="AX189" i="12"/>
  <c r="AX186" i="12"/>
  <c r="AZ271" i="12"/>
  <c r="AZ267" i="12"/>
  <c r="AZ258" i="12"/>
  <c r="CQ129" i="12"/>
  <c r="CQ72" i="12"/>
  <c r="CQ70" i="12"/>
  <c r="CS133" i="12"/>
  <c r="CS136" i="12"/>
  <c r="CS125" i="12"/>
  <c r="CQ85" i="12"/>
  <c r="CQ83" i="12"/>
  <c r="AW268" i="12"/>
  <c r="AW272" i="12"/>
  <c r="BM129" i="12"/>
  <c r="BM72" i="12"/>
  <c r="BM70" i="12"/>
  <c r="BO133" i="12"/>
  <c r="BO136" i="12"/>
  <c r="BO125" i="12"/>
  <c r="BM85" i="12"/>
  <c r="BM83" i="12"/>
  <c r="CD89" i="12"/>
  <c r="CB90" i="12"/>
  <c r="CB89" i="12" s="1"/>
  <c r="CB129" i="12"/>
  <c r="CB72" i="12"/>
  <c r="CB70" i="12"/>
  <c r="CD136" i="12"/>
  <c r="CD125" i="12"/>
  <c r="CD133" i="12"/>
  <c r="CN240" i="12"/>
  <c r="CN237" i="12"/>
  <c r="CP211" i="12"/>
  <c r="CN212" i="12"/>
  <c r="CN211" i="12" s="1"/>
  <c r="AQ245" i="12"/>
  <c r="AO246" i="12"/>
  <c r="AO245" i="12" s="1"/>
  <c r="AO206" i="12"/>
  <c r="AO203" i="12"/>
  <c r="AL111" i="12"/>
  <c r="AL109" i="12"/>
  <c r="AN102" i="12"/>
  <c r="AL103" i="12"/>
  <c r="AL102" i="12" s="1"/>
  <c r="BJ263" i="12"/>
  <c r="BJ187" i="12"/>
  <c r="CP89" i="12"/>
  <c r="CN90" i="12"/>
  <c r="CN89" i="12" s="1"/>
  <c r="CN129" i="12"/>
  <c r="CN72" i="12"/>
  <c r="CN70" i="12"/>
  <c r="CP136" i="12"/>
  <c r="CP125" i="12"/>
  <c r="CP133" i="12"/>
  <c r="BD240" i="12"/>
  <c r="BD237" i="12"/>
  <c r="BF211" i="12"/>
  <c r="BD212" i="12"/>
  <c r="BD211" i="12" s="1"/>
  <c r="CK98" i="12"/>
  <c r="CK96" i="12"/>
  <c r="CM115" i="12"/>
  <c r="CK116" i="12"/>
  <c r="CK115" i="12" s="1"/>
  <c r="CG245" i="12"/>
  <c r="CE246" i="12"/>
  <c r="CE245" i="12" s="1"/>
  <c r="CE206" i="12"/>
  <c r="CE203" i="12"/>
  <c r="BF89" i="12"/>
  <c r="BD90" i="12"/>
  <c r="BD89" i="12" s="1"/>
  <c r="BD129" i="12"/>
  <c r="BD72" i="12"/>
  <c r="BD70" i="12"/>
  <c r="BF136" i="12"/>
  <c r="BF125" i="12"/>
  <c r="BF133" i="12"/>
  <c r="BP263" i="12"/>
  <c r="BP187" i="12"/>
  <c r="BO268" i="12"/>
  <c r="BO272" i="12"/>
  <c r="N96" i="27" a="1"/>
  <c r="N96" i="27" s="1"/>
  <c r="BX95" i="27" a="1"/>
  <c r="BX95" i="27" s="1"/>
  <c r="AU129" i="12"/>
  <c r="AU72" i="12"/>
  <c r="AU70" i="12"/>
  <c r="AW133" i="12"/>
  <c r="AW136" i="12"/>
  <c r="AW125" i="12"/>
  <c r="AU85" i="12"/>
  <c r="AU83" i="12"/>
  <c r="AL223" i="12"/>
  <c r="AL220" i="12"/>
  <c r="AN194" i="12"/>
  <c r="AL195" i="12"/>
  <c r="AL194" i="12" s="1"/>
  <c r="CG76" i="12"/>
  <c r="CE77" i="12"/>
  <c r="CE76" i="12" s="1"/>
  <c r="CG89" i="12"/>
  <c r="CE90" i="12"/>
  <c r="CE89" i="12" s="1"/>
  <c r="AU223" i="12"/>
  <c r="AU220" i="12"/>
  <c r="AW194" i="12"/>
  <c r="AU195" i="12"/>
  <c r="AU194" i="12" s="1"/>
  <c r="BR89" i="12"/>
  <c r="BP90" i="12"/>
  <c r="BP89" i="12" s="1"/>
  <c r="BP129" i="12"/>
  <c r="BP72" i="12"/>
  <c r="BP70" i="12"/>
  <c r="BR136" i="12"/>
  <c r="BR125" i="12"/>
  <c r="BR133" i="12"/>
  <c r="CB240" i="12"/>
  <c r="CB237" i="12"/>
  <c r="CD211" i="12"/>
  <c r="CB212" i="12"/>
  <c r="CB211" i="12" s="1"/>
  <c r="BG240" i="12"/>
  <c r="BG237" i="12"/>
  <c r="BI211" i="12"/>
  <c r="BG212" i="12"/>
  <c r="BG211" i="12" s="1"/>
  <c r="T116" i="12"/>
  <c r="L117" i="12" a="1"/>
  <c r="L117" i="12" s="1"/>
  <c r="L118" i="12" s="1" a="1"/>
  <c r="L118" i="12" s="1"/>
  <c r="L119" i="12" s="1" a="1"/>
  <c r="L119" i="12" s="1"/>
  <c r="L120" i="12" s="1" a="1"/>
  <c r="L120" i="12" s="1"/>
  <c r="L121" i="12" s="1" a="1"/>
  <c r="L121" i="12" s="1"/>
  <c r="L122" i="12" s="1" a="1"/>
  <c r="L122" i="12" s="1"/>
  <c r="AT228" i="12"/>
  <c r="AR229" i="12"/>
  <c r="AR228" i="12" s="1"/>
  <c r="AR262" i="12"/>
  <c r="AR189" i="12"/>
  <c r="AR186" i="12"/>
  <c r="AT271" i="12"/>
  <c r="AT267" i="12"/>
  <c r="AT258" i="12"/>
  <c r="BY129" i="12"/>
  <c r="BY72" i="12"/>
  <c r="BY70" i="12"/>
  <c r="CA133" i="12"/>
  <c r="CA136" i="12"/>
  <c r="CA125" i="12"/>
  <c r="BY85" i="12"/>
  <c r="BY83" i="12"/>
  <c r="AO129" i="12"/>
  <c r="AO72" i="12"/>
  <c r="AO70" i="12"/>
  <c r="AQ133" i="12"/>
  <c r="AQ136" i="12"/>
  <c r="AQ125" i="12"/>
  <c r="AO85" i="12"/>
  <c r="AO83" i="12"/>
  <c r="CA245" i="12"/>
  <c r="BY246" i="12"/>
  <c r="BY245" i="12" s="1"/>
  <c r="BY206" i="12"/>
  <c r="BY203" i="12"/>
  <c r="CK263" i="12"/>
  <c r="CK187" i="12"/>
  <c r="F100" i="33" a="1"/>
  <c r="F100" i="33" s="1"/>
  <c r="BV240" i="12"/>
  <c r="BV237" i="12"/>
  <c r="BX211" i="12"/>
  <c r="BV212" i="12"/>
  <c r="BV211" i="12" s="1"/>
  <c r="BS98" i="12"/>
  <c r="BS96" i="12"/>
  <c r="BU115" i="12"/>
  <c r="BS116" i="12"/>
  <c r="BS115" i="12" s="1"/>
  <c r="BS240" i="12"/>
  <c r="BS237" i="12"/>
  <c r="BU211" i="12"/>
  <c r="BS212" i="12"/>
  <c r="BS211" i="12" s="1"/>
  <c r="BA223" i="12"/>
  <c r="BA220" i="12"/>
  <c r="BC194" i="12"/>
  <c r="BA195" i="12"/>
  <c r="BA194" i="12" s="1"/>
  <c r="BR228" i="12"/>
  <c r="BP229" i="12"/>
  <c r="BP228" i="12" s="1"/>
  <c r="BP262" i="12"/>
  <c r="BP189" i="12"/>
  <c r="BP186" i="12"/>
  <c r="BR271" i="12"/>
  <c r="BR267" i="12"/>
  <c r="BR258" i="12"/>
  <c r="BM223" i="12"/>
  <c r="BM220" i="12"/>
  <c r="BO194" i="12"/>
  <c r="BM195" i="12"/>
  <c r="BM194" i="12" s="1"/>
  <c r="T41" i="31"/>
  <c r="F42" i="31" a="1"/>
  <c r="F42" i="31" s="1"/>
  <c r="F71" i="8" a="1"/>
  <c r="F71" i="8" s="1"/>
  <c r="U70" i="8"/>
  <c r="BL89" i="12"/>
  <c r="BJ90" i="12"/>
  <c r="BJ89" i="12" s="1"/>
  <c r="BJ129" i="12"/>
  <c r="BJ72" i="12"/>
  <c r="BJ70" i="12"/>
  <c r="BL136" i="12"/>
  <c r="BL125" i="12"/>
  <c r="BL133" i="12"/>
  <c r="CH240" i="12"/>
  <c r="CH237" i="12"/>
  <c r="CJ211" i="12"/>
  <c r="CH212" i="12"/>
  <c r="CH211" i="12" s="1"/>
  <c r="CQ223" i="12"/>
  <c r="CQ220" i="12"/>
  <c r="CS194" i="12"/>
  <c r="CQ195" i="12"/>
  <c r="CQ194" i="12" s="1"/>
  <c r="CA268" i="12"/>
  <c r="CA272" i="12"/>
  <c r="BV111" i="12"/>
  <c r="BV109" i="12"/>
  <c r="BX102" i="12"/>
  <c r="BV103" i="12"/>
  <c r="BV102" i="12" s="1"/>
  <c r="CK223" i="12"/>
  <c r="CK220" i="12"/>
  <c r="CM194" i="12"/>
  <c r="CK195" i="12"/>
  <c r="CK194" i="12" s="1"/>
  <c r="BV263" i="12"/>
  <c r="BV187" i="12"/>
  <c r="CJ89" i="12"/>
  <c r="CH90" i="12"/>
  <c r="CH89" i="12" s="1"/>
  <c r="CH129" i="12"/>
  <c r="CH72" i="12"/>
  <c r="CH70" i="12"/>
  <c r="CJ136" i="12"/>
  <c r="CJ125" i="12"/>
  <c r="CJ133" i="12"/>
  <c r="BJ240" i="12"/>
  <c r="BJ237" i="12"/>
  <c r="BL211" i="12"/>
  <c r="BJ212" i="12"/>
  <c r="BJ211" i="12" s="1"/>
  <c r="BG98" i="12"/>
  <c r="BG96" i="12"/>
  <c r="BI115" i="12"/>
  <c r="BG116" i="12"/>
  <c r="BG115" i="12" s="1"/>
  <c r="BS263" i="12"/>
  <c r="BS187" i="12"/>
  <c r="AT89" i="12"/>
  <c r="AR90" i="12"/>
  <c r="AR89" i="12" s="1"/>
  <c r="AR129" i="12"/>
  <c r="AR72" i="12"/>
  <c r="AR70" i="12"/>
  <c r="AT136" i="12"/>
  <c r="AT125" i="12"/>
  <c r="AT133" i="12"/>
  <c r="AX111" i="12"/>
  <c r="AX109" i="12"/>
  <c r="AZ102" i="12"/>
  <c r="AX103" i="12"/>
  <c r="AX102" i="12" s="1"/>
  <c r="CE263" i="12"/>
  <c r="CE187" i="12"/>
  <c r="BC76" i="12"/>
  <c r="BA77" i="12"/>
  <c r="BA76" i="12" s="1"/>
  <c r="BC89" i="12"/>
  <c r="BA90" i="12"/>
  <c r="BA89" i="12" s="1"/>
  <c r="F97" i="27" a="1"/>
  <c r="F97" i="27" s="1"/>
  <c r="T96" i="27"/>
  <c r="M42" i="28" a="1"/>
  <c r="M42" i="28" s="1"/>
  <c r="AS41" i="28" a="1"/>
  <c r="AS41" i="28" s="1"/>
  <c r="BD263" i="12"/>
  <c r="BD187" i="12"/>
  <c r="AZ89" i="12"/>
  <c r="AX90" i="12"/>
  <c r="AX89" i="12" s="1"/>
  <c r="AX129" i="12"/>
  <c r="AX72" i="12"/>
  <c r="AX70" i="12"/>
  <c r="AZ136" i="12"/>
  <c r="AZ125" i="12"/>
  <c r="AZ133" i="12"/>
  <c r="BA98" i="12"/>
  <c r="BA96" i="12"/>
  <c r="BC115" i="12"/>
  <c r="BA116" i="12"/>
  <c r="BA115" i="12" s="1"/>
  <c r="AX240" i="12"/>
  <c r="AX237" i="12"/>
  <c r="AZ211" i="12"/>
  <c r="AX212" i="12"/>
  <c r="AX211" i="12" s="1"/>
  <c r="CQ98" i="12"/>
  <c r="CQ96" i="12"/>
  <c r="CS115" i="12"/>
  <c r="CQ116" i="12"/>
  <c r="CQ115" i="12" s="1"/>
  <c r="CH263" i="12"/>
  <c r="CH187" i="12"/>
  <c r="AN272" i="12"/>
  <c r="AN268" i="12"/>
  <c r="CQ263" i="12"/>
  <c r="CQ187" i="12"/>
  <c r="BO102" i="12"/>
  <c r="BM103" i="12"/>
  <c r="BM102" i="12" s="1"/>
  <c r="BM111" i="12"/>
  <c r="BM109" i="12"/>
  <c r="BI268" i="12"/>
  <c r="BI272" i="12"/>
  <c r="CD115" i="12"/>
  <c r="CB116" i="12"/>
  <c r="CB115" i="12" s="1"/>
  <c r="CB98" i="12"/>
  <c r="CB96" i="12"/>
  <c r="CP228" i="12"/>
  <c r="CN229" i="12"/>
  <c r="CN228" i="12" s="1"/>
  <c r="CN262" i="12"/>
  <c r="CN189" i="12"/>
  <c r="CN186" i="12"/>
  <c r="CP271" i="12"/>
  <c r="CP267" i="12"/>
  <c r="CP258" i="12"/>
  <c r="AO223" i="12"/>
  <c r="AO220" i="12"/>
  <c r="AQ194" i="12"/>
  <c r="AO195" i="12"/>
  <c r="AO194" i="12" s="1"/>
  <c r="F54" i="33" a="1"/>
  <c r="F54" i="33" s="1"/>
  <c r="AL85" i="12"/>
  <c r="AL83" i="12"/>
  <c r="AN76" i="12"/>
  <c r="AL77" i="12"/>
  <c r="AL76" i="12" s="1"/>
  <c r="CP115" i="12"/>
  <c r="CN116" i="12"/>
  <c r="CN115" i="12" s="1"/>
  <c r="CN98" i="12"/>
  <c r="CN96" i="12"/>
  <c r="BF228" i="12"/>
  <c r="BD229" i="12"/>
  <c r="BD228" i="12" s="1"/>
  <c r="BD262" i="12"/>
  <c r="BD189" i="12"/>
  <c r="BD186" i="12"/>
  <c r="BF271" i="12"/>
  <c r="BF267" i="12"/>
  <c r="BF258" i="12"/>
  <c r="CK129" i="12"/>
  <c r="CK72" i="12"/>
  <c r="CK70" i="12"/>
  <c r="CM133" i="12"/>
  <c r="CM136" i="12"/>
  <c r="CM125" i="12"/>
  <c r="CK85" i="12"/>
  <c r="CK83" i="12"/>
  <c r="CG228" i="12"/>
  <c r="CE229" i="12"/>
  <c r="CE228" i="12" s="1"/>
  <c r="CE262" i="12"/>
  <c r="CE189" i="12"/>
  <c r="CE186" i="12"/>
  <c r="CG271" i="12"/>
  <c r="CG267" i="12"/>
  <c r="CG258" i="12"/>
  <c r="F43" i="8" a="1"/>
  <c r="F43" i="8" s="1"/>
  <c r="U42" i="8"/>
  <c r="BF115" i="12"/>
  <c r="BD116" i="12"/>
  <c r="BD115" i="12" s="1"/>
  <c r="BD98" i="12"/>
  <c r="BD96" i="12"/>
  <c r="AW102" i="12"/>
  <c r="AU103" i="12"/>
  <c r="AU102" i="12" s="1"/>
  <c r="AU111" i="12"/>
  <c r="AU109" i="12"/>
  <c r="AN245" i="12"/>
  <c r="AL246" i="12"/>
  <c r="AL245" i="12" s="1"/>
  <c r="AL206" i="12"/>
  <c r="AL203" i="12"/>
  <c r="CG102" i="12"/>
  <c r="CE103" i="12"/>
  <c r="CE102" i="12" s="1"/>
  <c r="CE111" i="12"/>
  <c r="CE109" i="12"/>
  <c r="AU240" i="12"/>
  <c r="AU237" i="12"/>
  <c r="AW211" i="12"/>
  <c r="AU212" i="12"/>
  <c r="AU211" i="12" s="1"/>
  <c r="BP111" i="12"/>
  <c r="BP109" i="12"/>
  <c r="BR102" i="12"/>
  <c r="BP103" i="12"/>
  <c r="BP102" i="12" s="1"/>
  <c r="CB223" i="12"/>
  <c r="CB220" i="12"/>
  <c r="CD194" i="12"/>
  <c r="CB195" i="12"/>
  <c r="CB194" i="12" s="1"/>
  <c r="BI228" i="12"/>
  <c r="BG229" i="12"/>
  <c r="BG228" i="12" s="1"/>
  <c r="BG262" i="12"/>
  <c r="BG189" i="12"/>
  <c r="BG186" i="12"/>
  <c r="BI271" i="12"/>
  <c r="BI267" i="12"/>
  <c r="BI258" i="12"/>
  <c r="CP272" i="12"/>
  <c r="CP268" i="12"/>
  <c r="AR240" i="12"/>
  <c r="AR237" i="12"/>
  <c r="AT211" i="12"/>
  <c r="AR212" i="12"/>
  <c r="AR211" i="12" s="1"/>
  <c r="BY98" i="12"/>
  <c r="BY96" i="12"/>
  <c r="CA115" i="12"/>
  <c r="BY116" i="12"/>
  <c r="BY115" i="12" s="1"/>
  <c r="F54" i="13" a="1"/>
  <c r="F54" i="13" s="1"/>
  <c r="A53" i="13"/>
  <c r="T53" i="13"/>
  <c r="AQ102" i="12"/>
  <c r="AO103" i="12"/>
  <c r="AO102" i="12" s="1"/>
  <c r="AO111" i="12"/>
  <c r="AO109" i="12"/>
  <c r="BC268" i="12"/>
  <c r="BC272" i="12"/>
  <c r="CB263" i="12"/>
  <c r="CB187" i="12"/>
  <c r="CA228" i="12"/>
  <c r="BY229" i="12"/>
  <c r="BY228" i="12" s="1"/>
  <c r="BY262" i="12"/>
  <c r="BY189" i="12"/>
  <c r="BY186" i="12"/>
  <c r="CA271" i="12"/>
  <c r="CA267" i="12"/>
  <c r="CA258" i="12"/>
  <c r="AT272" i="12"/>
  <c r="AT268" i="12"/>
  <c r="BV223" i="12"/>
  <c r="BV220" i="12"/>
  <c r="BX194" i="12"/>
  <c r="BV195" i="12"/>
  <c r="BV194" i="12" s="1"/>
  <c r="BU76" i="12"/>
  <c r="BS77" i="12"/>
  <c r="BS76" i="12" s="1"/>
  <c r="BU89" i="12"/>
  <c r="BS90" i="12"/>
  <c r="BS89" i="12" s="1"/>
  <c r="BS223" i="12"/>
  <c r="BS220" i="12"/>
  <c r="BU194" i="12"/>
  <c r="BS195" i="12"/>
  <c r="BS194" i="12" s="1"/>
  <c r="BA240" i="12"/>
  <c r="BA237" i="12"/>
  <c r="BC211" i="12"/>
  <c r="BA212" i="12"/>
  <c r="BA211" i="12" s="1"/>
  <c r="BP240" i="12"/>
  <c r="BP237" i="12"/>
  <c r="BR211" i="12"/>
  <c r="BP212" i="12"/>
  <c r="BP211" i="12" s="1"/>
  <c r="BM240" i="12"/>
  <c r="BM237" i="12"/>
  <c r="BO211" i="12"/>
  <c r="BM212" i="12"/>
  <c r="BM211" i="12" s="1"/>
  <c r="AX263" i="12"/>
  <c r="AX187" i="12"/>
  <c r="F120" i="28" a="1"/>
  <c r="F120" i="28" s="1"/>
  <c r="AJ119" i="28"/>
  <c r="AF119" i="28"/>
  <c r="AK119" i="28"/>
  <c r="AG119" i="28"/>
  <c r="AH119" i="28" s="1"/>
  <c r="AI119" i="28"/>
  <c r="AE119" i="28"/>
  <c r="BJ111" i="12"/>
  <c r="BJ109" i="12"/>
  <c r="BL102" i="12"/>
  <c r="BJ103" i="12"/>
  <c r="BJ102" i="12" s="1"/>
  <c r="CH223" i="12"/>
  <c r="CH220" i="12"/>
  <c r="CJ194" i="12"/>
  <c r="CH195" i="12"/>
  <c r="CH194" i="12" s="1"/>
  <c r="CS245" i="12"/>
  <c r="CQ246" i="12"/>
  <c r="CQ245" i="12" s="1"/>
  <c r="CQ206" i="12"/>
  <c r="CQ203" i="12"/>
  <c r="BX89" i="12"/>
  <c r="BV90" i="12"/>
  <c r="BV89" i="12" s="1"/>
  <c r="BV129" i="12"/>
  <c r="BV72" i="12"/>
  <c r="BV70" i="12"/>
  <c r="BX136" i="12"/>
  <c r="BX125" i="12"/>
  <c r="BX133" i="12"/>
  <c r="CK240" i="12"/>
  <c r="CK237" i="12"/>
  <c r="CM211" i="12"/>
  <c r="CK212" i="12"/>
  <c r="CK211" i="12" s="1"/>
  <c r="AO263" i="12"/>
  <c r="AO187" i="12"/>
  <c r="T229" i="12"/>
  <c r="L230" i="12" a="1"/>
  <c r="L230" i="12" s="1"/>
  <c r="CJ115" i="12"/>
  <c r="CH116" i="12"/>
  <c r="CH115" i="12" s="1"/>
  <c r="CH98" i="12"/>
  <c r="CH96" i="12"/>
  <c r="BL228" i="12"/>
  <c r="BJ229" i="12"/>
  <c r="BJ228" i="12" s="1"/>
  <c r="BJ262" i="12"/>
  <c r="BJ189" i="12"/>
  <c r="BJ186" i="12"/>
  <c r="BL271" i="12"/>
  <c r="BL267" i="12"/>
  <c r="BL258" i="12"/>
  <c r="BG129" i="12"/>
  <c r="BG72" i="12"/>
  <c r="BG70" i="12"/>
  <c r="BI133" i="12"/>
  <c r="BI136" i="12"/>
  <c r="BI125" i="12"/>
  <c r="BG85" i="12"/>
  <c r="BG83" i="12"/>
  <c r="AT115" i="12"/>
  <c r="AR116" i="12"/>
  <c r="AR115" i="12" s="1"/>
  <c r="AR98" i="12"/>
  <c r="AR96" i="12"/>
  <c r="CS76" i="12"/>
  <c r="CQ77" i="12"/>
  <c r="CQ76" i="12" s="1"/>
  <c r="CS89" i="12"/>
  <c r="CQ90" i="12"/>
  <c r="CQ89" i="12" s="1"/>
  <c r="AB41" i="19" a="1"/>
  <c r="AB41" i="19" s="1"/>
  <c r="V41" i="19" a="1"/>
  <c r="V41" i="19" s="1"/>
  <c r="AU263" i="12"/>
  <c r="AU187" i="12"/>
  <c r="BO76" i="12"/>
  <c r="BM77" i="12"/>
  <c r="BM76" i="12" s="1"/>
  <c r="N41" i="27" a="1"/>
  <c r="N41" i="27" s="1"/>
  <c r="BX40" i="27" a="1"/>
  <c r="BX40" i="27" s="1"/>
  <c r="AN115" i="12"/>
  <c r="AL116" i="12"/>
  <c r="AL115" i="12" s="1"/>
  <c r="AL98" i="12"/>
  <c r="AL96" i="12"/>
  <c r="BL272" i="12"/>
  <c r="BL268" i="12"/>
  <c r="CN85" i="12"/>
  <c r="CN83" i="12"/>
  <c r="CP76" i="12"/>
  <c r="CN77" i="12"/>
  <c r="CN76" i="12" s="1"/>
  <c r="BF245" i="12"/>
  <c r="BD246" i="12"/>
  <c r="BD245" i="12" s="1"/>
  <c r="BD206" i="12"/>
  <c r="BD203" i="12"/>
  <c r="CM102" i="12"/>
  <c r="CK103" i="12"/>
  <c r="CK102" i="12" s="1"/>
  <c r="CK111" i="12"/>
  <c r="CK109" i="12"/>
  <c r="CE240" i="12"/>
  <c r="CE237" i="12"/>
  <c r="CG211" i="12"/>
  <c r="CE212" i="12"/>
  <c r="CE211" i="12" s="1"/>
  <c r="BD85" i="12"/>
  <c r="BD83" i="12"/>
  <c r="BF76" i="12"/>
  <c r="BD77" i="12"/>
  <c r="BD76" i="12" s="1"/>
  <c r="BR272" i="12"/>
  <c r="BR268" i="12"/>
  <c r="BM263" i="12"/>
  <c r="BM187" i="12"/>
  <c r="AW76" i="12"/>
  <c r="AU77" i="12"/>
  <c r="AU76" i="12" s="1"/>
  <c r="AW89" i="12"/>
  <c r="AU90" i="12"/>
  <c r="AU89" i="12" s="1"/>
  <c r="AN228" i="12"/>
  <c r="AL229" i="12"/>
  <c r="AL228" i="12" s="1"/>
  <c r="AL262" i="12"/>
  <c r="AL189" i="12"/>
  <c r="AL186" i="12"/>
  <c r="AN271" i="12"/>
  <c r="AN267" i="12"/>
  <c r="AN258" i="12"/>
  <c r="CE129" i="12"/>
  <c r="CE72" i="12"/>
  <c r="CE70" i="12"/>
  <c r="CG133" i="12"/>
  <c r="CG136" i="12"/>
  <c r="CG125" i="12"/>
  <c r="CE85" i="12"/>
  <c r="CE83" i="12"/>
  <c r="AW228" i="12"/>
  <c r="AU229" i="12"/>
  <c r="AU228" i="12" s="1"/>
  <c r="AU262" i="12"/>
  <c r="AU189" i="12"/>
  <c r="AU186" i="12"/>
  <c r="AW271" i="12"/>
  <c r="AW267" i="12"/>
  <c r="AW258" i="12"/>
  <c r="BP85" i="12"/>
  <c r="BP83" i="12"/>
  <c r="BR76" i="12"/>
  <c r="BP77" i="12"/>
  <c r="BP76" i="12" s="1"/>
  <c r="CD245" i="12"/>
  <c r="CB246" i="12"/>
  <c r="CB245" i="12" s="1"/>
  <c r="CB206" i="12"/>
  <c r="CB203" i="12"/>
  <c r="BI245" i="12"/>
  <c r="BG246" i="12"/>
  <c r="BG245" i="12" s="1"/>
  <c r="BG206" i="12"/>
  <c r="BG203" i="12"/>
  <c r="AR223" i="12"/>
  <c r="AR220" i="12"/>
  <c r="AT194" i="12"/>
  <c r="AR195" i="12"/>
  <c r="AR194" i="12" s="1"/>
  <c r="CA76" i="12"/>
  <c r="BY77" i="12"/>
  <c r="BY76" i="12" s="1"/>
  <c r="CA89" i="12"/>
  <c r="BY90" i="12"/>
  <c r="BY89" i="12" s="1"/>
  <c r="AQ76" i="12"/>
  <c r="AO77" i="12"/>
  <c r="AO76" i="12" s="1"/>
  <c r="AQ89" i="12"/>
  <c r="AO90" i="12"/>
  <c r="AO89" i="12" s="1"/>
  <c r="BY240" i="12"/>
  <c r="BY237" i="12"/>
  <c r="CA211" i="12"/>
  <c r="BY212" i="12"/>
  <c r="BY211" i="12" s="1"/>
  <c r="AH29" i="27"/>
  <c r="CM268" i="12"/>
  <c r="CM272" i="12"/>
  <c r="BX245" i="12"/>
  <c r="BV246" i="12"/>
  <c r="BV245" i="12" s="1"/>
  <c r="BV206" i="12"/>
  <c r="BV203" i="12"/>
  <c r="BU102" i="12"/>
  <c r="BS103" i="12"/>
  <c r="BS102" i="12" s="1"/>
  <c r="BS111" i="12"/>
  <c r="BS109" i="12"/>
  <c r="BU245" i="12"/>
  <c r="BS246" i="12"/>
  <c r="BS245" i="12" s="1"/>
  <c r="BS206" i="12"/>
  <c r="BS203" i="12"/>
  <c r="BC228" i="12"/>
  <c r="BA229" i="12"/>
  <c r="BA228" i="12" s="1"/>
  <c r="BA262" i="12"/>
  <c r="BA189" i="12"/>
  <c r="BA186" i="12"/>
  <c r="BC271" i="12"/>
  <c r="BC267" i="12"/>
  <c r="BC258" i="12"/>
  <c r="BP223" i="12"/>
  <c r="BP220" i="12"/>
  <c r="BR194" i="12"/>
  <c r="BP195" i="12"/>
  <c r="BP194" i="12" s="1"/>
  <c r="BO228" i="12"/>
  <c r="BM229" i="12"/>
  <c r="BM228" i="12" s="1"/>
  <c r="BM262" i="12"/>
  <c r="BM189" i="12"/>
  <c r="BM186" i="12"/>
  <c r="BO271" i="12"/>
  <c r="BO267" i="12"/>
  <c r="BO258" i="12"/>
  <c r="M109" i="28" a="1"/>
  <c r="M109" i="28" s="1"/>
  <c r="AS108" i="28" a="1"/>
  <c r="AS108" i="28" s="1"/>
  <c r="M71" i="31" a="1"/>
  <c r="M71" i="31" s="1"/>
  <c r="M72" i="31" s="1" a="1"/>
  <c r="M72" i="31" s="1"/>
  <c r="BI70" i="31" a="1"/>
  <c r="BI70" i="31" s="1"/>
  <c r="S170" i="12" a="1"/>
  <c r="S170" i="12" s="1"/>
  <c r="U169" i="12"/>
  <c r="T73" i="18"/>
  <c r="T74" i="18" s="1" a="1"/>
  <c r="T74" i="18" s="1"/>
  <c r="T75" i="18" s="1" a="1"/>
  <c r="T75" i="18" s="1"/>
  <c r="F74" i="18" a="1"/>
  <c r="F74" i="18" s="1"/>
  <c r="F75" i="18" s="1" a="1"/>
  <c r="F75" i="18" s="1"/>
  <c r="F76" i="18" s="1" a="1"/>
  <c r="F76" i="18" s="1"/>
  <c r="F69" i="31" a="1"/>
  <c r="F69" i="31" s="1"/>
  <c r="T68" i="31"/>
  <c r="BJ85" i="12"/>
  <c r="BJ83" i="12"/>
  <c r="BL76" i="12"/>
  <c r="BJ77" i="12"/>
  <c r="BJ76" i="12" s="1"/>
  <c r="CJ245" i="12"/>
  <c r="CH246" i="12"/>
  <c r="CH245" i="12" s="1"/>
  <c r="CH206" i="12"/>
  <c r="CH203" i="12"/>
  <c r="CS228" i="12"/>
  <c r="CQ229" i="12"/>
  <c r="CQ228" i="12" s="1"/>
  <c r="CQ262" i="12"/>
  <c r="CQ189" i="12"/>
  <c r="CQ186" i="12"/>
  <c r="CS271" i="12"/>
  <c r="CS267" i="12"/>
  <c r="CS258" i="12"/>
  <c r="BY263" i="12"/>
  <c r="BY187" i="12"/>
  <c r="BX115" i="12"/>
  <c r="BV116" i="12"/>
  <c r="BV115" i="12" s="1"/>
  <c r="BV98" i="12"/>
  <c r="BV96" i="12"/>
  <c r="CM228" i="12"/>
  <c r="CK229" i="12"/>
  <c r="CK228" i="12" s="1"/>
  <c r="CK262" i="12"/>
  <c r="CK189" i="12"/>
  <c r="CK186" i="12"/>
  <c r="CM271" i="12"/>
  <c r="CM267" i="12"/>
  <c r="CM258" i="12"/>
  <c r="BX272" i="12"/>
  <c r="BX268" i="12"/>
  <c r="CH85" i="12"/>
  <c r="CH83" i="12"/>
  <c r="CJ76" i="12"/>
  <c r="CH77" i="12"/>
  <c r="CH76" i="12" s="1"/>
  <c r="BL245" i="12"/>
  <c r="BJ246" i="12"/>
  <c r="BJ245" i="12" s="1"/>
  <c r="BJ206" i="12"/>
  <c r="BJ203" i="12"/>
  <c r="BI102" i="12"/>
  <c r="BG103" i="12"/>
  <c r="BG102" i="12" s="1"/>
  <c r="BG111" i="12"/>
  <c r="BG109" i="12"/>
  <c r="BU268" i="12"/>
  <c r="BU272" i="12"/>
  <c r="AR85" i="12"/>
  <c r="AR83" i="12"/>
  <c r="AT76" i="12"/>
  <c r="AR77" i="12"/>
  <c r="AR76" i="12" s="1"/>
  <c r="AZ115" i="12"/>
  <c r="AX116" i="12"/>
  <c r="AX115" i="12" s="1"/>
  <c r="AX98" i="12"/>
  <c r="AX96" i="12"/>
  <c r="CG268" i="12"/>
  <c r="CG272" i="12"/>
  <c r="BA129" i="12"/>
  <c r="BA72" i="12"/>
  <c r="BA70" i="12"/>
  <c r="BC133" i="12"/>
  <c r="BC136" i="12"/>
  <c r="BC125" i="12"/>
  <c r="BA85" i="12"/>
  <c r="BA83" i="12"/>
  <c r="BF272" i="12"/>
  <c r="BF268" i="12"/>
  <c r="AX85" i="12"/>
  <c r="AX83" i="12"/>
  <c r="AZ76" i="12"/>
  <c r="AX77" i="12"/>
  <c r="AX76" i="12" s="1"/>
  <c r="BC102" i="12"/>
  <c r="BA103" i="12"/>
  <c r="BA102" i="12" s="1"/>
  <c r="BA111" i="12"/>
  <c r="BA109" i="12"/>
  <c r="AZ245" i="12"/>
  <c r="AX246" i="12"/>
  <c r="AX245" i="12" s="1"/>
  <c r="AX206" i="12"/>
  <c r="AX203" i="12"/>
  <c r="CS102" i="12"/>
  <c r="CQ103" i="12"/>
  <c r="CQ102" i="12" s="1"/>
  <c r="CQ111" i="12"/>
  <c r="CQ109" i="12"/>
  <c r="CJ272" i="12"/>
  <c r="CJ268" i="12"/>
  <c r="AL263" i="12"/>
  <c r="AL187" i="12"/>
  <c r="CS268" i="12"/>
  <c r="CS272" i="12"/>
  <c r="BM98" i="12"/>
  <c r="BM96" i="12"/>
  <c r="BO115" i="12"/>
  <c r="BM116" i="12"/>
  <c r="BM115" i="12" s="1"/>
  <c r="BG263" i="12"/>
  <c r="BG187" i="12"/>
  <c r="CB111" i="12"/>
  <c r="CB109" i="12"/>
  <c r="CD102" i="12"/>
  <c r="CB103" i="12"/>
  <c r="CB102" i="12" s="1"/>
  <c r="CN223" i="12"/>
  <c r="CN220" i="12"/>
  <c r="CP194" i="12"/>
  <c r="CN195" i="12"/>
  <c r="CN194" i="12" s="1"/>
  <c r="AQ228" i="12"/>
  <c r="AO229" i="12"/>
  <c r="AO228" i="12" s="1"/>
  <c r="AO262" i="12"/>
  <c r="AO189" i="12"/>
  <c r="AO186" i="12"/>
  <c r="AQ271" i="12"/>
  <c r="AQ267" i="12"/>
  <c r="AQ258" i="12"/>
  <c r="AN89" i="12"/>
  <c r="AL90" i="12"/>
  <c r="AL89" i="12" s="1"/>
  <c r="AL129" i="12"/>
  <c r="AL72" i="12"/>
  <c r="AL70" i="12"/>
  <c r="AN136" i="12"/>
  <c r="AN125" i="12"/>
  <c r="AN133" i="12"/>
  <c r="CN111" i="12"/>
  <c r="CN109" i="12"/>
  <c r="CP102" i="12"/>
  <c r="CN103" i="12"/>
  <c r="CN102" i="12" s="1"/>
  <c r="BD223" i="12"/>
  <c r="BD220" i="12"/>
  <c r="BF194" i="12"/>
  <c r="BD195" i="12"/>
  <c r="BD194" i="12" s="1"/>
  <c r="CM76" i="12"/>
  <c r="CK77" i="12"/>
  <c r="CK76" i="12" s="1"/>
  <c r="CM89" i="12"/>
  <c r="CK90" i="12"/>
  <c r="CK89" i="12" s="1"/>
  <c r="CE223" i="12"/>
  <c r="CE220" i="12"/>
  <c r="CG194" i="12"/>
  <c r="CE195" i="12"/>
  <c r="CE194" i="12" s="1"/>
  <c r="BD111" i="12"/>
  <c r="BD109" i="12"/>
  <c r="BF102" i="12"/>
  <c r="BD103" i="12"/>
  <c r="BD102" i="12" s="1"/>
  <c r="AU98" i="12"/>
  <c r="AU96" i="12"/>
  <c r="AW115" i="12"/>
  <c r="AU116" i="12"/>
  <c r="AU115" i="12" s="1"/>
  <c r="AL240" i="12"/>
  <c r="AL237" i="12"/>
  <c r="AN211" i="12"/>
  <c r="AL212" i="12"/>
  <c r="AL211" i="12" s="1"/>
  <c r="CE98" i="12"/>
  <c r="CE96" i="12"/>
  <c r="CG115" i="12"/>
  <c r="CE116" i="12"/>
  <c r="CE115" i="12" s="1"/>
  <c r="AW245" i="12"/>
  <c r="AU246" i="12"/>
  <c r="AU245" i="12" s="1"/>
  <c r="AU206" i="12"/>
  <c r="AU203" i="12"/>
  <c r="BR115" i="12"/>
  <c r="BP116" i="12"/>
  <c r="BP115" i="12" s="1"/>
  <c r="BP98" i="12"/>
  <c r="BP96" i="12"/>
  <c r="CD228" i="12"/>
  <c r="CB229" i="12"/>
  <c r="CB228" i="12" s="1"/>
  <c r="CB262" i="12"/>
  <c r="CB189" i="12"/>
  <c r="CB186" i="12"/>
  <c r="CD271" i="12"/>
  <c r="CD267" i="12"/>
  <c r="CD258" i="12"/>
  <c r="F42" i="18" a="1"/>
  <c r="F42" i="18" s="1"/>
  <c r="T41" i="18"/>
  <c r="BG223" i="12"/>
  <c r="BG220" i="12"/>
  <c r="BI194" i="12"/>
  <c r="BG195" i="12"/>
  <c r="BG194" i="12" s="1"/>
  <c r="CN263" i="12"/>
  <c r="CN187" i="12"/>
  <c r="AT245" i="12"/>
  <c r="AR246" i="12"/>
  <c r="AR245" i="12" s="1"/>
  <c r="AR206" i="12"/>
  <c r="AR203" i="12"/>
  <c r="CA102" i="12"/>
  <c r="BY103" i="12"/>
  <c r="BY102" i="12" s="1"/>
  <c r="BY111" i="12"/>
  <c r="BY109" i="12"/>
  <c r="T41" i="27"/>
  <c r="F42" i="27" a="1"/>
  <c r="F42" i="27" s="1"/>
  <c r="CY230" i="12" a="1"/>
  <c r="CY230" i="12" s="1"/>
  <c r="AE234" i="12" a="1"/>
  <c r="AE234" i="12" s="1"/>
  <c r="X234" i="12"/>
  <c r="F92" i="13" a="1"/>
  <c r="F92" i="13" s="1"/>
  <c r="T91" i="13"/>
  <c r="T93" i="13" s="1" a="1"/>
  <c r="T93" i="13" s="1"/>
  <c r="AK52" i="28"/>
  <c r="AI52" i="28"/>
  <c r="AG52" i="28"/>
  <c r="AE52" i="28"/>
  <c r="F53" i="28" a="1"/>
  <c r="F53" i="28" s="1"/>
  <c r="AJ52" i="28"/>
  <c r="AF52" i="28"/>
  <c r="AH51" i="28"/>
  <c r="CZ230" i="12" a="1"/>
  <c r="CZ230" i="12" s="1"/>
  <c r="AF234" i="12" a="1"/>
  <c r="AF234" i="12" s="1"/>
  <c r="AO98" i="12"/>
  <c r="AO96" i="12"/>
  <c r="AQ115" i="12"/>
  <c r="AO116" i="12"/>
  <c r="AO115" i="12" s="1"/>
  <c r="BA263" i="12"/>
  <c r="BA187" i="12"/>
  <c r="CD272" i="12"/>
  <c r="CD268" i="12"/>
  <c r="BY223" i="12"/>
  <c r="BY220" i="12"/>
  <c r="CA194" i="12"/>
  <c r="BY195" i="12"/>
  <c r="BY194" i="12" s="1"/>
  <c r="AR263" i="12"/>
  <c r="AR187" i="12"/>
  <c r="BX228" i="12"/>
  <c r="BV229" i="12"/>
  <c r="BV228" i="12" s="1"/>
  <c r="BV262" i="12"/>
  <c r="BV189" i="12"/>
  <c r="BV186" i="12"/>
  <c r="BX271" i="12"/>
  <c r="BX267" i="12"/>
  <c r="BX258" i="12"/>
  <c r="BS129" i="12"/>
  <c r="BS72" i="12"/>
  <c r="BS70" i="12"/>
  <c r="BU133" i="12"/>
  <c r="BU136" i="12"/>
  <c r="BU125" i="12"/>
  <c r="BS85" i="12"/>
  <c r="BS83" i="12"/>
  <c r="BU228" i="12"/>
  <c r="BS229" i="12"/>
  <c r="BS228" i="12" s="1"/>
  <c r="BS262" i="12"/>
  <c r="BS189" i="12"/>
  <c r="BS186" i="12"/>
  <c r="BU271" i="12"/>
  <c r="BU267" i="12"/>
  <c r="BU258" i="12"/>
  <c r="BC245" i="12"/>
  <c r="BA246" i="12"/>
  <c r="BA245" i="12" s="1"/>
  <c r="BA206" i="12"/>
  <c r="BA203" i="12"/>
  <c r="BR245" i="12"/>
  <c r="BP246" i="12"/>
  <c r="BP245" i="12" s="1"/>
  <c r="BP206" i="12"/>
  <c r="BP203" i="12"/>
  <c r="BO245" i="12"/>
  <c r="BM246" i="12"/>
  <c r="BM245" i="12" s="1"/>
  <c r="BM206" i="12"/>
  <c r="BM203" i="12"/>
  <c r="F42" i="30" a="1"/>
  <c r="F42" i="30" s="1"/>
  <c r="T41" i="30"/>
  <c r="F66" i="30" a="1"/>
  <c r="F66" i="30" s="1"/>
  <c r="T65" i="30"/>
  <c r="AZ272" i="12"/>
  <c r="AZ268" i="12"/>
  <c r="BL115" i="12"/>
  <c r="BJ116" i="12"/>
  <c r="BJ115" i="12" s="1"/>
  <c r="BJ98" i="12"/>
  <c r="BJ96" i="12"/>
  <c r="CJ228" i="12"/>
  <c r="CH229" i="12"/>
  <c r="CH228" i="12" s="1"/>
  <c r="CH262" i="12"/>
  <c r="CH189" i="12"/>
  <c r="CH186" i="12"/>
  <c r="CJ271" i="12"/>
  <c r="CJ267" i="12"/>
  <c r="CJ258" i="12"/>
  <c r="CQ240" i="12"/>
  <c r="CQ237" i="12"/>
  <c r="CS211" i="12"/>
  <c r="CQ212" i="12"/>
  <c r="CQ211" i="12" s="1"/>
  <c r="BV85" i="12"/>
  <c r="BV83" i="12"/>
  <c r="BX76" i="12"/>
  <c r="BV77" i="12"/>
  <c r="BV76" i="12" s="1"/>
  <c r="CM245" i="12"/>
  <c r="CK246" i="12"/>
  <c r="CK245" i="12" s="1"/>
  <c r="CK206" i="12"/>
  <c r="CK203" i="12"/>
  <c r="AQ268" i="12"/>
  <c r="AQ272" i="12"/>
  <c r="CH111" i="12"/>
  <c r="CH109" i="12"/>
  <c r="CJ102" i="12"/>
  <c r="CH103" i="12"/>
  <c r="CH102" i="12" s="1"/>
  <c r="BJ223" i="12"/>
  <c r="BJ220" i="12"/>
  <c r="BL194" i="12"/>
  <c r="BJ195" i="12"/>
  <c r="BJ194" i="12" s="1"/>
  <c r="BI76" i="12"/>
  <c r="BG77" i="12"/>
  <c r="BG76" i="12" s="1"/>
  <c r="BI89" i="12"/>
  <c r="BG90" i="12"/>
  <c r="BG89" i="12" s="1"/>
  <c r="AR111" i="12"/>
  <c r="AR109" i="12"/>
  <c r="AT102" i="12"/>
  <c r="AR103" i="12"/>
  <c r="AR102" i="12" s="1"/>
  <c r="CH271" i="12" l="1"/>
  <c r="CH267" i="12"/>
  <c r="CH258" i="12"/>
  <c r="CH265" i="12" s="1"/>
  <c r="F67" i="30" a="1"/>
  <c r="F67" i="30" s="1"/>
  <c r="T66" i="30"/>
  <c r="F43" i="30" a="1"/>
  <c r="F43" i="30" s="1"/>
  <c r="T42" i="30"/>
  <c r="BS271" i="12"/>
  <c r="BS267" i="12"/>
  <c r="BS258" i="12"/>
  <c r="BS265" i="12" s="1"/>
  <c r="BS133" i="12"/>
  <c r="BS136" i="12"/>
  <c r="BS125" i="12"/>
  <c r="BS131" i="12" s="1"/>
  <c r="BV271" i="12"/>
  <c r="BV267" i="12"/>
  <c r="BV258" i="12"/>
  <c r="BV265" i="12" s="1"/>
  <c r="AR272" i="12"/>
  <c r="AR268" i="12"/>
  <c r="BA268" i="12"/>
  <c r="BA272" i="12"/>
  <c r="AK53" i="28"/>
  <c r="AI53" i="28"/>
  <c r="AL53" i="28" s="1"/>
  <c r="AG53" i="28"/>
  <c r="AE53" i="28"/>
  <c r="F54" i="28" a="1"/>
  <c r="F54" i="28" s="1"/>
  <c r="AJ53" i="28"/>
  <c r="AF53" i="28"/>
  <c r="AH52" i="28"/>
  <c r="F93" i="13" a="1"/>
  <c r="F93" i="13" s="1"/>
  <c r="F94" i="13" s="1" a="1"/>
  <c r="F94" i="13" s="1"/>
  <c r="F95" i="13" s="1" a="1"/>
  <c r="F95" i="13" s="1"/>
  <c r="F96" i="13" s="1" a="1"/>
  <c r="F96" i="13" s="1"/>
  <c r="F97" i="13" s="1" a="1"/>
  <c r="F97" i="13" s="1"/>
  <c r="L92" i="13" a="1"/>
  <c r="L92" i="13" s="1"/>
  <c r="T92" i="13" s="1"/>
  <c r="AE238" i="12" a="1"/>
  <c r="AE238" i="12" s="1"/>
  <c r="X238" i="12"/>
  <c r="CY234" i="12" a="1"/>
  <c r="CY234" i="12" s="1"/>
  <c r="CN272" i="12"/>
  <c r="CN268" i="12"/>
  <c r="F43" i="18" a="1"/>
  <c r="F43" i="18" s="1"/>
  <c r="F44" i="18" s="1" a="1"/>
  <c r="F44" i="18" s="1"/>
  <c r="F45" i="18" s="1" a="1"/>
  <c r="F45" i="18" s="1"/>
  <c r="T42" i="18"/>
  <c r="T43" i="18" s="1" a="1"/>
  <c r="T43" i="18" s="1"/>
  <c r="T44" i="18" s="1" a="1"/>
  <c r="T44" i="18" s="1"/>
  <c r="CB271" i="12"/>
  <c r="CB267" i="12"/>
  <c r="CB258" i="12"/>
  <c r="CB265" i="12" s="1"/>
  <c r="AN131" i="12"/>
  <c r="AN126" i="12"/>
  <c r="AL136" i="12"/>
  <c r="AL125" i="12"/>
  <c r="AL131" i="12" s="1"/>
  <c r="AL133" i="12"/>
  <c r="AO271" i="12"/>
  <c r="AO267" i="12"/>
  <c r="AO258" i="12"/>
  <c r="AO265" i="12" s="1"/>
  <c r="BC131" i="12"/>
  <c r="BC126" i="12"/>
  <c r="CM265" i="12"/>
  <c r="CM259" i="12"/>
  <c r="CS265" i="12"/>
  <c r="CS259" i="12"/>
  <c r="H76" i="18"/>
  <c r="T76" i="18"/>
  <c r="BO265" i="12"/>
  <c r="BO259" i="12"/>
  <c r="BC265" i="12"/>
  <c r="BC259" i="12"/>
  <c r="AU271" i="12"/>
  <c r="AU267" i="12"/>
  <c r="AU258" i="12"/>
  <c r="AU265" i="12" s="1"/>
  <c r="CE133" i="12"/>
  <c r="CE136" i="12"/>
  <c r="CE125" i="12"/>
  <c r="CE131" i="12" s="1"/>
  <c r="AL271" i="12"/>
  <c r="AL267" i="12"/>
  <c r="AL258" i="12"/>
  <c r="AL265" i="12" s="1"/>
  <c r="BM268" i="12"/>
  <c r="BM272" i="12"/>
  <c r="N42" i="27" a="1"/>
  <c r="N42" i="27" s="1"/>
  <c r="BX41" i="27" a="1"/>
  <c r="BX41" i="27" s="1"/>
  <c r="AU268" i="12"/>
  <c r="AU272" i="12"/>
  <c r="AB35" i="20" a="1"/>
  <c r="AB35" i="20" s="1"/>
  <c r="V35" i="20" a="1"/>
  <c r="V35" i="20" s="1"/>
  <c r="BG133" i="12"/>
  <c r="BG136" i="12"/>
  <c r="BG125" i="12"/>
  <c r="BG131" i="12" s="1"/>
  <c r="BJ271" i="12"/>
  <c r="BJ267" i="12"/>
  <c r="BJ258" i="12"/>
  <c r="BJ265" i="12" s="1"/>
  <c r="AO268" i="12"/>
  <c r="AO272" i="12"/>
  <c r="BX131" i="12"/>
  <c r="BX126" i="12"/>
  <c r="BV136" i="12"/>
  <c r="BV125" i="12"/>
  <c r="BV131" i="12" s="1"/>
  <c r="BV133" i="12"/>
  <c r="F121" i="28" a="1"/>
  <c r="F121" i="28" s="1"/>
  <c r="AJ120" i="28"/>
  <c r="AF120" i="28"/>
  <c r="AK120" i="28"/>
  <c r="AG120" i="28"/>
  <c r="AI120" i="28"/>
  <c r="AL120" i="28" s="1"/>
  <c r="AE120" i="28"/>
  <c r="AX272" i="12"/>
  <c r="AX268" i="12"/>
  <c r="BY271" i="12"/>
  <c r="BY267" i="12"/>
  <c r="BY258" i="12"/>
  <c r="BY265" i="12" s="1"/>
  <c r="CB272" i="12"/>
  <c r="CB268" i="12"/>
  <c r="BI265" i="12"/>
  <c r="BI259" i="12"/>
  <c r="CG265" i="12"/>
  <c r="CG259" i="12"/>
  <c r="CM131" i="12"/>
  <c r="CM126" i="12"/>
  <c r="BF265" i="12"/>
  <c r="BF259" i="12"/>
  <c r="F55" i="33" a="1"/>
  <c r="F55" i="33" s="1"/>
  <c r="F56" i="33" s="1" a="1"/>
  <c r="F56" i="33" s="1"/>
  <c r="CN271" i="12"/>
  <c r="CN267" i="12"/>
  <c r="CN258" i="12"/>
  <c r="CN265" i="12" s="1"/>
  <c r="F43" i="31" a="1"/>
  <c r="F43" i="31" s="1"/>
  <c r="T42" i="31"/>
  <c r="BR265" i="12"/>
  <c r="BR259" i="12"/>
  <c r="F101" i="33" a="1"/>
  <c r="F101" i="33" s="1"/>
  <c r="F102" i="33" s="1" a="1"/>
  <c r="F102" i="33" s="1"/>
  <c r="CK268" i="12"/>
  <c r="CK272" i="12"/>
  <c r="AO133" i="12"/>
  <c r="AO136" i="12"/>
  <c r="AO125" i="12"/>
  <c r="AO131" i="12" s="1"/>
  <c r="BY133" i="12"/>
  <c r="BY136" i="12"/>
  <c r="BY125" i="12"/>
  <c r="BY131" i="12" s="1"/>
  <c r="AR271" i="12"/>
  <c r="AR267" i="12"/>
  <c r="AR258" i="12"/>
  <c r="AR265" i="12" s="1"/>
  <c r="BR131" i="12"/>
  <c r="BR126" i="12"/>
  <c r="BP136" i="12"/>
  <c r="BP125" i="12"/>
  <c r="BP131" i="12" s="1"/>
  <c r="BP133" i="12"/>
  <c r="AU133" i="12"/>
  <c r="AU136" i="12"/>
  <c r="AU125" i="12"/>
  <c r="AU131" i="12" s="1"/>
  <c r="N97" i="27" a="1"/>
  <c r="N97" i="27" s="1"/>
  <c r="BX96" i="27" a="1"/>
  <c r="BX96" i="27" s="1"/>
  <c r="BP272" i="12"/>
  <c r="BP268" i="12"/>
  <c r="BF131" i="12"/>
  <c r="BF126" i="12"/>
  <c r="BD136" i="12"/>
  <c r="BD125" i="12"/>
  <c r="BD131" i="12" s="1"/>
  <c r="BD133" i="12"/>
  <c r="CP131" i="12"/>
  <c r="CP126" i="12"/>
  <c r="CN136" i="12"/>
  <c r="CN125" i="12"/>
  <c r="CN131" i="12" s="1"/>
  <c r="CN133" i="12"/>
  <c r="BJ272" i="12"/>
  <c r="BJ268" i="12"/>
  <c r="CD131" i="12"/>
  <c r="CD126" i="12"/>
  <c r="CB136" i="12"/>
  <c r="CB125" i="12"/>
  <c r="CB131" i="12" s="1"/>
  <c r="CB133" i="12"/>
  <c r="BM133" i="12"/>
  <c r="BM136" i="12"/>
  <c r="BM125" i="12"/>
  <c r="BM131" i="12" s="1"/>
  <c r="CQ133" i="12"/>
  <c r="CQ136" i="12"/>
  <c r="CQ125" i="12"/>
  <c r="CQ131" i="12" s="1"/>
  <c r="AX271" i="12"/>
  <c r="AX267" i="12"/>
  <c r="AX258" i="12"/>
  <c r="AX265" i="12" s="1"/>
  <c r="S60" i="12" a="1"/>
  <c r="S60" i="12" s="1"/>
  <c r="U59" i="12"/>
  <c r="M46" i="31" a="1"/>
  <c r="M46" i="31" s="1"/>
  <c r="M47" i="31" s="1" a="1"/>
  <c r="M47" i="31" s="1"/>
  <c r="BI45" i="31" a="1"/>
  <c r="BI45" i="31" s="1"/>
  <c r="CJ265" i="12"/>
  <c r="CJ259" i="12"/>
  <c r="BU265" i="12"/>
  <c r="BU259" i="12"/>
  <c r="BU131" i="12"/>
  <c r="BU126" i="12"/>
  <c r="BX265" i="12"/>
  <c r="BX259" i="12"/>
  <c r="AF238" i="12" a="1"/>
  <c r="AF238" i="12" s="1"/>
  <c r="CZ234" i="12" a="1"/>
  <c r="CZ234" i="12" s="1"/>
  <c r="AL52" i="28"/>
  <c r="T95" i="13" a="1"/>
  <c r="T95" i="13" s="1"/>
  <c r="T96" i="13" s="1" a="1"/>
  <c r="T96" i="13" s="1"/>
  <c r="T94" i="13" a="1"/>
  <c r="T94" i="13" s="1"/>
  <c r="T42" i="27"/>
  <c r="F43" i="27" a="1"/>
  <c r="F43" i="27" s="1"/>
  <c r="CD265" i="12"/>
  <c r="CD259" i="12"/>
  <c r="AQ265" i="12"/>
  <c r="AQ259" i="12"/>
  <c r="BG268" i="12"/>
  <c r="BG272" i="12"/>
  <c r="AL272" i="12"/>
  <c r="AL268" i="12"/>
  <c r="BA133" i="12"/>
  <c r="BA136" i="12"/>
  <c r="BA125" i="12"/>
  <c r="BA131" i="12" s="1"/>
  <c r="CK271" i="12"/>
  <c r="CK267" i="12"/>
  <c r="CK258" i="12"/>
  <c r="CK265" i="12" s="1"/>
  <c r="BY268" i="12"/>
  <c r="BY272" i="12"/>
  <c r="CQ271" i="12"/>
  <c r="CQ267" i="12"/>
  <c r="CQ258" i="12"/>
  <c r="CQ265" i="12" s="1"/>
  <c r="F70" i="31" a="1"/>
  <c r="F70" i="31" s="1"/>
  <c r="T69" i="31"/>
  <c r="S171" i="12" a="1"/>
  <c r="S171" i="12" s="1"/>
  <c r="U170" i="12"/>
  <c r="M73" i="31" a="1"/>
  <c r="M73" i="31" s="1"/>
  <c r="M74" i="31" s="1" a="1"/>
  <c r="M74" i="31" s="1"/>
  <c r="BI72" i="31" a="1"/>
  <c r="BI72" i="31" s="1"/>
  <c r="M110" i="28" a="1"/>
  <c r="M110" i="28" s="1"/>
  <c r="AS109" i="28" a="1"/>
  <c r="AS109" i="28" s="1"/>
  <c r="BM271" i="12"/>
  <c r="BM267" i="12"/>
  <c r="BM258" i="12"/>
  <c r="BM265" i="12" s="1"/>
  <c r="BA271" i="12"/>
  <c r="BA267" i="12"/>
  <c r="BA258" i="12"/>
  <c r="BA265" i="12" s="1"/>
  <c r="AW265" i="12"/>
  <c r="AW259" i="12"/>
  <c r="CG131" i="12"/>
  <c r="CG126" i="12"/>
  <c r="AN265" i="12"/>
  <c r="AN259" i="12"/>
  <c r="BI131" i="12"/>
  <c r="BI126" i="12"/>
  <c r="BL265" i="12"/>
  <c r="BL259" i="12"/>
  <c r="L231" i="12" a="1"/>
  <c r="L231" i="12" s="1"/>
  <c r="L232" i="12" s="1" a="1"/>
  <c r="L232" i="12" s="1"/>
  <c r="L233" i="12" s="1" a="1"/>
  <c r="L233" i="12" s="1"/>
  <c r="L234" i="12" s="1" a="1"/>
  <c r="L234" i="12" s="1"/>
  <c r="L235" i="12" s="1" a="1"/>
  <c r="L235" i="12" s="1"/>
  <c r="L236" i="12" s="1" a="1"/>
  <c r="L236" i="12" s="1"/>
  <c r="L237" i="12" s="1" a="1"/>
  <c r="L237" i="12" s="1"/>
  <c r="L238" i="12" s="1" a="1"/>
  <c r="L238" i="12" s="1"/>
  <c r="L239" i="12" s="1" a="1"/>
  <c r="L239" i="12" s="1"/>
  <c r="L240" i="12" s="1" a="1"/>
  <c r="L240" i="12" s="1"/>
  <c r="L241" i="12" s="1" a="1"/>
  <c r="L241" i="12" s="1"/>
  <c r="L242" i="12" s="1" a="1"/>
  <c r="L242" i="12" s="1"/>
  <c r="L243" i="12" s="1" a="1"/>
  <c r="L243" i="12" s="1"/>
  <c r="L244" i="12" s="1" a="1"/>
  <c r="L244" i="12" s="1"/>
  <c r="L245" i="12" s="1" a="1"/>
  <c r="L245" i="12" s="1"/>
  <c r="T230" i="12"/>
  <c r="AL119" i="28"/>
  <c r="CA265" i="12"/>
  <c r="CA259" i="12"/>
  <c r="T56" i="13" a="1"/>
  <c r="T56" i="13" s="1"/>
  <c r="T55" i="13" a="1"/>
  <c r="T55" i="13" s="1"/>
  <c r="L54" i="13" a="1"/>
  <c r="L54" i="13" s="1"/>
  <c r="T54" i="13" s="1"/>
  <c r="F55" i="13" a="1"/>
  <c r="F55" i="13" s="1"/>
  <c r="F56" i="13" s="1" a="1"/>
  <c r="F56" i="13" s="1"/>
  <c r="BG271" i="12"/>
  <c r="BG267" i="12"/>
  <c r="BG258" i="12"/>
  <c r="BG265" i="12" s="1"/>
  <c r="U43" i="8"/>
  <c r="F44" i="8" a="1"/>
  <c r="F44" i="8" s="1"/>
  <c r="CE271" i="12"/>
  <c r="CE267" i="12"/>
  <c r="CE258" i="12"/>
  <c r="CE265" i="12" s="1"/>
  <c r="CK133" i="12"/>
  <c r="CK136" i="12"/>
  <c r="CK125" i="12"/>
  <c r="CK131" i="12" s="1"/>
  <c r="BD271" i="12"/>
  <c r="BD267" i="12"/>
  <c r="BD258" i="12"/>
  <c r="BD265" i="12" s="1"/>
  <c r="CP265" i="12"/>
  <c r="CP259" i="12"/>
  <c r="CQ268" i="12"/>
  <c r="CQ272" i="12"/>
  <c r="CH272" i="12"/>
  <c r="CH268" i="12"/>
  <c r="AZ131" i="12"/>
  <c r="AZ126" i="12"/>
  <c r="AX136" i="12"/>
  <c r="AX125" i="12"/>
  <c r="AX131" i="12" s="1"/>
  <c r="AX133" i="12"/>
  <c r="BD272" i="12"/>
  <c r="BD268" i="12"/>
  <c r="M43" i="28" a="1"/>
  <c r="M43" i="28" s="1"/>
  <c r="AS42" i="28" a="1"/>
  <c r="AS42" i="28" s="1"/>
  <c r="F98" i="27" a="1"/>
  <c r="F98" i="27" s="1"/>
  <c r="T97" i="27"/>
  <c r="CE268" i="12"/>
  <c r="CE272" i="12"/>
  <c r="AT131" i="12"/>
  <c r="AT126" i="12"/>
  <c r="AR136" i="12"/>
  <c r="AR125" i="12"/>
  <c r="AR131" i="12" s="1"/>
  <c r="AR133" i="12"/>
  <c r="BS268" i="12"/>
  <c r="BS272" i="12"/>
  <c r="CJ131" i="12"/>
  <c r="CJ126" i="12"/>
  <c r="CH136" i="12"/>
  <c r="CH125" i="12"/>
  <c r="CH131" i="12" s="1"/>
  <c r="CH133" i="12"/>
  <c r="BV272" i="12"/>
  <c r="BV268" i="12"/>
  <c r="BL131" i="12"/>
  <c r="BL126" i="12"/>
  <c r="BJ136" i="12"/>
  <c r="BJ125" i="12"/>
  <c r="BJ131" i="12" s="1"/>
  <c r="BJ133" i="12"/>
  <c r="F72" i="8" a="1"/>
  <c r="F72" i="8" s="1"/>
  <c r="U71" i="8"/>
  <c r="BP271" i="12"/>
  <c r="BP267" i="12"/>
  <c r="BP258" i="12"/>
  <c r="BP265" i="12" s="1"/>
  <c r="AQ131" i="12"/>
  <c r="AQ126" i="12"/>
  <c r="CA131" i="12"/>
  <c r="CA126" i="12"/>
  <c r="AT265" i="12"/>
  <c r="AT259" i="12"/>
  <c r="T122" i="12" a="1"/>
  <c r="T122" i="12" s="1"/>
  <c r="L123" i="12" a="1"/>
  <c r="L123" i="12" s="1"/>
  <c r="AW131" i="12"/>
  <c r="AW126" i="12"/>
  <c r="BO131" i="12"/>
  <c r="BO126" i="12"/>
  <c r="CS131" i="12"/>
  <c r="CS126" i="12"/>
  <c r="AZ265" i="12"/>
  <c r="AZ259" i="12"/>
  <c r="AZ274" i="12" l="1"/>
  <c r="AZ266" i="12"/>
  <c r="AZ260" i="12"/>
  <c r="AX259" i="12"/>
  <c r="CS132" i="12"/>
  <c r="CS127" i="12"/>
  <c r="CS138" i="12"/>
  <c r="CQ126" i="12"/>
  <c r="BO132" i="12"/>
  <c r="BO127" i="12"/>
  <c r="BO138" i="12"/>
  <c r="BM126" i="12"/>
  <c r="AW132" i="12"/>
  <c r="AW127" i="12"/>
  <c r="AW138" i="12"/>
  <c r="AU126" i="12"/>
  <c r="T123" i="12"/>
  <c r="L124" i="12" a="1"/>
  <c r="L124" i="12" s="1"/>
  <c r="L125" i="12" s="1" a="1"/>
  <c r="L125" i="12" s="1"/>
  <c r="L126" i="12" s="1" a="1"/>
  <c r="L126" i="12" s="1"/>
  <c r="AT274" i="12"/>
  <c r="AT266" i="12"/>
  <c r="AT260" i="12"/>
  <c r="AR259" i="12"/>
  <c r="CA132" i="12"/>
  <c r="CA127" i="12"/>
  <c r="CA138" i="12"/>
  <c r="BY126" i="12"/>
  <c r="AQ132" i="12"/>
  <c r="AQ127" i="12"/>
  <c r="AQ138" i="12"/>
  <c r="AO126" i="12"/>
  <c r="CJ138" i="12"/>
  <c r="CJ132" i="12"/>
  <c r="CJ127" i="12"/>
  <c r="CH126" i="12"/>
  <c r="F99" i="27" a="1"/>
  <c r="F99" i="27" s="1"/>
  <c r="T98" i="27"/>
  <c r="M44" i="28" a="1"/>
  <c r="M44" i="28" s="1"/>
  <c r="AS43" i="28" a="1"/>
  <c r="AS43" i="28" s="1"/>
  <c r="AZ138" i="12"/>
  <c r="AZ132" i="12"/>
  <c r="AZ127" i="12"/>
  <c r="AX126" i="12"/>
  <c r="F45" i="8" a="1"/>
  <c r="F45" i="8" s="1"/>
  <c r="U44" i="8"/>
  <c r="L246" i="12" a="1"/>
  <c r="L246" i="12" s="1"/>
  <c r="T245" i="12" a="1"/>
  <c r="T245" i="12" s="1"/>
  <c r="M111" i="28" a="1"/>
  <c r="M111" i="28" s="1"/>
  <c r="AS110" i="28" a="1"/>
  <c r="AS110" i="28" s="1"/>
  <c r="M75" i="31" a="1"/>
  <c r="M75" i="31" s="1"/>
  <c r="BI74" i="31" a="1"/>
  <c r="BI74" i="31" s="1"/>
  <c r="S172" i="12" a="1"/>
  <c r="S172" i="12" s="1"/>
  <c r="U171" i="12"/>
  <c r="T70" i="31"/>
  <c r="F71" i="31" a="1"/>
  <c r="F71" i="31" s="1"/>
  <c r="AQ260" i="12"/>
  <c r="AQ274" i="12"/>
  <c r="AQ266" i="12"/>
  <c r="AO259" i="12"/>
  <c r="CD274" i="12"/>
  <c r="CD266" i="12"/>
  <c r="CD260" i="12"/>
  <c r="CB259" i="12"/>
  <c r="T43" i="27"/>
  <c r="F44" i="27" a="1"/>
  <c r="F44" i="27" s="1"/>
  <c r="BX274" i="12"/>
  <c r="BX266" i="12"/>
  <c r="BX260" i="12"/>
  <c r="BV259" i="12"/>
  <c r="BU132" i="12"/>
  <c r="BU127" i="12"/>
  <c r="BU138" i="12"/>
  <c r="BS126" i="12"/>
  <c r="BU260" i="12"/>
  <c r="BU274" i="12"/>
  <c r="BU266" i="12"/>
  <c r="BS259" i="12"/>
  <c r="CJ274" i="12"/>
  <c r="CJ266" i="12"/>
  <c r="CJ260" i="12"/>
  <c r="CH259" i="12"/>
  <c r="CD138" i="12"/>
  <c r="CD132" i="12"/>
  <c r="CD127" i="12"/>
  <c r="CB126" i="12"/>
  <c r="BF138" i="12"/>
  <c r="BF132" i="12"/>
  <c r="BF127" i="12"/>
  <c r="BD126" i="12"/>
  <c r="BR138" i="12"/>
  <c r="BR132" i="12"/>
  <c r="BR127" i="12"/>
  <c r="BP126" i="12"/>
  <c r="F103" i="33" a="1"/>
  <c r="F103" i="33" s="1"/>
  <c r="BR274" i="12"/>
  <c r="BR266" i="12"/>
  <c r="BR260" i="12"/>
  <c r="BP259" i="12"/>
  <c r="BF274" i="12"/>
  <c r="BF266" i="12"/>
  <c r="BF260" i="12"/>
  <c r="BD259" i="12"/>
  <c r="CM132" i="12"/>
  <c r="CM127" i="12"/>
  <c r="CM138" i="12"/>
  <c r="CK126" i="12"/>
  <c r="CG260" i="12"/>
  <c r="CG274" i="12"/>
  <c r="CG266" i="12"/>
  <c r="CE259" i="12"/>
  <c r="BI260" i="12"/>
  <c r="BI274" i="12"/>
  <c r="BI266" i="12"/>
  <c r="BG259" i="12"/>
  <c r="BC260" i="12"/>
  <c r="BC274" i="12"/>
  <c r="BC266" i="12"/>
  <c r="BA259" i="12"/>
  <c r="BO260" i="12"/>
  <c r="BO274" i="12"/>
  <c r="BO266" i="12"/>
  <c r="BM259" i="12"/>
  <c r="CS260" i="12"/>
  <c r="CS274" i="12"/>
  <c r="CS266" i="12"/>
  <c r="CQ259" i="12"/>
  <c r="CM260" i="12"/>
  <c r="CM274" i="12"/>
  <c r="CM266" i="12"/>
  <c r="CK259" i="12"/>
  <c r="BC132" i="12"/>
  <c r="BC127" i="12"/>
  <c r="BC138" i="12"/>
  <c r="BA126" i="12"/>
  <c r="AN138" i="12"/>
  <c r="AN132" i="12"/>
  <c r="AN127" i="12"/>
  <c r="AL126" i="12"/>
  <c r="F46" i="18" a="1"/>
  <c r="F46" i="18" s="1"/>
  <c r="T45" i="18"/>
  <c r="H45" i="18"/>
  <c r="CY238" i="12" a="1"/>
  <c r="CY238" i="12" s="1"/>
  <c r="AG238" i="12"/>
  <c r="AE243" i="12" a="1"/>
  <c r="AE243" i="12" s="1"/>
  <c r="X243" i="12"/>
  <c r="F44" i="30" a="1"/>
  <c r="F44" i="30" s="1"/>
  <c r="T43" i="30"/>
  <c r="F68" i="30" a="1"/>
  <c r="F68" i="30" s="1"/>
  <c r="T67" i="30"/>
  <c r="F73" i="8" a="1"/>
  <c r="F73" i="8" s="1"/>
  <c r="U72" i="8"/>
  <c r="BL138" i="12"/>
  <c r="BL132" i="12"/>
  <c r="BL127" i="12"/>
  <c r="BJ126" i="12"/>
  <c r="AT138" i="12"/>
  <c r="AT132" i="12"/>
  <c r="AT127" i="12"/>
  <c r="AR126" i="12"/>
  <c r="CP274" i="12"/>
  <c r="CP266" i="12"/>
  <c r="CP260" i="12"/>
  <c r="CN259" i="12"/>
  <c r="F57" i="13" a="1"/>
  <c r="F57" i="13" s="1"/>
  <c r="A56" i="13"/>
  <c r="CA260" i="12"/>
  <c r="CA274" i="12"/>
  <c r="CA266" i="12"/>
  <c r="BY259" i="12"/>
  <c r="BL274" i="12"/>
  <c r="BL266" i="12"/>
  <c r="BL260" i="12"/>
  <c r="BJ259" i="12"/>
  <c r="BI132" i="12"/>
  <c r="BI127" i="12"/>
  <c r="BI138" i="12"/>
  <c r="BG126" i="12"/>
  <c r="AN274" i="12"/>
  <c r="AN266" i="12"/>
  <c r="AN260" i="12"/>
  <c r="AL259" i="12"/>
  <c r="CG132" i="12"/>
  <c r="CG127" i="12"/>
  <c r="CG138" i="12"/>
  <c r="CE126" i="12"/>
  <c r="AW260" i="12"/>
  <c r="AW274" i="12"/>
  <c r="AW266" i="12"/>
  <c r="AU259" i="12"/>
  <c r="CZ238" i="12" a="1"/>
  <c r="CZ238" i="12" s="1"/>
  <c r="AF243" i="12" a="1"/>
  <c r="AF243" i="12" s="1"/>
  <c r="M48" i="31" a="1"/>
  <c r="M48" i="31" s="1"/>
  <c r="BI47" i="31" a="1"/>
  <c r="BI47" i="31" s="1"/>
  <c r="S61" i="12" a="1"/>
  <c r="S61" i="12" s="1"/>
  <c r="U60" i="12"/>
  <c r="CP138" i="12"/>
  <c r="CP132" i="12"/>
  <c r="CP127" i="12"/>
  <c r="CN126" i="12"/>
  <c r="N98" i="27" a="1"/>
  <c r="N98" i="27" s="1"/>
  <c r="BX97" i="27" a="1"/>
  <c r="BX97" i="27" s="1"/>
  <c r="F44" i="31" a="1"/>
  <c r="F44" i="31" s="1"/>
  <c r="T43" i="31"/>
  <c r="F57" i="33" a="1"/>
  <c r="F57" i="33" s="1"/>
  <c r="AH120" i="28"/>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AJ121" i="28"/>
  <c r="AJ116" i="28" s="1"/>
  <c r="AF121" i="28"/>
  <c r="AF116" i="28" s="1"/>
  <c r="AK121" i="28"/>
  <c r="AK116" i="28" s="1"/>
  <c r="AG121" i="28"/>
  <c r="AH121" i="28" s="1"/>
  <c r="AI121" i="28"/>
  <c r="AE121" i="28"/>
  <c r="AE116" i="28" s="1"/>
  <c r="BX138" i="12"/>
  <c r="BX132" i="12"/>
  <c r="BX127" i="12"/>
  <c r="BV126" i="12"/>
  <c r="AB51" i="21" a="1"/>
  <c r="AB51" i="21" s="1"/>
  <c r="V51" i="21" a="1"/>
  <c r="V51" i="21" s="1"/>
  <c r="N43" i="27" a="1"/>
  <c r="N43" i="27" s="1"/>
  <c r="BX42" i="27" a="1"/>
  <c r="BX42" i="27" s="1"/>
  <c r="T97" i="13"/>
  <c r="F98" i="13" a="1"/>
  <c r="F98" i="13" s="1"/>
  <c r="A97" i="13"/>
  <c r="AK54" i="28"/>
  <c r="AK49" i="28" s="1"/>
  <c r="AI54" i="28"/>
  <c r="AG54" i="28"/>
  <c r="AE54" i="28"/>
  <c r="AE49" i="28" s="1"/>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J54" i="28"/>
  <c r="AJ49" i="28" s="1"/>
  <c r="AF54" i="28"/>
  <c r="AF49" i="28" s="1"/>
  <c r="AH53" i="28"/>
  <c r="AK67" i="28" l="1"/>
  <c r="AI67" i="28"/>
  <c r="AL67" i="28" s="1"/>
  <c r="AG67" i="28"/>
  <c r="AE67" i="28"/>
  <c r="F68" i="28" a="1"/>
  <c r="F68" i="28" s="1"/>
  <c r="F69" i="28" s="1" a="1"/>
  <c r="F69" i="28" s="1"/>
  <c r="F70" i="28" s="1" a="1"/>
  <c r="F70" i="28" s="1"/>
  <c r="F71" i="28" s="1" a="1"/>
  <c r="F71" i="28" s="1"/>
  <c r="F72" i="28" s="1" a="1"/>
  <c r="F72" i="28" s="1"/>
  <c r="F73" i="28" s="1" a="1"/>
  <c r="F73" i="28" s="1"/>
  <c r="AJ67" i="28"/>
  <c r="AF67" i="28"/>
  <c r="AL54" i="28"/>
  <c r="AI49" i="28"/>
  <c r="AL49" i="28" s="1"/>
  <c r="T100" i="13" a="1"/>
  <c r="T100" i="13" s="1"/>
  <c r="T99" i="13" a="1"/>
  <c r="T99" i="13" s="1"/>
  <c r="BV138" i="12"/>
  <c r="BV132" i="12"/>
  <c r="BV127" i="12"/>
  <c r="F135" i="28" a="1"/>
  <c r="F135" i="28" s="1"/>
  <c r="F136" i="28" s="1" a="1"/>
  <c r="F136" i="28" s="1"/>
  <c r="F137" i="28" s="1" a="1"/>
  <c r="F137" i="28" s="1"/>
  <c r="F138" i="28" s="1" a="1"/>
  <c r="F138" i="28" s="1"/>
  <c r="F139" i="28" s="1" a="1"/>
  <c r="F139" i="28" s="1"/>
  <c r="F140" i="28" s="1" a="1"/>
  <c r="F140" i="28" s="1"/>
  <c r="AJ134" i="28"/>
  <c r="AF134" i="28"/>
  <c r="AK134" i="28"/>
  <c r="AG134" i="28"/>
  <c r="AH134" i="28" s="1"/>
  <c r="AI134" i="28"/>
  <c r="AL134" i="28" s="1"/>
  <c r="AE134" i="28"/>
  <c r="F58" i="33" a="1"/>
  <c r="F58" i="33" s="1"/>
  <c r="F45" i="31" a="1"/>
  <c r="F45" i="31" s="1"/>
  <c r="T44" i="31"/>
  <c r="CN138" i="12"/>
  <c r="CN132" i="12"/>
  <c r="CN127" i="12"/>
  <c r="CZ243" i="12" a="1"/>
  <c r="CZ243" i="12" s="1"/>
  <c r="AF247" i="12" a="1"/>
  <c r="AF247" i="12" s="1"/>
  <c r="AU260" i="12"/>
  <c r="AM39" i="24" s="1"/>
  <c r="AU274" i="12"/>
  <c r="AU266" i="12"/>
  <c r="CE132" i="12"/>
  <c r="CE127" i="12"/>
  <c r="CE138" i="12"/>
  <c r="AL274" i="12"/>
  <c r="AL266" i="12"/>
  <c r="AL260" i="12"/>
  <c r="BG132" i="12"/>
  <c r="BG127" i="12"/>
  <c r="BG138" i="12"/>
  <c r="BJ274" i="12"/>
  <c r="BJ266" i="12"/>
  <c r="BJ260" i="12"/>
  <c r="AR39" i="24" s="1"/>
  <c r="F58" i="13" a="1"/>
  <c r="F58" i="13" s="1"/>
  <c r="T57" i="13"/>
  <c r="U73" i="8"/>
  <c r="F74" i="8" a="1"/>
  <c r="F74" i="8" s="1"/>
  <c r="F47" i="18" a="1"/>
  <c r="F47" i="18" s="1"/>
  <c r="T46" i="18"/>
  <c r="BP274" i="12"/>
  <c r="BP266" i="12"/>
  <c r="BP260" i="12"/>
  <c r="F104" i="33" a="1"/>
  <c r="F104" i="33" s="1"/>
  <c r="S173" i="12" a="1"/>
  <c r="S173" i="12" s="1"/>
  <c r="U172" i="12"/>
  <c r="M76" i="31" a="1"/>
  <c r="M76" i="31" s="1"/>
  <c r="BI75" i="31" a="1"/>
  <c r="BI75" i="31" s="1"/>
  <c r="M112" i="28" a="1"/>
  <c r="M112" i="28" s="1"/>
  <c r="AS111" i="28" a="1"/>
  <c r="AS111" i="28" s="1"/>
  <c r="L247" i="12" a="1"/>
  <c r="L247" i="12" s="1"/>
  <c r="T246" i="12"/>
  <c r="F46" i="8" a="1"/>
  <c r="F46" i="8" s="1"/>
  <c r="U45" i="8"/>
  <c r="M45" i="28" a="1"/>
  <c r="M45" i="28" s="1"/>
  <c r="AS44" i="28" a="1"/>
  <c r="AS44" i="28" s="1"/>
  <c r="F100" i="27" a="1"/>
  <c r="F100" i="27" s="1"/>
  <c r="T99" i="27"/>
  <c r="AO132" i="12"/>
  <c r="AO127" i="12"/>
  <c r="AO138" i="12"/>
  <c r="BY132" i="12"/>
  <c r="BY127" i="12"/>
  <c r="BY138" i="12"/>
  <c r="AR274" i="12"/>
  <c r="AR266" i="12"/>
  <c r="AR260" i="12"/>
  <c r="AL39" i="24" s="1"/>
  <c r="T126" i="12" a="1"/>
  <c r="T126" i="12" s="1"/>
  <c r="L127" i="12" a="1"/>
  <c r="L127" i="12" s="1"/>
  <c r="L128" i="12" s="1" a="1"/>
  <c r="L128" i="12" s="1"/>
  <c r="L129" i="12" s="1" a="1"/>
  <c r="L129" i="12" s="1"/>
  <c r="L130" i="12" s="1" a="1"/>
  <c r="L130" i="12" s="1"/>
  <c r="L131" i="12" s="1" a="1"/>
  <c r="L131" i="12" s="1"/>
  <c r="L132" i="12" s="1" a="1"/>
  <c r="L132" i="12" s="1"/>
  <c r="AU132" i="12"/>
  <c r="AU127" i="12"/>
  <c r="AU138" i="12"/>
  <c r="BM132" i="12"/>
  <c r="BM127" i="12"/>
  <c r="BM138" i="12"/>
  <c r="CQ132" i="12"/>
  <c r="CQ127" i="12"/>
  <c r="CQ138" i="12"/>
  <c r="AX274" i="12"/>
  <c r="AX266" i="12"/>
  <c r="AX260" i="12"/>
  <c r="AN39" i="24" s="1"/>
  <c r="AH54" i="28"/>
  <c r="AG49" i="28"/>
  <c r="AH49" i="28" s="1"/>
  <c r="F99" i="13" a="1"/>
  <c r="F99" i="13" s="1"/>
  <c r="F100" i="13" s="1" a="1"/>
  <c r="F100" i="13" s="1"/>
  <c r="L98" i="13" a="1"/>
  <c r="L98" i="13" s="1"/>
  <c r="T98" i="13" s="1"/>
  <c r="N44" i="27" a="1"/>
  <c r="N44" i="27" s="1"/>
  <c r="BX43" i="27" a="1"/>
  <c r="BX43" i="27" s="1"/>
  <c r="AB36" i="22" a="1"/>
  <c r="AB36" i="22" s="1"/>
  <c r="V36" i="22" a="1"/>
  <c r="V36" i="22" s="1"/>
  <c r="AL121" i="28"/>
  <c r="AI116" i="28"/>
  <c r="AL116" i="28" s="1"/>
  <c r="AG116" i="28"/>
  <c r="AH116" i="28" s="1"/>
  <c r="N99" i="27" a="1"/>
  <c r="N99" i="27" s="1"/>
  <c r="BX98" i="27" a="1"/>
  <c r="BX98" i="27" s="1"/>
  <c r="S62" i="12" a="1"/>
  <c r="S62" i="12" s="1"/>
  <c r="U61" i="12"/>
  <c r="M49" i="31" a="1"/>
  <c r="M49" i="31" s="1"/>
  <c r="BI48" i="31" a="1"/>
  <c r="BI48" i="31" s="1"/>
  <c r="BY260" i="12"/>
  <c r="AW39" i="24" s="1"/>
  <c r="BY274" i="12"/>
  <c r="BY266" i="12"/>
  <c r="CN274" i="12"/>
  <c r="CN266" i="12"/>
  <c r="CN260" i="12"/>
  <c r="BB39" i="24" s="1"/>
  <c r="AR138" i="12"/>
  <c r="AR132" i="12"/>
  <c r="AR127" i="12"/>
  <c r="BJ138" i="12"/>
  <c r="BJ132" i="12"/>
  <c r="BJ127" i="12"/>
  <c r="F69" i="30" a="1"/>
  <c r="F69" i="30" s="1"/>
  <c r="T68" i="30"/>
  <c r="F45" i="30" a="1"/>
  <c r="F45" i="30" s="1"/>
  <c r="T44" i="30"/>
  <c r="CY243" i="12" a="1"/>
  <c r="CY243" i="12" s="1"/>
  <c r="AE247" i="12" a="1"/>
  <c r="AE247" i="12" s="1"/>
  <c r="X247" i="12"/>
  <c r="AL138" i="12"/>
  <c r="AL132" i="12"/>
  <c r="AL127" i="12"/>
  <c r="BA132" i="12"/>
  <c r="BA127" i="12"/>
  <c r="BA138" i="12"/>
  <c r="CK260" i="12"/>
  <c r="BA39" i="24" s="1"/>
  <c r="CK274" i="12"/>
  <c r="CK266" i="12"/>
  <c r="CQ260" i="12"/>
  <c r="BC39" i="24" s="1"/>
  <c r="CQ274" i="12"/>
  <c r="CQ266" i="12"/>
  <c r="BM260" i="12"/>
  <c r="AS39" i="24" s="1"/>
  <c r="BM274" i="12"/>
  <c r="BM266" i="12"/>
  <c r="BA260" i="12"/>
  <c r="AO39" i="24" s="1"/>
  <c r="BA274" i="12"/>
  <c r="BA266" i="12"/>
  <c r="BG260" i="12"/>
  <c r="AQ39" i="24" s="1"/>
  <c r="BG274" i="12"/>
  <c r="BG266" i="12"/>
  <c r="CE260" i="12"/>
  <c r="AY39" i="24" s="1"/>
  <c r="CE274" i="12"/>
  <c r="CE266" i="12"/>
  <c r="CK132" i="12"/>
  <c r="CK127" i="12"/>
  <c r="CK138" i="12"/>
  <c r="BD274" i="12"/>
  <c r="BD266" i="12"/>
  <c r="BD260" i="12"/>
  <c r="AP39" i="24" s="1"/>
  <c r="BP138" i="12"/>
  <c r="BP132" i="12"/>
  <c r="BP127" i="12"/>
  <c r="BD138" i="12"/>
  <c r="BD132" i="12"/>
  <c r="BD127" i="12"/>
  <c r="CB138" i="12"/>
  <c r="CB132" i="12"/>
  <c r="CB127" i="12"/>
  <c r="CH274" i="12"/>
  <c r="CH266" i="12"/>
  <c r="CH260" i="12"/>
  <c r="AZ39" i="24" s="1"/>
  <c r="BS260" i="12"/>
  <c r="AU39" i="24" s="1"/>
  <c r="BS274" i="12"/>
  <c r="BS266" i="12"/>
  <c r="BS132" i="12"/>
  <c r="BS127" i="12"/>
  <c r="BS138" i="12"/>
  <c r="BV274" i="12"/>
  <c r="BV266" i="12"/>
  <c r="BV260" i="12"/>
  <c r="AV39" i="24" s="1"/>
  <c r="T44" i="27"/>
  <c r="F45" i="27" a="1"/>
  <c r="F45" i="27" s="1"/>
  <c r="CB274" i="12"/>
  <c r="CB266" i="12"/>
  <c r="CB260" i="12"/>
  <c r="AX39" i="24" s="1"/>
  <c r="AO260" i="12"/>
  <c r="AK39" i="24" s="1"/>
  <c r="AO274" i="12"/>
  <c r="AO266" i="12"/>
  <c r="T71" i="31"/>
  <c r="F72" i="31" a="1"/>
  <c r="F72" i="31" s="1"/>
  <c r="AX138" i="12"/>
  <c r="AX132" i="12"/>
  <c r="AX127" i="12"/>
  <c r="CH138" i="12"/>
  <c r="CH132" i="12"/>
  <c r="CH127" i="12"/>
  <c r="AX46" i="24" l="1"/>
  <c r="BI46" i="24" s="1"/>
  <c r="BI39" i="24"/>
  <c r="T45" i="27"/>
  <c r="F46" i="27" a="1"/>
  <c r="F46" i="27" s="1"/>
  <c r="AV46" i="24"/>
  <c r="BG46" i="24" s="1"/>
  <c r="BG39" i="24"/>
  <c r="AU46" i="24"/>
  <c r="BF46" i="24" s="1"/>
  <c r="BF39" i="24"/>
  <c r="AQ46" i="24"/>
  <c r="AS46" i="24"/>
  <c r="BA46" i="24"/>
  <c r="BL46" i="24" s="1"/>
  <c r="BL39" i="24"/>
  <c r="AE252" i="12" a="1"/>
  <c r="AE252" i="12" s="1"/>
  <c r="X252" i="12"/>
  <c r="CY247" i="12" a="1"/>
  <c r="CY247" i="12" s="1"/>
  <c r="BB46" i="24"/>
  <c r="BM46" i="24" s="1"/>
  <c r="BM39" i="24"/>
  <c r="AB47" i="23" a="1"/>
  <c r="AB47" i="23" s="1"/>
  <c r="V47" i="23" a="1"/>
  <c r="V47" i="23" s="1"/>
  <c r="N45" i="27" a="1"/>
  <c r="N45" i="27" s="1"/>
  <c r="BX44" i="27" a="1"/>
  <c r="BX44" i="27" s="1"/>
  <c r="A100" i="13"/>
  <c r="F101" i="13" a="1"/>
  <c r="F101" i="13" s="1"/>
  <c r="F105" i="33" a="1"/>
  <c r="F105" i="33" s="1"/>
  <c r="F75" i="8" a="1"/>
  <c r="F75" i="8" s="1"/>
  <c r="U74" i="8"/>
  <c r="AR46" i="24"/>
  <c r="AJ97" i="28"/>
  <c r="AJ39" i="24"/>
  <c r="AM46" i="24"/>
  <c r="F59" i="33" a="1"/>
  <c r="F59" i="33" s="1"/>
  <c r="F73" i="31" a="1"/>
  <c r="F73" i="31" s="1"/>
  <c r="T72" i="31"/>
  <c r="AK46" i="24"/>
  <c r="AZ46" i="24"/>
  <c r="BK46" i="24" s="1"/>
  <c r="BK39" i="24"/>
  <c r="AP46" i="24"/>
  <c r="AY46" i="24"/>
  <c r="BJ46" i="24" s="1"/>
  <c r="BJ39" i="24"/>
  <c r="AO46" i="24"/>
  <c r="BC46" i="24"/>
  <c r="F46" i="30" a="1"/>
  <c r="F46" i="30" s="1"/>
  <c r="T45" i="30"/>
  <c r="F70" i="30" a="1"/>
  <c r="F70" i="30" s="1"/>
  <c r="T69" i="30"/>
  <c r="AW46" i="24"/>
  <c r="BH46" i="24" s="1"/>
  <c r="BH39" i="24"/>
  <c r="M50" i="31" a="1"/>
  <c r="M50" i="31" s="1"/>
  <c r="BI49" i="31" a="1"/>
  <c r="BI49" i="31" s="1"/>
  <c r="S63" i="12" a="1"/>
  <c r="S63" i="12" s="1"/>
  <c r="U62" i="12"/>
  <c r="N100" i="27" a="1"/>
  <c r="N100" i="27" s="1"/>
  <c r="BX99" i="27" a="1"/>
  <c r="BX99" i="27" s="1"/>
  <c r="AN46" i="24"/>
  <c r="L133" i="12" a="1"/>
  <c r="L133" i="12" s="1"/>
  <c r="L134" i="12" s="1" a="1"/>
  <c r="L134" i="12" s="1"/>
  <c r="L135" i="12" s="1" a="1"/>
  <c r="L135" i="12" s="1"/>
  <c r="L136" i="12" s="1" a="1"/>
  <c r="L136" i="12" s="1"/>
  <c r="L137" i="12" s="1" a="1"/>
  <c r="L137" i="12" s="1"/>
  <c r="L138" i="12" s="1" a="1"/>
  <c r="L138" i="12" s="1"/>
  <c r="T132" i="12" a="1"/>
  <c r="T132" i="12" s="1"/>
  <c r="AL46" i="24"/>
  <c r="F101" i="27" a="1"/>
  <c r="F101" i="27" s="1"/>
  <c r="T100" i="27"/>
  <c r="M46" i="28" a="1"/>
  <c r="M46" i="28" s="1"/>
  <c r="AS45" i="28" a="1"/>
  <c r="AS45" i="28" s="1"/>
  <c r="F47" i="8" a="1"/>
  <c r="F47" i="8" s="1"/>
  <c r="U46" i="8"/>
  <c r="L248" i="12" a="1"/>
  <c r="L248" i="12" s="1"/>
  <c r="L249" i="12" s="1" a="1"/>
  <c r="L249" i="12" s="1"/>
  <c r="L250" i="12" s="1" a="1"/>
  <c r="L250" i="12" s="1"/>
  <c r="L251" i="12" s="1" a="1"/>
  <c r="L251" i="12" s="1"/>
  <c r="L252" i="12" s="1" a="1"/>
  <c r="L252" i="12" s="1"/>
  <c r="L253" i="12" s="1" a="1"/>
  <c r="L253" i="12" s="1"/>
  <c r="L254" i="12" s="1" a="1"/>
  <c r="L254" i="12" s="1"/>
  <c r="T247" i="12"/>
  <c r="M113" i="28" a="1"/>
  <c r="M113" i="28" s="1"/>
  <c r="AS112" i="28" a="1"/>
  <c r="AS112" i="28" s="1"/>
  <c r="M77" i="31" a="1"/>
  <c r="M77" i="31" s="1"/>
  <c r="BI76" i="31" a="1"/>
  <c r="BI76" i="31" s="1"/>
  <c r="S174" i="12" a="1"/>
  <c r="S174" i="12" s="1"/>
  <c r="U173" i="12"/>
  <c r="AT39" i="24"/>
  <c r="AK97" i="28"/>
  <c r="F48" i="18" a="1"/>
  <c r="F48" i="18" s="1"/>
  <c r="T47" i="18"/>
  <c r="F59" i="13" a="1"/>
  <c r="F59" i="13" s="1"/>
  <c r="T58" i="13"/>
  <c r="AF252" i="12" a="1"/>
  <c r="AF252" i="12" s="1"/>
  <c r="CZ247" i="12" a="1"/>
  <c r="CZ247" i="12" s="1"/>
  <c r="F46" i="31" a="1"/>
  <c r="F46" i="31" s="1"/>
  <c r="T45" i="31"/>
  <c r="F141" i="28" a="1"/>
  <c r="F141" i="28" s="1"/>
  <c r="T140" i="28"/>
  <c r="F74" i="28" a="1"/>
  <c r="F74" i="28" s="1"/>
  <c r="T73" i="28"/>
  <c r="AH67" i="28"/>
  <c r="F71" i="30" l="1" a="1"/>
  <c r="F71" i="30" s="1"/>
  <c r="T70" i="30"/>
  <c r="AJ46" i="24"/>
  <c r="F106" i="33" a="1"/>
  <c r="F106" i="33" s="1"/>
  <c r="AB37" i="24" a="1"/>
  <c r="AB37" i="24" s="1"/>
  <c r="V37" i="24" a="1"/>
  <c r="V37" i="24" s="1"/>
  <c r="F75" i="28" a="1"/>
  <c r="F75" i="28" s="1"/>
  <c r="T74" i="28"/>
  <c r="F142" i="28" a="1"/>
  <c r="F142" i="28" s="1"/>
  <c r="T141" i="28"/>
  <c r="F47" i="31" a="1"/>
  <c r="F47" i="31" s="1"/>
  <c r="T46" i="31"/>
  <c r="CZ252" i="12" a="1"/>
  <c r="CZ252" i="12" s="1"/>
  <c r="AF256" i="12" a="1"/>
  <c r="AF256" i="12" s="1"/>
  <c r="F60" i="13" a="1"/>
  <c r="F60" i="13" s="1"/>
  <c r="T59" i="13"/>
  <c r="F49" i="18" a="1"/>
  <c r="F49" i="18" s="1"/>
  <c r="F50" i="18" s="1" a="1"/>
  <c r="F50" i="18" s="1"/>
  <c r="F51" i="18" s="1" a="1"/>
  <c r="F51" i="18" s="1"/>
  <c r="T48" i="18"/>
  <c r="T49" i="18" s="1" a="1"/>
  <c r="T49" i="18" s="1"/>
  <c r="T50" i="18" s="1" a="1"/>
  <c r="T50" i="18" s="1"/>
  <c r="AJ55" i="21"/>
  <c r="AJ52" i="21" s="1"/>
  <c r="AK55" i="21"/>
  <c r="AI104" i="28"/>
  <c r="AL104" i="28" s="1"/>
  <c r="AI37" i="28"/>
  <c r="AL37" i="28" s="1"/>
  <c r="AK31" i="21"/>
  <c r="AK28" i="21" s="1"/>
  <c r="AG31" i="21"/>
  <c r="AE104" i="28"/>
  <c r="AG104" i="28"/>
  <c r="AJ31" i="21"/>
  <c r="AJ28" i="21" s="1"/>
  <c r="AI31" i="21"/>
  <c r="AJ104" i="28"/>
  <c r="AF37" i="28"/>
  <c r="AF31" i="21"/>
  <c r="AF28" i="21" s="1"/>
  <c r="AE31" i="21"/>
  <c r="AE28" i="21" s="1"/>
  <c r="AK104" i="28"/>
  <c r="AJ37" i="28"/>
  <c r="AT46" i="24"/>
  <c r="BE39" i="24"/>
  <c r="BD39" i="24"/>
  <c r="S175" i="12" a="1"/>
  <c r="S175" i="12" s="1"/>
  <c r="U174" i="12"/>
  <c r="M78" i="31" a="1"/>
  <c r="M78" i="31" s="1"/>
  <c r="BI77" i="31" a="1"/>
  <c r="BI77" i="31" s="1"/>
  <c r="M114" i="28" a="1"/>
  <c r="M114" i="28" s="1"/>
  <c r="AS113" i="28" a="1"/>
  <c r="AS113" i="28" s="1"/>
  <c r="L255" i="12" a="1"/>
  <c r="L255" i="12" s="1"/>
  <c r="T254" i="12" a="1"/>
  <c r="T254" i="12" s="1"/>
  <c r="U47" i="8"/>
  <c r="F48" i="8" a="1"/>
  <c r="F48" i="8" s="1"/>
  <c r="M47" i="28" a="1"/>
  <c r="M47" i="28" s="1"/>
  <c r="AS46" i="28" a="1"/>
  <c r="AS46" i="28" s="1"/>
  <c r="F102" i="27" a="1"/>
  <c r="F102" i="27" s="1"/>
  <c r="T101" i="27"/>
  <c r="N101" i="27" a="1"/>
  <c r="N101" i="27" s="1"/>
  <c r="BX100" i="27" a="1"/>
  <c r="BX100" i="27" s="1"/>
  <c r="S64" i="12" a="1"/>
  <c r="S64" i="12" s="1"/>
  <c r="U63" i="12"/>
  <c r="M51" i="31" a="1"/>
  <c r="M51" i="31" s="1"/>
  <c r="BI50" i="31" a="1"/>
  <c r="BI50" i="31" s="1"/>
  <c r="F60" i="33" a="1"/>
  <c r="F60" i="33" s="1"/>
  <c r="F76" i="8" a="1"/>
  <c r="F76" i="8" s="1"/>
  <c r="U75" i="8"/>
  <c r="F102" i="13" a="1"/>
  <c r="F102" i="13" s="1"/>
  <c r="T101" i="13"/>
  <c r="AL97" i="28"/>
  <c r="F47" i="30" a="1"/>
  <c r="F47" i="30" s="1"/>
  <c r="T46" i="30"/>
  <c r="F74" i="31" a="1"/>
  <c r="F74" i="31" s="1"/>
  <c r="T73" i="31"/>
  <c r="N46" i="27" a="1"/>
  <c r="N46" i="27" s="1"/>
  <c r="BX45" i="27" a="1"/>
  <c r="BX45" i="27" s="1"/>
  <c r="CY252" i="12" a="1"/>
  <c r="CY252" i="12" s="1"/>
  <c r="AE256" i="12" a="1"/>
  <c r="AE256" i="12" s="1"/>
  <c r="X256" i="12"/>
  <c r="T46" i="27"/>
  <c r="F47" i="27" a="1"/>
  <c r="F47" i="27" s="1"/>
  <c r="T47" i="27" l="1"/>
  <c r="F48" i="27" a="1"/>
  <c r="F48" i="27" s="1"/>
  <c r="F103" i="13" a="1"/>
  <c r="F103" i="13" s="1"/>
  <c r="T102" i="13"/>
  <c r="N47" i="27" a="1"/>
  <c r="N47" i="27" s="1"/>
  <c r="BX46" i="27" a="1"/>
  <c r="BX46" i="27" s="1"/>
  <c r="F77" i="8" a="1"/>
  <c r="F77" i="8" s="1"/>
  <c r="U76" i="8"/>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F49" i="8" a="1"/>
  <c r="F49" i="8" s="1"/>
  <c r="U48" i="8"/>
  <c r="AE34" i="22" a="1"/>
  <c r="AE34" i="22" s="1"/>
  <c r="AE28" i="27"/>
  <c r="AL31" i="21"/>
  <c r="AI28" i="21"/>
  <c r="AH31" i="21"/>
  <c r="AG28" i="21"/>
  <c r="AL55" i="21"/>
  <c r="AK52" i="21"/>
  <c r="AL52" i="21" s="1"/>
  <c r="AF263" i="12" a="1"/>
  <c r="AF263" i="12" s="1"/>
  <c r="CZ256" i="12" a="1"/>
  <c r="CZ256" i="12" s="1"/>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F72" i="30" a="1"/>
  <c r="F72" i="30" s="1"/>
  <c r="T71" i="30"/>
  <c r="AE263" i="12" a="1"/>
  <c r="AE263" i="12" s="1"/>
  <c r="X263" i="12"/>
  <c r="CY256" i="12" a="1"/>
  <c r="CY256" i="12" s="1"/>
  <c r="F75" i="31" a="1"/>
  <c r="F75" i="31" s="1"/>
  <c r="T74" i="31"/>
  <c r="F48" i="30" a="1"/>
  <c r="F48" i="30" s="1"/>
  <c r="T47" i="30"/>
  <c r="M52" i="31" a="1"/>
  <c r="M52" i="31" s="1"/>
  <c r="BI51" i="31" a="1"/>
  <c r="BI51" i="31" s="1"/>
  <c r="S65" i="12" a="1"/>
  <c r="S65" i="12" s="1"/>
  <c r="U64" i="12"/>
  <c r="N102" i="27" a="1"/>
  <c r="N102" i="27" s="1"/>
  <c r="BX101" i="27" a="1"/>
  <c r="BX101" i="27" s="1"/>
  <c r="F103" i="27" a="1"/>
  <c r="F103" i="27" s="1"/>
  <c r="T102" i="27"/>
  <c r="M48" i="28" a="1"/>
  <c r="M48" i="28" s="1"/>
  <c r="AS47" i="28" a="1"/>
  <c r="AS47" i="28" s="1"/>
  <c r="L256" i="12" a="1"/>
  <c r="L256" i="12" s="1"/>
  <c r="T255" i="12"/>
  <c r="M115" i="28" a="1"/>
  <c r="M115" i="28" s="1"/>
  <c r="AS114" i="28" a="1"/>
  <c r="AS114" i="28" s="1"/>
  <c r="M79" i="31" a="1"/>
  <c r="M79" i="31" s="1"/>
  <c r="BI78" i="31" a="1"/>
  <c r="BI78" i="31" s="1"/>
  <c r="U175" i="12"/>
  <c r="S176" i="12" a="1"/>
  <c r="S176" i="12" s="1"/>
  <c r="BE46" i="24"/>
  <c r="BD46" i="24"/>
  <c r="AF34" i="22" a="1"/>
  <c r="AF34" i="22" s="1"/>
  <c r="AF32" i="25"/>
  <c r="AF28" i="27"/>
  <c r="T51" i="18"/>
  <c r="H51" i="18"/>
  <c r="AG37" i="28"/>
  <c r="AH37" i="28" s="1"/>
  <c r="AF104" i="28"/>
  <c r="AH104" i="28" s="1"/>
  <c r="AE37" i="28"/>
  <c r="AK37" i="28"/>
  <c r="T60" i="13"/>
  <c r="F61" i="13" a="1"/>
  <c r="F61" i="13" s="1"/>
  <c r="F48" i="31" a="1"/>
  <c r="F48" i="31" s="1"/>
  <c r="T47" i="31"/>
  <c r="F143" i="28" a="1"/>
  <c r="F143" i="28" s="1"/>
  <c r="F144" i="28" s="1" a="1"/>
  <c r="F144" i="28" s="1"/>
  <c r="F145" i="28" s="1" a="1"/>
  <c r="F145" i="28" s="1"/>
  <c r="F146" i="28" s="1" a="1"/>
  <c r="F146" i="28" s="1"/>
  <c r="F147" i="28" s="1" a="1"/>
  <c r="F147" i="28" s="1"/>
  <c r="F148" i="28" s="1" a="1"/>
  <c r="F148" i="28" s="1"/>
  <c r="F149" i="28" s="1" a="1"/>
  <c r="F149" i="28" s="1"/>
  <c r="AK142" i="28"/>
  <c r="AK145" i="28" s="1"/>
  <c r="AK154" i="28" s="1"/>
  <c r="AK155" i="28" s="1"/>
  <c r="AJ142" i="28"/>
  <c r="AJ145" i="28" s="1"/>
  <c r="AJ154" i="28" s="1"/>
  <c r="AJ155" i="28" s="1"/>
  <c r="AI142" i="28"/>
  <c r="AE142" i="28"/>
  <c r="AE145" i="28" s="1"/>
  <c r="AE154" i="28" s="1"/>
  <c r="AE155" i="28" s="1"/>
  <c r="F76" i="28" a="1"/>
  <c r="F76" i="28" s="1"/>
  <c r="F77" i="28" s="1" a="1"/>
  <c r="F77" i="28" s="1"/>
  <c r="F78" i="28" s="1" a="1"/>
  <c r="F78" i="28" s="1"/>
  <c r="F79" i="28" s="1" a="1"/>
  <c r="F79" i="28" s="1"/>
  <c r="F80" i="28" s="1" a="1"/>
  <c r="F80" i="28" s="1"/>
  <c r="F81" i="28" s="1" a="1"/>
  <c r="F81" i="28" s="1"/>
  <c r="F82" i="28" s="1" a="1"/>
  <c r="F82" i="28" s="1"/>
  <c r="AI75" i="28"/>
  <c r="AE75" i="28"/>
  <c r="AE78" i="28" s="1"/>
  <c r="AE87" i="28" s="1"/>
  <c r="AE88" i="28" s="1"/>
  <c r="AK75" i="28"/>
  <c r="AK78" i="28" s="1"/>
  <c r="AK87" i="28" s="1"/>
  <c r="AK88" i="28" s="1"/>
  <c r="AJ75" i="28"/>
  <c r="AJ78" i="28" s="1"/>
  <c r="AJ87" i="28" s="1"/>
  <c r="AJ88" i="28" s="1"/>
  <c r="AB75" i="25" a="1"/>
  <c r="AB75" i="25" s="1"/>
  <c r="V75" i="25" a="1"/>
  <c r="V75" i="25" s="1"/>
  <c r="AK82" i="28" l="1"/>
  <c r="AI82" i="28"/>
  <c r="T82" i="28"/>
  <c r="F83" i="28" a="1"/>
  <c r="F83" i="28" s="1"/>
  <c r="AE82" i="28"/>
  <c r="AJ82" i="28"/>
  <c r="AI145" i="28"/>
  <c r="AL142" i="28"/>
  <c r="F62" i="13" a="1"/>
  <c r="F62" i="13" s="1"/>
  <c r="F63" i="13" s="1" a="1"/>
  <c r="F63" i="13" s="1"/>
  <c r="L61" i="13" a="1"/>
  <c r="L61" i="13" s="1"/>
  <c r="T61" i="13" s="1"/>
  <c r="M80" i="31" a="1"/>
  <c r="M80" i="31" s="1"/>
  <c r="BI80" i="31" s="1" a="1"/>
  <c r="BI80" i="31" s="1"/>
  <c r="BI79" i="31" a="1"/>
  <c r="BI79" i="31" s="1"/>
  <c r="M116" i="28" a="1"/>
  <c r="M116" i="28" s="1"/>
  <c r="AS115" i="28" a="1"/>
  <c r="AS115" i="28" s="1"/>
  <c r="L257" i="12" a="1"/>
  <c r="L257" i="12" s="1"/>
  <c r="L258" i="12" s="1" a="1"/>
  <c r="L258" i="12" s="1"/>
  <c r="L259" i="12" s="1" a="1"/>
  <c r="L259" i="12" s="1"/>
  <c r="T256" i="12"/>
  <c r="M49" i="28" a="1"/>
  <c r="M49" i="28" s="1"/>
  <c r="AS48" i="28" a="1"/>
  <c r="AS48" i="28" s="1"/>
  <c r="F104" i="27" a="1"/>
  <c r="F104" i="27" s="1"/>
  <c r="T103" i="27"/>
  <c r="N103" i="27" a="1"/>
  <c r="N103" i="27" s="1"/>
  <c r="BX102" i="27" a="1"/>
  <c r="BX102" i="27" s="1"/>
  <c r="S66" i="12" a="1"/>
  <c r="S66" i="12" s="1"/>
  <c r="U65" i="12"/>
  <c r="M53" i="31" a="1"/>
  <c r="M53" i="31" s="1"/>
  <c r="BI53" i="31" s="1" a="1"/>
  <c r="BI53" i="31" s="1"/>
  <c r="BI52" i="31" a="1"/>
  <c r="BI52" i="31" s="1"/>
  <c r="F49" i="30" a="1"/>
  <c r="F49" i="30" s="1"/>
  <c r="T48" i="30"/>
  <c r="F76" i="31" a="1"/>
  <c r="F76" i="31" s="1"/>
  <c r="T75" i="31"/>
  <c r="AF268" i="12" a="1"/>
  <c r="AF268" i="12" s="1"/>
  <c r="CZ263" i="12" a="1"/>
  <c r="CZ263" i="12" s="1"/>
  <c r="AL28" i="21"/>
  <c r="AI28" i="27"/>
  <c r="AI34" i="22"/>
  <c r="F50" i="8" a="1"/>
  <c r="F50" i="8" s="1"/>
  <c r="U49" i="8"/>
  <c r="U77" i="8"/>
  <c r="F78" i="8" a="1"/>
  <c r="F78" i="8" s="1"/>
  <c r="N48" i="27" a="1"/>
  <c r="N48" i="27" s="1"/>
  <c r="BX47" i="27" a="1"/>
  <c r="BX47" i="27" s="1"/>
  <c r="T48" i="27"/>
  <c r="F49" i="27" a="1"/>
  <c r="F49" i="27" s="1"/>
  <c r="AB82" i="27" a="1"/>
  <c r="AB82" i="27" s="1"/>
  <c r="V82" i="27" a="1"/>
  <c r="V82" i="27" s="1"/>
  <c r="AI78" i="28"/>
  <c r="AL75" i="28"/>
  <c r="AK149" i="28"/>
  <c r="AI149" i="28"/>
  <c r="T149" i="28"/>
  <c r="F150" i="28" a="1"/>
  <c r="F150" i="28" s="1"/>
  <c r="AE149" i="28"/>
  <c r="AJ149" i="28"/>
  <c r="F49" i="31" a="1"/>
  <c r="F49" i="31" s="1"/>
  <c r="T48" i="31"/>
  <c r="T63" i="13" a="1"/>
  <c r="T63" i="13" s="1"/>
  <c r="T64" i="13" s="1" a="1"/>
  <c r="T64" i="13" s="1"/>
  <c r="T65" i="13" s="1" a="1"/>
  <c r="T65" i="13" s="1"/>
  <c r="T66" i="13" s="1" a="1"/>
  <c r="T66" i="13" s="1"/>
  <c r="T62" i="13" a="1"/>
  <c r="T62" i="13" s="1"/>
  <c r="S177" i="12" a="1"/>
  <c r="S177" i="12" s="1"/>
  <c r="U176" i="12"/>
  <c r="AE268" i="12" a="1"/>
  <c r="AE268" i="12" s="1"/>
  <c r="X268" i="12"/>
  <c r="CY263" i="12" a="1"/>
  <c r="CY263" i="12" s="1"/>
  <c r="F73" i="30" a="1"/>
  <c r="F73" i="30" s="1"/>
  <c r="T72" i="30"/>
  <c r="AH28" i="21"/>
  <c r="AH34" i="22" s="1" a="1"/>
  <c r="AH34" i="22" s="1"/>
  <c r="AG34" i="22" a="1"/>
  <c r="AG34" i="22" s="1"/>
  <c r="AG32" i="25"/>
  <c r="AG28" i="27"/>
  <c r="F104" i="13" a="1"/>
  <c r="F104" i="13" s="1"/>
  <c r="T103" i="13"/>
  <c r="F105" i="13" l="1" a="1"/>
  <c r="F105" i="13" s="1"/>
  <c r="T104" i="13"/>
  <c r="AH28" i="27"/>
  <c r="AE272" i="12" a="1"/>
  <c r="AE272" i="12" s="1"/>
  <c r="X272" i="12"/>
  <c r="CY268" i="12" a="1"/>
  <c r="CY268" i="12" s="1"/>
  <c r="F50" i="31" a="1"/>
  <c r="F50" i="31" s="1"/>
  <c r="T49" i="31"/>
  <c r="AE151" i="28" a="1"/>
  <c r="AE151" i="28" s="1"/>
  <c r="AE150" i="28" a="1"/>
  <c r="AE150" i="28" s="1"/>
  <c r="AK151" i="28" a="1"/>
  <c r="AK151" i="28" s="1"/>
  <c r="AK150" i="28" a="1"/>
  <c r="AK150" i="28" s="1"/>
  <c r="AI87" i="28"/>
  <c r="AL78" i="28"/>
  <c r="AB94" i="28" a="1"/>
  <c r="AB94" i="28" s="1"/>
  <c r="V94" i="28" a="1"/>
  <c r="V94" i="28" s="1"/>
  <c r="N49" i="27" a="1"/>
  <c r="N49" i="27" s="1"/>
  <c r="BX48" i="27" a="1"/>
  <c r="BX48" i="27" s="1"/>
  <c r="F51" i="8" a="1"/>
  <c r="F51" i="8" s="1"/>
  <c r="U50" i="8"/>
  <c r="AF272" i="12" a="1"/>
  <c r="AF272" i="12" s="1"/>
  <c r="CZ272" i="12" s="1" a="1"/>
  <c r="CZ272" i="12" s="1"/>
  <c r="CZ268" i="12" a="1"/>
  <c r="CZ268" i="12" s="1"/>
  <c r="F77" i="31" a="1"/>
  <c r="F77" i="31" s="1"/>
  <c r="T76" i="31"/>
  <c r="F50" i="30" a="1"/>
  <c r="F50" i="30" s="1"/>
  <c r="T50" i="30" s="1"/>
  <c r="T49" i="30"/>
  <c r="S67" i="12" a="1"/>
  <c r="S67" i="12" s="1"/>
  <c r="U66" i="12"/>
  <c r="N104" i="27" a="1"/>
  <c r="N104" i="27" s="1"/>
  <c r="BX103" i="27" a="1"/>
  <c r="BX103" i="27" s="1"/>
  <c r="F105" i="27" a="1"/>
  <c r="F105" i="27" s="1"/>
  <c r="F106" i="27" s="1" a="1"/>
  <c r="F106" i="27" s="1"/>
  <c r="F107" i="27" s="1" a="1"/>
  <c r="F107" i="27" s="1"/>
  <c r="F108" i="27" s="1" a="1"/>
  <c r="F108" i="27" s="1"/>
  <c r="F109" i="27" s="1" a="1"/>
  <c r="F109" i="27" s="1"/>
  <c r="F110" i="27" s="1" a="1"/>
  <c r="F110" i="27" s="1"/>
  <c r="F111" i="27" s="1" a="1"/>
  <c r="F111" i="27" s="1"/>
  <c r="T104" i="27"/>
  <c r="T105" i="27" s="1" a="1"/>
  <c r="T105" i="27" s="1"/>
  <c r="T106" i="27" s="1" a="1"/>
  <c r="T106" i="27" s="1"/>
  <c r="T107" i="27" s="1" a="1"/>
  <c r="T107" i="27" s="1"/>
  <c r="T108" i="27" s="1" a="1"/>
  <c r="T108" i="27" s="1"/>
  <c r="T109" i="27" s="1" a="1"/>
  <c r="T109" i="27" s="1"/>
  <c r="T110" i="27" s="1" a="1"/>
  <c r="T110" i="27" s="1"/>
  <c r="M50" i="28" a="1"/>
  <c r="M50" i="28" s="1"/>
  <c r="AS49" i="28" a="1"/>
  <c r="AS49" i="28" s="1"/>
  <c r="T259" i="12" a="1"/>
  <c r="T259" i="12" s="1"/>
  <c r="L260" i="12" a="1"/>
  <c r="L260" i="12" s="1"/>
  <c r="L261" i="12" s="1" a="1"/>
  <c r="L261" i="12" s="1"/>
  <c r="L262" i="12" s="1" a="1"/>
  <c r="L262" i="12" s="1"/>
  <c r="L263" i="12" s="1" a="1"/>
  <c r="L263" i="12" s="1"/>
  <c r="L264" i="12" s="1" a="1"/>
  <c r="L264" i="12" s="1"/>
  <c r="L265" i="12" s="1" a="1"/>
  <c r="L265" i="12" s="1"/>
  <c r="L266" i="12" s="1" a="1"/>
  <c r="L266" i="12" s="1"/>
  <c r="M117" i="28" a="1"/>
  <c r="M117" i="28" s="1"/>
  <c r="AS116" i="28" a="1"/>
  <c r="AS116" i="28" s="1"/>
  <c r="AJ84" i="28" a="1"/>
  <c r="AJ84" i="28" s="1"/>
  <c r="AJ83" i="28" a="1"/>
  <c r="AJ83" i="28" s="1"/>
  <c r="F84" i="28" a="1"/>
  <c r="F84" i="28" s="1"/>
  <c r="T83" i="28"/>
  <c r="AI84" i="28" a="1"/>
  <c r="AI84" i="28" s="1"/>
  <c r="AL84" i="28" s="1"/>
  <c r="AL82" i="28"/>
  <c r="AI83" i="28" a="1"/>
  <c r="AI83" i="28" s="1"/>
  <c r="AL83" i="28" s="1"/>
  <c r="F74" i="30" a="1"/>
  <c r="F74" i="30" s="1"/>
  <c r="T74" i="30" s="1"/>
  <c r="T73" i="30"/>
  <c r="S178" i="12" a="1"/>
  <c r="S178" i="12" s="1"/>
  <c r="U177" i="12"/>
  <c r="AJ151" i="28" a="1"/>
  <c r="AJ151" i="28" s="1"/>
  <c r="AJ150" i="28" a="1"/>
  <c r="AJ150" i="28" s="1"/>
  <c r="F151" i="28" a="1"/>
  <c r="F151" i="28" s="1"/>
  <c r="T150" i="28"/>
  <c r="AI151" i="28" a="1"/>
  <c r="AI151" i="28" s="1"/>
  <c r="AL151" i="28" s="1"/>
  <c r="AL149" i="28"/>
  <c r="AI150" i="28" a="1"/>
  <c r="AI150" i="28" s="1"/>
  <c r="AL150" i="28" s="1"/>
  <c r="T49" i="27"/>
  <c r="T50" i="27" s="1" a="1"/>
  <c r="T50" i="27" s="1"/>
  <c r="T51" i="27" s="1" a="1"/>
  <c r="T51" i="27" s="1"/>
  <c r="T52" i="27" s="1" a="1"/>
  <c r="T52" i="27" s="1"/>
  <c r="T53" i="27" s="1" a="1"/>
  <c r="T53" i="27" s="1"/>
  <c r="T54" i="27" s="1" a="1"/>
  <c r="T54" i="27" s="1"/>
  <c r="T55" i="27" s="1" a="1"/>
  <c r="T55" i="27" s="1"/>
  <c r="F50" i="27" a="1"/>
  <c r="F50" i="27" s="1"/>
  <c r="F79" i="8" a="1"/>
  <c r="F79" i="8" s="1"/>
  <c r="U78" i="8"/>
  <c r="BD28" i="27"/>
  <c r="F64" i="13" a="1"/>
  <c r="F64" i="13" s="1"/>
  <c r="A63" i="13"/>
  <c r="AI154" i="28"/>
  <c r="AL145" i="28"/>
  <c r="AE84" i="28" a="1"/>
  <c r="AE84" i="28" s="1"/>
  <c r="AE83" i="28" a="1"/>
  <c r="AE83" i="28" s="1"/>
  <c r="AK84" i="28" a="1"/>
  <c r="AK84" i="28" s="1"/>
  <c r="AK83" i="28" a="1"/>
  <c r="AK83" i="28" s="1"/>
  <c r="AI155" i="28" l="1"/>
  <c r="AL154" i="28"/>
  <c r="F65" i="13" a="1"/>
  <c r="F65" i="13" s="1"/>
  <c r="A64" i="13"/>
  <c r="F51" i="27" a="1"/>
  <c r="F51" i="27" s="1"/>
  <c r="AT50" i="27"/>
  <c r="BE50" i="27" s="1"/>
  <c r="AJ50" i="27"/>
  <c r="F152" i="28" a="1"/>
  <c r="F152" i="28" s="1"/>
  <c r="T151" i="28"/>
  <c r="S179" i="12" a="1"/>
  <c r="S179" i="12" s="1"/>
  <c r="U178" i="12"/>
  <c r="F85" i="28" a="1"/>
  <c r="F85" i="28" s="1"/>
  <c r="T84" i="28"/>
  <c r="M118" i="28" a="1"/>
  <c r="M118" i="28" s="1"/>
  <c r="AS117" i="28" a="1"/>
  <c r="AS117" i="28" s="1"/>
  <c r="M51" i="28" a="1"/>
  <c r="M51" i="28" s="1"/>
  <c r="AS50" i="28" a="1"/>
  <c r="AS50" i="28" s="1"/>
  <c r="F112" i="27" a="1"/>
  <c r="F112" i="27" s="1"/>
  <c r="T111" i="27"/>
  <c r="N105" i="27" a="1"/>
  <c r="N105" i="27" s="1"/>
  <c r="BX104" i="27" a="1"/>
  <c r="BX104" i="27" s="1"/>
  <c r="S68" i="12" a="1"/>
  <c r="S68" i="12" s="1"/>
  <c r="U67" i="12"/>
  <c r="F78" i="31" a="1"/>
  <c r="F78" i="31" s="1"/>
  <c r="T77" i="31"/>
  <c r="U51" i="8"/>
  <c r="F52" i="8" a="1"/>
  <c r="F52" i="8" s="1"/>
  <c r="N50" i="27" a="1"/>
  <c r="N50" i="27" s="1"/>
  <c r="BX49" i="27" a="1"/>
  <c r="BX49" i="27" s="1"/>
  <c r="AB41" i="29" a="1"/>
  <c r="AB41" i="29" s="1"/>
  <c r="V41" i="29" a="1"/>
  <c r="V41" i="29" s="1"/>
  <c r="AI88" i="28"/>
  <c r="AL87" i="28"/>
  <c r="F51" i="31" a="1"/>
  <c r="F51" i="31" s="1"/>
  <c r="T50" i="31"/>
  <c r="T107" i="13" a="1"/>
  <c r="T107" i="13" s="1"/>
  <c r="T108" i="13" s="1" a="1"/>
  <c r="T108" i="13" s="1"/>
  <c r="T109" i="13" s="1" a="1"/>
  <c r="T109" i="13" s="1"/>
  <c r="T110" i="13" s="1" a="1"/>
  <c r="T110" i="13" s="1"/>
  <c r="T106" i="13" a="1"/>
  <c r="T106" i="13" s="1"/>
  <c r="F80" i="8" a="1"/>
  <c r="F80" i="8" s="1"/>
  <c r="U79" i="8"/>
  <c r="L267" i="12" a="1"/>
  <c r="L267" i="12" s="1"/>
  <c r="L268" i="12" s="1" a="1"/>
  <c r="L268" i="12" s="1"/>
  <c r="L269" i="12" s="1" a="1"/>
  <c r="L269" i="12" s="1"/>
  <c r="L270" i="12" s="1" a="1"/>
  <c r="L270" i="12" s="1"/>
  <c r="L271" i="12" s="1" a="1"/>
  <c r="L271" i="12" s="1"/>
  <c r="L272" i="12" s="1" a="1"/>
  <c r="L272" i="12" s="1"/>
  <c r="L273" i="12" s="1" a="1"/>
  <c r="L273" i="12" s="1"/>
  <c r="L274" i="12" s="1" a="1"/>
  <c r="L274" i="12" s="1"/>
  <c r="T266" i="12" a="1"/>
  <c r="T266" i="12" s="1"/>
  <c r="CY272" i="12" a="1"/>
  <c r="CY272" i="12" s="1"/>
  <c r="AG272" i="12"/>
  <c r="L105" i="13" a="1"/>
  <c r="L105" i="13" s="1"/>
  <c r="T105" i="13" s="1"/>
  <c r="F106" i="13" a="1"/>
  <c r="F106" i="13" s="1"/>
  <c r="F107" i="13" s="1" a="1"/>
  <c r="F107" i="13" s="1"/>
  <c r="F53" i="8" l="1" a="1"/>
  <c r="F53" i="8" s="1"/>
  <c r="U52" i="8"/>
  <c r="M119" i="28" a="1"/>
  <c r="M119" i="28" s="1"/>
  <c r="AS118" i="28" a="1"/>
  <c r="AS118" i="28" s="1"/>
  <c r="F86" i="28" a="1"/>
  <c r="F86" i="28" s="1"/>
  <c r="T85" i="28"/>
  <c r="S180" i="12" a="1"/>
  <c r="S180" i="12" s="1"/>
  <c r="U179" i="12"/>
  <c r="F153" i="28" a="1"/>
  <c r="F153" i="28" s="1"/>
  <c r="T152" i="28"/>
  <c r="F108" i="13" a="1"/>
  <c r="F108" i="13" s="1"/>
  <c r="A107" i="13"/>
  <c r="F81" i="8" a="1"/>
  <c r="F81" i="8" s="1"/>
  <c r="U80" i="8"/>
  <c r="F52" i="31" a="1"/>
  <c r="F52" i="31" s="1"/>
  <c r="T51" i="31"/>
  <c r="AB51" i="30" a="1"/>
  <c r="AB51" i="30" s="1"/>
  <c r="V51" i="30" a="1"/>
  <c r="V51" i="30" s="1"/>
  <c r="N51" i="27" a="1"/>
  <c r="N51" i="27" s="1"/>
  <c r="BX50" i="27" a="1"/>
  <c r="BX50" i="27" s="1"/>
  <c r="F79" i="31" a="1"/>
  <c r="F79" i="31" s="1"/>
  <c r="T78" i="31"/>
  <c r="S69" i="12" a="1"/>
  <c r="S69" i="12" s="1"/>
  <c r="U68" i="12"/>
  <c r="N106" i="27" a="1"/>
  <c r="N106" i="27" s="1"/>
  <c r="BX105" i="27" a="1"/>
  <c r="BX105" i="27" s="1"/>
  <c r="T112" i="27"/>
  <c r="T113" i="27" s="1" a="1"/>
  <c r="T113" i="27" s="1"/>
  <c r="T114" i="27" s="1" a="1"/>
  <c r="T114" i="27" s="1"/>
  <c r="T115" i="27" s="1" a="1"/>
  <c r="T115" i="27" s="1"/>
  <c r="F113" i="27" a="1"/>
  <c r="F113" i="27" s="1"/>
  <c r="F114" i="27" s="1" a="1"/>
  <c r="F114" i="27" s="1"/>
  <c r="F115" i="27" s="1" a="1"/>
  <c r="F115" i="27" s="1"/>
  <c r="F116" i="27" s="1" a="1"/>
  <c r="F116" i="27" s="1"/>
  <c r="M52" i="28" a="1"/>
  <c r="M52" i="28" s="1"/>
  <c r="AS51" i="28" a="1"/>
  <c r="AS51" i="28" s="1"/>
  <c r="F52" i="27" a="1"/>
  <c r="F52" i="27" s="1"/>
  <c r="F53" i="27" s="1" a="1"/>
  <c r="F53" i="27" s="1"/>
  <c r="F54" i="27" s="1" a="1"/>
  <c r="F54" i="27" s="1"/>
  <c r="F55" i="27" s="1" a="1"/>
  <c r="F55" i="27" s="1"/>
  <c r="F56" i="27" s="1" a="1"/>
  <c r="F56" i="27" s="1"/>
  <c r="F66" i="13" a="1"/>
  <c r="F66" i="13" s="1"/>
  <c r="A65" i="13"/>
  <c r="A66" i="13" l="1"/>
  <c r="F67" i="13" a="1"/>
  <c r="F67" i="13" s="1"/>
  <c r="T67" i="13" s="1"/>
  <c r="F57" i="27" a="1"/>
  <c r="F57" i="27" s="1"/>
  <c r="T56" i="27"/>
  <c r="M53" i="28" a="1"/>
  <c r="M53" i="28" s="1"/>
  <c r="AS52" i="28" a="1"/>
  <c r="AS52" i="28" s="1"/>
  <c r="T136" i="27" a="1"/>
  <c r="T136" i="27" s="1"/>
  <c r="T118" i="27" a="1"/>
  <c r="T118" i="27" s="1"/>
  <c r="T119" i="27" s="1" a="1"/>
  <c r="T119" i="27" s="1"/>
  <c r="T120" i="27" s="1" a="1"/>
  <c r="T120" i="27" s="1"/>
  <c r="T121" i="27" s="1" a="1"/>
  <c r="T121" i="27" s="1"/>
  <c r="T122" i="27" s="1" a="1"/>
  <c r="T122" i="27" s="1"/>
  <c r="T123" i="27" s="1" a="1"/>
  <c r="T123" i="27" s="1"/>
  <c r="T124" i="27" s="1" a="1"/>
  <c r="T124" i="27" s="1"/>
  <c r="N107" i="27" a="1"/>
  <c r="N107" i="27" s="1"/>
  <c r="BX106" i="27" a="1"/>
  <c r="BX106" i="27" s="1"/>
  <c r="S70" i="12" a="1"/>
  <c r="S70" i="12" s="1"/>
  <c r="U69" i="12"/>
  <c r="F80" i="31" a="1"/>
  <c r="F80" i="31" s="1"/>
  <c r="T80" i="31" s="1"/>
  <c r="T79" i="31"/>
  <c r="N52" i="27" a="1"/>
  <c r="N52" i="27" s="1"/>
  <c r="BX51" i="27" a="1"/>
  <c r="BX51" i="27" s="1"/>
  <c r="AB54" i="31" a="1"/>
  <c r="AB54" i="31" s="1"/>
  <c r="V54" i="31" a="1"/>
  <c r="V54" i="31" s="1"/>
  <c r="F53" i="31" a="1"/>
  <c r="F53" i="31" s="1"/>
  <c r="T53" i="31" s="1"/>
  <c r="T52" i="31"/>
  <c r="U81" i="8"/>
  <c r="F109" i="13" a="1"/>
  <c r="F109" i="13" s="1"/>
  <c r="A108" i="13"/>
  <c r="F154" i="28" a="1"/>
  <c r="F154" i="28" s="1"/>
  <c r="T153" i="28"/>
  <c r="S181" i="12" a="1"/>
  <c r="S181" i="12" s="1"/>
  <c r="U180" i="12"/>
  <c r="F87" i="28" a="1"/>
  <c r="F87" i="28" s="1"/>
  <c r="T86" i="28"/>
  <c r="M120" i="28" a="1"/>
  <c r="M120" i="28" s="1"/>
  <c r="AS119" i="28" a="1"/>
  <c r="AS119" i="28" s="1"/>
  <c r="F54" i="8" a="1"/>
  <c r="F54" i="8" s="1"/>
  <c r="U54" i="8" s="1"/>
  <c r="U53" i="8"/>
  <c r="BB116" i="27"/>
  <c r="AZ116" i="27"/>
  <c r="AX116" i="27"/>
  <c r="AV116" i="27"/>
  <c r="AT116" i="27"/>
  <c r="AR116" i="27"/>
  <c r="AP116" i="27"/>
  <c r="AN116" i="27"/>
  <c r="AL116" i="27"/>
  <c r="AJ116" i="27"/>
  <c r="F117" i="27" a="1"/>
  <c r="F117" i="27" s="1"/>
  <c r="F118" i="27" s="1" a="1"/>
  <c r="F118" i="27" s="1"/>
  <c r="BC116" i="27"/>
  <c r="BA116" i="27"/>
  <c r="AY116" i="27"/>
  <c r="AW116" i="27"/>
  <c r="AU116" i="27"/>
  <c r="AS116" i="27"/>
  <c r="AQ116" i="27"/>
  <c r="AO116" i="27"/>
  <c r="AM116" i="27"/>
  <c r="AK116" i="27"/>
  <c r="AI116" i="27"/>
  <c r="T116" i="27"/>
  <c r="BD116" i="27" l="1"/>
  <c r="BJ116" i="27"/>
  <c r="BE116" i="27"/>
  <c r="BI116" i="27"/>
  <c r="BM116" i="27"/>
  <c r="M121" i="28" a="1"/>
  <c r="M121" i="28" s="1"/>
  <c r="AS120" i="28" a="1"/>
  <c r="AS120" i="28" s="1"/>
  <c r="F88" i="28" a="1"/>
  <c r="F88" i="28" s="1"/>
  <c r="T87" i="28"/>
  <c r="S182" i="12" a="1"/>
  <c r="S182" i="12" s="1"/>
  <c r="U181" i="12"/>
  <c r="F155" i="28" a="1"/>
  <c r="F155" i="28" s="1"/>
  <c r="T154" i="28"/>
  <c r="F110" i="13" a="1"/>
  <c r="F110" i="13" s="1"/>
  <c r="A109" i="13"/>
  <c r="AY33" i="22"/>
  <c r="BB33" i="22"/>
  <c r="AR33" i="22"/>
  <c r="AO33" i="22"/>
  <c r="AP33" i="22"/>
  <c r="AS42" i="22"/>
  <c r="AX33" i="22"/>
  <c r="AK42" i="22"/>
  <c r="AL42" i="22"/>
  <c r="BA42" i="22"/>
  <c r="BB42" i="22"/>
  <c r="BC33" i="22"/>
  <c r="AT42" i="22"/>
  <c r="AW42" i="22"/>
  <c r="AU30" i="22"/>
  <c r="AQ33" i="22"/>
  <c r="AM42" i="22"/>
  <c r="BA30" i="22"/>
  <c r="AR30" i="22"/>
  <c r="AV30" i="22"/>
  <c r="AQ39" i="22"/>
  <c r="BB39" i="22"/>
  <c r="AR42" i="22"/>
  <c r="AL29" i="22"/>
  <c r="AN29" i="22"/>
  <c r="AR29" i="22"/>
  <c r="AL30" i="22"/>
  <c r="AV42" i="22"/>
  <c r="AJ30" i="22"/>
  <c r="AN39" i="22"/>
  <c r="AS39" i="22"/>
  <c r="AQ30" i="22"/>
  <c r="AM30" i="22"/>
  <c r="AY42" i="22"/>
  <c r="AM39" i="22"/>
  <c r="AK29" i="22"/>
  <c r="AO29" i="22"/>
  <c r="AW30" i="22"/>
  <c r="AN42" i="22"/>
  <c r="BC39" i="22"/>
  <c r="AP29" i="22"/>
  <c r="AU39" i="22"/>
  <c r="AL39" i="22"/>
  <c r="AN30" i="22"/>
  <c r="AZ42" i="22"/>
  <c r="AM32" i="20"/>
  <c r="AW32" i="20"/>
  <c r="AX28" i="22"/>
  <c r="AY37" i="22"/>
  <c r="AF32" i="20"/>
  <c r="AM38" i="22"/>
  <c r="AU32" i="20"/>
  <c r="AI40" i="20"/>
  <c r="AP28" i="22"/>
  <c r="AH32" i="20"/>
  <c r="AN32" i="20"/>
  <c r="AQ28" i="22"/>
  <c r="AT32" i="20"/>
  <c r="AG32" i="20"/>
  <c r="AR38" i="22"/>
  <c r="BB37" i="22"/>
  <c r="BB44" i="22" s="1"/>
  <c r="AO37" i="22"/>
  <c r="AP38" i="22"/>
  <c r="AN37" i="22"/>
  <c r="AN28" i="22"/>
  <c r="AS28" i="22"/>
  <c r="AO40" i="20"/>
  <c r="AO41" i="20" s="1"/>
  <c r="AU40" i="20"/>
  <c r="AT28" i="22"/>
  <c r="BC37" i="22"/>
  <c r="AJ32" i="20"/>
  <c r="AL37" i="22"/>
  <c r="AR37" i="22"/>
  <c r="AY28" i="22"/>
  <c r="AO28" i="22"/>
  <c r="AP40" i="20"/>
  <c r="AV40" i="20"/>
  <c r="AT37" i="22"/>
  <c r="AZ37" i="22"/>
  <c r="AZ28" i="22"/>
  <c r="AM37" i="22"/>
  <c r="AM44" i="22" s="1"/>
  <c r="AS37" i="22"/>
  <c r="AM28" i="22"/>
  <c r="AP32" i="20"/>
  <c r="AV32" i="20"/>
  <c r="BB28" i="22"/>
  <c r="AS40" i="20"/>
  <c r="AF40" i="20"/>
  <c r="AX32" i="20"/>
  <c r="AK32" i="20"/>
  <c r="BF116" i="27"/>
  <c r="T125" i="27"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T117" i="27" a="1"/>
  <c r="T117" i="27" s="1"/>
  <c r="BH116" i="27"/>
  <c r="BL116" i="27"/>
  <c r="F119" i="27" a="1"/>
  <c r="F119" i="27" s="1"/>
  <c r="F120" i="27" s="1" a="1"/>
  <c r="F120" i="27" s="1"/>
  <c r="F121" i="27" s="1" a="1"/>
  <c r="F121" i="27" s="1"/>
  <c r="F122" i="27" s="1" a="1"/>
  <c r="F122" i="27" s="1"/>
  <c r="F123" i="27" s="1" a="1"/>
  <c r="F123" i="27" s="1"/>
  <c r="F124" i="27" s="1" a="1"/>
  <c r="F124" i="27" s="1"/>
  <c r="F125" i="27" s="1" a="1"/>
  <c r="F125" i="27" s="1"/>
  <c r="BB118" i="27"/>
  <c r="BB121" i="27" s="1"/>
  <c r="AX118" i="27"/>
  <c r="AX121" i="27" s="1"/>
  <c r="AT118" i="27"/>
  <c r="AT121" i="27" s="1"/>
  <c r="AP118" i="27"/>
  <c r="AP121" i="27" s="1"/>
  <c r="AL118" i="27"/>
  <c r="AL121" i="27" s="1"/>
  <c r="AE118" i="27"/>
  <c r="AE121" i="27" s="1"/>
  <c r="BA118" i="27"/>
  <c r="BA121" i="27" s="1"/>
  <c r="AW118" i="27"/>
  <c r="AW121" i="27" s="1"/>
  <c r="AS118" i="27"/>
  <c r="AS121" i="27" s="1"/>
  <c r="AO118" i="27"/>
  <c r="AO121" i="27" s="1"/>
  <c r="AK118" i="27"/>
  <c r="AK121" i="27" s="1"/>
  <c r="AZ118" i="27"/>
  <c r="AZ121" i="27" s="1"/>
  <c r="AV118" i="27"/>
  <c r="AV121" i="27" s="1"/>
  <c r="AR118" i="27"/>
  <c r="AR121" i="27" s="1"/>
  <c r="AN118" i="27"/>
  <c r="AN121" i="27" s="1"/>
  <c r="AJ118" i="27"/>
  <c r="AJ121" i="27" s="1"/>
  <c r="BC118" i="27"/>
  <c r="BC121" i="27" s="1"/>
  <c r="AY118" i="27"/>
  <c r="AY121" i="27" s="1"/>
  <c r="AU118" i="27"/>
  <c r="AU121" i="27" s="1"/>
  <c r="AQ118" i="27"/>
  <c r="AQ121" i="27" s="1"/>
  <c r="AM118" i="27"/>
  <c r="AM121" i="27" s="1"/>
  <c r="AI118" i="27"/>
  <c r="AI121" i="27" s="1"/>
  <c r="BG116" i="27"/>
  <c r="BK116" i="27"/>
  <c r="AJ33" i="22"/>
  <c r="AZ33" i="22"/>
  <c r="AW33" i="22"/>
  <c r="AL33" i="22"/>
  <c r="BA33" i="22"/>
  <c r="AX42" i="22"/>
  <c r="AO42" i="22"/>
  <c r="AP42" i="22"/>
  <c r="AS33" i="22"/>
  <c r="AU33" i="22"/>
  <c r="AV33" i="22"/>
  <c r="AN33" i="22"/>
  <c r="AK33" i="22"/>
  <c r="AM33" i="22"/>
  <c r="AJ42" i="22"/>
  <c r="BB30" i="22"/>
  <c r="AQ42" i="22"/>
  <c r="BC42" i="22"/>
  <c r="AO30" i="22"/>
  <c r="AT33" i="22"/>
  <c r="AS29" i="22"/>
  <c r="AX39" i="22"/>
  <c r="BC30" i="22"/>
  <c r="AP39" i="22"/>
  <c r="AT39" i="22"/>
  <c r="AM29" i="22"/>
  <c r="AY39" i="22"/>
  <c r="AX30" i="22"/>
  <c r="AY30" i="22"/>
  <c r="AS30" i="22"/>
  <c r="AR39" i="22"/>
  <c r="AW39" i="22"/>
  <c r="AT30" i="22"/>
  <c r="AU42" i="22"/>
  <c r="BA39" i="22"/>
  <c r="AJ29" i="22"/>
  <c r="AJ39" i="22"/>
  <c r="AZ30" i="22"/>
  <c r="AP30" i="22"/>
  <c r="AK39" i="22"/>
  <c r="AO39" i="22"/>
  <c r="AV39" i="22"/>
  <c r="AZ39" i="22"/>
  <c r="AQ29" i="22"/>
  <c r="AK30" i="22"/>
  <c r="AP37" i="22"/>
  <c r="AV37" i="22"/>
  <c r="AV44" i="22" s="1"/>
  <c r="BC28" i="22"/>
  <c r="AK28" i="22"/>
  <c r="AK35" i="22" s="1"/>
  <c r="AW40" i="20"/>
  <c r="AJ40" i="20"/>
  <c r="AX37" i="22"/>
  <c r="AX44" i="22" s="1"/>
  <c r="AK37" i="22"/>
  <c r="AU28" i="22"/>
  <c r="AS38" i="22"/>
  <c r="AL40" i="20"/>
  <c r="AR40" i="20"/>
  <c r="AO38" i="22"/>
  <c r="AX40" i="20"/>
  <c r="AV28" i="22"/>
  <c r="BA28" i="22"/>
  <c r="BA35" i="22" s="1"/>
  <c r="AG40" i="20"/>
  <c r="AM40" i="20"/>
  <c r="AE32" i="20"/>
  <c r="AE33" i="20" s="1"/>
  <c r="AO32" i="20"/>
  <c r="AO33" i="20" s="1"/>
  <c r="AJ38" i="22"/>
  <c r="AQ37" i="22"/>
  <c r="AW37" i="22"/>
  <c r="AW44" i="22" s="1"/>
  <c r="AJ28" i="22"/>
  <c r="AJ35" i="22" s="1"/>
  <c r="AJ34" i="22" s="1"/>
  <c r="AW28" i="22"/>
  <c r="AH40" i="20"/>
  <c r="AN40" i="20"/>
  <c r="AI32" i="20"/>
  <c r="AS32" i="20"/>
  <c r="AL28" i="22"/>
  <c r="AL35" i="22" s="1"/>
  <c r="AL32" i="20"/>
  <c r="AR32" i="20"/>
  <c r="AQ38" i="22"/>
  <c r="AQ32" i="20"/>
  <c r="AE40" i="20"/>
  <c r="AE41" i="20" s="1"/>
  <c r="AN38" i="22"/>
  <c r="AK40" i="20"/>
  <c r="AQ40" i="20"/>
  <c r="AK38" i="22"/>
  <c r="AT40" i="20"/>
  <c r="AR28" i="22"/>
  <c r="AU37" i="22"/>
  <c r="AU44" i="22" s="1"/>
  <c r="BA37" i="22"/>
  <c r="AL38" i="22"/>
  <c r="AJ37" i="22"/>
  <c r="AB49" i="32" a="1"/>
  <c r="AB49" i="32" s="1"/>
  <c r="V49" i="32" a="1"/>
  <c r="V49" i="32" s="1"/>
  <c r="N53" i="27" a="1"/>
  <c r="N53" i="27" s="1"/>
  <c r="BX52" i="27" a="1"/>
  <c r="BX52" i="27" s="1"/>
  <c r="S71" i="12" a="1"/>
  <c r="S71" i="12" s="1"/>
  <c r="U70" i="12"/>
  <c r="N108" i="27" a="1"/>
  <c r="N108" i="27" s="1"/>
  <c r="BX107" i="27" a="1"/>
  <c r="BX107" i="27" s="1"/>
  <c r="M54" i="28" a="1"/>
  <c r="M54" i="28" s="1"/>
  <c r="AS53" i="28" a="1"/>
  <c r="AS53" i="28" s="1"/>
  <c r="F58" i="27" a="1"/>
  <c r="F58" i="27" s="1"/>
  <c r="F59" i="27" s="1" a="1"/>
  <c r="F59" i="27" s="1"/>
  <c r="F60" i="27" s="1" a="1"/>
  <c r="F60" i="27" s="1"/>
  <c r="F61" i="27" s="1" a="1"/>
  <c r="F61" i="27" s="1"/>
  <c r="T57" i="27"/>
  <c r="T58" i="27" s="1" a="1"/>
  <c r="T58" i="27" s="1"/>
  <c r="T59" i="27" s="1" a="1"/>
  <c r="T59" i="27" s="1"/>
  <c r="T60" i="27" s="1" a="1"/>
  <c r="T60" i="27" s="1"/>
  <c r="BA44" i="22" l="1"/>
  <c r="AR35" i="22"/>
  <c r="AW35" i="22"/>
  <c r="AV35" i="22"/>
  <c r="AU35" i="22"/>
  <c r="BC35" i="22"/>
  <c r="AP44" i="22"/>
  <c r="F62" i="27" a="1"/>
  <c r="F62" i="27" s="1"/>
  <c r="F63" i="27" s="1" a="1"/>
  <c r="F63" i="27" s="1"/>
  <c r="BC61" i="27"/>
  <c r="BA61" i="27"/>
  <c r="AY61" i="27"/>
  <c r="AW61" i="27"/>
  <c r="AU61" i="27"/>
  <c r="AS61" i="27"/>
  <c r="AQ61" i="27"/>
  <c r="AO61" i="27"/>
  <c r="AM61" i="27"/>
  <c r="AK61" i="27"/>
  <c r="AI61" i="27"/>
  <c r="T61" i="27"/>
  <c r="BB61" i="27"/>
  <c r="AZ61" i="27"/>
  <c r="AX61" i="27"/>
  <c r="AV61" i="27"/>
  <c r="AT61" i="27"/>
  <c r="AR61" i="27"/>
  <c r="AP61" i="27"/>
  <c r="AN61" i="27"/>
  <c r="AL61" i="27"/>
  <c r="AJ61" i="27"/>
  <c r="M55" i="28" a="1"/>
  <c r="M55" i="28" s="1"/>
  <c r="AS54" i="28" a="1"/>
  <c r="AS54" i="28" s="1"/>
  <c r="N109" i="27" a="1"/>
  <c r="N109" i="27" s="1"/>
  <c r="BX108" i="27" a="1"/>
  <c r="BX108" i="27" s="1"/>
  <c r="S72" i="12" a="1"/>
  <c r="S72" i="12" s="1"/>
  <c r="U71" i="12"/>
  <c r="N54" i="27" a="1"/>
  <c r="N54" i="27" s="1"/>
  <c r="BX53" i="27" a="1"/>
  <c r="BX53" i="27" s="1"/>
  <c r="V74" i="33" a="1"/>
  <c r="V74" i="33" s="1"/>
  <c r="AB74" i="33" a="1"/>
  <c r="AB74" i="33" s="1"/>
  <c r="AK34" i="22"/>
  <c r="AJ28" i="27"/>
  <c r="AQ44" i="22"/>
  <c r="AP33" i="20"/>
  <c r="AO34" i="20"/>
  <c r="AT44" i="23" s="1"/>
  <c r="AK44" i="22"/>
  <c r="AK43" i="22" s="1"/>
  <c r="AM35" i="22"/>
  <c r="AZ44" i="22"/>
  <c r="AO35" i="22"/>
  <c r="AR44" i="22"/>
  <c r="AT35" i="22"/>
  <c r="AT34" i="22" s="1"/>
  <c r="AP41" i="20"/>
  <c r="AO42" i="20"/>
  <c r="AT64" i="23" s="1"/>
  <c r="AN35" i="22"/>
  <c r="AQ35" i="22"/>
  <c r="AY44" i="22"/>
  <c r="F111" i="13" a="1"/>
  <c r="F111" i="13" s="1"/>
  <c r="A110" i="13"/>
  <c r="F156" i="28" a="1"/>
  <c r="F156" i="28" s="1"/>
  <c r="T155" i="28"/>
  <c r="S183" i="12" a="1"/>
  <c r="S183" i="12" s="1"/>
  <c r="U182" i="12"/>
  <c r="F89" i="28" a="1"/>
  <c r="F89" i="28" s="1"/>
  <c r="T88" i="28"/>
  <c r="M122" i="28" a="1"/>
  <c r="M122" i="28" s="1"/>
  <c r="AS121" i="28" a="1"/>
  <c r="AS121" i="28" s="1"/>
  <c r="T63" i="27" a="1"/>
  <c r="T63" i="27" s="1"/>
  <c r="T64" i="27" s="1" a="1"/>
  <c r="T64" i="27" s="1"/>
  <c r="T65" i="27" s="1" a="1"/>
  <c r="T65" i="27" s="1"/>
  <c r="T66" i="27" s="1" a="1"/>
  <c r="T66" i="27" s="1"/>
  <c r="T67" i="27" s="1" a="1"/>
  <c r="T67" i="27" s="1"/>
  <c r="T68" i="27" s="1" a="1"/>
  <c r="T68" i="27" s="1"/>
  <c r="T69" i="27" s="1" a="1"/>
  <c r="T69" i="27" s="1"/>
  <c r="T81" i="27" a="1"/>
  <c r="T81" i="27" s="1"/>
  <c r="AF41" i="20"/>
  <c r="AE42" i="20"/>
  <c r="AJ64" i="23" s="1"/>
  <c r="AJ66" i="23" s="1"/>
  <c r="AJ48" i="23" s="1" a="1"/>
  <c r="AJ48" i="23" s="1"/>
  <c r="AJ84" i="27" s="1"/>
  <c r="AF33" i="20"/>
  <c r="AE34" i="20"/>
  <c r="AJ44" i="23" s="1"/>
  <c r="AJ46" i="23" s="1"/>
  <c r="AJ28" i="23" s="1" a="1"/>
  <c r="AJ28" i="23" s="1"/>
  <c r="AJ29" i="27" s="1"/>
  <c r="F126" i="27" a="1"/>
  <c r="F126" i="27" s="1"/>
  <c r="F127" i="27" s="1"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BC125" i="27"/>
  <c r="BA125" i="27"/>
  <c r="AY125" i="27"/>
  <c r="AW125" i="27"/>
  <c r="AU125" i="27"/>
  <c r="AS125" i="27"/>
  <c r="AQ125" i="27"/>
  <c r="AO125" i="27"/>
  <c r="AM125" i="27"/>
  <c r="AK125" i="27"/>
  <c r="AI125" i="27"/>
  <c r="BB125" i="27"/>
  <c r="AZ125" i="27"/>
  <c r="AX125" i="27"/>
  <c r="AV125" i="27"/>
  <c r="AT125" i="27"/>
  <c r="AR125" i="27"/>
  <c r="AP125" i="27"/>
  <c r="AN125" i="27"/>
  <c r="AL125" i="27"/>
  <c r="AJ125" i="27"/>
  <c r="AE125" i="27"/>
  <c r="BB35" i="22"/>
  <c r="AS44" i="22"/>
  <c r="AZ35" i="22"/>
  <c r="AT44" i="22"/>
  <c r="AT43" i="22" s="1"/>
  <c r="AY35" i="22"/>
  <c r="AL44" i="22"/>
  <c r="BC44" i="22"/>
  <c r="AS35" i="22"/>
  <c r="AN44" i="22"/>
  <c r="AO44" i="22"/>
  <c r="AP35" i="22"/>
  <c r="AX35" i="22"/>
  <c r="AJ127" i="27" l="1" a="1"/>
  <c r="AJ127" i="27" s="1"/>
  <c r="AJ126" i="27" a="1"/>
  <c r="AJ126" i="27" s="1"/>
  <c r="AN127" i="27" a="1"/>
  <c r="AN127" i="27" s="1"/>
  <c r="AN126" i="27" a="1"/>
  <c r="AN126" i="27" s="1"/>
  <c r="AR127" i="27" a="1"/>
  <c r="AR127" i="27" s="1"/>
  <c r="AR126" i="27" a="1"/>
  <c r="AR126" i="27" s="1"/>
  <c r="AV127" i="27" a="1"/>
  <c r="AV127" i="27" s="1"/>
  <c r="AV126" i="27" a="1"/>
  <c r="AV126" i="27" s="1"/>
  <c r="AZ127" i="27" a="1"/>
  <c r="AZ127" i="27" s="1"/>
  <c r="AZ126" i="27" a="1"/>
  <c r="AZ126" i="27" s="1"/>
  <c r="AI127" i="27" a="1"/>
  <c r="AI127" i="27" s="1"/>
  <c r="AI126" i="27" a="1"/>
  <c r="AI126" i="27" s="1"/>
  <c r="AM127" i="27" a="1"/>
  <c r="AM127" i="27" s="1"/>
  <c r="AM126" i="27" a="1"/>
  <c r="AM126" i="27" s="1"/>
  <c r="AQ127" i="27" a="1"/>
  <c r="AQ127" i="27" s="1"/>
  <c r="AQ126" i="27" a="1"/>
  <c r="AQ126" i="27" s="1"/>
  <c r="AU127" i="27" a="1"/>
  <c r="AU127" i="27" s="1"/>
  <c r="AU126" i="27" a="1"/>
  <c r="AU126" i="27" s="1"/>
  <c r="AY127" i="27" a="1"/>
  <c r="AY127" i="27" s="1"/>
  <c r="AY126" i="27" a="1"/>
  <c r="AY126" i="27" s="1"/>
  <c r="BC127" i="27" a="1"/>
  <c r="BC127" i="27" s="1"/>
  <c r="BC126" i="27" a="1"/>
  <c r="BC126" i="27" s="1"/>
  <c r="AQ41" i="20"/>
  <c r="AP42" i="20"/>
  <c r="AU64" i="23" s="1"/>
  <c r="BE44" i="23"/>
  <c r="AT46" i="23"/>
  <c r="AL34" i="22"/>
  <c r="AK28" i="27"/>
  <c r="AB80" i="34" a="1"/>
  <c r="AB80" i="34" s="1"/>
  <c r="V80" i="34" a="1"/>
  <c r="V80" i="34" s="1"/>
  <c r="BE61" i="27"/>
  <c r="BI61" i="27"/>
  <c r="BM61" i="27"/>
  <c r="BD61" i="27"/>
  <c r="BF61" i="27"/>
  <c r="BJ61" i="27"/>
  <c r="AU43" i="22"/>
  <c r="AT83" i="27"/>
  <c r="AE127" i="27" a="1"/>
  <c r="AE127" i="27" s="1"/>
  <c r="AE126" i="27" a="1"/>
  <c r="AE126" i="27" s="1"/>
  <c r="AL127" i="27" a="1"/>
  <c r="AL127" i="27" s="1"/>
  <c r="AL126" i="27" a="1"/>
  <c r="AL126" i="27" s="1"/>
  <c r="AP127" i="27" a="1"/>
  <c r="AP127" i="27" s="1"/>
  <c r="AP126" i="27" a="1"/>
  <c r="AP126" i="27" s="1"/>
  <c r="AT127" i="27" a="1"/>
  <c r="AT127" i="27" s="1"/>
  <c r="AT126" i="27" a="1"/>
  <c r="AT126" i="27" s="1"/>
  <c r="AX127" i="27" a="1"/>
  <c r="AX127" i="27" s="1"/>
  <c r="AX126" i="27" a="1"/>
  <c r="AX126" i="27" s="1"/>
  <c r="BB127" i="27" a="1"/>
  <c r="BB127" i="27" s="1"/>
  <c r="BB126" i="27" a="1"/>
  <c r="BB126" i="27" s="1"/>
  <c r="AK127" i="27" a="1"/>
  <c r="AK127" i="27" s="1"/>
  <c r="AK126" i="27" a="1"/>
  <c r="AK126" i="27" s="1"/>
  <c r="AO127" i="27" a="1"/>
  <c r="AO127" i="27" s="1"/>
  <c r="AO126" i="27" a="1"/>
  <c r="AO126" i="27" s="1"/>
  <c r="AS127" i="27" a="1"/>
  <c r="AS127" i="27" s="1"/>
  <c r="AS126" i="27" a="1"/>
  <c r="AS126" i="27" s="1"/>
  <c r="AW127" i="27" a="1"/>
  <c r="AW127" i="27" s="1"/>
  <c r="AW126" i="27" a="1"/>
  <c r="AW126" i="27" s="1"/>
  <c r="BA127" i="27" a="1"/>
  <c r="BA127" i="27" s="1"/>
  <c r="BA126" i="27" a="1"/>
  <c r="BA126" i="27" s="1"/>
  <c r="AG33" i="20"/>
  <c r="AF34" i="20"/>
  <c r="AK44" i="23" s="1"/>
  <c r="AK46" i="23" s="1"/>
  <c r="AK28" i="23" s="1" a="1"/>
  <c r="AK28" i="23" s="1"/>
  <c r="AK29" i="27" s="1"/>
  <c r="AG41" i="20"/>
  <c r="AF42" i="20"/>
  <c r="AK64" i="23" s="1"/>
  <c r="AK66" i="23" s="1"/>
  <c r="AK48" i="23" s="1" a="1"/>
  <c r="AK48" i="23" s="1"/>
  <c r="AK84" i="27" s="1"/>
  <c r="M123" i="28" a="1"/>
  <c r="M123" i="28" s="1"/>
  <c r="AS122" i="28" a="1"/>
  <c r="AS122" i="28" s="1"/>
  <c r="F90" i="28" a="1"/>
  <c r="F90" i="28" s="1"/>
  <c r="T89" i="28"/>
  <c r="U183" i="12"/>
  <c r="S184" i="12" a="1"/>
  <c r="S184" i="12" s="1"/>
  <c r="F157" i="28" a="1"/>
  <c r="F157" i="28" s="1"/>
  <c r="T156" i="28"/>
  <c r="T111" i="13"/>
  <c r="AW40" i="24"/>
  <c r="AN30" i="24"/>
  <c r="AJ30" i="24"/>
  <c r="BA30" i="24"/>
  <c r="AF99" i="28"/>
  <c r="AI32" i="28"/>
  <c r="AF32" i="24"/>
  <c r="AF36" i="24" s="1"/>
  <c r="AF61" i="27" s="1"/>
  <c r="BB40" i="24"/>
  <c r="AG32" i="28"/>
  <c r="AQ30" i="24"/>
  <c r="AE100" i="28"/>
  <c r="AT30" i="24"/>
  <c r="AF40" i="24"/>
  <c r="AN40" i="24"/>
  <c r="AJ99" i="28"/>
  <c r="AU30" i="24"/>
  <c r="BA40" i="24"/>
  <c r="AY40" i="24"/>
  <c r="BB30" i="24"/>
  <c r="AF100" i="28"/>
  <c r="AY30" i="24"/>
  <c r="AZ40" i="24"/>
  <c r="AT40" i="24"/>
  <c r="AI99" i="28"/>
  <c r="AK100" i="28"/>
  <c r="AS40" i="24"/>
  <c r="AQ40" i="24"/>
  <c r="AK30" i="24"/>
  <c r="AI100" i="28"/>
  <c r="AL100" i="28" s="1"/>
  <c r="AR40" i="24"/>
  <c r="AL40" i="24"/>
  <c r="AF30" i="24"/>
  <c r="AK40" i="24"/>
  <c r="AI40" i="24"/>
  <c r="AS30" i="24"/>
  <c r="AJ100" i="28"/>
  <c r="AJ40" i="24"/>
  <c r="BC40" i="24"/>
  <c r="AP30" i="24"/>
  <c r="AW41" i="24"/>
  <c r="BH41" i="24" s="1"/>
  <c r="AU40" i="24"/>
  <c r="AX30" i="24"/>
  <c r="AK32" i="28"/>
  <c r="AJ32" i="28"/>
  <c r="AE99" i="28"/>
  <c r="AE98" i="28" s="1"/>
  <c r="AE95" i="28" s="1"/>
  <c r="AE137" i="28" s="1"/>
  <c r="AE139" i="28" s="1"/>
  <c r="AR30" i="24"/>
  <c r="AV30" i="24"/>
  <c r="AO40" i="24"/>
  <c r="AM40" i="24"/>
  <c r="AG30" i="24"/>
  <c r="AG100" i="28"/>
  <c r="AF32" i="28"/>
  <c r="AX40" i="24"/>
  <c r="AK99" i="28"/>
  <c r="AK98" i="28" s="1"/>
  <c r="AK95" i="28" s="1"/>
  <c r="AK137" i="28" s="1"/>
  <c r="AK139" i="28" s="1"/>
  <c r="AZ30" i="24"/>
  <c r="AM30" i="24"/>
  <c r="AG40" i="24"/>
  <c r="AE40" i="24"/>
  <c r="AO30" i="24"/>
  <c r="AV40" i="24"/>
  <c r="AP40" i="24"/>
  <c r="AL30" i="24"/>
  <c r="AI30" i="24"/>
  <c r="BC30" i="24"/>
  <c r="AE32" i="28"/>
  <c r="AG99" i="28"/>
  <c r="AW30" i="24"/>
  <c r="AE30" i="24"/>
  <c r="AP41" i="24"/>
  <c r="AN41" i="24"/>
  <c r="AL41" i="24"/>
  <c r="AJ41" i="24"/>
  <c r="AF41" i="24"/>
  <c r="AF96" i="25" s="1"/>
  <c r="AI33" i="28"/>
  <c r="AL33" i="28" s="1"/>
  <c r="AK33" i="28"/>
  <c r="AE33" i="28"/>
  <c r="AG41" i="24"/>
  <c r="AE41" i="24"/>
  <c r="BB41" i="24"/>
  <c r="BM41" i="24" s="1"/>
  <c r="AZ41" i="24"/>
  <c r="BK41" i="24" s="1"/>
  <c r="BC41" i="24"/>
  <c r="BA41" i="24"/>
  <c r="BL41" i="24" s="1"/>
  <c r="AY41" i="24"/>
  <c r="BJ41" i="24" s="1"/>
  <c r="AE32" i="24"/>
  <c r="AE36" i="24" s="1"/>
  <c r="AE61" i="27" s="1"/>
  <c r="AJ31" i="24"/>
  <c r="BB31" i="24"/>
  <c r="BM31" i="24" s="1"/>
  <c r="AU41" i="24"/>
  <c r="BF41" i="24" s="1"/>
  <c r="AS41" i="24"/>
  <c r="AQ41" i="24"/>
  <c r="AO41" i="24"/>
  <c r="AM41" i="24"/>
  <c r="AK41" i="24"/>
  <c r="AI41" i="24"/>
  <c r="BD41" i="24" s="1"/>
  <c r="AS31" i="24"/>
  <c r="AG33" i="28"/>
  <c r="AJ33" i="28"/>
  <c r="AF33" i="28"/>
  <c r="AX41" i="24"/>
  <c r="BI41" i="24" s="1"/>
  <c r="AV41" i="24"/>
  <c r="BG41" i="24" s="1"/>
  <c r="AT41" i="24"/>
  <c r="BE41" i="24" s="1"/>
  <c r="AR41" i="24"/>
  <c r="AN31" i="24"/>
  <c r="AU31" i="24"/>
  <c r="BF31" i="24" s="1"/>
  <c r="AQ31" i="24"/>
  <c r="AE42" i="24"/>
  <c r="AE46" i="24" s="1"/>
  <c r="AE116" i="27" s="1"/>
  <c r="AE130" i="27" s="1"/>
  <c r="AM31" i="24"/>
  <c r="AW31" i="24"/>
  <c r="BH31" i="24" s="1"/>
  <c r="AP31" i="24"/>
  <c r="AL31" i="24"/>
  <c r="AZ31" i="24"/>
  <c r="BK31" i="24" s="1"/>
  <c r="AF31" i="24"/>
  <c r="AF49" i="25" s="1"/>
  <c r="AK31" i="24"/>
  <c r="AG42" i="24"/>
  <c r="AG31" i="24"/>
  <c r="AX31" i="24"/>
  <c r="BI31" i="24" s="1"/>
  <c r="BA31" i="24"/>
  <c r="BL31" i="24" s="1"/>
  <c r="AT31" i="24"/>
  <c r="BE31" i="24" s="1"/>
  <c r="AG32" i="24"/>
  <c r="AF42" i="24"/>
  <c r="AF46" i="24" s="1"/>
  <c r="AF116" i="27" s="1"/>
  <c r="AI31" i="24"/>
  <c r="BD31" i="24" s="1"/>
  <c r="AE31" i="24"/>
  <c r="AO31" i="24"/>
  <c r="AV31" i="24"/>
  <c r="BG31" i="24" s="1"/>
  <c r="BC31" i="24"/>
  <c r="AR31" i="24"/>
  <c r="AY31" i="24"/>
  <c r="BJ31" i="24" s="1"/>
  <c r="BE64" i="23"/>
  <c r="AT66" i="23"/>
  <c r="AU34" i="22"/>
  <c r="BE34" i="22"/>
  <c r="AT28" i="27"/>
  <c r="AL43" i="22"/>
  <c r="AM43" i="22" s="1"/>
  <c r="AK83" i="27"/>
  <c r="AQ33" i="20"/>
  <c r="AP34" i="20"/>
  <c r="AU44" i="23" s="1"/>
  <c r="N55" i="27" a="1"/>
  <c r="N55" i="27" s="1"/>
  <c r="N56" i="27" s="1" a="1"/>
  <c r="N56" i="27" s="1"/>
  <c r="BX54" i="27" a="1"/>
  <c r="BX54" i="27" s="1"/>
  <c r="S73" i="12" a="1"/>
  <c r="S73" i="12" s="1"/>
  <c r="U72" i="12"/>
  <c r="N110" i="27" a="1"/>
  <c r="N110" i="27" s="1"/>
  <c r="N111" i="27" s="1" a="1"/>
  <c r="N111" i="27" s="1"/>
  <c r="BX109" i="27" a="1"/>
  <c r="BX109" i="27" s="1"/>
  <c r="M56" i="28" a="1"/>
  <c r="M56" i="28" s="1"/>
  <c r="AS55" i="28" a="1"/>
  <c r="AS55" i="28" s="1"/>
  <c r="BG61" i="27"/>
  <c r="BK61" i="27"/>
  <c r="T62" i="27" a="1"/>
  <c r="T62" i="27" s="1"/>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BH61" i="27"/>
  <c r="BL61" i="27"/>
  <c r="F64" i="27" a="1"/>
  <c r="F64" i="27" s="1"/>
  <c r="F65" i="27" s="1" a="1"/>
  <c r="F65" i="27" s="1"/>
  <c r="F66" i="27" s="1" a="1"/>
  <c r="F66" i="27" s="1"/>
  <c r="F67" i="27" s="1" a="1"/>
  <c r="F67" i="27" s="1"/>
  <c r="F68" i="27" s="1" a="1"/>
  <c r="F68" i="27" s="1"/>
  <c r="F69" i="27" s="1" a="1"/>
  <c r="F69" i="27" s="1"/>
  <c r="F70" i="27" s="1" a="1"/>
  <c r="F70" i="27" s="1"/>
  <c r="BA63" i="27"/>
  <c r="BA66" i="27" s="1"/>
  <c r="AW63" i="27"/>
  <c r="AW66" i="27" s="1"/>
  <c r="AS63" i="27"/>
  <c r="AS66" i="27" s="1"/>
  <c r="AO63" i="27"/>
  <c r="AO66" i="27" s="1"/>
  <c r="AK63" i="27"/>
  <c r="AK66" i="27" s="1"/>
  <c r="BB63" i="27"/>
  <c r="BB66" i="27" s="1"/>
  <c r="AX63" i="27"/>
  <c r="AX66" i="27" s="1"/>
  <c r="AT63" i="27"/>
  <c r="AT66" i="27" s="1"/>
  <c r="AP63" i="27"/>
  <c r="AP66" i="27" s="1"/>
  <c r="AL63" i="27"/>
  <c r="AL66" i="27" s="1"/>
  <c r="AE63" i="27"/>
  <c r="AE66" i="27" s="1"/>
  <c r="BC63" i="27"/>
  <c r="BC66" i="27" s="1"/>
  <c r="AY63" i="27"/>
  <c r="AY66" i="27" s="1"/>
  <c r="AU63" i="27"/>
  <c r="AU66" i="27" s="1"/>
  <c r="AQ63" i="27"/>
  <c r="AQ66" i="27" s="1"/>
  <c r="AM63" i="27"/>
  <c r="AM66" i="27" s="1"/>
  <c r="AI63" i="27"/>
  <c r="AI66" i="27" s="1"/>
  <c r="AZ63" i="27"/>
  <c r="AZ66" i="27" s="1"/>
  <c r="AV63" i="27"/>
  <c r="AV66" i="27" s="1"/>
  <c r="AR63" i="27"/>
  <c r="AR66" i="27" s="1"/>
  <c r="AN63" i="27"/>
  <c r="AN66" i="27" s="1"/>
  <c r="AJ63" i="27"/>
  <c r="AJ66" i="27" s="1"/>
  <c r="AH100" i="28" l="1"/>
  <c r="AE31" i="28"/>
  <c r="AE28" i="28" s="1"/>
  <c r="AE70" i="28" s="1"/>
  <c r="AE72" i="28" s="1"/>
  <c r="AR33" i="20"/>
  <c r="AQ34" i="20"/>
  <c r="AV44" i="23" s="1"/>
  <c r="AN43" i="22"/>
  <c r="AM83" i="27"/>
  <c r="AT48" i="23" a="1"/>
  <c r="AT48" i="23" s="1"/>
  <c r="AT84" i="27" s="1"/>
  <c r="BD66" i="23"/>
  <c r="BD48" i="23" s="1" a="1"/>
  <c r="BD48" i="23" s="1"/>
  <c r="AH32" i="24"/>
  <c r="AG36" i="24"/>
  <c r="AH31" i="24"/>
  <c r="AG49" i="25"/>
  <c r="AE75" i="27"/>
  <c r="AE76" i="27" s="1"/>
  <c r="AE35" i="24"/>
  <c r="AH99" i="28"/>
  <c r="AG98" i="28"/>
  <c r="BC35" i="24"/>
  <c r="AL35" i="24"/>
  <c r="BG40" i="24"/>
  <c r="AV45" i="24"/>
  <c r="AE45" i="24"/>
  <c r="AM35" i="24"/>
  <c r="AK148" i="28"/>
  <c r="AK146" i="28"/>
  <c r="AK147" i="28" s="1"/>
  <c r="AK141" i="28"/>
  <c r="AK158" i="28" s="1"/>
  <c r="AK159" i="28" s="1"/>
  <c r="AF31" i="28"/>
  <c r="AF28" i="28" s="1"/>
  <c r="AF70" i="28" s="1"/>
  <c r="AF72" i="28" s="1"/>
  <c r="AF74" i="28" s="1"/>
  <c r="AH30" i="24"/>
  <c r="AG35" i="24"/>
  <c r="AG39" i="25"/>
  <c r="AO45" i="24"/>
  <c r="AR35" i="24"/>
  <c r="AJ31" i="28"/>
  <c r="AJ28" i="28" s="1"/>
  <c r="AJ70" i="28" s="1"/>
  <c r="AJ72" i="28" s="1"/>
  <c r="BI30" i="24"/>
  <c r="AX35" i="24"/>
  <c r="BC45" i="24"/>
  <c r="BD40" i="24"/>
  <c r="AI45" i="24"/>
  <c r="AF39" i="25"/>
  <c r="AF38" i="25" s="1"/>
  <c r="AF33" i="25" s="1"/>
  <c r="AF35" i="24"/>
  <c r="AR45" i="24"/>
  <c r="AK35" i="24"/>
  <c r="AS45" i="24"/>
  <c r="AL99" i="28"/>
  <c r="AI98" i="28"/>
  <c r="BK40" i="24"/>
  <c r="AZ45" i="24"/>
  <c r="BJ40" i="24"/>
  <c r="AY45" i="24"/>
  <c r="BF30" i="24"/>
  <c r="AU35" i="24"/>
  <c r="AN45" i="24"/>
  <c r="BE30" i="24"/>
  <c r="AT35" i="24"/>
  <c r="AQ35" i="24"/>
  <c r="BM40" i="24"/>
  <c r="BB45" i="24"/>
  <c r="AI31" i="28"/>
  <c r="AL32" i="28"/>
  <c r="BL30" i="24"/>
  <c r="BA35" i="24"/>
  <c r="AN35" i="24"/>
  <c r="F158" i="28" a="1"/>
  <c r="F158" i="28" s="1"/>
  <c r="T157" i="28"/>
  <c r="F91" i="28" a="1"/>
  <c r="F91" i="28" s="1"/>
  <c r="T90" i="28"/>
  <c r="M124" i="28" a="1"/>
  <c r="M124" i="28" s="1"/>
  <c r="AS123" i="28" a="1"/>
  <c r="AS123" i="28" s="1"/>
  <c r="AH41" i="20"/>
  <c r="AG42" i="20"/>
  <c r="AL64" i="23" s="1"/>
  <c r="AL66" i="23" s="1"/>
  <c r="AL48" i="23" s="1" a="1"/>
  <c r="AL48" i="23" s="1"/>
  <c r="AL84" i="27" s="1"/>
  <c r="AH33" i="20"/>
  <c r="AG34" i="20"/>
  <c r="AL44" i="23" s="1"/>
  <c r="AL46" i="23" s="1"/>
  <c r="AL28" i="23" s="1" a="1"/>
  <c r="AL28" i="23" s="1"/>
  <c r="AL29" i="27" s="1"/>
  <c r="AV43" i="22"/>
  <c r="BF43" i="22" s="1"/>
  <c r="AU83" i="27"/>
  <c r="AL83" i="27"/>
  <c r="BF64" i="23"/>
  <c r="AU66" i="23"/>
  <c r="BE66" i="23" s="1"/>
  <c r="BE48" i="23" s="1" a="1"/>
  <c r="BE48" i="23" s="1"/>
  <c r="BB70" i="27"/>
  <c r="AZ70" i="27"/>
  <c r="AX70" i="27"/>
  <c r="AV70" i="27"/>
  <c r="AT70" i="27"/>
  <c r="AR70" i="27"/>
  <c r="AP70" i="27"/>
  <c r="AN70" i="27"/>
  <c r="AL70" i="27"/>
  <c r="AJ70" i="27"/>
  <c r="AE70" i="27"/>
  <c r="F71" i="27" a="1"/>
  <c r="F71" i="27" s="1"/>
  <c r="F72" i="27" s="1" a="1"/>
  <c r="F72" i="27" s="1"/>
  <c r="F73" i="27" s="1" a="1"/>
  <c r="F73" i="27" s="1"/>
  <c r="F74" i="27" s="1" a="1"/>
  <c r="F74" i="27" s="1"/>
  <c r="F75" i="27" s="1" a="1"/>
  <c r="F75" i="27" s="1"/>
  <c r="F76" i="27" s="1" a="1"/>
  <c r="F76" i="27" s="1"/>
  <c r="F77" i="27" s="1" a="1"/>
  <c r="F77" i="27" s="1"/>
  <c r="F78" i="27" s="1" a="1"/>
  <c r="F78" i="27" s="1"/>
  <c r="F79" i="27" s="1" a="1"/>
  <c r="F79" i="27" s="1"/>
  <c r="F80" i="27" s="1" a="1"/>
  <c r="F80" i="27" s="1"/>
  <c r="F81" i="27" s="1" a="1"/>
  <c r="F81" i="27" s="1"/>
  <c r="AK84" i="33" s="1"/>
  <c r="BC70" i="27"/>
  <c r="BA70" i="27"/>
  <c r="AY70" i="27"/>
  <c r="AW70" i="27"/>
  <c r="AU70" i="27"/>
  <c r="AS70" i="27"/>
  <c r="AQ70" i="27"/>
  <c r="AO70" i="27"/>
  <c r="AM70" i="27"/>
  <c r="AK70" i="27"/>
  <c r="AI70" i="27"/>
  <c r="M57" i="28" a="1"/>
  <c r="M57" i="28" s="1"/>
  <c r="AS56" i="28" a="1"/>
  <c r="AS56" i="28" s="1"/>
  <c r="N112" i="27" a="1"/>
  <c r="N112" i="27" s="1"/>
  <c r="N113" i="27" s="1" a="1"/>
  <c r="N113" i="27" s="1"/>
  <c r="BX111" i="27" a="1"/>
  <c r="BX111" i="27" s="1"/>
  <c r="S74" i="12" a="1"/>
  <c r="S74" i="12" s="1"/>
  <c r="U73" i="12"/>
  <c r="N57" i="27" a="1"/>
  <c r="N57" i="27" s="1"/>
  <c r="N58" i="27" s="1" a="1"/>
  <c r="N58" i="27" s="1"/>
  <c r="BX56" i="27" a="1"/>
  <c r="BX56" i="27" s="1"/>
  <c r="BF44" i="23"/>
  <c r="AU46" i="23"/>
  <c r="BE28" i="27"/>
  <c r="BF34" i="22"/>
  <c r="AV34" i="22"/>
  <c r="AU28" i="27"/>
  <c r="AH42" i="24"/>
  <c r="AG46" i="24"/>
  <c r="AE131" i="27"/>
  <c r="AI129" i="27"/>
  <c r="AI130" i="27" s="1"/>
  <c r="AH33" i="28"/>
  <c r="AH41" i="24"/>
  <c r="AG96" i="25"/>
  <c r="BH30" i="24"/>
  <c r="AW35" i="24"/>
  <c r="AE81" i="28"/>
  <c r="AE79" i="28"/>
  <c r="AE80" i="28" s="1"/>
  <c r="AE74" i="28"/>
  <c r="AE91" i="28" s="1"/>
  <c r="AE92" i="28" s="1"/>
  <c r="BD30" i="24"/>
  <c r="AI35" i="24"/>
  <c r="AP45" i="24"/>
  <c r="AO35" i="24"/>
  <c r="AH40" i="24"/>
  <c r="AG45" i="24"/>
  <c r="BK30" i="24"/>
  <c r="AZ35" i="24"/>
  <c r="BI40" i="24"/>
  <c r="AX45" i="24"/>
  <c r="AM45" i="24"/>
  <c r="BG30" i="24"/>
  <c r="AV35" i="24"/>
  <c r="AE148" i="28"/>
  <c r="AE146" i="28"/>
  <c r="AE147" i="28" s="1"/>
  <c r="AE141" i="28"/>
  <c r="AE158" i="28" s="1"/>
  <c r="AE159" i="28" s="1"/>
  <c r="AK31" i="28"/>
  <c r="AK28" i="28" s="1"/>
  <c r="AK70" i="28" s="1"/>
  <c r="AK72" i="28" s="1"/>
  <c r="BF40" i="24"/>
  <c r="AU45" i="24"/>
  <c r="AP35" i="24"/>
  <c r="AJ45" i="24"/>
  <c r="AS35" i="24"/>
  <c r="AK45" i="24"/>
  <c r="AL45" i="24"/>
  <c r="AQ45" i="24"/>
  <c r="BE40" i="24"/>
  <c r="AT45" i="24"/>
  <c r="BJ30" i="24"/>
  <c r="AY35" i="24"/>
  <c r="BM30" i="24"/>
  <c r="BB35" i="24"/>
  <c r="BL40" i="24"/>
  <c r="BA45" i="24"/>
  <c r="AJ98" i="28"/>
  <c r="AJ95" i="28" s="1"/>
  <c r="AJ137" i="28" s="1"/>
  <c r="AJ139" i="28" s="1"/>
  <c r="AF45" i="24"/>
  <c r="AF86" i="25"/>
  <c r="AF85" i="25" s="1"/>
  <c r="AF80" i="25" s="1"/>
  <c r="AG31" i="28"/>
  <c r="AH32" i="28"/>
  <c r="AF98" i="28"/>
  <c r="AF95" i="28" s="1"/>
  <c r="AF137" i="28" s="1"/>
  <c r="AF139" i="28" s="1"/>
  <c r="AF141" i="28" s="1"/>
  <c r="AJ35" i="24"/>
  <c r="BH40" i="24"/>
  <c r="AW45" i="24"/>
  <c r="S185" i="12" a="1"/>
  <c r="S185" i="12" s="1"/>
  <c r="U184" i="12"/>
  <c r="AZ106" i="33"/>
  <c r="AT106" i="33"/>
  <c r="AD106" i="33"/>
  <c r="AF106" i="33" s="1"/>
  <c r="AW104" i="33"/>
  <c r="BE104" i="33"/>
  <c r="BG104" i="33" s="1"/>
  <c r="AT104" i="33"/>
  <c r="AS58" i="33"/>
  <c r="AU58" i="33" s="1"/>
  <c r="AQ104" i="33"/>
  <c r="AV58" i="33"/>
  <c r="AX58" i="33" s="1"/>
  <c r="AH58" i="33"/>
  <c r="AP104" i="33"/>
  <c r="AR104" i="33" s="1"/>
  <c r="AT58" i="33"/>
  <c r="AM100" i="33"/>
  <c r="AO100" i="33" s="1"/>
  <c r="AV100" i="33"/>
  <c r="AX100" i="33" s="1"/>
  <c r="AS100" i="33"/>
  <c r="AU100" i="33" s="1"/>
  <c r="AN100" i="33"/>
  <c r="AG100" i="33"/>
  <c r="AI100" i="33" s="1"/>
  <c r="AK100" i="33"/>
  <c r="BF52" i="33"/>
  <c r="AQ52" i="33"/>
  <c r="BC52" i="33"/>
  <c r="AV52" i="33"/>
  <c r="AX52" i="33" s="1"/>
  <c r="AS98" i="33"/>
  <c r="AU98" i="33" s="1"/>
  <c r="BE52" i="33"/>
  <c r="BG52" i="33" s="1"/>
  <c r="AH52" i="33"/>
  <c r="AG98" i="33"/>
  <c r="AI98" i="33" s="1"/>
  <c r="AT52" i="33"/>
  <c r="AF59" i="25"/>
  <c r="AG63" i="25"/>
  <c r="AF110" i="25"/>
  <c r="AF60" i="25"/>
  <c r="AM38" i="33"/>
  <c r="AO38" i="33" s="1"/>
  <c r="AY38" i="33"/>
  <c r="BA38" i="33" s="1"/>
  <c r="AT38" i="33"/>
  <c r="AD38" i="33"/>
  <c r="AF38" i="33" s="1"/>
  <c r="AE83" i="33"/>
  <c r="AD84" i="33"/>
  <c r="AE84" i="33"/>
  <c r="AS83" i="33"/>
  <c r="AK38" i="33"/>
  <c r="AV84" i="33"/>
  <c r="AX84" i="33" s="1"/>
  <c r="AP83" i="33"/>
  <c r="BC38" i="33"/>
  <c r="AP84" i="33"/>
  <c r="AR84" i="33" s="1"/>
  <c r="AK83" i="33"/>
  <c r="BB38" i="33"/>
  <c r="BD38" i="33" s="1"/>
  <c r="AN83" i="33"/>
  <c r="AN84" i="33"/>
  <c r="AW84" i="33"/>
  <c r="AM83" i="33"/>
  <c r="BE84" i="33"/>
  <c r="BG84" i="33" s="1"/>
  <c r="AM84" i="33"/>
  <c r="AO84" i="33" s="1"/>
  <c r="AJ83" i="33"/>
  <c r="AQ83" i="33"/>
  <c r="AH37" i="33"/>
  <c r="AT37" i="33"/>
  <c r="AT36" i="33" s="1"/>
  <c r="AJ37" i="33"/>
  <c r="AQ37" i="33"/>
  <c r="AG37" i="33"/>
  <c r="AP37" i="33"/>
  <c r="BE37" i="33"/>
  <c r="BE83" i="27"/>
  <c r="BD83" i="27"/>
  <c r="BE43" i="22"/>
  <c r="AI74" i="27"/>
  <c r="AI75" i="27" s="1"/>
  <c r="AI76" i="27" s="1"/>
  <c r="AM34" i="22"/>
  <c r="AL28" i="27"/>
  <c r="BE46" i="23"/>
  <c r="BE28" i="23" s="1" a="1"/>
  <c r="BE28" i="23" s="1"/>
  <c r="AT28" i="23" a="1"/>
  <c r="AT28" i="23" s="1"/>
  <c r="AT29" i="27" s="1"/>
  <c r="BE29" i="27" s="1"/>
  <c r="AR41" i="20"/>
  <c r="AQ42" i="20"/>
  <c r="AV64" i="23" s="1"/>
  <c r="AT74" i="27" l="1"/>
  <c r="AT75" i="27" s="1"/>
  <c r="AG38" i="25"/>
  <c r="AG33" i="25" s="1"/>
  <c r="AR37" i="33"/>
  <c r="AL37" i="33"/>
  <c r="AU83" i="33"/>
  <c r="AF84" i="33"/>
  <c r="BG64" i="23"/>
  <c r="AV66" i="23"/>
  <c r="BG37" i="33"/>
  <c r="AL83" i="33"/>
  <c r="AN82" i="33"/>
  <c r="AK82" i="33"/>
  <c r="AV38" i="33"/>
  <c r="AX38" i="33" s="1"/>
  <c r="AW83" i="33"/>
  <c r="AW82" i="33" s="1"/>
  <c r="AW38" i="33"/>
  <c r="AZ83" i="33"/>
  <c r="AY84" i="33"/>
  <c r="BA84" i="33" s="1"/>
  <c r="AN38" i="33"/>
  <c r="AF62" i="25"/>
  <c r="AG106" i="25"/>
  <c r="AG60" i="25"/>
  <c r="AF63" i="25"/>
  <c r="AG59" i="25"/>
  <c r="AP52" i="33"/>
  <c r="AR52" i="33" s="1"/>
  <c r="AQ98" i="33"/>
  <c r="AJ98" i="33"/>
  <c r="AL98" i="33" s="1"/>
  <c r="AD98" i="33"/>
  <c r="AW98" i="33"/>
  <c r="AV98" i="33"/>
  <c r="AX98" i="33" s="1"/>
  <c r="AP98" i="33"/>
  <c r="AR98" i="33" s="1"/>
  <c r="AK52" i="33"/>
  <c r="AY100" i="33"/>
  <c r="BA100" i="33" s="1"/>
  <c r="BB100" i="33"/>
  <c r="BD100" i="33" s="1"/>
  <c r="BC100" i="33"/>
  <c r="AT100" i="33"/>
  <c r="AD100" i="33"/>
  <c r="AF100" i="33" s="1"/>
  <c r="AD58" i="33"/>
  <c r="AF58" i="33" s="1"/>
  <c r="AN104" i="33"/>
  <c r="AW58" i="33"/>
  <c r="BC104" i="33"/>
  <c r="BE58" i="33"/>
  <c r="BG58" i="33" s="1"/>
  <c r="AG104" i="33"/>
  <c r="AI104" i="33" s="1"/>
  <c r="AQ58" i="33"/>
  <c r="AD104" i="33"/>
  <c r="BF58" i="33"/>
  <c r="AK106" i="33"/>
  <c r="AM106" i="33"/>
  <c r="AO106" i="33" s="1"/>
  <c r="AV106" i="33"/>
  <c r="AX106" i="33" s="1"/>
  <c r="AY106" i="33"/>
  <c r="BA106" i="33" s="1"/>
  <c r="BC106" i="33"/>
  <c r="BF106" i="33"/>
  <c r="BH45" i="24"/>
  <c r="BH38" i="24" s="1" a="1"/>
  <c r="BH38" i="24" s="1"/>
  <c r="AW38" i="24" a="1"/>
  <c r="AW38" i="24" s="1"/>
  <c r="AW85" i="27"/>
  <c r="BH85" i="27" s="1"/>
  <c r="AJ28" i="24" a="1"/>
  <c r="AJ28" i="24" s="1"/>
  <c r="AJ30" i="27"/>
  <c r="AJ58" i="27" s="1"/>
  <c r="AJ60" i="27" s="1"/>
  <c r="AJ141" i="28"/>
  <c r="AJ158" i="28" s="1"/>
  <c r="AJ159" i="28" s="1"/>
  <c r="AJ148" i="28"/>
  <c r="AJ146" i="28"/>
  <c r="AJ147" i="28" s="1"/>
  <c r="AL38" i="24" a="1"/>
  <c r="AL38" i="24" s="1"/>
  <c r="AL85" i="27"/>
  <c r="AS28" i="24" a="1"/>
  <c r="AS28" i="24" s="1"/>
  <c r="AS30" i="27"/>
  <c r="AP28" i="24" a="1"/>
  <c r="AP28" i="24" s="1"/>
  <c r="AP30" i="27"/>
  <c r="BI45" i="24"/>
  <c r="BI38" i="24" s="1" a="1"/>
  <c r="BI38" i="24" s="1"/>
  <c r="AX38" i="24" a="1"/>
  <c r="AX38" i="24" s="1"/>
  <c r="AX85" i="27"/>
  <c r="BI85" i="27" s="1"/>
  <c r="AZ28" i="24" a="1"/>
  <c r="AZ28" i="24" s="1"/>
  <c r="BK35" i="24"/>
  <c r="BK28" i="24" s="1" a="1"/>
  <c r="BK28" i="24" s="1"/>
  <c r="AZ30" i="27"/>
  <c r="BK30" i="27" s="1"/>
  <c r="AH45" i="24"/>
  <c r="AH38" i="24" s="1" a="1"/>
  <c r="AH38" i="24" s="1"/>
  <c r="AG38" i="24" a="1"/>
  <c r="AG38" i="24" s="1"/>
  <c r="AG85" i="27"/>
  <c r="AO28" i="24" a="1"/>
  <c r="AO28" i="24" s="1"/>
  <c r="AO30" i="27"/>
  <c r="BD35" i="24"/>
  <c r="BD28" i="24" s="1" a="1"/>
  <c r="BD28" i="24" s="1"/>
  <c r="AI28" i="24" a="1"/>
  <c r="AI28" i="24" s="1"/>
  <c r="AI30" i="27"/>
  <c r="AI131" i="27"/>
  <c r="AJ129" i="27"/>
  <c r="AJ130" i="27" s="1"/>
  <c r="AT129" i="27"/>
  <c r="AH46" i="24"/>
  <c r="AG86" i="25"/>
  <c r="AG85" i="25" s="1"/>
  <c r="AG80" i="25" s="1"/>
  <c r="AG116" i="27"/>
  <c r="AH116" i="27" s="1"/>
  <c r="BF28" i="27"/>
  <c r="AU28" i="23" a="1"/>
  <c r="AU28" i="23" s="1"/>
  <c r="AU29" i="27" s="1"/>
  <c r="BF29" i="27" s="1"/>
  <c r="BF46" i="23"/>
  <c r="BF28" i="23" s="1" a="1"/>
  <c r="BF28" i="23" s="1"/>
  <c r="AJ74" i="27"/>
  <c r="AJ75" i="27" s="1"/>
  <c r="AI71" i="27" a="1"/>
  <c r="AI71" i="27" s="1"/>
  <c r="AI72" i="27" a="1"/>
  <c r="AI72" i="27" s="1"/>
  <c r="AM71" i="27" a="1"/>
  <c r="AM71" i="27" s="1"/>
  <c r="AM72" i="27" a="1"/>
  <c r="AM72" i="27" s="1"/>
  <c r="AM60" i="33" s="1"/>
  <c r="AO60" i="33" s="1"/>
  <c r="AQ71" i="27" a="1"/>
  <c r="AQ71" i="27" s="1"/>
  <c r="AY54" i="33" s="1"/>
  <c r="BA54" i="33" s="1"/>
  <c r="AQ72" i="27" a="1"/>
  <c r="AQ72" i="27" s="1"/>
  <c r="AY60" i="33" s="1"/>
  <c r="BA60" i="33" s="1"/>
  <c r="AU71" i="27" a="1"/>
  <c r="AU71" i="27" s="1"/>
  <c r="AU72" i="27" a="1"/>
  <c r="AU72" i="27" s="1"/>
  <c r="AY71" i="27" a="1"/>
  <c r="AY71" i="27" s="1"/>
  <c r="AY72" i="27" a="1"/>
  <c r="AY72" i="27" s="1"/>
  <c r="BC71" i="27" a="1"/>
  <c r="BC71" i="27" s="1"/>
  <c r="BF54" i="33" s="1"/>
  <c r="BC72" i="27" a="1"/>
  <c r="BC72" i="27" s="1"/>
  <c r="BF60" i="33" s="1"/>
  <c r="AE71" i="27" a="1"/>
  <c r="AE71" i="27" s="1"/>
  <c r="AE72" i="27" a="1"/>
  <c r="AE72" i="27" s="1"/>
  <c r="AL71" i="27" a="1"/>
  <c r="AL71" i="27" s="1"/>
  <c r="AJ54" i="33" s="1"/>
  <c r="AL54" i="33" s="1"/>
  <c r="AL72" i="27" a="1"/>
  <c r="AL72" i="27" s="1"/>
  <c r="AJ60" i="33" s="1"/>
  <c r="AL60" i="33" s="1"/>
  <c r="AP71" i="27" a="1"/>
  <c r="AP71" i="27" s="1"/>
  <c r="AV54" i="33" s="1"/>
  <c r="AX54" i="33" s="1"/>
  <c r="AP72" i="27" a="1"/>
  <c r="AP72" i="27" s="1"/>
  <c r="AT71" i="27" a="1"/>
  <c r="AT71" i="27" s="1"/>
  <c r="AE54" i="33" s="1"/>
  <c r="AT72" i="27" a="1"/>
  <c r="AT72" i="27" s="1"/>
  <c r="AX71" i="27" a="1"/>
  <c r="AX71" i="27" s="1"/>
  <c r="AQ54" i="33" s="1"/>
  <c r="AX72" i="27" a="1"/>
  <c r="AX72" i="27" s="1"/>
  <c r="AQ60" i="33" s="1"/>
  <c r="BB71" i="27" a="1"/>
  <c r="BB71" i="27" s="1"/>
  <c r="BB72" i="27" a="1"/>
  <c r="BB72" i="27" s="1"/>
  <c r="BG43" i="22"/>
  <c r="AW43" i="22"/>
  <c r="AV83" i="27"/>
  <c r="AK37" i="33"/>
  <c r="AK36" i="33" s="1"/>
  <c r="BB37" i="33"/>
  <c r="AG83" i="33"/>
  <c r="AY83" i="33"/>
  <c r="AQ38" i="33"/>
  <c r="AQ36" i="33" s="1"/>
  <c r="BC84" i="33"/>
  <c r="BC83" i="33"/>
  <c r="AT84" i="33"/>
  <c r="AP38" i="33"/>
  <c r="AR38" i="33" s="1"/>
  <c r="AV83" i="33"/>
  <c r="AH84" i="33"/>
  <c r="AH83" i="33"/>
  <c r="AH82" i="33" s="1"/>
  <c r="AZ84" i="33"/>
  <c r="AJ84" i="33"/>
  <c r="AL84" i="33" s="1"/>
  <c r="BE38" i="33"/>
  <c r="BG38" i="33" s="1"/>
  <c r="AG38" i="33"/>
  <c r="AI38" i="33" s="1"/>
  <c r="AS38" i="33"/>
  <c r="AU38" i="33" s="1"/>
  <c r="AF106" i="25"/>
  <c r="AF77" i="25" s="1"/>
  <c r="AF76" i="25" s="1"/>
  <c r="AG119" i="25" s="1" a="1"/>
  <c r="AG119" i="25" s="1"/>
  <c r="AG121" i="25" s="1"/>
  <c r="AE51" i="33"/>
  <c r="BB98" i="33"/>
  <c r="BD98" i="33" s="1"/>
  <c r="AJ52" i="33"/>
  <c r="AL52" i="33" s="1"/>
  <c r="AW52" i="33"/>
  <c r="AE52" i="33"/>
  <c r="AM52" i="33"/>
  <c r="AO52" i="33" s="1"/>
  <c r="AD52" i="33"/>
  <c r="AF52" i="33" s="1"/>
  <c r="AK98" i="33"/>
  <c r="BC98" i="33"/>
  <c r="AM98" i="33"/>
  <c r="AO98" i="33" s="1"/>
  <c r="BE98" i="33"/>
  <c r="BG98" i="33" s="1"/>
  <c r="AY98" i="33"/>
  <c r="BA98" i="33" s="1"/>
  <c r="AZ98" i="33"/>
  <c r="AP100" i="33"/>
  <c r="AR100" i="33" s="1"/>
  <c r="BF100" i="33"/>
  <c r="AT54" i="33"/>
  <c r="AJ100" i="33"/>
  <c r="AL100" i="33" s="1"/>
  <c r="BE100" i="33"/>
  <c r="BG100" i="33" s="1"/>
  <c r="AH100" i="33"/>
  <c r="AE100" i="33"/>
  <c r="AV104" i="33"/>
  <c r="AX104" i="33" s="1"/>
  <c r="AK104" i="33"/>
  <c r="AM58" i="33"/>
  <c r="AO58" i="33" s="1"/>
  <c r="AM104" i="33"/>
  <c r="AO104" i="33" s="1"/>
  <c r="AS104" i="33"/>
  <c r="AU104" i="33" s="1"/>
  <c r="AE58" i="33"/>
  <c r="AJ58" i="33"/>
  <c r="AL58" i="33" s="1"/>
  <c r="AJ104" i="33"/>
  <c r="AL104" i="33" s="1"/>
  <c r="AN58" i="33"/>
  <c r="AH104" i="33"/>
  <c r="BB58" i="33"/>
  <c r="BD58" i="33" s="1"/>
  <c r="AP106" i="33"/>
  <c r="AR106" i="33" s="1"/>
  <c r="AE106" i="33"/>
  <c r="AH106" i="33"/>
  <c r="BE106" i="33"/>
  <c r="BG106" i="33" s="1"/>
  <c r="AV60" i="33"/>
  <c r="AX60" i="33" s="1"/>
  <c r="AE60" i="33"/>
  <c r="AW106" i="33"/>
  <c r="AI33" i="20"/>
  <c r="AH34" i="20"/>
  <c r="AM44" i="23" s="1"/>
  <c r="AM46" i="23" s="1"/>
  <c r="AM28" i="23" s="1" a="1"/>
  <c r="AM28" i="23" s="1"/>
  <c r="AM29" i="27" s="1"/>
  <c r="AI41" i="20"/>
  <c r="AH42" i="20"/>
  <c r="AM64" i="23" s="1"/>
  <c r="AM66" i="23" s="1"/>
  <c r="AM48" i="23" s="1" a="1"/>
  <c r="AM48" i="23" s="1"/>
  <c r="AM84" i="27" s="1"/>
  <c r="M125" i="28" a="1"/>
  <c r="M125" i="28" s="1"/>
  <c r="AS124" i="28" a="1"/>
  <c r="AS124" i="28" s="1"/>
  <c r="F92" i="28" a="1"/>
  <c r="F92" i="28" s="1"/>
  <c r="T91" i="28"/>
  <c r="F159" i="28" a="1"/>
  <c r="F159" i="28" s="1"/>
  <c r="T158" i="28"/>
  <c r="BL35" i="24"/>
  <c r="BL28" i="24" s="1" a="1"/>
  <c r="BL28" i="24" s="1"/>
  <c r="BA28" i="24" a="1"/>
  <c r="BA28" i="24" s="1"/>
  <c r="BA30" i="27"/>
  <c r="BL30" i="27" s="1"/>
  <c r="BM45" i="24"/>
  <c r="BM38" i="24" s="1" a="1"/>
  <c r="BM38" i="24" s="1"/>
  <c r="BB38" i="24" a="1"/>
  <c r="BB38" i="24" s="1"/>
  <c r="BB85" i="27"/>
  <c r="BM85" i="27" s="1"/>
  <c r="AQ28" i="24" a="1"/>
  <c r="AQ28" i="24" s="1"/>
  <c r="AQ30" i="27"/>
  <c r="BF35" i="24"/>
  <c r="BF28" i="24" s="1" a="1"/>
  <c r="BF28" i="24" s="1"/>
  <c r="AU28" i="24" a="1"/>
  <c r="AU28" i="24" s="1"/>
  <c r="AU30" i="27"/>
  <c r="BF30" i="27" s="1"/>
  <c r="BJ45" i="24"/>
  <c r="BJ38" i="24" s="1" a="1"/>
  <c r="BJ38" i="24" s="1"/>
  <c r="AY38" i="24" a="1"/>
  <c r="AY38" i="24" s="1"/>
  <c r="AY85" i="27"/>
  <c r="BJ85" i="27" s="1"/>
  <c r="BK45" i="24"/>
  <c r="BK38" i="24" s="1" a="1"/>
  <c r="BK38" i="24" s="1"/>
  <c r="AZ38" i="24" a="1"/>
  <c r="AZ38" i="24" s="1"/>
  <c r="AZ85" i="27"/>
  <c r="BK85" i="27" s="1"/>
  <c r="AL98" i="28"/>
  <c r="AI95" i="28"/>
  <c r="AS38" i="24" a="1"/>
  <c r="AS38" i="24" s="1"/>
  <c r="AS85" i="27"/>
  <c r="AR38" i="24" a="1"/>
  <c r="AR38" i="24" s="1"/>
  <c r="AR85" i="27"/>
  <c r="AF30" i="25"/>
  <c r="AF29" i="25" s="1"/>
  <c r="AG72" i="25" s="1" a="1"/>
  <c r="AG72" i="25" s="1"/>
  <c r="AG74" i="25" s="1"/>
  <c r="AX28" i="24" a="1"/>
  <c r="AX28" i="24" s="1"/>
  <c r="BI35" i="24"/>
  <c r="BI28" i="24" s="1" a="1"/>
  <c r="BI28" i="24" s="1"/>
  <c r="AX30" i="27"/>
  <c r="BI30" i="27" s="1"/>
  <c r="AJ74" i="28"/>
  <c r="AJ91" i="28" s="1"/>
  <c r="AJ92" i="28" s="1"/>
  <c r="AJ81" i="28"/>
  <c r="AJ79" i="28"/>
  <c r="AJ80" i="28" s="1"/>
  <c r="AO38" i="24" a="1"/>
  <c r="AO38" i="24" s="1"/>
  <c r="AO85" i="27"/>
  <c r="AH35" i="24"/>
  <c r="AH28" i="24" s="1" a="1"/>
  <c r="AH28" i="24" s="1"/>
  <c r="AG28" i="24" a="1"/>
  <c r="AG28" i="24" s="1"/>
  <c r="AG30" i="27"/>
  <c r="AM28" i="24" a="1"/>
  <c r="AM28" i="24" s="1"/>
  <c r="AM30" i="27"/>
  <c r="BG45" i="24"/>
  <c r="BG38" i="24" s="1" a="1"/>
  <c r="BG38" i="24" s="1"/>
  <c r="AV38" i="24" a="1"/>
  <c r="AV38" i="24" s="1"/>
  <c r="AV85" i="27"/>
  <c r="BG85" i="27" s="1"/>
  <c r="AL28" i="24" a="1"/>
  <c r="AL28" i="24" s="1"/>
  <c r="AL30" i="27"/>
  <c r="AL58" i="27" s="1"/>
  <c r="AL60" i="27" s="1"/>
  <c r="AH98" i="28"/>
  <c r="AG95" i="28"/>
  <c r="AE28" i="24" a="1"/>
  <c r="AE28" i="24" s="1"/>
  <c r="AE30" i="27"/>
  <c r="AE58" i="27" s="1"/>
  <c r="AE60" i="27" s="1"/>
  <c r="AH36" i="24"/>
  <c r="AG61" i="27"/>
  <c r="AH61" i="27" s="1"/>
  <c r="AO43" i="22"/>
  <c r="AN83" i="27"/>
  <c r="AS33" i="20"/>
  <c r="AR34" i="20"/>
  <c r="AW44" i="23" s="1"/>
  <c r="AS41" i="20"/>
  <c r="AR42" i="20"/>
  <c r="AW64" i="23" s="1"/>
  <c r="AN34" i="22"/>
  <c r="AM28" i="27"/>
  <c r="AI37" i="33"/>
  <c r="AG36" i="33"/>
  <c r="AI36" i="33" s="1"/>
  <c r="AO83" i="33"/>
  <c r="AM82" i="33"/>
  <c r="AO82" i="33" s="1"/>
  <c r="AR83" i="33"/>
  <c r="AP82" i="33"/>
  <c r="AR82" i="33" s="1"/>
  <c r="AE82" i="33"/>
  <c r="S186" i="12" a="1"/>
  <c r="S186" i="12" s="1"/>
  <c r="U185" i="12"/>
  <c r="AH31" i="28"/>
  <c r="AG28" i="28"/>
  <c r="AF38" i="24" a="1"/>
  <c r="AF38" i="24" s="1"/>
  <c r="AF85" i="27"/>
  <c r="AF113" i="27" s="1"/>
  <c r="AF115" i="27" s="1"/>
  <c r="AF117" i="27" s="1"/>
  <c r="BL45" i="24"/>
  <c r="BL38" i="24" s="1" a="1"/>
  <c r="BL38" i="24" s="1"/>
  <c r="BA38" i="24" a="1"/>
  <c r="BA38" i="24" s="1"/>
  <c r="BA85" i="27"/>
  <c r="BL85" i="27" s="1"/>
  <c r="BB28" i="24" a="1"/>
  <c r="BB28" i="24" s="1"/>
  <c r="BM35" i="24"/>
  <c r="BM28" i="24" s="1" a="1"/>
  <c r="BM28" i="24" s="1"/>
  <c r="BB30" i="27"/>
  <c r="BM30" i="27" s="1"/>
  <c r="BJ35" i="24"/>
  <c r="BJ28" i="24" s="1" a="1"/>
  <c r="BJ28" i="24" s="1"/>
  <c r="AY28" i="24" a="1"/>
  <c r="AY28" i="24" s="1"/>
  <c r="AY30" i="27"/>
  <c r="BJ30" i="27" s="1"/>
  <c r="BE45" i="24"/>
  <c r="BE38" i="24" s="1" a="1"/>
  <c r="BE38" i="24" s="1"/>
  <c r="AT38" i="24" a="1"/>
  <c r="AT38" i="24" s="1"/>
  <c r="AT85" i="27"/>
  <c r="AQ38" i="24" a="1"/>
  <c r="AQ38" i="24" s="1"/>
  <c r="AQ85" i="27"/>
  <c r="AK38" i="24" a="1"/>
  <c r="AK38" i="24" s="1"/>
  <c r="AK85" i="27"/>
  <c r="AK113" i="27" s="1"/>
  <c r="AK115" i="27" s="1"/>
  <c r="AJ38" i="24" a="1"/>
  <c r="AJ38" i="24" s="1"/>
  <c r="AJ85" i="27"/>
  <c r="AJ113" i="27" s="1"/>
  <c r="AJ115" i="27" s="1"/>
  <c r="BF45" i="24"/>
  <c r="BF38" i="24" s="1" a="1"/>
  <c r="BF38" i="24" s="1"/>
  <c r="AU38" i="24" a="1"/>
  <c r="AU38" i="24" s="1"/>
  <c r="AU85" i="27"/>
  <c r="BF85" i="27" s="1"/>
  <c r="AK81" i="28"/>
  <c r="AK79" i="28"/>
  <c r="AK80" i="28" s="1"/>
  <c r="AK74" i="28"/>
  <c r="AK91" i="28" s="1"/>
  <c r="AK92" i="28" s="1"/>
  <c r="AV28" i="24" a="1"/>
  <c r="AV28" i="24" s="1"/>
  <c r="BG35" i="24"/>
  <c r="BG28" i="24" s="1" a="1"/>
  <c r="BG28" i="24" s="1"/>
  <c r="AV30" i="27"/>
  <c r="BG30" i="27" s="1"/>
  <c r="AM38" i="24" a="1"/>
  <c r="AM38" i="24" s="1"/>
  <c r="AM85" i="27"/>
  <c r="AP38" i="24" a="1"/>
  <c r="AP38" i="24" s="1"/>
  <c r="AP85" i="27"/>
  <c r="BH35" i="24"/>
  <c r="BH28" i="24" s="1" a="1"/>
  <c r="BH28" i="24" s="1"/>
  <c r="AW28" i="24" a="1"/>
  <c r="AW28" i="24" s="1"/>
  <c r="AW30" i="27"/>
  <c r="BH30" i="27" s="1"/>
  <c r="AW34" i="22"/>
  <c r="BG34" i="22"/>
  <c r="AV28" i="27"/>
  <c r="N59" i="27" a="1"/>
  <c r="N59" i="27" s="1"/>
  <c r="BX58" i="27" a="1"/>
  <c r="BX58" i="27" s="1"/>
  <c r="S75" i="12" a="1"/>
  <c r="S75" i="12" s="1"/>
  <c r="U74" i="12"/>
  <c r="N114" i="27" a="1"/>
  <c r="N114" i="27" s="1"/>
  <c r="BX113" i="27" a="1"/>
  <c r="BX113" i="27" s="1"/>
  <c r="M58" i="28" a="1"/>
  <c r="M58" i="28" s="1"/>
  <c r="AS57" i="28" a="1"/>
  <c r="AS57" i="28" s="1"/>
  <c r="AK71" i="27" a="1"/>
  <c r="AK71" i="27" s="1"/>
  <c r="AK72" i="27" a="1"/>
  <c r="AK72" i="27" s="1"/>
  <c r="AG60" i="33" s="1"/>
  <c r="AI60" i="33" s="1"/>
  <c r="AO71" i="27" a="1"/>
  <c r="AO71" i="27" s="1"/>
  <c r="AS54" i="33" s="1"/>
  <c r="AU54" i="33" s="1"/>
  <c r="AO72" i="27" a="1"/>
  <c r="AO72" i="27" s="1"/>
  <c r="AS60" i="33" s="1"/>
  <c r="AU60" i="33" s="1"/>
  <c r="AS71" i="27" a="1"/>
  <c r="AS71" i="27" s="1"/>
  <c r="BE54" i="33" s="1"/>
  <c r="BG54" i="33" s="1"/>
  <c r="AS72" i="27" a="1"/>
  <c r="AS72" i="27" s="1"/>
  <c r="AW71" i="27" a="1"/>
  <c r="AW71" i="27" s="1"/>
  <c r="AN54" i="33" s="1"/>
  <c r="AW72" i="27" a="1"/>
  <c r="AW72" i="27" s="1"/>
  <c r="AN60" i="33" s="1"/>
  <c r="BA71" i="27" a="1"/>
  <c r="BA71" i="27" s="1"/>
  <c r="AZ54" i="33" s="1"/>
  <c r="BA72" i="27" a="1"/>
  <c r="BA72" i="27" s="1"/>
  <c r="AZ60" i="33" s="1"/>
  <c r="AJ71" i="27" a="1"/>
  <c r="AJ71" i="27" s="1"/>
  <c r="AD54" i="33" s="1"/>
  <c r="AF54" i="33" s="1"/>
  <c r="AJ72" i="27" a="1"/>
  <c r="AJ72" i="27" s="1"/>
  <c r="AD60" i="33" s="1"/>
  <c r="AF60" i="33" s="1"/>
  <c r="AN71" i="27" a="1"/>
  <c r="AN71" i="27" s="1"/>
  <c r="AN72" i="27" a="1"/>
  <c r="AN72" i="27" s="1"/>
  <c r="AP60" i="33" s="1"/>
  <c r="AR60" i="33" s="1"/>
  <c r="AR71" i="27" a="1"/>
  <c r="AR71" i="27" s="1"/>
  <c r="AR72" i="27" a="1"/>
  <c r="AR72" i="27" s="1"/>
  <c r="BB60" i="33" s="1"/>
  <c r="BD60" i="33" s="1"/>
  <c r="AV71" i="27" a="1"/>
  <c r="AV71" i="27" s="1"/>
  <c r="AK54" i="33" s="1"/>
  <c r="AV72" i="27" a="1"/>
  <c r="AV72" i="27" s="1"/>
  <c r="AK60" i="33" s="1"/>
  <c r="AZ71" i="27" a="1"/>
  <c r="AZ71" i="27" s="1"/>
  <c r="AZ72" i="27" a="1"/>
  <c r="AZ72" i="27" s="1"/>
  <c r="AW60" i="33" s="1"/>
  <c r="AU48" i="23" a="1"/>
  <c r="AU48" i="23" s="1"/>
  <c r="AU84" i="27" s="1"/>
  <c r="BF84" i="27" s="1"/>
  <c r="BF66" i="23"/>
  <c r="BF48" i="23" s="1" a="1"/>
  <c r="BF48" i="23" s="1"/>
  <c r="AU74" i="27"/>
  <c r="AU75" i="27" s="1"/>
  <c r="AH57" i="33" s="1"/>
  <c r="AL113" i="27"/>
  <c r="AL115" i="27" s="1"/>
  <c r="AE37" i="33"/>
  <c r="AW37" i="33"/>
  <c r="AW36" i="33" s="1"/>
  <c r="AV37" i="33"/>
  <c r="AS37" i="33"/>
  <c r="AD37" i="33"/>
  <c r="BF37" i="33"/>
  <c r="AZ37" i="33"/>
  <c r="BC37" i="33"/>
  <c r="BC36" i="33" s="1"/>
  <c r="AM37" i="33"/>
  <c r="AY37" i="33"/>
  <c r="AN37" i="33"/>
  <c r="AN36" i="33" s="1"/>
  <c r="AJ38" i="33"/>
  <c r="AL38" i="33" s="1"/>
  <c r="BF83" i="33"/>
  <c r="BB83" i="33"/>
  <c r="AQ84" i="33"/>
  <c r="AQ82" i="33" s="1"/>
  <c r="AS84" i="33"/>
  <c r="AU84" i="33" s="1"/>
  <c r="AT83" i="33"/>
  <c r="AT82" i="33" s="1"/>
  <c r="BF84" i="33"/>
  <c r="BB84" i="33"/>
  <c r="BD84" i="33" s="1"/>
  <c r="BE83" i="33"/>
  <c r="AG84" i="33"/>
  <c r="AI84" i="33" s="1"/>
  <c r="AD83" i="33"/>
  <c r="AE38" i="33"/>
  <c r="AZ38" i="33"/>
  <c r="BF38" i="33"/>
  <c r="AH38" i="33"/>
  <c r="AH36" i="33" s="1"/>
  <c r="AG62" i="25"/>
  <c r="AG110" i="25"/>
  <c r="AD97" i="33"/>
  <c r="AS52" i="33"/>
  <c r="AU52" i="33" s="1"/>
  <c r="AN98" i="33"/>
  <c r="AZ52" i="33"/>
  <c r="BF98" i="33"/>
  <c r="BB52" i="33"/>
  <c r="BD52" i="33" s="1"/>
  <c r="AT98" i="33"/>
  <c r="AE98" i="33"/>
  <c r="AH98" i="33"/>
  <c r="AG52" i="33"/>
  <c r="AI52" i="33" s="1"/>
  <c r="AN52" i="33"/>
  <c r="AY52" i="33"/>
  <c r="BA52" i="33" s="1"/>
  <c r="AZ100" i="33"/>
  <c r="AG54" i="33"/>
  <c r="AI54" i="33" s="1"/>
  <c r="AQ100" i="33"/>
  <c r="BB54" i="33"/>
  <c r="BD54" i="33" s="1"/>
  <c r="BC54" i="33"/>
  <c r="AP54" i="33"/>
  <c r="AR54" i="33" s="1"/>
  <c r="AM54" i="33"/>
  <c r="AO54" i="33" s="1"/>
  <c r="AH54" i="33"/>
  <c r="AW100" i="33"/>
  <c r="AW54" i="33"/>
  <c r="AY104" i="33"/>
  <c r="BA104" i="33" s="1"/>
  <c r="BF104" i="33"/>
  <c r="AZ58" i="33"/>
  <c r="BC58" i="33"/>
  <c r="AK58" i="33"/>
  <c r="BB104" i="33"/>
  <c r="BD104" i="33" s="1"/>
  <c r="AY58" i="33"/>
  <c r="BA58" i="33" s="1"/>
  <c r="AZ104" i="33"/>
  <c r="AE104" i="33"/>
  <c r="AP58" i="33"/>
  <c r="AR58" i="33" s="1"/>
  <c r="AG58" i="33"/>
  <c r="AI58" i="33" s="1"/>
  <c r="BE60" i="33"/>
  <c r="BG60" i="33" s="1"/>
  <c r="AS106" i="33"/>
  <c r="AU106" i="33" s="1"/>
  <c r="BC60" i="33"/>
  <c r="BB106" i="33"/>
  <c r="BD106" i="33" s="1"/>
  <c r="AH60" i="33"/>
  <c r="AQ106" i="33"/>
  <c r="AJ106" i="33"/>
  <c r="AL106" i="33" s="1"/>
  <c r="AT60" i="33"/>
  <c r="AN106" i="33"/>
  <c r="AG106" i="33"/>
  <c r="AI106" i="33" s="1"/>
  <c r="AN28" i="24" a="1"/>
  <c r="AN28" i="24" s="1"/>
  <c r="AN30" i="27"/>
  <c r="AL31" i="28"/>
  <c r="AI28" i="28"/>
  <c r="AT28" i="24" a="1"/>
  <c r="AT28" i="24" s="1"/>
  <c r="BE35" i="24"/>
  <c r="BE28" i="24" s="1" a="1"/>
  <c r="BE28" i="24" s="1"/>
  <c r="AT30" i="27"/>
  <c r="BE30" i="27" s="1"/>
  <c r="AN38" i="24" a="1"/>
  <c r="AN38" i="24" s="1"/>
  <c r="AN85" i="27"/>
  <c r="AK28" i="24" a="1"/>
  <c r="AK28" i="24" s="1"/>
  <c r="AK30" i="27"/>
  <c r="AK58" i="27" s="1"/>
  <c r="AK60" i="27" s="1"/>
  <c r="AF28" i="24" a="1"/>
  <c r="AF28" i="24" s="1"/>
  <c r="AF30" i="27"/>
  <c r="AF58" i="27" s="1"/>
  <c r="AF60" i="27" s="1"/>
  <c r="AF62" i="27" s="1"/>
  <c r="BD45" i="24"/>
  <c r="BD38" i="24" s="1" a="1"/>
  <c r="BD38" i="24" s="1"/>
  <c r="AI38" i="24" a="1"/>
  <c r="AI38" i="24" s="1"/>
  <c r="AI85" i="27"/>
  <c r="BC38" i="24" a="1"/>
  <c r="BC38" i="24" s="1"/>
  <c r="BC85" i="27"/>
  <c r="AR28" i="24" a="1"/>
  <c r="AR28" i="24" s="1"/>
  <c r="AR30" i="27"/>
  <c r="AG30" i="25"/>
  <c r="AG29" i="25" s="1"/>
  <c r="AM72" i="25" s="1" a="1"/>
  <c r="AM72" i="25" s="1"/>
  <c r="AM74" i="25" s="1"/>
  <c r="AE38" i="24" a="1"/>
  <c r="AE38" i="24" s="1"/>
  <c r="AE85" i="27"/>
  <c r="AE113" i="27" s="1"/>
  <c r="AE115" i="27" s="1"/>
  <c r="BC28" i="24" a="1"/>
  <c r="BC28" i="24" s="1"/>
  <c r="BC30" i="27"/>
  <c r="BE84" i="27"/>
  <c r="BD84" i="27"/>
  <c r="AM113" i="27"/>
  <c r="AM115" i="27" s="1"/>
  <c r="BG44" i="23"/>
  <c r="AV46" i="23"/>
  <c r="BF82" i="33" l="1"/>
  <c r="AT76" i="27"/>
  <c r="AE57" i="33"/>
  <c r="AL69" i="27"/>
  <c r="AL62" i="27"/>
  <c r="AK62" i="27"/>
  <c r="AK69" i="27"/>
  <c r="AO37" i="33"/>
  <c r="AM36" i="33"/>
  <c r="AO36" i="33" s="1"/>
  <c r="AZ36" i="33"/>
  <c r="BF36" i="33"/>
  <c r="AU37" i="33"/>
  <c r="AS36" i="33"/>
  <c r="AU36" i="33" s="1"/>
  <c r="AL117" i="27"/>
  <c r="AL124" i="27"/>
  <c r="BG28" i="27"/>
  <c r="BH34" i="22"/>
  <c r="AX34" i="22"/>
  <c r="AW28" i="27"/>
  <c r="S187" i="12" a="1"/>
  <c r="S187" i="12" s="1"/>
  <c r="U186" i="12"/>
  <c r="AO34" i="22"/>
  <c r="AN28" i="27"/>
  <c r="AT41" i="20"/>
  <c r="AS42" i="20"/>
  <c r="AX64" i="23" s="1"/>
  <c r="AT33" i="20"/>
  <c r="AS34" i="20"/>
  <c r="AX44" i="23" s="1"/>
  <c r="AP43" i="22"/>
  <c r="AO83" i="27"/>
  <c r="AH30" i="27"/>
  <c r="AG58" i="27"/>
  <c r="AL95" i="28"/>
  <c r="AI137" i="28"/>
  <c r="T159" i="28"/>
  <c r="F160" i="28" a="1"/>
  <c r="F160" i="28" s="1"/>
  <c r="T92" i="28"/>
  <c r="F93" i="28" a="1"/>
  <c r="F93" i="28" s="1"/>
  <c r="M126" i="28" a="1"/>
  <c r="M126" i="28" s="1"/>
  <c r="AS125" i="28" a="1"/>
  <c r="AS125" i="28" s="1"/>
  <c r="AJ41" i="20"/>
  <c r="AI42" i="20"/>
  <c r="AN64" i="23" s="1"/>
  <c r="AN66" i="23" s="1"/>
  <c r="AN48" i="23" s="1" a="1"/>
  <c r="AN48" i="23" s="1"/>
  <c r="AN84" i="27" s="1"/>
  <c r="AJ33" i="20"/>
  <c r="AI34" i="20"/>
  <c r="AN44" i="23" s="1"/>
  <c r="AN46" i="23" s="1"/>
  <c r="AN28" i="23" s="1" a="1"/>
  <c r="AN28" i="23" s="1"/>
  <c r="AN29" i="27" s="1"/>
  <c r="AX83" i="33"/>
  <c r="AV82" i="33"/>
  <c r="AX82" i="33" s="1"/>
  <c r="BA83" i="33"/>
  <c r="AY82" i="33"/>
  <c r="BA82" i="33" s="1"/>
  <c r="AU113" i="27"/>
  <c r="AT58" i="27"/>
  <c r="AG77" i="25"/>
  <c r="AG76" i="25" s="1"/>
  <c r="AM119" i="25" s="1" a="1"/>
  <c r="AM119" i="25" s="1"/>
  <c r="AM121" i="25" s="1"/>
  <c r="AT130" i="27"/>
  <c r="AE97" i="33"/>
  <c r="AF97" i="33" s="1"/>
  <c r="AH85" i="27"/>
  <c r="AG113" i="27"/>
  <c r="AF104" i="33"/>
  <c r="AF98" i="33"/>
  <c r="AZ82" i="33"/>
  <c r="AJ82" i="33"/>
  <c r="AL82" i="33" s="1"/>
  <c r="BG66" i="23"/>
  <c r="BG48" i="23" s="1" a="1"/>
  <c r="BG48" i="23" s="1"/>
  <c r="AV48" i="23" a="1"/>
  <c r="AV48" i="23" s="1"/>
  <c r="AV84" i="27" s="1"/>
  <c r="BG84" i="27" s="1"/>
  <c r="AP36" i="33"/>
  <c r="AR36" i="33" s="1"/>
  <c r="AE124" i="27"/>
  <c r="AE117" i="27"/>
  <c r="AE134" i="27" s="1"/>
  <c r="AE135" i="27" s="1"/>
  <c r="BG46" i="23"/>
  <c r="BG28" i="23" s="1" a="1"/>
  <c r="BG28" i="23" s="1"/>
  <c r="AV28" i="23" a="1"/>
  <c r="AV28" i="23" s="1"/>
  <c r="AV29" i="27" s="1"/>
  <c r="BG29" i="27" s="1"/>
  <c r="AM124" i="27"/>
  <c r="AM117" i="27"/>
  <c r="BD85" i="27"/>
  <c r="AI113" i="27"/>
  <c r="AI70" i="28"/>
  <c r="AL28" i="28"/>
  <c r="AF83" i="33"/>
  <c r="AD82" i="33"/>
  <c r="AF82" i="33" s="1"/>
  <c r="BG83" i="33"/>
  <c r="BE82" i="33"/>
  <c r="BG82" i="33" s="1"/>
  <c r="BD83" i="33"/>
  <c r="BB82" i="33"/>
  <c r="BD82" i="33" s="1"/>
  <c r="BA37" i="33"/>
  <c r="AY36" i="33"/>
  <c r="BA36" i="33" s="1"/>
  <c r="AF37" i="33"/>
  <c r="AD36" i="33"/>
  <c r="AF36" i="33" s="1"/>
  <c r="AX37" i="33"/>
  <c r="AV36" i="33"/>
  <c r="AX36" i="33" s="1"/>
  <c r="AE36" i="33"/>
  <c r="AU76" i="27"/>
  <c r="AV74" i="27"/>
  <c r="M59" i="28" a="1"/>
  <c r="M59" i="28" s="1"/>
  <c r="AS58" i="28" a="1"/>
  <c r="AS58" i="28" s="1"/>
  <c r="N115" i="27" a="1"/>
  <c r="N115" i="27" s="1"/>
  <c r="BX114" i="27" a="1"/>
  <c r="BX114" i="27" s="1"/>
  <c r="S76" i="12" a="1"/>
  <c r="S76" i="12" s="1"/>
  <c r="U75" i="12"/>
  <c r="N60" i="27" a="1"/>
  <c r="N60" i="27" s="1"/>
  <c r="BX59" i="27" a="1"/>
  <c r="BX59" i="27" s="1"/>
  <c r="AJ117" i="27"/>
  <c r="AJ124" i="27"/>
  <c r="AJ120" i="27" s="1"/>
  <c r="AJ122" i="27"/>
  <c r="AK124" i="27"/>
  <c r="AK117" i="27"/>
  <c r="BE85" i="27"/>
  <c r="AT113" i="27"/>
  <c r="AG70" i="28"/>
  <c r="AH28" i="28"/>
  <c r="AM58" i="27"/>
  <c r="AM60" i="27" s="1"/>
  <c r="BH64" i="23"/>
  <c r="AW66" i="23"/>
  <c r="BH44" i="23"/>
  <c r="AW46" i="23"/>
  <c r="AN113" i="27"/>
  <c r="AN115" i="27" s="1"/>
  <c r="AE69" i="27"/>
  <c r="AE62" i="27"/>
  <c r="AE79" i="27" s="1"/>
  <c r="AE80" i="27" s="1"/>
  <c r="AH95" i="28"/>
  <c r="AG137" i="28"/>
  <c r="AH51" i="33"/>
  <c r="BC82" i="33"/>
  <c r="AI83" i="33"/>
  <c r="AG82" i="33"/>
  <c r="AI82" i="33" s="1"/>
  <c r="BD37" i="33"/>
  <c r="BB36" i="33"/>
  <c r="BD36" i="33" s="1"/>
  <c r="AX43" i="22"/>
  <c r="AW83" i="27"/>
  <c r="BF83" i="27"/>
  <c r="AJ76" i="27"/>
  <c r="AK74" i="27"/>
  <c r="AD57" i="33"/>
  <c r="AF57" i="33" s="1"/>
  <c r="AU58" i="27"/>
  <c r="AJ131" i="27"/>
  <c r="AK129" i="27"/>
  <c r="AD103" i="33"/>
  <c r="BD30" i="27"/>
  <c r="AI58" i="27"/>
  <c r="AJ69" i="27"/>
  <c r="AJ65" i="27" s="1"/>
  <c r="AJ67" i="27"/>
  <c r="AJ62" i="27"/>
  <c r="AD51" i="33"/>
  <c r="AF51" i="33" s="1"/>
  <c r="BE36" i="33"/>
  <c r="BG36" i="33" s="1"/>
  <c r="AS82" i="33"/>
  <c r="AU82" i="33" s="1"/>
  <c r="AJ36" i="33"/>
  <c r="AL36" i="33" s="1"/>
  <c r="AV113" i="27" l="1"/>
  <c r="BF113" i="27" s="1"/>
  <c r="AJ68" i="27"/>
  <c r="AK65" i="27"/>
  <c r="AD56" i="33"/>
  <c r="AF56" i="33" s="1"/>
  <c r="AD34" i="33"/>
  <c r="BD58" i="27"/>
  <c r="AI60" i="27"/>
  <c r="AY43" i="22"/>
  <c r="AX83" i="27"/>
  <c r="BH83" i="27" s="1"/>
  <c r="AM62" i="27"/>
  <c r="AM69" i="27"/>
  <c r="AJ123" i="27"/>
  <c r="AK120" i="27"/>
  <c r="AD80" i="33"/>
  <c r="AD102" i="33"/>
  <c r="N61" i="27" a="1"/>
  <c r="N61" i="27" s="1"/>
  <c r="BX60" i="27" a="1"/>
  <c r="BX60" i="27" s="1"/>
  <c r="M60" i="28" a="1"/>
  <c r="M60" i="28" s="1"/>
  <c r="AS59" i="28" a="1"/>
  <c r="AS59" i="28" s="1"/>
  <c r="AT131" i="27"/>
  <c r="AU129" i="27"/>
  <c r="AE103" i="33"/>
  <c r="AF103" i="33" s="1"/>
  <c r="AT60" i="27"/>
  <c r="BE58" i="27"/>
  <c r="AV115" i="27"/>
  <c r="AL137" i="28"/>
  <c r="AI139" i="28"/>
  <c r="AH58" i="27"/>
  <c r="AG60" i="27"/>
  <c r="BI44" i="23"/>
  <c r="AX46" i="23"/>
  <c r="BI64" i="23"/>
  <c r="AX66" i="23"/>
  <c r="AN58" i="27"/>
  <c r="AN60" i="27" s="1"/>
  <c r="BH28" i="27"/>
  <c r="AV58" i="27"/>
  <c r="AW28" i="23" a="1"/>
  <c r="AW28" i="23" s="1"/>
  <c r="AW29" i="27" s="1"/>
  <c r="BH29" i="27" s="1"/>
  <c r="BH46" i="23"/>
  <c r="BH28" i="23" s="1" a="1"/>
  <c r="BH28" i="23" s="1"/>
  <c r="AW48" i="23" a="1"/>
  <c r="AW48" i="23" s="1"/>
  <c r="AW84" i="27" s="1"/>
  <c r="BH84" i="27" s="1"/>
  <c r="BH66" i="23"/>
  <c r="BH48" i="23" s="1" a="1"/>
  <c r="BH48" i="23" s="1"/>
  <c r="AG72" i="28"/>
  <c r="AH70" i="28"/>
  <c r="S77" i="12" a="1"/>
  <c r="S77" i="12" s="1"/>
  <c r="U76" i="12"/>
  <c r="N116" i="27" a="1"/>
  <c r="N116" i="27" s="1"/>
  <c r="BX115" i="27" a="1"/>
  <c r="BX115" i="27" s="1"/>
  <c r="AI72" i="28"/>
  <c r="AL70" i="28"/>
  <c r="AD50" i="33"/>
  <c r="AF50" i="33" s="1"/>
  <c r="AD33" i="33"/>
  <c r="AK130" i="27"/>
  <c r="AG97" i="33"/>
  <c r="AI97" i="33" s="1"/>
  <c r="BF58" i="27"/>
  <c r="AU60" i="27"/>
  <c r="AK75" i="27"/>
  <c r="AG51" i="33"/>
  <c r="AI51" i="33" s="1"/>
  <c r="BH43" i="22"/>
  <c r="AH137" i="28"/>
  <c r="AG139" i="28"/>
  <c r="AN117" i="27"/>
  <c r="AN124" i="27"/>
  <c r="BE113" i="27"/>
  <c r="AT115" i="27"/>
  <c r="AD79" i="33"/>
  <c r="AD96" i="33"/>
  <c r="AV75" i="27"/>
  <c r="AK51" i="33"/>
  <c r="AI115" i="27"/>
  <c r="BD113" i="27"/>
  <c r="AG115" i="27"/>
  <c r="AH113" i="27"/>
  <c r="AU115" i="27"/>
  <c r="BG83" i="27"/>
  <c r="AK33" i="20"/>
  <c r="AJ34" i="20"/>
  <c r="AO44" i="23" s="1"/>
  <c r="AO46" i="23" s="1"/>
  <c r="AO28" i="23" s="1" a="1"/>
  <c r="AO28" i="23" s="1"/>
  <c r="AO29" i="27" s="1"/>
  <c r="AK41" i="20"/>
  <c r="AJ42" i="20"/>
  <c r="AO64" i="23" s="1"/>
  <c r="AO66" i="23" s="1"/>
  <c r="AO48" i="23" s="1" a="1"/>
  <c r="AO48" i="23" s="1"/>
  <c r="AO84" i="27" s="1"/>
  <c r="AO113" i="27" s="1"/>
  <c r="AO115" i="27" s="1"/>
  <c r="M127" i="28" a="1"/>
  <c r="M127" i="28" s="1"/>
  <c r="AS126" i="28" a="1"/>
  <c r="AS126" i="28" s="1"/>
  <c r="AQ43" i="22"/>
  <c r="AP83" i="27"/>
  <c r="AU33" i="20"/>
  <c r="AT34" i="20"/>
  <c r="AY44" i="23" s="1"/>
  <c r="AU41" i="20"/>
  <c r="AT42" i="20"/>
  <c r="AY64" i="23" s="1"/>
  <c r="AP34" i="22"/>
  <c r="AO28" i="27"/>
  <c r="AO58" i="27" s="1"/>
  <c r="AO60" i="27" s="1"/>
  <c r="S188" i="12" a="1"/>
  <c r="S188" i="12" s="1"/>
  <c r="U187" i="12"/>
  <c r="AY34" i="22"/>
  <c r="BI34" i="22"/>
  <c r="AX28" i="27"/>
  <c r="AW58" i="27" l="1"/>
  <c r="AO124" i="27"/>
  <c r="AO117" i="27"/>
  <c r="BI28" i="27"/>
  <c r="BJ34" i="22"/>
  <c r="AZ34" i="22"/>
  <c r="AY28" i="27"/>
  <c r="AO62" i="27"/>
  <c r="AO69" i="27"/>
  <c r="BJ64" i="23"/>
  <c r="AY66" i="23"/>
  <c r="BJ44" i="23"/>
  <c r="AY46" i="23"/>
  <c r="AU124" i="27"/>
  <c r="AU117" i="27"/>
  <c r="BF115" i="27"/>
  <c r="AG117" i="27"/>
  <c r="AH117" i="27" s="1"/>
  <c r="AH115" i="27"/>
  <c r="AI124" i="27"/>
  <c r="AI120" i="27" s="1"/>
  <c r="AI123" i="27" s="1"/>
  <c r="AI117" i="27"/>
  <c r="BD115" i="27"/>
  <c r="AV76" i="27"/>
  <c r="AW74" i="27"/>
  <c r="AK57" i="33"/>
  <c r="AD85" i="33"/>
  <c r="AD81" i="33"/>
  <c r="AH139" i="28"/>
  <c r="AG141" i="28"/>
  <c r="AH141" i="28" s="1"/>
  <c r="AK76" i="27"/>
  <c r="AL74" i="27"/>
  <c r="AG57" i="33"/>
  <c r="AI57" i="33" s="1"/>
  <c r="AK131" i="27"/>
  <c r="AL129" i="27"/>
  <c r="AG103" i="33"/>
  <c r="AI103" i="33" s="1"/>
  <c r="AI81" i="28"/>
  <c r="AL81" i="28" s="1"/>
  <c r="AI79" i="28"/>
  <c r="AL72" i="28"/>
  <c r="AI74" i="28"/>
  <c r="N117" i="27" a="1"/>
  <c r="N117" i="27" s="1"/>
  <c r="BX116" i="27" a="1"/>
  <c r="BX116" i="27" s="1"/>
  <c r="S78" i="12" a="1"/>
  <c r="S78" i="12" s="1"/>
  <c r="U77" i="12"/>
  <c r="AG74" i="28"/>
  <c r="AH74" i="28" s="1"/>
  <c r="AH72" i="28"/>
  <c r="AV60" i="27"/>
  <c r="BG58" i="27"/>
  <c r="BI66" i="23"/>
  <c r="BI48" i="23" s="1" a="1"/>
  <c r="BI48" i="23" s="1"/>
  <c r="AX48" i="23" a="1"/>
  <c r="AX48" i="23" s="1"/>
  <c r="AX84" i="27" s="1"/>
  <c r="BI84" i="27" s="1"/>
  <c r="BI46" i="23"/>
  <c r="BI28" i="23" s="1" a="1"/>
  <c r="BI28" i="23" s="1"/>
  <c r="AX28" i="23" a="1"/>
  <c r="AX28" i="23" s="1"/>
  <c r="AX29" i="27" s="1"/>
  <c r="BI29" i="27" s="1"/>
  <c r="AT69" i="27"/>
  <c r="AT65" i="27" s="1"/>
  <c r="AT62" i="27"/>
  <c r="BE60" i="27"/>
  <c r="AU130" i="27"/>
  <c r="AH97" i="33"/>
  <c r="AG79" i="33"/>
  <c r="AG96" i="33"/>
  <c r="AI96" i="33" s="1"/>
  <c r="AK122" i="27"/>
  <c r="AZ43" i="22"/>
  <c r="BJ43" i="22"/>
  <c r="AY83" i="27"/>
  <c r="AI62" i="27"/>
  <c r="AI69" i="27"/>
  <c r="AI65" i="27" s="1"/>
  <c r="AI68" i="27" s="1"/>
  <c r="BD60" i="27"/>
  <c r="AD40" i="33"/>
  <c r="AF40" i="33" s="1"/>
  <c r="AF34" i="33"/>
  <c r="AG33" i="33"/>
  <c r="AG50" i="33"/>
  <c r="AI50" i="33" s="1"/>
  <c r="AK67" i="27"/>
  <c r="S189" i="12" a="1"/>
  <c r="S189" i="12" s="1"/>
  <c r="U188" i="12"/>
  <c r="AQ34" i="22"/>
  <c r="AP28" i="27"/>
  <c r="AV41" i="20"/>
  <c r="AU42" i="20"/>
  <c r="AZ64" i="23" s="1"/>
  <c r="AV33" i="20"/>
  <c r="AU34" i="20"/>
  <c r="AZ44" i="23" s="1"/>
  <c r="AR43" i="22"/>
  <c r="AQ83" i="27"/>
  <c r="M128" i="28" a="1"/>
  <c r="M128" i="28" s="1"/>
  <c r="AS127" i="28" a="1"/>
  <c r="AS127" i="28" s="1"/>
  <c r="AL41" i="20"/>
  <c r="AK42" i="20"/>
  <c r="AP64" i="23" s="1"/>
  <c r="AP66" i="23" s="1"/>
  <c r="AP48" i="23" s="1" a="1"/>
  <c r="AP48" i="23" s="1"/>
  <c r="AP84" i="27" s="1"/>
  <c r="AP113" i="27" s="1"/>
  <c r="AP115" i="27" s="1"/>
  <c r="AL33" i="20"/>
  <c r="AK34" i="20"/>
  <c r="AP44" i="23" s="1"/>
  <c r="AP46" i="23" s="1"/>
  <c r="AP28" i="23" s="1" a="1"/>
  <c r="AP28" i="23" s="1"/>
  <c r="AP29" i="27" s="1"/>
  <c r="AT117" i="27"/>
  <c r="BE115" i="27"/>
  <c r="AT124" i="27"/>
  <c r="AT120" i="27" s="1"/>
  <c r="AU62" i="27"/>
  <c r="AU69" i="27"/>
  <c r="BF60" i="27"/>
  <c r="AD39" i="33"/>
  <c r="AF33" i="33"/>
  <c r="AD35" i="33"/>
  <c r="BH58" i="27"/>
  <c r="AW60" i="27"/>
  <c r="AN69" i="27"/>
  <c r="AN62" i="27"/>
  <c r="AG62" i="27"/>
  <c r="AH62" i="27" s="1"/>
  <c r="AH60" i="27"/>
  <c r="AI148" i="28"/>
  <c r="AL148" i="28" s="1"/>
  <c r="AI146" i="28"/>
  <c r="AL139" i="28"/>
  <c r="AI141" i="28"/>
  <c r="AV117" i="27"/>
  <c r="AV124" i="27"/>
  <c r="M61" i="28" a="1"/>
  <c r="M61" i="28" s="1"/>
  <c r="AS60" i="28" a="1"/>
  <c r="AS60" i="28" s="1"/>
  <c r="N62" i="27" a="1"/>
  <c r="N62" i="27" s="1"/>
  <c r="BX61" i="27" a="1"/>
  <c r="BX61" i="27" s="1"/>
  <c r="AD86" i="33"/>
  <c r="BI83" i="27"/>
  <c r="AX113" i="27"/>
  <c r="BI43" i="22"/>
  <c r="AW113" i="27"/>
  <c r="AP117" i="27" l="1"/>
  <c r="AP124" i="27"/>
  <c r="M62" i="28" a="1"/>
  <c r="M62" i="28" s="1"/>
  <c r="AS61" i="28" a="1"/>
  <c r="AS61" i="28" s="1"/>
  <c r="AW62" i="27"/>
  <c r="AW69" i="27"/>
  <c r="BH60" i="27"/>
  <c r="AE79" i="33"/>
  <c r="AE96" i="33"/>
  <c r="AF96" i="33" s="1"/>
  <c r="BE117" i="27"/>
  <c r="BK44" i="23"/>
  <c r="AZ46" i="23"/>
  <c r="BK64" i="23"/>
  <c r="AZ66" i="23"/>
  <c r="AP58" i="27"/>
  <c r="AP60" i="27" s="1"/>
  <c r="AK68" i="27"/>
  <c r="AL65" i="27"/>
  <c r="AG56" i="33"/>
  <c r="AI56" i="33" s="1"/>
  <c r="AG34" i="33"/>
  <c r="AG39" i="33"/>
  <c r="AI33" i="33"/>
  <c r="AG35" i="33"/>
  <c r="BA43" i="22"/>
  <c r="BK43" i="22" s="1"/>
  <c r="AZ83" i="27"/>
  <c r="AU131" i="27"/>
  <c r="AV129" i="27"/>
  <c r="AH103" i="33"/>
  <c r="BE62" i="27"/>
  <c r="AE33" i="33"/>
  <c r="AE50" i="33"/>
  <c r="AV69" i="27"/>
  <c r="AV62" i="27"/>
  <c r="BG60" i="27"/>
  <c r="S79" i="12" a="1"/>
  <c r="S79" i="12" s="1"/>
  <c r="U78" i="12"/>
  <c r="N118" i="27" a="1"/>
  <c r="N118" i="27" s="1"/>
  <c r="BX117" i="27" a="1"/>
  <c r="BX117" i="27" s="1"/>
  <c r="AL130" i="27"/>
  <c r="AJ97" i="33"/>
  <c r="AL97" i="33" s="1"/>
  <c r="AI133" i="27"/>
  <c r="BD117" i="27"/>
  <c r="AI134" i="27"/>
  <c r="BJ28" i="27"/>
  <c r="AX58" i="27"/>
  <c r="N63" i="27" a="1"/>
  <c r="N63" i="27" s="1"/>
  <c r="BX62" i="27" a="1"/>
  <c r="BX62" i="27" s="1"/>
  <c r="AD41" i="33"/>
  <c r="AF39" i="33"/>
  <c r="BF62" i="27"/>
  <c r="AW115" i="27"/>
  <c r="BH113" i="27"/>
  <c r="BG113" i="27"/>
  <c r="AX115" i="27"/>
  <c r="AI158" i="28"/>
  <c r="AL141" i="28"/>
  <c r="AI147" i="28"/>
  <c r="AL147" i="28" s="1"/>
  <c r="AL146" i="28"/>
  <c r="AT122" i="27"/>
  <c r="AM33" i="20"/>
  <c r="AL34" i="20"/>
  <c r="AQ44" i="23" s="1"/>
  <c r="AQ46" i="23" s="1"/>
  <c r="AQ28" i="23" s="1" a="1"/>
  <c r="AQ28" i="23" s="1"/>
  <c r="AQ29" i="27" s="1"/>
  <c r="AM41" i="20"/>
  <c r="AL42" i="20"/>
  <c r="AQ64" i="23" s="1"/>
  <c r="AQ66" i="23" s="1"/>
  <c r="AQ48" i="23" s="1" a="1"/>
  <c r="AQ48" i="23" s="1"/>
  <c r="AQ84" i="27" s="1"/>
  <c r="AQ113" i="27" s="1"/>
  <c r="AQ115" i="27" s="1"/>
  <c r="M129" i="28" a="1"/>
  <c r="M129" i="28" s="1"/>
  <c r="AS128" i="28" a="1"/>
  <c r="AS128" i="28" s="1"/>
  <c r="AS43" i="22"/>
  <c r="AS83" i="27" s="1"/>
  <c r="AR83" i="27"/>
  <c r="AW33" i="20"/>
  <c r="AV34" i="20"/>
  <c r="BA44" i="23" s="1"/>
  <c r="AW41" i="20"/>
  <c r="AV42" i="20"/>
  <c r="BA64" i="23" s="1"/>
  <c r="AR34" i="22"/>
  <c r="AQ28" i="27"/>
  <c r="AQ58" i="27" s="1"/>
  <c r="AQ60" i="27" s="1"/>
  <c r="S190" i="12" a="1"/>
  <c r="S190" i="12" s="1"/>
  <c r="U189" i="12"/>
  <c r="AI78" i="27"/>
  <c r="AI79" i="27" s="1"/>
  <c r="BD62" i="27"/>
  <c r="AK123" i="27"/>
  <c r="AL120" i="27"/>
  <c r="AG102" i="33"/>
  <c r="AI102" i="33" s="1"/>
  <c r="AG80" i="33"/>
  <c r="AG85" i="33"/>
  <c r="AI79" i="33"/>
  <c r="AG81" i="33"/>
  <c r="AT67" i="27"/>
  <c r="AI91" i="28"/>
  <c r="AL74" i="28"/>
  <c r="AI80" i="28"/>
  <c r="AL80" i="28" s="1"/>
  <c r="AL79" i="28"/>
  <c r="AL75" i="27"/>
  <c r="AJ51" i="33"/>
  <c r="AL51" i="33" s="1"/>
  <c r="AD87" i="33"/>
  <c r="AW75" i="27"/>
  <c r="AN51" i="33"/>
  <c r="BF117" i="27"/>
  <c r="AY28" i="23" a="1"/>
  <c r="AY28" i="23" s="1"/>
  <c r="AY29" i="27" s="1"/>
  <c r="BJ29" i="27" s="1"/>
  <c r="BJ46" i="23"/>
  <c r="BJ28" i="23" s="1" a="1"/>
  <c r="BJ28" i="23" s="1"/>
  <c r="AY48" i="23" a="1"/>
  <c r="AY48" i="23" s="1"/>
  <c r="AY84" i="27" s="1"/>
  <c r="BJ84" i="27" s="1"/>
  <c r="BJ66" i="23"/>
  <c r="BJ48" i="23" s="1" a="1"/>
  <c r="BJ48" i="23" s="1"/>
  <c r="BA34" i="22"/>
  <c r="BK34" i="22"/>
  <c r="AZ28" i="27"/>
  <c r="AI80" i="27" l="1"/>
  <c r="AJ78" i="27"/>
  <c r="AT78" i="27"/>
  <c r="AQ124" i="27"/>
  <c r="AQ117" i="27"/>
  <c r="BK28" i="27"/>
  <c r="AT68" i="27"/>
  <c r="AU65" i="27"/>
  <c r="AE56" i="33"/>
  <c r="AE34" i="33"/>
  <c r="AE40" i="33" s="1"/>
  <c r="AG86" i="33"/>
  <c r="AI86" i="33" s="1"/>
  <c r="AI80" i="33"/>
  <c r="AJ96" i="33"/>
  <c r="AL96" i="33" s="1"/>
  <c r="AJ79" i="33"/>
  <c r="AL122" i="27"/>
  <c r="S191" i="12" a="1"/>
  <c r="S191" i="12" s="1"/>
  <c r="U190" i="12"/>
  <c r="AS34" i="22"/>
  <c r="AS28" i="27" s="1"/>
  <c r="AR28" i="27"/>
  <c r="AX41" i="20"/>
  <c r="AX42" i="20" s="1"/>
  <c r="BC64" i="23" s="1"/>
  <c r="BC66" i="23" s="1"/>
  <c r="BC48" i="23" s="1" a="1"/>
  <c r="BC48" i="23" s="1"/>
  <c r="BC84" i="27" s="1"/>
  <c r="AW42" i="20"/>
  <c r="BB64" i="23" s="1"/>
  <c r="AX33" i="20"/>
  <c r="AX34" i="20" s="1"/>
  <c r="BC44" i="23" s="1"/>
  <c r="BC46" i="23" s="1"/>
  <c r="BC28" i="23" s="1" a="1"/>
  <c r="BC28" i="23" s="1"/>
  <c r="BC29" i="27" s="1"/>
  <c r="AW34" i="20"/>
  <c r="BB44" i="23" s="1"/>
  <c r="M130" i="28" a="1"/>
  <c r="M130" i="28" s="1"/>
  <c r="AS129" i="28" a="1"/>
  <c r="AS129" i="28" s="1"/>
  <c r="AN41" i="20"/>
  <c r="AN42" i="20" s="1"/>
  <c r="AS64" i="23" s="1"/>
  <c r="AS66" i="23" s="1"/>
  <c r="AS48" i="23" s="1" a="1"/>
  <c r="AS48" i="23" s="1"/>
  <c r="AS84" i="27" s="1"/>
  <c r="AS113" i="27" s="1"/>
  <c r="AS115" i="27" s="1"/>
  <c r="AM42" i="20"/>
  <c r="AR64" i="23" s="1"/>
  <c r="AR66" i="23" s="1"/>
  <c r="AR48" i="23" s="1" a="1"/>
  <c r="AR48" i="23" s="1"/>
  <c r="AR84" i="27" s="1"/>
  <c r="AN33" i="20"/>
  <c r="AN34" i="20" s="1"/>
  <c r="AS44" i="23" s="1"/>
  <c r="AS46" i="23" s="1"/>
  <c r="AS28" i="23" s="1" a="1"/>
  <c r="AS28" i="23" s="1"/>
  <c r="AS29" i="27" s="1"/>
  <c r="AM34" i="20"/>
  <c r="AR44" i="23" s="1"/>
  <c r="AR46" i="23" s="1"/>
  <c r="AR28" i="23" s="1" a="1"/>
  <c r="AR28" i="23" s="1"/>
  <c r="AR29" i="27" s="1"/>
  <c r="AX117" i="27"/>
  <c r="AX124" i="27"/>
  <c r="AW124" i="27"/>
  <c r="AW117" i="27"/>
  <c r="BH115" i="27"/>
  <c r="BG115" i="27"/>
  <c r="AX60" i="27"/>
  <c r="BI58" i="27"/>
  <c r="AV130" i="27"/>
  <c r="AK97" i="33"/>
  <c r="AY113" i="27"/>
  <c r="AG40" i="33"/>
  <c r="AI40" i="33" s="1"/>
  <c r="AI34" i="33"/>
  <c r="AJ50" i="33"/>
  <c r="AL50" i="33" s="1"/>
  <c r="AJ33" i="33"/>
  <c r="AL67" i="27"/>
  <c r="AP69" i="27"/>
  <c r="AP62" i="27"/>
  <c r="AE85" i="33"/>
  <c r="AF79" i="33"/>
  <c r="BH62" i="27"/>
  <c r="BL34" i="22"/>
  <c r="BB34" i="22"/>
  <c r="BA28" i="27"/>
  <c r="AW76" i="27"/>
  <c r="AX74" i="27"/>
  <c r="AN57" i="33"/>
  <c r="AL76" i="27"/>
  <c r="AM74" i="27"/>
  <c r="AJ57" i="33"/>
  <c r="AL57" i="33" s="1"/>
  <c r="AI92" i="28"/>
  <c r="AL91" i="28"/>
  <c r="AI85" i="33"/>
  <c r="AG87" i="33"/>
  <c r="AQ62" i="27"/>
  <c r="AQ69" i="27"/>
  <c r="BL64" i="23"/>
  <c r="BA66" i="23"/>
  <c r="BL44" i="23"/>
  <c r="BA46" i="23"/>
  <c r="AR113" i="27"/>
  <c r="AR115" i="27" s="1"/>
  <c r="AT123" i="27"/>
  <c r="AU120" i="27"/>
  <c r="AE80" i="33"/>
  <c r="AE102" i="33"/>
  <c r="AF102" i="33" s="1"/>
  <c r="AI159" i="28"/>
  <c r="AL158" i="28"/>
  <c r="N64" i="27" a="1"/>
  <c r="N64" i="27" s="1"/>
  <c r="BX63" i="27" a="1"/>
  <c r="BX63" i="27" s="1"/>
  <c r="AY58" i="27"/>
  <c r="AI135" i="27"/>
  <c r="AJ133" i="27"/>
  <c r="AL131" i="27"/>
  <c r="AM129" i="27"/>
  <c r="AJ103" i="33"/>
  <c r="AL103" i="33" s="1"/>
  <c r="N119" i="27" a="1"/>
  <c r="N119" i="27" s="1"/>
  <c r="BX118" i="27" a="1"/>
  <c r="BX118" i="27" s="1"/>
  <c r="S80" i="12" a="1"/>
  <c r="S80" i="12" s="1"/>
  <c r="U79" i="12"/>
  <c r="BG62" i="27"/>
  <c r="AE39" i="33"/>
  <c r="AE41" i="33" s="1"/>
  <c r="AE35" i="33"/>
  <c r="BB43" i="22"/>
  <c r="BA83" i="27"/>
  <c r="BJ83" i="27"/>
  <c r="AI39" i="33"/>
  <c r="AG41" i="33"/>
  <c r="BK66" i="23"/>
  <c r="BK48" i="23" s="1" a="1"/>
  <c r="BK48" i="23" s="1"/>
  <c r="AZ48" i="23" a="1"/>
  <c r="AZ48" i="23" s="1"/>
  <c r="AZ84" i="27" s="1"/>
  <c r="BK84" i="27" s="1"/>
  <c r="BK46" i="23"/>
  <c r="BK28" i="23" s="1" a="1"/>
  <c r="BK28" i="23" s="1"/>
  <c r="AZ28" i="23" a="1"/>
  <c r="AZ28" i="23" s="1"/>
  <c r="AZ29" i="27" s="1"/>
  <c r="BK29" i="27" s="1"/>
  <c r="AT133" i="27"/>
  <c r="M63" i="28" a="1"/>
  <c r="M63" i="28" s="1"/>
  <c r="AS62" i="28" a="1"/>
  <c r="AS62" i="28" s="1"/>
  <c r="AS124" i="27" l="1"/>
  <c r="AS117" i="27"/>
  <c r="BC43" i="22"/>
  <c r="BC83" i="27" s="1"/>
  <c r="BC113" i="27" s="1"/>
  <c r="BC115" i="27" s="1"/>
  <c r="BB83" i="27"/>
  <c r="M64" i="28" a="1"/>
  <c r="M64" i="28" s="1"/>
  <c r="AS63" i="28" a="1"/>
  <c r="AS63" i="28" s="1"/>
  <c r="BL43" i="22"/>
  <c r="S81" i="12" a="1"/>
  <c r="S81" i="12" s="1"/>
  <c r="U80" i="12"/>
  <c r="N120" i="27" a="1"/>
  <c r="N120" i="27" s="1"/>
  <c r="BX119" i="27" a="1"/>
  <c r="BX119" i="27" s="1"/>
  <c r="AM130" i="27"/>
  <c r="AM97" i="33"/>
  <c r="AO97" i="33" s="1"/>
  <c r="AD99" i="33"/>
  <c r="AF99" i="33" s="1"/>
  <c r="AJ134" i="27"/>
  <c r="BJ58" i="27"/>
  <c r="AY60" i="27"/>
  <c r="N65" i="27" a="1"/>
  <c r="N65" i="27" s="1"/>
  <c r="BX64" i="27" a="1"/>
  <c r="BX64" i="27" s="1"/>
  <c r="AF86" i="33"/>
  <c r="AF80" i="33"/>
  <c r="BA28" i="23" a="1"/>
  <c r="BA28" i="23" s="1"/>
  <c r="BA29" i="27" s="1"/>
  <c r="BL29" i="27" s="1"/>
  <c r="BL46" i="23"/>
  <c r="BL28" i="23" s="1" a="1"/>
  <c r="BL28" i="23" s="1"/>
  <c r="BA48" i="23" a="1"/>
  <c r="BA48" i="23" s="1"/>
  <c r="BA84" i="27" s="1"/>
  <c r="BL84" i="27" s="1"/>
  <c r="BL66" i="23"/>
  <c r="BL48" i="23" s="1" a="1"/>
  <c r="BL48" i="23" s="1"/>
  <c r="AM75" i="27"/>
  <c r="AM51" i="33"/>
  <c r="AO51" i="33" s="1"/>
  <c r="BC34" i="22"/>
  <c r="BC28" i="27" s="1"/>
  <c r="BC58" i="27" s="1"/>
  <c r="BC60" i="27" s="1"/>
  <c r="BM34" i="22"/>
  <c r="BB28" i="27"/>
  <c r="AE81" i="33"/>
  <c r="AJ39" i="33"/>
  <c r="AJ35" i="33"/>
  <c r="AL33" i="33"/>
  <c r="AY115" i="27"/>
  <c r="BI113" i="27"/>
  <c r="BK83" i="27"/>
  <c r="AV131" i="27"/>
  <c r="AW129" i="27"/>
  <c r="AK103" i="33"/>
  <c r="AX69" i="27"/>
  <c r="AX62" i="27"/>
  <c r="BI60" i="27"/>
  <c r="AS58" i="27"/>
  <c r="AS60" i="27" s="1"/>
  <c r="S192" i="12" a="1"/>
  <c r="S192" i="12" s="1"/>
  <c r="U191" i="12"/>
  <c r="AJ85" i="33"/>
  <c r="AJ81" i="33"/>
  <c r="AL79" i="33"/>
  <c r="AH50" i="33"/>
  <c r="AH33" i="33"/>
  <c r="AU67" i="27"/>
  <c r="AD53" i="33"/>
  <c r="AF53" i="33" s="1"/>
  <c r="AJ79" i="27"/>
  <c r="AE99" i="33"/>
  <c r="AT134" i="27"/>
  <c r="AH79" i="33"/>
  <c r="AH96" i="33"/>
  <c r="AU122" i="27"/>
  <c r="AR117" i="27"/>
  <c r="AR124" i="27"/>
  <c r="AX75" i="27"/>
  <c r="AQ51" i="33"/>
  <c r="BL28" i="27"/>
  <c r="BA58" i="27"/>
  <c r="AE87" i="33"/>
  <c r="AF85" i="33"/>
  <c r="AL68" i="27"/>
  <c r="AM65" i="27"/>
  <c r="AJ56" i="33"/>
  <c r="AL56" i="33" s="1"/>
  <c r="AJ34" i="33"/>
  <c r="AZ113" i="27"/>
  <c r="BJ113" i="27" s="1"/>
  <c r="BH117" i="27"/>
  <c r="BG117" i="27"/>
  <c r="M131" i="28" a="1"/>
  <c r="M131" i="28" s="1"/>
  <c r="AS130" i="28" a="1"/>
  <c r="AS130" i="28" s="1"/>
  <c r="BM44" i="23"/>
  <c r="BB46" i="23"/>
  <c r="BM64" i="23"/>
  <c r="BB66" i="23"/>
  <c r="AR58" i="27"/>
  <c r="AR60" i="27" s="1"/>
  <c r="AL123" i="27"/>
  <c r="AM120" i="27"/>
  <c r="AJ102" i="33"/>
  <c r="AL102" i="33" s="1"/>
  <c r="AJ80" i="33"/>
  <c r="AZ58" i="27"/>
  <c r="AE53" i="33"/>
  <c r="AT79" i="27"/>
  <c r="AJ86" i="33" l="1"/>
  <c r="AL86" i="33" s="1"/>
  <c r="AL80" i="33"/>
  <c r="AT80" i="27"/>
  <c r="AE59" i="33"/>
  <c r="AU78" i="27"/>
  <c r="AZ60" i="27"/>
  <c r="BK58" i="27"/>
  <c r="BM66" i="23"/>
  <c r="BM48" i="23" s="1" a="1"/>
  <c r="BM48" i="23" s="1"/>
  <c r="BB48" i="23" a="1"/>
  <c r="BB48" i="23" s="1"/>
  <c r="BB84" i="27" s="1"/>
  <c r="BM84" i="27" s="1"/>
  <c r="BM46" i="23"/>
  <c r="BM28" i="23" s="1" a="1"/>
  <c r="BM28" i="23" s="1"/>
  <c r="BB28" i="23" a="1"/>
  <c r="BB28" i="23" s="1"/>
  <c r="BB29" i="27" s="1"/>
  <c r="BM29" i="27" s="1"/>
  <c r="AJ40" i="33"/>
  <c r="AL40" i="33" s="1"/>
  <c r="AL34" i="33"/>
  <c r="AM50" i="33"/>
  <c r="AO50" i="33" s="1"/>
  <c r="AM33" i="33"/>
  <c r="AM67" i="27"/>
  <c r="BL58" i="27"/>
  <c r="BA60" i="27"/>
  <c r="AT135" i="27"/>
  <c r="AE105" i="33"/>
  <c r="AU133" i="27"/>
  <c r="AJ80" i="27"/>
  <c r="AD59" i="33"/>
  <c r="AF59" i="33" s="1"/>
  <c r="AK78" i="27"/>
  <c r="AU68" i="27"/>
  <c r="AV65" i="27"/>
  <c r="AH56" i="33"/>
  <c r="AH34" i="33"/>
  <c r="AH40" i="33" s="1"/>
  <c r="AS62" i="27"/>
  <c r="AS69" i="27"/>
  <c r="BI62" i="27"/>
  <c r="AW130" i="27"/>
  <c r="AN97" i="33"/>
  <c r="AJ41" i="33"/>
  <c r="AL39" i="33"/>
  <c r="BM28" i="27"/>
  <c r="BC62" i="27"/>
  <c r="BC69" i="27"/>
  <c r="AM76" i="27"/>
  <c r="AN74" i="27"/>
  <c r="AM57" i="33"/>
  <c r="AO57" i="33" s="1"/>
  <c r="N66" i="27" a="1"/>
  <c r="N66" i="27" s="1"/>
  <c r="BX65" i="27" a="1"/>
  <c r="BX65" i="27" s="1"/>
  <c r="AM131" i="27"/>
  <c r="AN129" i="27"/>
  <c r="AM103" i="33"/>
  <c r="AO103" i="33" s="1"/>
  <c r="N121" i="27" a="1"/>
  <c r="N121" i="27" s="1"/>
  <c r="BX120" i="27" a="1"/>
  <c r="BX120" i="27" s="1"/>
  <c r="S82" i="12" a="1"/>
  <c r="S82" i="12" s="1"/>
  <c r="U81" i="12"/>
  <c r="BM83" i="27"/>
  <c r="BB113" i="27"/>
  <c r="BM43" i="22"/>
  <c r="BA113" i="27"/>
  <c r="AM79" i="33"/>
  <c r="AM96" i="33"/>
  <c r="AO96" i="33" s="1"/>
  <c r="AM122" i="27"/>
  <c r="AR69" i="27"/>
  <c r="AR62" i="27"/>
  <c r="M132" i="28" a="1"/>
  <c r="M132" i="28" s="1"/>
  <c r="AS131" i="28" a="1"/>
  <c r="AS131" i="28" s="1"/>
  <c r="AZ115" i="27"/>
  <c r="BJ115" i="27" s="1"/>
  <c r="AX76" i="27"/>
  <c r="AQ57" i="33"/>
  <c r="AY74" i="27"/>
  <c r="AU123" i="27"/>
  <c r="AV120" i="27"/>
  <c r="AH80" i="33"/>
  <c r="AH86" i="33" s="1"/>
  <c r="AH102" i="33"/>
  <c r="AH81" i="33"/>
  <c r="AH85" i="33"/>
  <c r="AH87" i="33" s="1"/>
  <c r="AH35" i="33"/>
  <c r="AH39" i="33"/>
  <c r="AH41" i="33" s="1"/>
  <c r="AJ87" i="33"/>
  <c r="AL85" i="33"/>
  <c r="U192" i="12"/>
  <c r="S193" i="12" a="1"/>
  <c r="S193" i="12" s="1"/>
  <c r="AY124" i="27"/>
  <c r="AY117" i="27"/>
  <c r="BI115" i="27"/>
  <c r="AY62" i="27"/>
  <c r="AY69" i="27"/>
  <c r="BJ60" i="27"/>
  <c r="AJ135" i="27"/>
  <c r="AD105" i="33"/>
  <c r="AF105" i="33" s="1"/>
  <c r="AK133" i="27"/>
  <c r="M65" i="28" a="1"/>
  <c r="M65" i="28" s="1"/>
  <c r="AS64" i="28" a="1"/>
  <c r="AS64" i="28" s="1"/>
  <c r="BC124" i="27"/>
  <c r="BC117" i="27"/>
  <c r="BL83" i="27"/>
  <c r="BB58" i="27" l="1"/>
  <c r="M66" i="28" a="1"/>
  <c r="M66" i="28" s="1"/>
  <c r="AS65" i="28" a="1"/>
  <c r="AS65" i="28" s="1"/>
  <c r="BA115" i="27"/>
  <c r="BL113" i="27"/>
  <c r="BM113" i="27"/>
  <c r="BB115" i="27"/>
  <c r="AG99" i="33"/>
  <c r="AI99" i="33" s="1"/>
  <c r="AK134" i="27"/>
  <c r="BJ62" i="27"/>
  <c r="S194" i="12" a="1"/>
  <c r="S194" i="12" s="1"/>
  <c r="U193" i="12"/>
  <c r="AK79" i="33"/>
  <c r="AK96" i="33"/>
  <c r="AV122" i="27"/>
  <c r="AY75" i="27"/>
  <c r="AT51" i="33"/>
  <c r="BK113" i="27"/>
  <c r="M133" i="28" a="1"/>
  <c r="M133" i="28" s="1"/>
  <c r="AS132" i="28" a="1"/>
  <c r="AS132" i="28" s="1"/>
  <c r="AM123" i="27"/>
  <c r="AN120" i="27"/>
  <c r="AM80" i="33"/>
  <c r="AM102" i="33"/>
  <c r="AO102" i="33" s="1"/>
  <c r="AM85" i="33"/>
  <c r="AO79" i="33"/>
  <c r="AM81" i="33"/>
  <c r="S83" i="12" a="1"/>
  <c r="S83" i="12" s="1"/>
  <c r="U82" i="12"/>
  <c r="N122" i="27" a="1"/>
  <c r="N122" i="27" s="1"/>
  <c r="BX121" i="27" a="1"/>
  <c r="BX121" i="27" s="1"/>
  <c r="AN130" i="27"/>
  <c r="AP97" i="33"/>
  <c r="AR97" i="33" s="1"/>
  <c r="AK50" i="33"/>
  <c r="AK33" i="33"/>
  <c r="AV67" i="27"/>
  <c r="AG53" i="33"/>
  <c r="AI53" i="33" s="1"/>
  <c r="AK79" i="27"/>
  <c r="BA62" i="27"/>
  <c r="BA69" i="27"/>
  <c r="BL60" i="27"/>
  <c r="AM68" i="27"/>
  <c r="AN65" i="27"/>
  <c r="AM56" i="33"/>
  <c r="AO56" i="33" s="1"/>
  <c r="AM34" i="33"/>
  <c r="AZ69" i="27"/>
  <c r="AZ62" i="27"/>
  <c r="BK60" i="27"/>
  <c r="BI117" i="27"/>
  <c r="AZ117" i="27"/>
  <c r="BJ117" i="27" s="1"/>
  <c r="BK115" i="27"/>
  <c r="AZ124" i="27"/>
  <c r="N67" i="27" a="1"/>
  <c r="N67" i="27" s="1"/>
  <c r="BX66" i="27" a="1"/>
  <c r="BX66" i="27" s="1"/>
  <c r="AN75" i="27"/>
  <c r="AP51" i="33"/>
  <c r="AR51" i="33" s="1"/>
  <c r="BB60" i="27"/>
  <c r="BM58" i="27"/>
  <c r="AW131" i="27"/>
  <c r="AX129" i="27"/>
  <c r="AN103" i="33"/>
  <c r="AH99" i="33"/>
  <c r="AU134" i="27"/>
  <c r="AM39" i="33"/>
  <c r="AO33" i="33"/>
  <c r="AM35" i="33"/>
  <c r="AH53" i="33"/>
  <c r="AU79" i="27"/>
  <c r="AU80" i="27" l="1"/>
  <c r="AH59" i="33"/>
  <c r="AV78" i="27"/>
  <c r="AO39" i="33"/>
  <c r="AM41" i="33"/>
  <c r="AX130" i="27"/>
  <c r="AQ97" i="33"/>
  <c r="AM40" i="33"/>
  <c r="AO40" i="33" s="1"/>
  <c r="AO34" i="33"/>
  <c r="AP33" i="33"/>
  <c r="AP50" i="33"/>
  <c r="AR50" i="33" s="1"/>
  <c r="AN67" i="27"/>
  <c r="AK80" i="27"/>
  <c r="AG59" i="33"/>
  <c r="AI59" i="33" s="1"/>
  <c r="AL78" i="27"/>
  <c r="AV68" i="27"/>
  <c r="AW65" i="27"/>
  <c r="AK34" i="33"/>
  <c r="AK40" i="33" s="1"/>
  <c r="AK56" i="33"/>
  <c r="AN131" i="27"/>
  <c r="AO129" i="27"/>
  <c r="AP103" i="33"/>
  <c r="AR103" i="33" s="1"/>
  <c r="N123" i="27" a="1"/>
  <c r="N123" i="27" s="1"/>
  <c r="BX122" i="27" a="1"/>
  <c r="BX122" i="27" s="1"/>
  <c r="S84" i="12" a="1"/>
  <c r="S84" i="12" s="1"/>
  <c r="U83" i="12"/>
  <c r="AP96" i="33"/>
  <c r="AR96" i="33" s="1"/>
  <c r="AP79" i="33"/>
  <c r="AN122" i="27"/>
  <c r="AY76" i="27"/>
  <c r="AZ74" i="27"/>
  <c r="AT57" i="33"/>
  <c r="BA124" i="27"/>
  <c r="BA117" i="27"/>
  <c r="BK117" i="27" s="1"/>
  <c r="BL115" i="27"/>
  <c r="M67" i="28" a="1"/>
  <c r="M67" i="28" s="1"/>
  <c r="AS66" i="28" a="1"/>
  <c r="AS66" i="28" s="1"/>
  <c r="AU135" i="27"/>
  <c r="AH105" i="33"/>
  <c r="AV133" i="27"/>
  <c r="BB69" i="27"/>
  <c r="BB62" i="27"/>
  <c r="BM60" i="27"/>
  <c r="AN76" i="27"/>
  <c r="AO74" i="27"/>
  <c r="AP57" i="33"/>
  <c r="AR57" i="33" s="1"/>
  <c r="N68" i="27" a="1"/>
  <c r="N68" i="27" s="1"/>
  <c r="BX67" i="27" a="1"/>
  <c r="BX67" i="27" s="1"/>
  <c r="BK62" i="27"/>
  <c r="BL62" i="27"/>
  <c r="AK39" i="33"/>
  <c r="AK41" i="33" s="1"/>
  <c r="AK35" i="33"/>
  <c r="AO85" i="33"/>
  <c r="AM87" i="33"/>
  <c r="AM86" i="33"/>
  <c r="AO86" i="33" s="1"/>
  <c r="AO80" i="33"/>
  <c r="M134" i="28" a="1"/>
  <c r="M134" i="28" s="1"/>
  <c r="AS133" i="28" a="1"/>
  <c r="AS133" i="28" s="1"/>
  <c r="AV123" i="27"/>
  <c r="AW120" i="27"/>
  <c r="AK80" i="33"/>
  <c r="AK86" i="33" s="1"/>
  <c r="AK102" i="33"/>
  <c r="AK85" i="33"/>
  <c r="AK87" i="33" s="1"/>
  <c r="AK81" i="33"/>
  <c r="S195" i="12" a="1"/>
  <c r="S195" i="12" s="1"/>
  <c r="U194" i="12"/>
  <c r="AK135" i="27"/>
  <c r="AG105" i="33"/>
  <c r="AI105" i="33" s="1"/>
  <c r="AL133" i="27"/>
  <c r="BB117" i="27"/>
  <c r="BM115" i="27"/>
  <c r="BB124" i="27"/>
  <c r="BM117" i="27" l="1"/>
  <c r="AN79" i="33"/>
  <c r="AN96" i="33"/>
  <c r="AW122" i="27"/>
  <c r="N69" i="27" a="1"/>
  <c r="N69" i="27" s="1"/>
  <c r="BX68" i="27" a="1"/>
  <c r="BX68" i="27" s="1"/>
  <c r="AO75" i="27"/>
  <c r="AS51" i="33"/>
  <c r="AU51" i="33" s="1"/>
  <c r="AK99" i="33"/>
  <c r="AV134" i="27"/>
  <c r="M68" i="28" a="1"/>
  <c r="M68" i="28" s="1"/>
  <c r="AS67" i="28" a="1"/>
  <c r="AS67" i="28" s="1"/>
  <c r="BL117" i="27"/>
  <c r="AZ75" i="27"/>
  <c r="AW51" i="33"/>
  <c r="AN123" i="27"/>
  <c r="AO120" i="27"/>
  <c r="AP102" i="33"/>
  <c r="AR102" i="33" s="1"/>
  <c r="AP80" i="33"/>
  <c r="S85" i="12" a="1"/>
  <c r="S85" i="12" s="1"/>
  <c r="U84" i="12"/>
  <c r="N124" i="27" a="1"/>
  <c r="N124" i="27" s="1"/>
  <c r="BX123" i="27" a="1"/>
  <c r="BX123" i="27" s="1"/>
  <c r="AO130" i="27"/>
  <c r="AS97" i="33"/>
  <c r="AU97" i="33" s="1"/>
  <c r="AN33" i="33"/>
  <c r="AN50" i="33"/>
  <c r="AW67" i="27"/>
  <c r="AJ53" i="33"/>
  <c r="AL53" i="33" s="1"/>
  <c r="AL79" i="27"/>
  <c r="AK53" i="33"/>
  <c r="AV79" i="27"/>
  <c r="AJ99" i="33"/>
  <c r="AL99" i="33" s="1"/>
  <c r="AL134" i="27"/>
  <c r="S196" i="12" a="1"/>
  <c r="S196" i="12" s="1"/>
  <c r="U195" i="12"/>
  <c r="M135" i="28" a="1"/>
  <c r="M135" i="28" s="1"/>
  <c r="AS134" i="28" a="1"/>
  <c r="AS134" i="28" s="1"/>
  <c r="BM62" i="27"/>
  <c r="AP85" i="33"/>
  <c r="AR79" i="33"/>
  <c r="AP81" i="33"/>
  <c r="AN68" i="27"/>
  <c r="AO65" i="27"/>
  <c r="AP34" i="33"/>
  <c r="AP56" i="33"/>
  <c r="AR56" i="33" s="1"/>
  <c r="AP39" i="33"/>
  <c r="AR33" i="33"/>
  <c r="AP35" i="33"/>
  <c r="AX131" i="27"/>
  <c r="AY129" i="27"/>
  <c r="AQ103" i="33"/>
  <c r="AY130" i="27" l="1"/>
  <c r="AT97" i="33"/>
  <c r="AP41" i="33"/>
  <c r="AR39" i="33"/>
  <c r="AP40" i="33"/>
  <c r="AR40" i="33" s="1"/>
  <c r="AR34" i="33"/>
  <c r="M136" i="28" a="1"/>
  <c r="M136" i="28" s="1"/>
  <c r="AS135" i="28" a="1"/>
  <c r="AS135" i="28" s="1"/>
  <c r="S197" i="12" a="1"/>
  <c r="S197" i="12" s="1"/>
  <c r="U196" i="12"/>
  <c r="AP86" i="33"/>
  <c r="AR86" i="33" s="1"/>
  <c r="AR80" i="33"/>
  <c r="AS79" i="33"/>
  <c r="AS96" i="33"/>
  <c r="AU96" i="33" s="1"/>
  <c r="AO122" i="27"/>
  <c r="M69" i="28" a="1"/>
  <c r="M69" i="28" s="1"/>
  <c r="AS68" i="28" a="1"/>
  <c r="AS68" i="28" s="1"/>
  <c r="AO76" i="27"/>
  <c r="AP74" i="27"/>
  <c r="AS57" i="33"/>
  <c r="AU57" i="33" s="1"/>
  <c r="N70" i="27" a="1"/>
  <c r="N70" i="27" s="1"/>
  <c r="BX69" i="27" a="1"/>
  <c r="BX69" i="27" s="1"/>
  <c r="AS50" i="33"/>
  <c r="AU50" i="33" s="1"/>
  <c r="AS33" i="33"/>
  <c r="AO67" i="27"/>
  <c r="AP87" i="33"/>
  <c r="AR85" i="33"/>
  <c r="AL135" i="27"/>
  <c r="AJ105" i="33"/>
  <c r="AL105" i="33" s="1"/>
  <c r="AM133" i="27"/>
  <c r="AV80" i="27"/>
  <c r="AK59" i="33"/>
  <c r="AW78" i="27"/>
  <c r="AL80" i="27"/>
  <c r="AJ59" i="33"/>
  <c r="AL59" i="33" s="1"/>
  <c r="AM78" i="27"/>
  <c r="AW68" i="27"/>
  <c r="AX65" i="27"/>
  <c r="AN56" i="33"/>
  <c r="AN34" i="33"/>
  <c r="AN40" i="33" s="1"/>
  <c r="AN35" i="33"/>
  <c r="AN39" i="33"/>
  <c r="AN41" i="33" s="1"/>
  <c r="AO131" i="27"/>
  <c r="AP129" i="27"/>
  <c r="AS103" i="33"/>
  <c r="AU103" i="33" s="1"/>
  <c r="N125" i="27" a="1"/>
  <c r="N125" i="27" s="1"/>
  <c r="BX124" i="27" a="1"/>
  <c r="BX124" i="27" s="1"/>
  <c r="S86" i="12" a="1"/>
  <c r="S86" i="12" s="1"/>
  <c r="U85" i="12"/>
  <c r="AZ76" i="27"/>
  <c r="BA74" i="27"/>
  <c r="AW57" i="33"/>
  <c r="AV135" i="27"/>
  <c r="AK105" i="33"/>
  <c r="AW133" i="27"/>
  <c r="AW123" i="27"/>
  <c r="AX120" i="27"/>
  <c r="AN80" i="33"/>
  <c r="AN86" i="33" s="1"/>
  <c r="AN102" i="33"/>
  <c r="AN81" i="33"/>
  <c r="AN85" i="33"/>
  <c r="AN87" i="33" s="1"/>
  <c r="AQ79" i="33" l="1"/>
  <c r="AQ96" i="33"/>
  <c r="AX122" i="27"/>
  <c r="AN99" i="33"/>
  <c r="AW134" i="27"/>
  <c r="BA75" i="27"/>
  <c r="AZ51" i="33"/>
  <c r="AN53" i="33"/>
  <c r="AW79" i="27"/>
  <c r="AO68" i="27"/>
  <c r="AP65" i="27"/>
  <c r="AS56" i="33"/>
  <c r="AU56" i="33" s="1"/>
  <c r="AS34" i="33"/>
  <c r="N71" i="27" a="1"/>
  <c r="N71" i="27" s="1"/>
  <c r="BX70" i="27" a="1"/>
  <c r="BX70" i="27" s="1"/>
  <c r="AP75" i="27"/>
  <c r="AV51" i="33"/>
  <c r="AX51" i="33" s="1"/>
  <c r="AO123" i="27"/>
  <c r="AP120" i="27"/>
  <c r="AS102" i="33"/>
  <c r="AU102" i="33" s="1"/>
  <c r="AS80" i="33"/>
  <c r="AS85" i="33"/>
  <c r="AU79" i="33"/>
  <c r="AS81" i="33"/>
  <c r="S198" i="12" a="1"/>
  <c r="S198" i="12" s="1"/>
  <c r="U197" i="12"/>
  <c r="M137" i="28" a="1"/>
  <c r="M137" i="28" s="1"/>
  <c r="AS136" i="28" a="1"/>
  <c r="AS136" i="28" s="1"/>
  <c r="AY131" i="27"/>
  <c r="AZ129" i="27"/>
  <c r="AT103" i="33"/>
  <c r="U86" i="12"/>
  <c r="S87" i="12" a="1"/>
  <c r="S87" i="12" s="1"/>
  <c r="N126" i="27" a="1"/>
  <c r="N126" i="27" s="1"/>
  <c r="BX125" i="27" a="1"/>
  <c r="BX125" i="27" s="1"/>
  <c r="AP130" i="27"/>
  <c r="AV97" i="33"/>
  <c r="AX97" i="33" s="1"/>
  <c r="AQ33" i="33"/>
  <c r="AQ50" i="33"/>
  <c r="AX67" i="27"/>
  <c r="AM53" i="33"/>
  <c r="AO53" i="33" s="1"/>
  <c r="AM79" i="27"/>
  <c r="AM99" i="33"/>
  <c r="AO99" i="33" s="1"/>
  <c r="AM134" i="27"/>
  <c r="AS39" i="33"/>
  <c r="AU33" i="33"/>
  <c r="AS35" i="33"/>
  <c r="M70" i="28" a="1"/>
  <c r="M70" i="28" s="1"/>
  <c r="AS69" i="28" a="1"/>
  <c r="AS69" i="28" s="1"/>
  <c r="AQ39" i="33" l="1"/>
  <c r="AQ41" i="33" s="1"/>
  <c r="AQ35" i="33"/>
  <c r="AP131" i="27"/>
  <c r="AQ129" i="27"/>
  <c r="AV103" i="33"/>
  <c r="AX103" i="33" s="1"/>
  <c r="N127" i="27" a="1"/>
  <c r="N127" i="27" s="1"/>
  <c r="BX126" i="27" a="1"/>
  <c r="BX126" i="27" s="1"/>
  <c r="AZ130" i="27"/>
  <c r="AW97" i="33"/>
  <c r="AU85" i="33"/>
  <c r="AS87" i="33"/>
  <c r="AP76" i="27"/>
  <c r="AQ74" i="27"/>
  <c r="AV57" i="33"/>
  <c r="AX57" i="33" s="1"/>
  <c r="N72" i="27" a="1"/>
  <c r="N72" i="27" s="1"/>
  <c r="BX71" i="27" a="1"/>
  <c r="BX71" i="27" s="1"/>
  <c r="M71" i="28" a="1"/>
  <c r="M71" i="28" s="1"/>
  <c r="AS70" i="28" a="1"/>
  <c r="AS70" i="28" s="1"/>
  <c r="AM135" i="27"/>
  <c r="AM105" i="33"/>
  <c r="AO105" i="33" s="1"/>
  <c r="AN133" i="27"/>
  <c r="AM80" i="27"/>
  <c r="AM59" i="33"/>
  <c r="AO59" i="33" s="1"/>
  <c r="AN78" i="27"/>
  <c r="AX68" i="27"/>
  <c r="AY65" i="27"/>
  <c r="AQ56" i="33"/>
  <c r="AQ34" i="33"/>
  <c r="AQ40" i="33" s="1"/>
  <c r="BA76" i="27"/>
  <c r="BB74" i="27"/>
  <c r="AZ57" i="33"/>
  <c r="AU39" i="33"/>
  <c r="AS41" i="33"/>
  <c r="S88" i="12" a="1"/>
  <c r="S88" i="12" s="1"/>
  <c r="U87" i="12"/>
  <c r="M138" i="28" a="1"/>
  <c r="M138" i="28" s="1"/>
  <c r="AS137" i="28" a="1"/>
  <c r="AS137" i="28" s="1"/>
  <c r="S199" i="12" a="1"/>
  <c r="S199" i="12" s="1"/>
  <c r="U198" i="12"/>
  <c r="AS86" i="33"/>
  <c r="AU86" i="33" s="1"/>
  <c r="AU80" i="33"/>
  <c r="AV79" i="33"/>
  <c r="AV96" i="33"/>
  <c r="AX96" i="33" s="1"/>
  <c r="AP122" i="27"/>
  <c r="AS40" i="33"/>
  <c r="AU40" i="33" s="1"/>
  <c r="AU34" i="33"/>
  <c r="AV50" i="33"/>
  <c r="AX50" i="33" s="1"/>
  <c r="AV33" i="33"/>
  <c r="AP67" i="27"/>
  <c r="AW80" i="27"/>
  <c r="AN59" i="33"/>
  <c r="AX78" i="27"/>
  <c r="AW135" i="27"/>
  <c r="AN105" i="33"/>
  <c r="AX133" i="27"/>
  <c r="AX123" i="27"/>
  <c r="AY120" i="27"/>
  <c r="AQ80" i="33"/>
  <c r="AQ86" i="33" s="1"/>
  <c r="AQ102" i="33"/>
  <c r="AQ85" i="33"/>
  <c r="AQ87" i="33" s="1"/>
  <c r="AQ81" i="33"/>
  <c r="AT79" i="33" l="1"/>
  <c r="AT96" i="33"/>
  <c r="AY122" i="27"/>
  <c r="AQ99" i="33"/>
  <c r="AX134" i="27"/>
  <c r="AQ53" i="33"/>
  <c r="AX79" i="27"/>
  <c r="AV39" i="33"/>
  <c r="AV35" i="33"/>
  <c r="AX33" i="33"/>
  <c r="AP123" i="27"/>
  <c r="AQ120" i="27"/>
  <c r="AV80" i="33"/>
  <c r="AV102" i="33"/>
  <c r="AX102" i="33" s="1"/>
  <c r="AV85" i="33"/>
  <c r="AV81" i="33"/>
  <c r="AX79" i="33"/>
  <c r="S200" i="12" a="1"/>
  <c r="S200" i="12" s="1"/>
  <c r="U199" i="12"/>
  <c r="M139" i="28" a="1"/>
  <c r="M139" i="28" s="1"/>
  <c r="AS138" i="28" a="1"/>
  <c r="AS138" i="28" s="1"/>
  <c r="S89" i="12" a="1"/>
  <c r="S89" i="12" s="1"/>
  <c r="U88" i="12"/>
  <c r="BB75" i="27"/>
  <c r="BC51" i="33"/>
  <c r="AT33" i="33"/>
  <c r="AT50" i="33"/>
  <c r="AY67" i="27"/>
  <c r="AP53" i="33"/>
  <c r="AR53" i="33" s="1"/>
  <c r="AN79" i="27"/>
  <c r="AZ131" i="27"/>
  <c r="BA129" i="27"/>
  <c r="AW103" i="33"/>
  <c r="N128" i="27" a="1"/>
  <c r="N128" i="27" s="1"/>
  <c r="BX127" i="27" a="1"/>
  <c r="BX127" i="27" s="1"/>
  <c r="AQ130" i="27"/>
  <c r="AY97" i="33"/>
  <c r="BA97" i="33" s="1"/>
  <c r="AP68" i="27"/>
  <c r="AQ65" i="27"/>
  <c r="AV56" i="33"/>
  <c r="AX56" i="33" s="1"/>
  <c r="AV34" i="33"/>
  <c r="AP99" i="33"/>
  <c r="AR99" i="33" s="1"/>
  <c r="AN134" i="27"/>
  <c r="M72" i="28" a="1"/>
  <c r="M72" i="28" s="1"/>
  <c r="AS71" i="28" a="1"/>
  <c r="AS71" i="28" s="1"/>
  <c r="N73" i="27" a="1"/>
  <c r="N73" i="27" s="1"/>
  <c r="BX72" i="27" a="1"/>
  <c r="BX72" i="27" s="1"/>
  <c r="AQ75" i="27"/>
  <c r="AY51" i="33"/>
  <c r="BA51" i="33" s="1"/>
  <c r="AN135" i="27" l="1"/>
  <c r="AP105" i="33"/>
  <c r="AR105" i="33" s="1"/>
  <c r="AO133" i="27"/>
  <c r="AQ76" i="27"/>
  <c r="AR74" i="27"/>
  <c r="AY57" i="33"/>
  <c r="BA57" i="33" s="1"/>
  <c r="N74" i="27" a="1"/>
  <c r="N74" i="27" s="1"/>
  <c r="BX73" i="27" a="1"/>
  <c r="BX73" i="27" s="1"/>
  <c r="M73" i="28" a="1"/>
  <c r="M73" i="28" s="1"/>
  <c r="AS72" i="28" a="1"/>
  <c r="AS72" i="28" s="1"/>
  <c r="AQ131" i="27"/>
  <c r="AR129" i="27"/>
  <c r="AY103" i="33"/>
  <c r="BA103" i="33" s="1"/>
  <c r="N129" i="27" a="1"/>
  <c r="N129" i="27" s="1"/>
  <c r="BX128" i="27" a="1"/>
  <c r="BX128" i="27" s="1"/>
  <c r="BA130" i="27"/>
  <c r="AZ97" i="33"/>
  <c r="AN80" i="27"/>
  <c r="AP59" i="33"/>
  <c r="AR59" i="33" s="1"/>
  <c r="AO78" i="27"/>
  <c r="AY68" i="27"/>
  <c r="AZ65" i="27"/>
  <c r="AT34" i="33"/>
  <c r="AT40" i="33" s="1"/>
  <c r="AT56" i="33"/>
  <c r="AT35" i="33"/>
  <c r="AT39" i="33"/>
  <c r="AT41" i="33" s="1"/>
  <c r="BB76" i="27"/>
  <c r="BC74" i="27"/>
  <c r="BC57" i="33"/>
  <c r="S90" i="12" a="1"/>
  <c r="S90" i="12" s="1"/>
  <c r="U89" i="12"/>
  <c r="M140" i="28" a="1"/>
  <c r="M140" i="28" s="1"/>
  <c r="AS139" i="28" a="1"/>
  <c r="AS139" i="28" s="1"/>
  <c r="U200" i="12"/>
  <c r="S201" i="12" a="1"/>
  <c r="S201" i="12" s="1"/>
  <c r="AY79" i="33"/>
  <c r="AY96" i="33"/>
  <c r="BA96" i="33" s="1"/>
  <c r="AQ122" i="27"/>
  <c r="AV41" i="33"/>
  <c r="AX39" i="33"/>
  <c r="AV40" i="33"/>
  <c r="AX40" i="33" s="1"/>
  <c r="AX34" i="33"/>
  <c r="AY50" i="33"/>
  <c r="BA50" i="33" s="1"/>
  <c r="AY33" i="33"/>
  <c r="AQ67" i="27"/>
  <c r="AV87" i="33"/>
  <c r="AX85" i="33"/>
  <c r="AV86" i="33"/>
  <c r="AX86" i="33" s="1"/>
  <c r="AX80" i="33"/>
  <c r="AX80" i="27"/>
  <c r="AQ59" i="33"/>
  <c r="AY78" i="27"/>
  <c r="AX135" i="27"/>
  <c r="AQ105" i="33"/>
  <c r="AY133" i="27"/>
  <c r="AY123" i="27"/>
  <c r="AZ120" i="27"/>
  <c r="AT102" i="33"/>
  <c r="AT80" i="33"/>
  <c r="AT86" i="33" s="1"/>
  <c r="AT81" i="33"/>
  <c r="AT85" i="33"/>
  <c r="AT87" i="33" s="1"/>
  <c r="AW96" i="33" l="1"/>
  <c r="AW79" i="33"/>
  <c r="AZ122" i="27"/>
  <c r="AT99" i="33"/>
  <c r="AY134" i="27"/>
  <c r="AT53" i="33"/>
  <c r="AY79" i="27"/>
  <c r="AY39" i="33"/>
  <c r="BA33" i="33"/>
  <c r="AY35" i="33"/>
  <c r="AQ123" i="27"/>
  <c r="AR120" i="27"/>
  <c r="AY102" i="33"/>
  <c r="BA102" i="33" s="1"/>
  <c r="AY80" i="33"/>
  <c r="AY85" i="33"/>
  <c r="BA79" i="33"/>
  <c r="AY81" i="33"/>
  <c r="M141" i="28" a="1"/>
  <c r="M141" i="28" s="1"/>
  <c r="AS140" i="28" a="1"/>
  <c r="AS140" i="28" s="1"/>
  <c r="S91" i="12" a="1"/>
  <c r="S91" i="12" s="1"/>
  <c r="U90" i="12"/>
  <c r="BC75" i="27"/>
  <c r="BF51" i="33"/>
  <c r="AW50" i="33"/>
  <c r="AW33" i="33"/>
  <c r="AZ67" i="27"/>
  <c r="AS53" i="33"/>
  <c r="AU53" i="33" s="1"/>
  <c r="AO79" i="27"/>
  <c r="BA131" i="27"/>
  <c r="BB129" i="27"/>
  <c r="AZ103" i="33"/>
  <c r="N130" i="27" a="1"/>
  <c r="N130" i="27" s="1"/>
  <c r="BX129" i="27" a="1"/>
  <c r="BX129" i="27" s="1"/>
  <c r="AR130" i="27"/>
  <c r="BB97" i="33"/>
  <c r="BD97" i="33" s="1"/>
  <c r="AQ68" i="27"/>
  <c r="AR65" i="27"/>
  <c r="AY56" i="33"/>
  <c r="BA56" i="33" s="1"/>
  <c r="AY34" i="33"/>
  <c r="S202" i="12" a="1"/>
  <c r="S202" i="12" s="1"/>
  <c r="U201" i="12"/>
  <c r="M74" i="28" a="1"/>
  <c r="M74" i="28" s="1"/>
  <c r="AS73" i="28" a="1"/>
  <c r="AS73" i="28" s="1"/>
  <c r="N75" i="27" a="1"/>
  <c r="N75" i="27" s="1"/>
  <c r="BX74" i="27" a="1"/>
  <c r="BX74" i="27" s="1"/>
  <c r="AR75" i="27"/>
  <c r="BB51" i="33"/>
  <c r="BD51" i="33" s="1"/>
  <c r="AS99" i="33"/>
  <c r="AU99" i="33" s="1"/>
  <c r="AO134" i="27"/>
  <c r="AO135" i="27" l="1"/>
  <c r="AS105" i="33"/>
  <c r="AU105" i="33" s="1"/>
  <c r="AP133" i="27"/>
  <c r="AY40" i="33"/>
  <c r="BA40" i="33" s="1"/>
  <c r="BA34" i="33"/>
  <c r="BB33" i="33"/>
  <c r="BB50" i="33"/>
  <c r="BD50" i="33" s="1"/>
  <c r="AR67" i="27"/>
  <c r="AR76" i="27"/>
  <c r="AS74" i="27"/>
  <c r="BB57" i="33"/>
  <c r="BD57" i="33" s="1"/>
  <c r="N76" i="27" a="1"/>
  <c r="N76" i="27" s="1"/>
  <c r="BX75" i="27" a="1"/>
  <c r="BX75" i="27" s="1"/>
  <c r="M75" i="28" a="1"/>
  <c r="M75" i="28" s="1"/>
  <c r="AS74" i="28" a="1"/>
  <c r="AS74" i="28" s="1"/>
  <c r="S203" i="12" a="1"/>
  <c r="S203" i="12" s="1"/>
  <c r="U202" i="12"/>
  <c r="AR131" i="27"/>
  <c r="AS129" i="27"/>
  <c r="BB103" i="33"/>
  <c r="BD103" i="33" s="1"/>
  <c r="N131" i="27" a="1"/>
  <c r="N131" i="27" s="1"/>
  <c r="BX130" i="27" a="1"/>
  <c r="BX130" i="27" s="1"/>
  <c r="BB130" i="27"/>
  <c r="BC97" i="33"/>
  <c r="AO80" i="27"/>
  <c r="AS59" i="33"/>
  <c r="AU59" i="33" s="1"/>
  <c r="AP78" i="27"/>
  <c r="AZ68" i="27"/>
  <c r="BA65" i="27"/>
  <c r="AW34" i="33"/>
  <c r="AW40" i="33" s="1"/>
  <c r="AW56" i="33"/>
  <c r="BC76" i="27"/>
  <c r="BF57" i="33"/>
  <c r="S92" i="12" a="1"/>
  <c r="S92" i="12" s="1"/>
  <c r="U91" i="12"/>
  <c r="M142" i="28" a="1"/>
  <c r="M142" i="28" s="1"/>
  <c r="AS141" i="28" a="1"/>
  <c r="AS141" i="28" s="1"/>
  <c r="AY86" i="33"/>
  <c r="BA86" i="33" s="1"/>
  <c r="BA80" i="33"/>
  <c r="BB96" i="33"/>
  <c r="BD96" i="33" s="1"/>
  <c r="BB79" i="33"/>
  <c r="AR122" i="27"/>
  <c r="BA39" i="33"/>
  <c r="AY41" i="33"/>
  <c r="AW85" i="33"/>
  <c r="AW87" i="33" s="1"/>
  <c r="AW81" i="33"/>
  <c r="AW39" i="33"/>
  <c r="AW41" i="33" s="1"/>
  <c r="AW35" i="33"/>
  <c r="BA85" i="33"/>
  <c r="AY87" i="33"/>
  <c r="AY80" i="27"/>
  <c r="AT59" i="33"/>
  <c r="AZ78" i="27"/>
  <c r="AY135" i="27"/>
  <c r="AT105" i="33"/>
  <c r="AZ133" i="27"/>
  <c r="AZ123" i="27"/>
  <c r="BA120" i="27"/>
  <c r="AW80" i="33"/>
  <c r="AW86" i="33" s="1"/>
  <c r="AW102" i="33"/>
  <c r="S204" i="12" l="1" a="1"/>
  <c r="S204" i="12" s="1"/>
  <c r="U203" i="12"/>
  <c r="M76" i="28" a="1"/>
  <c r="M76" i="28" s="1"/>
  <c r="AS75" i="28" a="1"/>
  <c r="AS75" i="28" s="1"/>
  <c r="N77" i="27" a="1"/>
  <c r="N77" i="27" s="1"/>
  <c r="BX76" i="27" a="1"/>
  <c r="BX76" i="27" s="1"/>
  <c r="AS75" i="27"/>
  <c r="BE51" i="33"/>
  <c r="BG51" i="33" s="1"/>
  <c r="AR68" i="27"/>
  <c r="AS65" i="27"/>
  <c r="BB34" i="33"/>
  <c r="BB56" i="33"/>
  <c r="BD56" i="33" s="1"/>
  <c r="BB39" i="33"/>
  <c r="BD33" i="33"/>
  <c r="BB35" i="33"/>
  <c r="AZ79" i="33"/>
  <c r="AZ96" i="33"/>
  <c r="BA122" i="27"/>
  <c r="AW99" i="33"/>
  <c r="AZ134" i="27"/>
  <c r="AR123" i="27"/>
  <c r="AS120" i="27"/>
  <c r="BB80" i="33"/>
  <c r="BB102" i="33"/>
  <c r="BD102" i="33" s="1"/>
  <c r="M143" i="28" a="1"/>
  <c r="M143" i="28" s="1"/>
  <c r="AS142" i="28" a="1"/>
  <c r="AS142" i="28" s="1"/>
  <c r="S93" i="12" a="1"/>
  <c r="S93" i="12" s="1"/>
  <c r="U92" i="12"/>
  <c r="AW53" i="33"/>
  <c r="AZ79" i="27"/>
  <c r="BB85" i="33"/>
  <c r="BD79" i="33"/>
  <c r="BB81" i="33"/>
  <c r="AZ33" i="33"/>
  <c r="AZ50" i="33"/>
  <c r="BA67" i="27"/>
  <c r="AV53" i="33"/>
  <c r="AX53" i="33" s="1"/>
  <c r="AP79" i="27"/>
  <c r="BB131" i="27"/>
  <c r="BC129" i="27"/>
  <c r="BC103" i="33"/>
  <c r="N132" i="27" a="1"/>
  <c r="N132" i="27" s="1"/>
  <c r="BX131" i="27" a="1"/>
  <c r="BX131" i="27" s="1"/>
  <c r="AS130" i="27"/>
  <c r="BE97" i="33"/>
  <c r="BG97" i="33" s="1"/>
  <c r="AV99" i="33"/>
  <c r="AX99" i="33" s="1"/>
  <c r="AP134" i="27"/>
  <c r="S94" i="12" l="1" a="1"/>
  <c r="S94" i="12" s="1"/>
  <c r="U93" i="12"/>
  <c r="M144" i="28" a="1"/>
  <c r="M144" i="28" s="1"/>
  <c r="AS143" i="28" a="1"/>
  <c r="AS143" i="28" s="1"/>
  <c r="BB41" i="33"/>
  <c r="BD39" i="33"/>
  <c r="BB40" i="33"/>
  <c r="BD40" i="33" s="1"/>
  <c r="BD34" i="33"/>
  <c r="AS76" i="27"/>
  <c r="BE57" i="33"/>
  <c r="BG57" i="33" s="1"/>
  <c r="N78" i="27" a="1"/>
  <c r="N78" i="27" s="1"/>
  <c r="BX77" i="27" a="1"/>
  <c r="BX77" i="27" s="1"/>
  <c r="M77" i="28" a="1"/>
  <c r="M77" i="28" s="1"/>
  <c r="AS76" i="28" a="1"/>
  <c r="AS76" i="28" s="1"/>
  <c r="S205" i="12" a="1"/>
  <c r="S205" i="12" s="1"/>
  <c r="U204" i="12"/>
  <c r="AS131" i="27"/>
  <c r="BE103" i="33"/>
  <c r="BG103" i="33" s="1"/>
  <c r="N133" i="27" a="1"/>
  <c r="N133" i="27" s="1"/>
  <c r="BX132" i="27" a="1"/>
  <c r="BX132" i="27" s="1"/>
  <c r="BC130" i="27"/>
  <c r="BF97" i="33"/>
  <c r="AP80" i="27"/>
  <c r="AV59" i="33"/>
  <c r="AX59" i="33" s="1"/>
  <c r="AQ78" i="27"/>
  <c r="BA68" i="27"/>
  <c r="BB65" i="27"/>
  <c r="AZ56" i="33"/>
  <c r="AZ34" i="33"/>
  <c r="AZ40" i="33" s="1"/>
  <c r="AZ35" i="33"/>
  <c r="AZ39" i="33"/>
  <c r="AZ41" i="33" s="1"/>
  <c r="AZ80" i="27"/>
  <c r="AW59" i="33"/>
  <c r="BA78" i="27"/>
  <c r="BE96" i="33"/>
  <c r="BG96" i="33" s="1"/>
  <c r="BE79" i="33"/>
  <c r="AS122" i="27"/>
  <c r="AZ135" i="27"/>
  <c r="AW105" i="33"/>
  <c r="BA133" i="27"/>
  <c r="BA123" i="27"/>
  <c r="BB120" i="27"/>
  <c r="AZ80" i="33"/>
  <c r="AZ86" i="33" s="1"/>
  <c r="AZ102" i="33"/>
  <c r="AZ81" i="33"/>
  <c r="AZ85" i="33"/>
  <c r="AZ87" i="33" s="1"/>
  <c r="BE50" i="33"/>
  <c r="BG50" i="33" s="1"/>
  <c r="BE33" i="33"/>
  <c r="AS67" i="27"/>
  <c r="AP135" i="27"/>
  <c r="AV105" i="33"/>
  <c r="AX105" i="33" s="1"/>
  <c r="AQ133" i="27"/>
  <c r="BB87" i="33"/>
  <c r="BD85" i="33"/>
  <c r="BB86" i="33"/>
  <c r="BD86" i="33" s="1"/>
  <c r="BD80" i="33"/>
  <c r="AY99" i="33" l="1"/>
  <c r="BA99" i="33" s="1"/>
  <c r="AQ134" i="27"/>
  <c r="BE39" i="33"/>
  <c r="BG33" i="33"/>
  <c r="BE35" i="33"/>
  <c r="BC79" i="33"/>
  <c r="BC96" i="33"/>
  <c r="BB122" i="27"/>
  <c r="AZ99" i="33"/>
  <c r="BA134" i="27"/>
  <c r="BE85" i="33"/>
  <c r="BG79" i="33"/>
  <c r="BE81" i="33"/>
  <c r="AZ53" i="33"/>
  <c r="BA79" i="27"/>
  <c r="AS68" i="27"/>
  <c r="BE34" i="33"/>
  <c r="BE56" i="33"/>
  <c r="BG56" i="33" s="1"/>
  <c r="AS123" i="27"/>
  <c r="BE102" i="33"/>
  <c r="BG102" i="33" s="1"/>
  <c r="BE80" i="33"/>
  <c r="BC50" i="33"/>
  <c r="BC33" i="33"/>
  <c r="BB67" i="27"/>
  <c r="AY53" i="33"/>
  <c r="BA53" i="33" s="1"/>
  <c r="AQ79" i="27"/>
  <c r="BC131" i="27"/>
  <c r="BF103" i="33"/>
  <c r="N134" i="27" a="1"/>
  <c r="N134" i="27" s="1"/>
  <c r="BX133" i="27" a="1"/>
  <c r="BX133" i="27" s="1"/>
  <c r="S206" i="12" a="1"/>
  <c r="S206" i="12" s="1"/>
  <c r="U205" i="12"/>
  <c r="M78" i="28" a="1"/>
  <c r="M78" i="28" s="1"/>
  <c r="AS77" i="28" a="1"/>
  <c r="AS77" i="28" s="1"/>
  <c r="N79" i="27" a="1"/>
  <c r="N79" i="27" s="1"/>
  <c r="BX78" i="27" a="1"/>
  <c r="BX78" i="27" s="1"/>
  <c r="M145" i="28" a="1"/>
  <c r="M145" i="28" s="1"/>
  <c r="AS144" i="28" a="1"/>
  <c r="AS144" i="28" s="1"/>
  <c r="S95" i="12" a="1"/>
  <c r="S95" i="12" s="1"/>
  <c r="U94" i="12"/>
  <c r="S96" i="12" l="1" a="1"/>
  <c r="S96" i="12" s="1"/>
  <c r="U95" i="12"/>
  <c r="N80" i="27" a="1"/>
  <c r="N80" i="27" s="1"/>
  <c r="BX79" i="27" a="1"/>
  <c r="BX79" i="27" s="1"/>
  <c r="S207" i="12" a="1"/>
  <c r="S207" i="12" s="1"/>
  <c r="U206" i="12"/>
  <c r="AQ80" i="27"/>
  <c r="AY59" i="33"/>
  <c r="BA59" i="33" s="1"/>
  <c r="AR78" i="27"/>
  <c r="BB68" i="27"/>
  <c r="BC65" i="27"/>
  <c r="BC56" i="33"/>
  <c r="BC34" i="33"/>
  <c r="BC40" i="33" s="1"/>
  <c r="BA135" i="27"/>
  <c r="AZ105" i="33"/>
  <c r="BB133" i="27"/>
  <c r="BB123" i="27"/>
  <c r="BC120" i="27"/>
  <c r="BC80" i="33"/>
  <c r="BC86" i="33" s="1"/>
  <c r="BC102" i="33"/>
  <c r="BC85" i="33"/>
  <c r="BC87" i="33" s="1"/>
  <c r="BC81" i="33"/>
  <c r="AQ135" i="27"/>
  <c r="AY105" i="33"/>
  <c r="BA105" i="33" s="1"/>
  <c r="AR133" i="27"/>
  <c r="M146" i="28" a="1"/>
  <c r="M146" i="28" s="1"/>
  <c r="AS145" i="28" a="1"/>
  <c r="AS145" i="28" s="1"/>
  <c r="M79" i="28" a="1"/>
  <c r="M79" i="28" s="1"/>
  <c r="AS78" i="28" a="1"/>
  <c r="AS78" i="28" s="1"/>
  <c r="N135" i="27" a="1"/>
  <c r="N135" i="27" s="1"/>
  <c r="BX134" i="27" a="1"/>
  <c r="BX134" i="27" s="1"/>
  <c r="BC39" i="33"/>
  <c r="BC41" i="33" s="1"/>
  <c r="BC35" i="33"/>
  <c r="BE86" i="33"/>
  <c r="BG86" i="33" s="1"/>
  <c r="BG80" i="33"/>
  <c r="BE40" i="33"/>
  <c r="BG40" i="33" s="1"/>
  <c r="BG34" i="33"/>
  <c r="BA80" i="27"/>
  <c r="AZ59" i="33"/>
  <c r="BB78" i="27"/>
  <c r="BG85" i="33"/>
  <c r="BE87" i="33"/>
  <c r="BG39" i="33"/>
  <c r="BE41" i="33"/>
  <c r="BC53" i="33" l="1"/>
  <c r="BB79" i="27"/>
  <c r="N136" i="27" a="1"/>
  <c r="N136" i="27" s="1"/>
  <c r="BX136" i="27" s="1" a="1"/>
  <c r="BX136" i="27" s="1"/>
  <c r="BX135" i="27" a="1"/>
  <c r="BX135" i="27" s="1"/>
  <c r="M80" i="28" a="1"/>
  <c r="M80" i="28" s="1"/>
  <c r="AS79" i="28" a="1"/>
  <c r="AS79" i="28" s="1"/>
  <c r="M147" i="28" a="1"/>
  <c r="M147" i="28" s="1"/>
  <c r="AS146" i="28" a="1"/>
  <c r="AS146" i="28" s="1"/>
  <c r="BF79" i="33"/>
  <c r="BF96" i="33"/>
  <c r="BC122" i="27"/>
  <c r="BC99" i="33"/>
  <c r="BB134" i="27"/>
  <c r="BB99" i="33"/>
  <c r="BD99" i="33" s="1"/>
  <c r="AR134" i="27"/>
  <c r="BF33" i="33"/>
  <c r="BF50" i="33"/>
  <c r="BC67" i="27"/>
  <c r="BB53" i="33"/>
  <c r="BD53" i="33" s="1"/>
  <c r="AR79" i="27"/>
  <c r="S208" i="12" a="1"/>
  <c r="S208" i="12" s="1"/>
  <c r="U207" i="12"/>
  <c r="N81" i="27" a="1"/>
  <c r="N81" i="27" s="1"/>
  <c r="BX81" i="27" s="1" a="1"/>
  <c r="BX81" i="27" s="1"/>
  <c r="BX80" i="27" a="1"/>
  <c r="BX80" i="27" s="1"/>
  <c r="S97" i="12" a="1"/>
  <c r="S97" i="12" s="1"/>
  <c r="U96" i="12"/>
  <c r="AR80" i="27" l="1"/>
  <c r="BB59" i="33"/>
  <c r="BD59" i="33" s="1"/>
  <c r="AS78" i="27"/>
  <c r="BC68" i="27"/>
  <c r="BF56" i="33"/>
  <c r="BF34" i="33"/>
  <c r="BF40" i="33" s="1"/>
  <c r="BF35" i="33"/>
  <c r="BF39" i="33"/>
  <c r="BF41" i="33" s="1"/>
  <c r="BB80" i="27"/>
  <c r="BC59" i="33"/>
  <c r="BC78" i="27"/>
  <c r="S98" i="12" a="1"/>
  <c r="S98" i="12" s="1"/>
  <c r="U97" i="12"/>
  <c r="S209" i="12" a="1"/>
  <c r="S209" i="12" s="1"/>
  <c r="U208" i="12"/>
  <c r="AR135" i="27"/>
  <c r="BB105" i="33"/>
  <c r="BD105" i="33" s="1"/>
  <c r="AS133" i="27"/>
  <c r="BB135" i="27"/>
  <c r="BC105" i="33"/>
  <c r="BC133" i="27"/>
  <c r="BC123" i="27"/>
  <c r="BF102" i="33"/>
  <c r="BF80" i="33"/>
  <c r="BF86" i="33" s="1"/>
  <c r="BF81" i="33"/>
  <c r="BF85" i="33"/>
  <c r="BF87" i="33" s="1"/>
  <c r="M148" i="28" a="1"/>
  <c r="M148" i="28" s="1"/>
  <c r="AS147" i="28" a="1"/>
  <c r="AS147" i="28" s="1"/>
  <c r="M81" i="28" a="1"/>
  <c r="M81" i="28" s="1"/>
  <c r="AS80" i="28" a="1"/>
  <c r="AS80" i="28" s="1"/>
  <c r="BE99" i="33" l="1"/>
  <c r="BG99" i="33" s="1"/>
  <c r="AS134" i="27"/>
  <c r="U209" i="12"/>
  <c r="S210" i="12" a="1"/>
  <c r="S210" i="12" s="1"/>
  <c r="S99" i="12" a="1"/>
  <c r="S99" i="12" s="1"/>
  <c r="U98" i="12"/>
  <c r="AS81" i="28" a="1"/>
  <c r="AS81" i="28" s="1"/>
  <c r="M82" i="28" a="1"/>
  <c r="M82" i="28" s="1"/>
  <c r="AS148" i="28" a="1"/>
  <c r="AS148" i="28" s="1"/>
  <c r="M149" i="28" a="1"/>
  <c r="M149" i="28" s="1"/>
  <c r="BF99" i="33"/>
  <c r="BC134" i="27"/>
  <c r="BF53" i="33"/>
  <c r="BC79" i="27"/>
  <c r="BE53" i="33"/>
  <c r="BG53" i="33" s="1"/>
  <c r="AS79" i="27"/>
  <c r="S100" i="12" l="1" a="1"/>
  <c r="S100" i="12" s="1"/>
  <c r="U99" i="12"/>
  <c r="AS80" i="27"/>
  <c r="BE59" i="33"/>
  <c r="BG59" i="33" s="1"/>
  <c r="BC80" i="27"/>
  <c r="BF59" i="33"/>
  <c r="BC135" i="27"/>
  <c r="BF105" i="33"/>
  <c r="M150" i="28" a="1"/>
  <c r="M150" i="28" s="1"/>
  <c r="AS149" i="28" a="1"/>
  <c r="AS149" i="28" s="1"/>
  <c r="M83" i="28" a="1"/>
  <c r="M83" i="28" s="1"/>
  <c r="AS82" i="28" a="1"/>
  <c r="AS82" i="28" s="1"/>
  <c r="S211" i="12" a="1"/>
  <c r="S211" i="12" s="1"/>
  <c r="U210" i="12"/>
  <c r="AS135" i="27"/>
  <c r="BE105" i="33"/>
  <c r="BG105" i="33" s="1"/>
  <c r="S212" i="12" l="1" a="1"/>
  <c r="S212" i="12" s="1"/>
  <c r="U211" i="12"/>
  <c r="M84" i="28" a="1"/>
  <c r="M84" i="28" s="1"/>
  <c r="AS83" i="28" a="1"/>
  <c r="AS83" i="28" s="1"/>
  <c r="M151" i="28" a="1"/>
  <c r="M151" i="28" s="1"/>
  <c r="AS150" i="28" a="1"/>
  <c r="AS150" i="28" s="1"/>
  <c r="S101" i="12" a="1"/>
  <c r="S101" i="12" s="1"/>
  <c r="U100" i="12"/>
  <c r="S102" i="12" l="1" a="1"/>
  <c r="S102" i="12" s="1"/>
  <c r="U101" i="12"/>
  <c r="M152" i="28" a="1"/>
  <c r="M152" i="28" s="1"/>
  <c r="AS151" i="28" a="1"/>
  <c r="AS151" i="28" s="1"/>
  <c r="M85" i="28" a="1"/>
  <c r="M85" i="28" s="1"/>
  <c r="AS84" i="28" a="1"/>
  <c r="AS84" i="28" s="1"/>
  <c r="S213" i="12" a="1"/>
  <c r="S213" i="12" s="1"/>
  <c r="U212" i="12"/>
  <c r="S214" i="12" l="1" a="1"/>
  <c r="S214" i="12" s="1"/>
  <c r="U213" i="12"/>
  <c r="M86" i="28" a="1"/>
  <c r="M86" i="28" s="1"/>
  <c r="AS85" i="28" a="1"/>
  <c r="AS85" i="28" s="1"/>
  <c r="M153" i="28" a="1"/>
  <c r="M153" i="28" s="1"/>
  <c r="AS152" i="28" a="1"/>
  <c r="AS152" i="28" s="1"/>
  <c r="S103" i="12" a="1"/>
  <c r="S103" i="12" s="1"/>
  <c r="U102" i="12"/>
  <c r="S104" i="12" l="1" a="1"/>
  <c r="S104" i="12" s="1"/>
  <c r="U103" i="12"/>
  <c r="M154" i="28" a="1"/>
  <c r="M154" i="28" s="1"/>
  <c r="AS153" i="28" a="1"/>
  <c r="AS153" i="28" s="1"/>
  <c r="AS86" i="28" a="1"/>
  <c r="AS86" i="28" s="1"/>
  <c r="M87" i="28" a="1"/>
  <c r="M87" i="28" s="1"/>
  <c r="S215" i="12" a="1"/>
  <c r="S215" i="12" s="1"/>
  <c r="U214" i="12"/>
  <c r="M88" i="28" l="1" a="1"/>
  <c r="M88" i="28" s="1"/>
  <c r="AS87" i="28" a="1"/>
  <c r="AS87" i="28" s="1"/>
  <c r="S216" i="12" a="1"/>
  <c r="S216" i="12" s="1"/>
  <c r="U215" i="12"/>
  <c r="M155" i="28" a="1"/>
  <c r="M155" i="28" s="1"/>
  <c r="AS154" i="28" a="1"/>
  <c r="AS154" i="28" s="1"/>
  <c r="S105" i="12" a="1"/>
  <c r="S105" i="12" s="1"/>
  <c r="U104" i="12"/>
  <c r="S106" i="12" l="1" a="1"/>
  <c r="S106" i="12" s="1"/>
  <c r="U105" i="12"/>
  <c r="M156" i="28" a="1"/>
  <c r="M156" i="28" s="1"/>
  <c r="AS155" i="28" a="1"/>
  <c r="AS155" i="28" s="1"/>
  <c r="S217" i="12" a="1"/>
  <c r="S217" i="12" s="1"/>
  <c r="U216" i="12"/>
  <c r="M89" i="28" a="1"/>
  <c r="M89" i="28" s="1"/>
  <c r="AS88" i="28" a="1"/>
  <c r="AS88" i="28" s="1"/>
  <c r="AS89" i="28" l="1" a="1"/>
  <c r="AS89" i="28" s="1"/>
  <c r="M90" i="28" a="1"/>
  <c r="M90" i="28" s="1"/>
  <c r="U217" i="12"/>
  <c r="S218" i="12" a="1"/>
  <c r="S218" i="12" s="1"/>
  <c r="M157" i="28" a="1"/>
  <c r="M157" i="28" s="1"/>
  <c r="AS156" i="28" a="1"/>
  <c r="AS156" i="28" s="1"/>
  <c r="S107" i="12" a="1"/>
  <c r="S107" i="12" s="1"/>
  <c r="U106" i="12"/>
  <c r="S219" i="12" l="1" a="1"/>
  <c r="S219" i="12" s="1"/>
  <c r="U218" i="12"/>
  <c r="M91" i="28" a="1"/>
  <c r="M91" i="28" s="1"/>
  <c r="AS90" i="28" a="1"/>
  <c r="AS90" i="28" s="1"/>
  <c r="S108" i="12" a="1"/>
  <c r="S108" i="12" s="1"/>
  <c r="U107" i="12"/>
  <c r="M158" i="28" a="1"/>
  <c r="M158" i="28" s="1"/>
  <c r="AS157" i="28" a="1"/>
  <c r="AS157" i="28" s="1"/>
  <c r="M159" i="28" l="1" a="1"/>
  <c r="M159" i="28" s="1"/>
  <c r="AS158" i="28" a="1"/>
  <c r="AS158" i="28" s="1"/>
  <c r="S109" i="12" a="1"/>
  <c r="S109" i="12" s="1"/>
  <c r="U108" i="12"/>
  <c r="M92" i="28" a="1"/>
  <c r="M92" i="28" s="1"/>
  <c r="AS91" i="28" a="1"/>
  <c r="AS91" i="28" s="1"/>
  <c r="S220" i="12" a="1"/>
  <c r="S220" i="12" s="1"/>
  <c r="U219" i="12"/>
  <c r="S221" i="12" l="1" a="1"/>
  <c r="S221" i="12" s="1"/>
  <c r="U220" i="12"/>
  <c r="M93" i="28" a="1"/>
  <c r="M93" i="28" s="1"/>
  <c r="AS93" i="28" s="1" a="1"/>
  <c r="AS93" i="28" s="1"/>
  <c r="AS92" i="28" a="1"/>
  <c r="AS92" i="28" s="1"/>
  <c r="S110" i="12" a="1"/>
  <c r="S110" i="12" s="1"/>
  <c r="U109" i="12"/>
  <c r="M160" i="28" a="1"/>
  <c r="M160" i="28" s="1"/>
  <c r="AS160" i="28" s="1" a="1"/>
  <c r="AS160" i="28" s="1"/>
  <c r="AS159" i="28" a="1"/>
  <c r="AS159" i="28" s="1"/>
  <c r="S111" i="12" l="1" a="1"/>
  <c r="S111" i="12" s="1"/>
  <c r="U110" i="12"/>
  <c r="S222" i="12" a="1"/>
  <c r="S222" i="12" s="1"/>
  <c r="U221" i="12"/>
  <c r="S223" i="12" l="1" a="1"/>
  <c r="S223" i="12" s="1"/>
  <c r="U222" i="12"/>
  <c r="S112" i="12" a="1"/>
  <c r="S112" i="12" s="1"/>
  <c r="U111" i="12"/>
  <c r="U112" i="12" l="1"/>
  <c r="S113" i="12" a="1"/>
  <c r="S113" i="12" s="1"/>
  <c r="S224" i="12" a="1"/>
  <c r="S224" i="12" s="1"/>
  <c r="U223" i="12"/>
  <c r="S114" i="12" l="1" a="1"/>
  <c r="S114" i="12" s="1"/>
  <c r="U113" i="12"/>
  <c r="S225" i="12" a="1"/>
  <c r="S225" i="12" s="1"/>
  <c r="U224" i="12"/>
  <c r="S226" i="12" l="1" a="1"/>
  <c r="S226" i="12" s="1"/>
  <c r="U225" i="12"/>
  <c r="S115" i="12" a="1"/>
  <c r="S115" i="12" s="1"/>
  <c r="U114" i="12"/>
  <c r="S116" i="12" l="1" a="1"/>
  <c r="S116" i="12" s="1"/>
  <c r="U115" i="12"/>
  <c r="U226" i="12"/>
  <c r="S227" i="12" a="1"/>
  <c r="S227" i="12" s="1"/>
  <c r="S228" i="12" l="1" a="1"/>
  <c r="S228" i="12" s="1"/>
  <c r="U227" i="12"/>
  <c r="S117" i="12" a="1"/>
  <c r="S117" i="12" s="1"/>
  <c r="U116" i="12"/>
  <c r="S118" i="12" l="1" a="1"/>
  <c r="S118" i="12" s="1"/>
  <c r="U117" i="12"/>
  <c r="S229" i="12" a="1"/>
  <c r="S229" i="12" s="1"/>
  <c r="U228" i="12"/>
  <c r="S230" i="12" l="1" a="1"/>
  <c r="S230" i="12" s="1"/>
  <c r="U229" i="12"/>
  <c r="S119" i="12" a="1"/>
  <c r="S119" i="12" s="1"/>
  <c r="U118" i="12"/>
  <c r="U119" i="12" l="1"/>
  <c r="S120" i="12" a="1"/>
  <c r="S120" i="12" s="1"/>
  <c r="S231" i="12" a="1"/>
  <c r="S231" i="12" s="1"/>
  <c r="U230" i="12"/>
  <c r="S121" i="12" l="1" a="1"/>
  <c r="S121" i="12" s="1"/>
  <c r="U120" i="12"/>
  <c r="S232" i="12" a="1"/>
  <c r="S232" i="12" s="1"/>
  <c r="U231" i="12"/>
  <c r="S233" i="12" l="1" a="1"/>
  <c r="S233" i="12" s="1"/>
  <c r="U232" i="12"/>
  <c r="S122" i="12" a="1"/>
  <c r="S122" i="12" s="1"/>
  <c r="U121" i="12"/>
  <c r="S123" i="12" l="1" a="1"/>
  <c r="S123" i="12" s="1"/>
  <c r="U122" i="12"/>
  <c r="S234" i="12" a="1"/>
  <c r="S234" i="12" s="1"/>
  <c r="U233" i="12"/>
  <c r="U234" i="12" l="1"/>
  <c r="S235" i="12" a="1"/>
  <c r="S235" i="12" s="1"/>
  <c r="S124" i="12" a="1"/>
  <c r="S124" i="12" s="1"/>
  <c r="U123" i="12"/>
  <c r="S236" i="12" l="1" a="1"/>
  <c r="S236" i="12" s="1"/>
  <c r="U235" i="12"/>
  <c r="S125" i="12" a="1"/>
  <c r="S125" i="12" s="1"/>
  <c r="U124" i="12"/>
  <c r="S126" i="12" l="1" a="1"/>
  <c r="S126" i="12" s="1"/>
  <c r="U125" i="12"/>
  <c r="S237" i="12" a="1"/>
  <c r="S237" i="12" s="1"/>
  <c r="U236" i="12"/>
  <c r="S238" i="12" l="1" a="1"/>
  <c r="S238" i="12" s="1"/>
  <c r="U237" i="12"/>
  <c r="S127" i="12" a="1"/>
  <c r="S127" i="12" s="1"/>
  <c r="U126" i="12"/>
  <c r="U127" i="12" l="1"/>
  <c r="S128" i="12" a="1"/>
  <c r="S128" i="12" s="1"/>
  <c r="S239" i="12" a="1"/>
  <c r="S239" i="12" s="1"/>
  <c r="U238" i="12"/>
  <c r="S129" i="12" l="1" a="1"/>
  <c r="S129" i="12" s="1"/>
  <c r="U128" i="12"/>
  <c r="S240" i="12" a="1"/>
  <c r="S240" i="12" s="1"/>
  <c r="U239" i="12"/>
  <c r="S241" i="12" l="1" a="1"/>
  <c r="S241" i="12" s="1"/>
  <c r="U240" i="12"/>
  <c r="S130" i="12" a="1"/>
  <c r="S130" i="12" s="1"/>
  <c r="U129" i="12"/>
  <c r="S131" i="12" l="1" a="1"/>
  <c r="S131" i="12" s="1"/>
  <c r="U130" i="12"/>
  <c r="S242" i="12" a="1"/>
  <c r="S242" i="12" s="1"/>
  <c r="U241" i="12"/>
  <c r="S243" i="12" l="1" a="1"/>
  <c r="S243" i="12" s="1"/>
  <c r="U242" i="12"/>
  <c r="S132" i="12" a="1"/>
  <c r="S132" i="12" s="1"/>
  <c r="U131" i="12"/>
  <c r="S133" i="12" l="1" a="1"/>
  <c r="S133" i="12" s="1"/>
  <c r="U132" i="12"/>
  <c r="S244" i="12" a="1"/>
  <c r="S244" i="12" s="1"/>
  <c r="U243" i="12"/>
  <c r="S245" i="12" l="1" a="1"/>
  <c r="S245" i="12" s="1"/>
  <c r="U244" i="12"/>
  <c r="S134" i="12" a="1"/>
  <c r="S134" i="12" s="1"/>
  <c r="U133" i="12"/>
  <c r="S135" i="12" l="1" a="1"/>
  <c r="S135" i="12" s="1"/>
  <c r="U134" i="12"/>
  <c r="S246" i="12" a="1"/>
  <c r="S246" i="12" s="1"/>
  <c r="U245" i="12"/>
  <c r="S247" i="12" l="1" a="1"/>
  <c r="S247" i="12" s="1"/>
  <c r="U246" i="12"/>
  <c r="S136" i="12" a="1"/>
  <c r="S136" i="12" s="1"/>
  <c r="U135" i="12"/>
  <c r="S137" i="12" l="1" a="1"/>
  <c r="S137" i="12" s="1"/>
  <c r="U136" i="12"/>
  <c r="S248" i="12" a="1"/>
  <c r="S248" i="12" s="1"/>
  <c r="U247" i="12"/>
  <c r="S249" i="12" l="1" a="1"/>
  <c r="S249" i="12" s="1"/>
  <c r="U248" i="12"/>
  <c r="S138" i="12" a="1"/>
  <c r="S138" i="12" s="1"/>
  <c r="U138" i="12" s="1"/>
  <c r="U137" i="12"/>
  <c r="S250" i="12" l="1" a="1"/>
  <c r="S250" i="12" s="1"/>
  <c r="U249" i="12"/>
  <c r="U250" i="12" l="1"/>
  <c r="S251" i="12" a="1"/>
  <c r="S251" i="12" s="1"/>
  <c r="S252" i="12" l="1" a="1"/>
  <c r="S252" i="12" s="1"/>
  <c r="U251" i="12"/>
  <c r="S253" i="12" l="1" a="1"/>
  <c r="S253" i="12" s="1"/>
  <c r="U252" i="12"/>
  <c r="S254" i="12" l="1" a="1"/>
  <c r="S254" i="12" s="1"/>
  <c r="U253" i="12"/>
  <c r="S255" i="12" l="1" a="1"/>
  <c r="S255" i="12" s="1"/>
  <c r="U254" i="12"/>
  <c r="S256" i="12" l="1" a="1"/>
  <c r="S256" i="12" s="1"/>
  <c r="U255" i="12"/>
  <c r="S257" i="12" l="1" a="1"/>
  <c r="S257" i="12" s="1"/>
  <c r="U256" i="12"/>
  <c r="S258" i="12" l="1" a="1"/>
  <c r="S258" i="12" s="1"/>
  <c r="U257" i="12"/>
  <c r="S259" i="12" l="1" a="1"/>
  <c r="S259" i="12" s="1"/>
  <c r="U258" i="12"/>
  <c r="S260" i="12" l="1" a="1"/>
  <c r="S260" i="12" s="1"/>
  <c r="U259" i="12"/>
  <c r="U260" i="12" l="1"/>
  <c r="S261" i="12" a="1"/>
  <c r="S261" i="12" s="1"/>
  <c r="S262" i="12" l="1" a="1"/>
  <c r="S262" i="12" s="1"/>
  <c r="U261" i="12"/>
  <c r="S263" i="12" l="1" a="1"/>
  <c r="S263" i="12" s="1"/>
  <c r="U262" i="12"/>
  <c r="S264" i="12" l="1" a="1"/>
  <c r="S264" i="12" s="1"/>
  <c r="U263" i="12"/>
  <c r="S265" i="12" l="1" a="1"/>
  <c r="S265" i="12" s="1"/>
  <c r="U264" i="12"/>
  <c r="S266" i="12" l="1" a="1"/>
  <c r="S266" i="12" s="1"/>
  <c r="U265" i="12"/>
  <c r="S267" i="12" l="1" a="1"/>
  <c r="S267" i="12" s="1"/>
  <c r="U266" i="12"/>
  <c r="S268" i="12" l="1" a="1"/>
  <c r="S268" i="12" s="1"/>
  <c r="U267" i="12"/>
  <c r="S269" i="12" l="1" a="1"/>
  <c r="S269" i="12" s="1"/>
  <c r="U268" i="12"/>
  <c r="S270" i="12" l="1" a="1"/>
  <c r="S270" i="12" s="1"/>
  <c r="U269" i="12"/>
  <c r="S271" i="12" l="1" a="1"/>
  <c r="S271" i="12" s="1"/>
  <c r="U270" i="12"/>
  <c r="S272" i="12" l="1" a="1"/>
  <c r="S272" i="12" s="1"/>
  <c r="U271" i="12"/>
  <c r="S273" i="12" l="1" a="1"/>
  <c r="S273" i="12" s="1"/>
  <c r="U272" i="12"/>
  <c r="S274" i="12" l="1" a="1"/>
  <c r="S274" i="12" s="1"/>
  <c r="U274" i="12" s="1"/>
  <c r="U273" i="1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<sst xmlns="http://schemas.openxmlformats.org/spreadsheetml/2006/main" count="17519" uniqueCount="4782">
  <si>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</si>
  <si>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</si>
  <si>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</si>
  <si>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</si>
  <si>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</si>
  <si>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</si>
  <si>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</si>
  <si>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</si>
  <si>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</si>
  <si>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</si>
  <si>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</si>
  <si>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</si>
  <si>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</si>
  <si>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</si>
  <si>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</si>
  <si>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</si>
  <si>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</si>
  <si>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</si>
  <si>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</si>
  <si>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</si>
  <si>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</si>
  <si>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</si>
  <si>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</si>
  <si>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</si>
  <si>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</si>
  <si>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</si>
  <si>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</si>
  <si>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</si>
  <si>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</si>
  <si>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</si>
  <si>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</si>
  <si>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</si>
  <si>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</si>
  <si>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</si>
  <si>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</si>
  <si>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</si>
  <si>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</si>
  <si>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</si>
  <si>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</si>
  <si>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</si>
  <si>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</si>
  <si>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</si>
  <si>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</si>
  <si>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</si>
  <si>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</si>
  <si>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</si>
  <si>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</si>
  <si>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</si>
  <si>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</si>
  <si>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</si>
  <si>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</si>
  <si>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</si>
  <si>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</si>
  <si>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</si>
  <si>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</si>
  <si>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</si>
  <si>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</si>
  <si>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</si>
  <si>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</si>
  <si>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</si>
  <si>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</si>
  <si>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</si>
  <si>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</si>
  <si>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</si>
  <si>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</si>
  <si>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</si>
  <si>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</si>
  <si>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</si>
  <si>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</si>
  <si>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</si>
  <si>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</si>
  <si>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</si>
  <si>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</si>
  <si>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</si>
  <si>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</si>
  <si>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</si>
  <si>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</si>
  <si>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</si>
  <si>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</si>
  <si>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</si>
  <si>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</si>
  <si>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</si>
  <si>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</si>
  <si>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</si>
  <si>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</si>
  <si>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</si>
  <si>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</si>
  <si>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</si>
  <si>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</si>
  <si>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</si>
  <si>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</si>
  <si>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</si>
  <si>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</si>
  <si>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</si>
  <si>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</si>
  <si>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</si>
  <si>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</si>
  <si>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</si>
  <si>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</si>
  <si>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</si>
  <si>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</si>
  <si>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</si>
  <si>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</si>
  <si>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</si>
  <si>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</si>
  <si>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</si>
  <si>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</si>
  <si>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</si>
  <si>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</si>
  <si>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</si>
  <si>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</si>
  <si>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</si>
  <si>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</si>
  <si>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</si>
  <si>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</si>
  <si>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</si>
  <si>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</si>
  <si>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</si>
  <si>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</si>
  <si>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</si>
  <si>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</si>
  <si>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</si>
  <si>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</si>
  <si>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</si>
  <si>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</si>
  <si>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</si>
  <si>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</si>
  <si>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</si>
  <si>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</si>
  <si>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</si>
  <si>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</si>
  <si>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</si>
  <si>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</si>
  <si>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ХК "СДС - 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</si>
  <si>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</si>
  <si>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</si>
  <si>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Холдинговая компания "СДС - Энерго"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</si>
  <si>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</si>
  <si>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</si>
  <si>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</si>
  <si>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</si>
  <si>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</si>
  <si>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</si>
  <si>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1064250010241</t>
  </si>
  <si>
    <t>19.27.0.</t>
  </si>
  <si>
    <t>Идентификационный номер налогоплательщика (ИНН)</t>
  </si>
  <si>
    <t>4250003450</t>
  </si>
  <si>
    <t>19.2.0.</t>
  </si>
  <si>
    <t>Код причины постановки на учет (КПП)</t>
  </si>
  <si>
    <t>420501001</t>
  </si>
  <si>
    <t>19.3.0.</t>
  </si>
  <si>
    <t>Код по общероссийскому классификатору предприятию и организаций (ОКПО)</t>
  </si>
  <si>
    <t>95376720</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</si>
  <si>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</si>
  <si>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</si>
  <si>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</si>
  <si>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</si>
  <si>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</si>
  <si>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</si>
  <si>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</si>
  <si>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650066, г. Кемерово, пр. Октябрьский, д. 53/2, оф. 401</t>
  </si>
  <si>
    <t>L2_9</t>
  </si>
  <si>
    <t>19.60.0.</t>
  </si>
  <si>
    <t>Фактический адрес</t>
  </si>
  <si>
    <t>L2_10</t>
  </si>
  <si>
    <t>19.75.0.</t>
  </si>
  <si>
    <t>Телефон организации</t>
  </si>
  <si>
    <t>+7(3842) 57-42-02</t>
  </si>
  <si>
    <t>L2_11</t>
  </si>
  <si>
    <t>19.63.0.</t>
  </si>
  <si>
    <t>Адрес электронной почты юридического лица (индивидуального предпринимателя)</t>
  </si>
  <si>
    <t>office@sdsenergo.ru</t>
  </si>
  <si>
    <t>L2_12</t>
  </si>
  <si>
    <t>19.65.0.</t>
  </si>
  <si>
    <t>Фамилия, имя, отчество руководителя</t>
  </si>
  <si>
    <t>Чупахин Евгений Валентинович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</si>
  <si>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</si>
  <si>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</si>
  <si>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</si>
  <si>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</si>
  <si>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</si>
  <si>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</si>
  <si>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</si>
  <si>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www.sdsenergo.ru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</si>
  <si>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</si>
  <si>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</si>
  <si>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</si>
  <si>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</si>
  <si>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</si>
  <si>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</si>
  <si>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</si>
  <si>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</si>
  <si>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</si>
  <si>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</si>
  <si>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</si>
  <si>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</si>
  <si>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</si>
  <si>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</si>
  <si>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</si>
  <si>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</si>
  <si>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</si>
  <si>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</si>
  <si>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</si>
  <si>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</si>
  <si>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</si>
  <si>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</si>
  <si>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</si>
  <si>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</si>
  <si>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</si>
  <si>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</si>
  <si>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</si>
  <si>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</si>
  <si>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</si>
  <si>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</si>
  <si>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</si>
  <si>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</si>
  <si>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</si>
  <si>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</si>
  <si>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</si>
  <si>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</si>
  <si>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</si>
  <si>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</si>
  <si>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</si>
  <si>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</si>
  <si>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</si>
  <si>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</si>
  <si>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 энергоснабжения и повышения энергетической эффективности Междуреченской котельной ООО ХК "СДС-Энерго" на 2024-2028 годы</t>
  </si>
  <si>
    <t>65.10.0.</t>
  </si>
  <si>
    <t>Вид</t>
  </si>
  <si>
    <t>решение</t>
  </si>
  <si>
    <t>65.8.0.</t>
  </si>
  <si>
    <t>Номер (при наличии)</t>
  </si>
  <si>
    <t>65.11.0.</t>
  </si>
  <si>
    <t>Дата принятия</t>
  </si>
  <si>
    <t>65.9.0.</t>
  </si>
  <si>
    <t>https://portal.eias.ru/Portal/DownloadPage.aspx?type=12&amp;guid=34868839-3944-4c27-9e28-7fa3f71444c5</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</si>
  <si>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</si>
  <si>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</si>
  <si>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</si>
  <si>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</si>
  <si>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</si>
  <si>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</si>
  <si>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</si>
  <si>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</si>
  <si>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</si>
  <si>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</si>
  <si>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</si>
  <si>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
  </si>
  <si>
    <t>HAS_DOC5</t>
  </si>
  <si>
    <t>L4_10</t>
  </si>
  <si>
    <t>334.0.1.</t>
  </si>
  <si>
    <t>26.0.4.</t>
  </si>
  <si>
    <t>Об утверждении ООО ХК "СДС-Энерго" инвестиционной программы в сфере теплоснабжения на 2024-2028 годы</t>
  </si>
  <si>
    <t>постановление</t>
  </si>
  <si>
    <t>234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</si>
  <si>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</si>
  <si>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</si>
  <si>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</si>
  <si>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</si>
  <si>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</si>
  <si>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</si>
  <si>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</si>
  <si>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 xml:space="preserve">О ВНЕСЕНИИ ИЗМЕНЕНИЙ В ПОСТАНОВЛЕНИЕ РЕГИОНАЛЬНОЙ ЭНЕРГЕТИЧЕСКОЙ КОМИССИИ КУЗБАССА
ОТ 03.11.2023 N 234 "ОБ УТВЕРЖДЕНИИ ООО ХК "СДС - ЭНЕРГО" ИНВЕСТИЦИОННОЙ ПРОГРАММЫ В СФЕРЕ ТЕПЛОСНАБЖЕНИЯ НА 2024 - 2028 ГОДЫ" </t>
  </si>
  <si>
    <t>356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</si>
  <si>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</si>
  <si>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</si>
  <si>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</si>
  <si>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</si>
  <si>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</si>
  <si>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</si>
  <si>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</si>
  <si>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</si>
  <si>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</si>
  <si>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</si>
  <si>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</si>
  <si>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</si>
  <si>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</si>
  <si>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</si>
  <si>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</si>
  <si>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</si>
  <si>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</si>
  <si>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</si>
  <si>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</si>
  <si>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</si>
  <si>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</si>
  <si>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</si>
  <si>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</si>
  <si>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</si>
  <si>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</si>
  <si>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</si>
  <si>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</si>
  <si>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</si>
  <si>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</si>
  <si>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</si>
  <si>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</si>
  <si>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</si>
  <si>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</si>
  <si>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</si>
  <si>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</si>
  <si>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</si>
  <si>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</si>
  <si>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</si>
  <si>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</si>
  <si>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</si>
  <si>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</si>
  <si>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</si>
  <si>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</si>
  <si>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</si>
  <si>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448</t>
  </si>
  <si>
    <t>L6_3</t>
  </si>
  <si>
    <t>L6_4</t>
  </si>
  <si>
    <t>ТЭ.42.27968109.0001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</si>
  <si>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</si>
  <si>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</si>
  <si>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</si>
  <si>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</si>
  <si>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</si>
  <si>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</si>
  <si>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</si>
  <si>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</si>
  <si>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</si>
  <si>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</si>
  <si>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</si>
  <si>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</si>
  <si>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</si>
  <si>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</si>
  <si>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</si>
  <si>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</si>
  <si>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</si>
  <si>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</si>
  <si>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</si>
  <si>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</si>
  <si>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</si>
  <si>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</si>
  <si>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</si>
  <si>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</si>
  <si>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</si>
  <si>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</si>
  <si>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</si>
  <si>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</si>
  <si>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</si>
  <si>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</si>
  <si>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</si>
  <si>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</si>
  <si>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</si>
  <si>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</si>
  <si>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</si>
  <si>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</si>
  <si>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</si>
  <si>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РЭК/14-СДС-Энерго-2026 от 23.04.2025</t>
  </si>
  <si>
    <t>L7_2</t>
  </si>
  <si>
    <t>325.1.0.</t>
  </si>
  <si>
    <t>ФИО уполномоченного по делу</t>
  </si>
  <si>
    <t>Малиновская Т.С.</t>
  </si>
  <si>
    <t>L7_3</t>
  </si>
  <si>
    <t>325.2.0.</t>
  </si>
  <si>
    <t>Должность уполномоченного по делу</t>
  </si>
  <si>
    <t>консультант</t>
  </si>
  <si>
    <t>L7_4</t>
  </si>
  <si>
    <t>325.3.0.</t>
  </si>
  <si>
    <t>Контактный телефон уполномоченного по делу</t>
  </si>
  <si>
    <t>+7(3842)36-67-47</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</si>
  <si>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</si>
  <si>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</si>
  <si>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</si>
  <si>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</si>
  <si>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</si>
  <si>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</si>
  <si>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</si>
  <si>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</si>
  <si>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</si>
  <si>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</si>
  <si>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</si>
  <si>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</si>
  <si>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</si>
  <si>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</si>
  <si>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</si>
  <si>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</si>
  <si>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</si>
  <si>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</si>
  <si>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</si>
  <si>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</si>
  <si>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</si>
  <si>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</si>
  <si>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</si>
  <si>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</si>
  <si>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</si>
  <si>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</si>
  <si>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</si>
  <si>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</si>
  <si>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</si>
  <si>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</si>
  <si>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</si>
  <si>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</si>
  <si>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</si>
  <si>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</si>
  <si>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</si>
  <si>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Междуреченский муниципальный округ</t>
  </si>
  <si>
    <t>32517000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</si>
  <si>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</si>
  <si>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</si>
  <si>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</si>
  <si>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</si>
  <si>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</si>
  <si>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</si>
  <si>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</si>
  <si>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</si>
  <si>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</si>
  <si>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</si>
  <si>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</si>
  <si>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</si>
  <si>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</si>
  <si>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</si>
  <si>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</si>
  <si>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</si>
  <si>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</si>
  <si>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</si>
  <si>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</si>
  <si>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</si>
  <si>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</si>
  <si>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Бесхозные тепловые сети принятые в эксплуатацию</t>
  </si>
  <si>
    <t>г Междуреченск, от внешней границы жилого дома по ул. Вокзадьная 106, 10 до ТК-59; от внешней границы жилого дома по ул. Вокзальная 102 до ТК-52, от внешней границы жилого дома по ул. Вокзадьная 106, 10 до ТК-59; от внешней границы жилого дома по ул. Вокзальная 102 до ТК-52</t>
  </si>
  <si>
    <t>бесхозяйный объект</t>
  </si>
  <si>
    <t>№496-п</t>
  </si>
  <si>
    <t>16.03.2020</t>
  </si>
  <si>
    <t>г Междуреченск, от внешней границы жилого дома по ул. Октябрьская, 10 до ТК-9; от внешней границы жилого дома по ул. Октябрьская, 8 до ТК-11, от внешней границы жилого дома по ул. Октябрьская, 10 до ТК-9; от внешней границы жилого дома по ул. Октябрьская, 8 до ТК-11</t>
  </si>
  <si>
    <t>2</t>
  </si>
  <si>
    <t>№2879-п</t>
  </si>
  <si>
    <t>17.12.2019</t>
  </si>
  <si>
    <t>Арендованные тепловые сети</t>
  </si>
  <si>
    <t>г Междуреченск, от ТК-6 у ул. Дзержинского, 12 до ТК-10 у ул. Дзержинского, 4; от ЦТП 46 до ул. Дзержинского, 18, от ТК-6 у ул. Дзержинского, 12 до ТК-10 у ул. Дзержинского, 4; от ЦТП 46 до ул. Дзержинского, 18</t>
  </si>
  <si>
    <t>3</t>
  </si>
  <si>
    <t>договор эксплуатации</t>
  </si>
  <si>
    <t>договор</t>
  </si>
  <si>
    <t>№А-08/2017</t>
  </si>
  <si>
    <t>01.07.2017</t>
  </si>
  <si>
    <t>г Междуреченск, от ТК-6 у ул. Октябрьская до школы №25; от Тк-10 у ул. Октябрьская,10 до ТК-12 у ул. Пушкина,37; от ТК-12 у ул. Пушкина,37 до ул. Пушкина,35,39;от ТК-12 у ул. Пушкина,39 до ул. Пушкина,31, от ТК-6 у ул. Октябрьская до школы №25; от Тк-10 у ул. Октябрьская,10 до ТК-12 у ул. Пушкина,37; от ТК-12 у ул. Пушкина,37 до ул. Пушкина,35,39;от ТК-12 у ул. Пушкина,39 до ул. Пушкина,31</t>
  </si>
  <si>
    <t>4</t>
  </si>
  <si>
    <t>№А-04/2019</t>
  </si>
  <si>
    <t>01.09.2019</t>
  </si>
  <si>
    <t>г Междуреченск,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t>
  </si>
  <si>
    <t>5</t>
  </si>
  <si>
    <t>№А-02/2020</t>
  </si>
  <si>
    <t>01.08.2020</t>
  </si>
  <si>
    <t>г Междуреченск, ул. Дзержинского, ул. Пушкина, ул. Дзержинского, ул. Пушкина</t>
  </si>
  <si>
    <t>6</t>
  </si>
  <si>
    <t>№2038-п</t>
  </si>
  <si>
    <t>13.09.2019</t>
  </si>
  <si>
    <t>г Междуреченск, ул. Интернациональная; ул. Вокзальная; ул. Пушкина, ул. Интернациональная; ул. Вокзальная; ул. Пушкина</t>
  </si>
  <si>
    <t>7</t>
  </si>
  <si>
    <t>акт приёма-передачи</t>
  </si>
  <si>
    <t>Акт №1; Акт №2; Акт №3</t>
  </si>
  <si>
    <t>18.08.2017</t>
  </si>
  <si>
    <t>Междуреченская котельная ООО ХК "СДС-Энерго</t>
  </si>
  <si>
    <t>г Междуреченск, уч-к. 65 км пикеты 8-10 ст.Междуреченск, уч-к. 65 км пикеты 8-10 ст.Междуреченск</t>
  </si>
  <si>
    <t>8</t>
  </si>
  <si>
    <t>собственность</t>
  </si>
  <si>
    <t>свидетельство</t>
  </si>
  <si>
    <t>1) 42АД 528819
2) 42АД 528820
3) 42-АД 060548</t>
  </si>
  <si>
    <t>24.03.2014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</si>
  <si>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</si>
  <si>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</si>
  <si>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</si>
  <si>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</si>
  <si>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</si>
  <si>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</si>
  <si>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</si>
  <si>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</si>
  <si>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</si>
  <si>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</si>
  <si>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</si>
  <si>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</si>
  <si>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</si>
  <si>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</si>
  <si>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</si>
  <si>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</si>
  <si>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</si>
  <si>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</si>
  <si>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</si>
  <si>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</si>
  <si>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</si>
  <si>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</si>
  <si>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</si>
  <si>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</si>
  <si>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</si>
  <si>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</si>
  <si>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</si>
  <si>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</si>
  <si>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</si>
  <si>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</si>
  <si>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</si>
  <si>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</si>
  <si>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</si>
  <si>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</si>
  <si>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</si>
  <si>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</si>
  <si>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</si>
  <si>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</si>
  <si>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</si>
  <si>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</si>
  <si>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</si>
  <si>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</si>
  <si>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</si>
  <si>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</si>
  <si>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</si>
  <si>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</si>
  <si>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</si>
  <si>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</si>
  <si>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</si>
  <si>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</si>
  <si>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</si>
  <si>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</si>
  <si>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</si>
  <si>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</si>
  <si>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</si>
  <si>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</si>
  <si>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</si>
  <si>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</si>
  <si>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</si>
  <si>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</si>
  <si>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</si>
  <si>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</si>
  <si>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</si>
  <si>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</si>
  <si>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</si>
  <si>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</si>
  <si>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</si>
  <si>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</si>
  <si>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</si>
  <si>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</si>
  <si>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</si>
  <si>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</si>
  <si>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</si>
  <si>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</si>
  <si>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</si>
  <si>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</si>
  <si>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</si>
  <si>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</si>
  <si>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</si>
  <si>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</si>
  <si>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</si>
  <si>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</si>
  <si>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</si>
  <si>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</si>
  <si>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</si>
  <si>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</si>
  <si>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</si>
  <si>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</si>
  <si>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</si>
  <si>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</si>
  <si>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</si>
  <si>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</si>
  <si>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</si>
  <si>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</si>
  <si>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</si>
  <si>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</si>
  <si>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</si>
  <si>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</si>
  <si>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</si>
  <si>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</si>
  <si>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</si>
  <si>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</si>
  <si>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</si>
  <si>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</si>
  <si>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</si>
  <si>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</si>
  <si>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</si>
  <si>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</si>
  <si>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</si>
  <si>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</si>
  <si>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</si>
  <si>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</si>
  <si>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</si>
  <si>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</si>
  <si>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</si>
  <si>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</si>
  <si>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</si>
  <si>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</si>
  <si>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</si>
  <si>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</si>
  <si>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</si>
  <si>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</si>
  <si>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</si>
  <si>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</si>
  <si>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</si>
  <si>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</si>
  <si>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</si>
  <si>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</si>
  <si>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</si>
  <si>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</si>
  <si>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</si>
  <si>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</si>
  <si>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</si>
  <si>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</si>
  <si>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</si>
  <si>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</si>
  <si>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</si>
  <si>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</si>
  <si>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</si>
  <si>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</si>
  <si>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</si>
  <si>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</si>
  <si>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</si>
  <si>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</si>
  <si>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</si>
  <si>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</si>
  <si>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</si>
  <si>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</si>
  <si>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</si>
  <si>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</si>
  <si>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</si>
  <si>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</si>
  <si>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</si>
  <si>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</si>
  <si>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</si>
  <si>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</si>
  <si>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</si>
  <si>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</si>
  <si>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</si>
  <si>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</si>
  <si>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</si>
  <si>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</si>
  <si>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</si>
  <si>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</si>
  <si>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</si>
  <si>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</si>
  <si>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</si>
  <si>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</si>
  <si>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</si>
  <si>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</si>
  <si>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</si>
  <si>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</si>
  <si>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</si>
  <si>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</si>
  <si>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</si>
  <si>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</si>
  <si>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</si>
  <si>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</si>
  <si>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</si>
  <si>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</si>
  <si>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</si>
  <si>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</si>
  <si>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</si>
  <si>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</si>
  <si>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</si>
  <si>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</si>
  <si>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</si>
  <si>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</si>
  <si>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</si>
  <si>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</si>
  <si>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</si>
  <si>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</si>
  <si>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</si>
  <si>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</si>
  <si>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</si>
  <si>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</si>
  <si>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</si>
  <si>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</si>
  <si>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</si>
  <si>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</si>
  <si>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</si>
  <si>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</si>
  <si>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</si>
  <si>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</si>
  <si>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</si>
  <si>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</si>
  <si>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</si>
  <si>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</si>
  <si>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</si>
  <si>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</si>
  <si>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</si>
  <si>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</si>
  <si>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</si>
  <si>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</si>
  <si>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</si>
  <si>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</si>
  <si>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</si>
  <si>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</si>
  <si>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</si>
  <si>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</si>
  <si>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</si>
  <si>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</si>
  <si>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</si>
  <si>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</si>
  <si>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</si>
  <si>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</si>
  <si>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</si>
  <si>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</si>
  <si>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</si>
  <si>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</si>
  <si>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</si>
  <si>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</si>
  <si>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</si>
  <si>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</si>
  <si>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</si>
  <si>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</si>
  <si>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</si>
  <si>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</si>
  <si>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</si>
  <si>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</si>
  <si>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</si>
  <si>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</si>
  <si>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</si>
  <si>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</si>
  <si>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</si>
  <si>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</si>
  <si>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</si>
  <si>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</si>
  <si>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</si>
  <si>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</si>
  <si>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</si>
  <si>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</si>
  <si>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</si>
  <si>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</si>
  <si>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</si>
  <si>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</si>
  <si>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</si>
  <si>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</si>
  <si>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</si>
  <si>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</si>
  <si>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</si>
  <si>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</si>
  <si>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</si>
  <si>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</si>
  <si>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</si>
  <si>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</si>
  <si>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</si>
  <si>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</si>
  <si>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</si>
  <si>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</si>
  <si>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</si>
  <si>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</si>
  <si>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</si>
  <si>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</si>
  <si>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</si>
  <si>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</si>
  <si>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</si>
  <si>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</si>
  <si>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</si>
  <si>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</si>
  <si>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</si>
  <si>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</si>
  <si>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</si>
  <si>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</si>
  <si>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</si>
  <si>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</si>
  <si>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</si>
  <si>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</si>
  <si>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</si>
  <si>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</si>
  <si>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</si>
  <si>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</si>
  <si>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</si>
  <si>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</si>
  <si>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</si>
  <si>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</si>
  <si>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</si>
  <si>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</si>
  <si>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</si>
  <si>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</si>
  <si>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</si>
  <si>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</si>
  <si>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</si>
  <si>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</si>
  <si>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</si>
  <si>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</si>
  <si>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</si>
  <si>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</si>
  <si>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</si>
  <si>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</si>
  <si>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</si>
  <si>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</si>
  <si>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</si>
  <si>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</si>
  <si>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</si>
  <si>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</si>
  <si>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</si>
  <si>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</si>
  <si>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</si>
  <si>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</si>
  <si>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</si>
  <si>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</si>
  <si>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</si>
  <si>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</si>
  <si>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</si>
  <si>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</si>
  <si>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</si>
  <si>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</si>
  <si>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</si>
  <si>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</si>
  <si>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</si>
  <si>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</si>
  <si>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</si>
  <si>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</si>
  <si>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</si>
  <si>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</si>
  <si>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</si>
  <si>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</si>
  <si>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</si>
  <si>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</si>
  <si>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</si>
  <si>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</si>
  <si>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</si>
  <si>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</si>
  <si>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</si>
  <si>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</si>
  <si>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</si>
  <si>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</si>
  <si>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</si>
  <si>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</si>
  <si>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</si>
  <si>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</si>
  <si>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</si>
  <si>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</si>
  <si>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</si>
  <si>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</si>
  <si>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</si>
  <si>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</si>
  <si>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</si>
  <si>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</si>
  <si>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</si>
  <si>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</si>
  <si>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</si>
  <si>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</si>
  <si>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</si>
  <si>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</si>
  <si>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</si>
  <si>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</si>
  <si>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</si>
  <si>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</si>
  <si>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</si>
  <si>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</si>
  <si>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</si>
  <si>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</si>
  <si>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</si>
  <si>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</si>
  <si>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</si>
  <si>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</si>
  <si>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</si>
  <si>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</si>
  <si>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</si>
  <si>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</si>
  <si>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</si>
  <si>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</si>
  <si>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</si>
  <si>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</si>
  <si>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</si>
  <si>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</si>
  <si>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</si>
  <si>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</si>
  <si>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</si>
  <si>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</si>
  <si>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</si>
  <si>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</si>
  <si>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</si>
  <si>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</si>
  <si>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</si>
  <si>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</si>
  <si>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</si>
  <si>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</si>
  <si>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</si>
  <si>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</si>
  <si>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</si>
  <si>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</si>
  <si>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</si>
  <si>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</si>
  <si>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</si>
  <si>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</si>
  <si>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</si>
  <si>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</si>
  <si>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</si>
  <si>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</si>
  <si>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</si>
  <si>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</si>
  <si>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</si>
  <si>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</si>
  <si>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</si>
  <si>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</si>
  <si>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</si>
  <si>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</si>
  <si>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</si>
  <si>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</si>
  <si>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</si>
  <si>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</si>
  <si>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</si>
  <si>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</si>
  <si>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</si>
  <si>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</si>
  <si>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</si>
  <si>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</si>
  <si>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</si>
  <si>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</si>
  <si>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</si>
  <si>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</si>
  <si>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</si>
  <si>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</si>
  <si>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</si>
  <si>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</si>
  <si>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</si>
  <si>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</si>
  <si>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</si>
  <si>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</si>
  <si>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</si>
  <si>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</si>
  <si>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</si>
  <si>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</si>
  <si>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</si>
  <si>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</si>
  <si>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</si>
  <si>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</si>
  <si>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</si>
  <si>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</si>
  <si>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</si>
  <si>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</si>
  <si>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</si>
  <si>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</si>
  <si>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</si>
  <si>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</si>
  <si>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</si>
  <si>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</si>
  <si>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</si>
  <si>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</si>
  <si>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</si>
  <si>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</si>
  <si>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</si>
  <si>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</si>
  <si>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</si>
  <si>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</si>
  <si>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</si>
  <si>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</si>
  <si>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</si>
  <si>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</si>
  <si>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</si>
  <si>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</si>
  <si>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</si>
  <si>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</si>
  <si>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</si>
  <si>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</si>
  <si>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</si>
  <si>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</si>
  <si>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</si>
  <si>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</si>
  <si>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</si>
  <si>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</si>
  <si>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</si>
  <si>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</si>
  <si>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</si>
  <si>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</si>
  <si>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</si>
  <si>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</si>
  <si>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</si>
  <si>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</si>
  <si>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</si>
  <si>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</si>
  <si>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</si>
  <si>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</si>
  <si>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</si>
  <si>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</si>
  <si>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</si>
  <si>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</si>
  <si>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</si>
  <si>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</si>
  <si>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</si>
  <si>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</si>
  <si>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</si>
  <si>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</si>
  <si>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</si>
  <si>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</si>
  <si>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</si>
  <si>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</si>
  <si>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</si>
  <si>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</si>
  <si>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</si>
  <si>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</si>
  <si>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</si>
  <si>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</si>
  <si>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</si>
  <si>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</si>
  <si>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</si>
  <si>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</si>
  <si>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</si>
  <si>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</si>
  <si>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</si>
  <si>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</si>
  <si>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</si>
  <si>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</si>
  <si>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</si>
  <si>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</si>
  <si>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</si>
  <si>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</si>
  <si>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</si>
  <si>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</si>
  <si>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</si>
  <si>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</si>
  <si>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</si>
  <si>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</si>
  <si>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</si>
  <si>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</si>
  <si>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</si>
  <si>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</si>
  <si>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</si>
  <si>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</si>
  <si>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</si>
  <si>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</si>
  <si>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</si>
  <si>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</si>
  <si>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</si>
  <si>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</si>
  <si>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</si>
  <si>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</si>
  <si>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</si>
  <si>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</si>
  <si>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</si>
  <si>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</si>
  <si>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</si>
  <si>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</si>
  <si>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</si>
  <si>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</si>
  <si>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</si>
  <si>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</si>
  <si>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</si>
  <si>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</si>
  <si>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</si>
  <si>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</si>
  <si>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</si>
  <si>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</si>
  <si>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</si>
  <si>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</si>
  <si>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</si>
  <si>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</si>
  <si>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</si>
  <si>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</si>
  <si>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</si>
  <si>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</si>
  <si>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</si>
  <si>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</si>
  <si>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"Междуреченский Водоканал"::4214040174::421401001</t>
  </si>
  <si>
    <t>ООО ХК "СДС - Энерго"::4250003450::420501001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</si>
  <si>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</si>
  <si>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</si>
  <si>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</si>
  <si>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</si>
  <si>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</si>
  <si>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</si>
  <si>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</si>
  <si>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</si>
  <si>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</si>
  <si>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</si>
  <si>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</si>
  <si>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</si>
  <si>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</si>
  <si>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</si>
  <si>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</si>
  <si>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</si>
  <si>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</si>
  <si>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</si>
  <si>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</si>
  <si>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</si>
  <si>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</si>
  <si>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</si>
  <si>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</si>
  <si>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</si>
  <si>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</si>
  <si>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</si>
  <si>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</si>
  <si>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</si>
  <si>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</si>
  <si>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</si>
  <si>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</si>
  <si>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</si>
  <si>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</si>
  <si>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</si>
  <si>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</si>
  <si>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</si>
  <si>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</si>
  <si>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</si>
  <si>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</si>
  <si>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</si>
  <si>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</si>
  <si>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</si>
  <si>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</si>
  <si>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</si>
  <si>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</si>
  <si>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</si>
  <si>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</si>
  <si>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</si>
  <si>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</si>
  <si>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</si>
  <si>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</si>
  <si>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</si>
  <si>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</si>
  <si>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</si>
  <si>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</si>
  <si>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</si>
  <si>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</si>
  <si>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</si>
  <si>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</si>
  <si>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</si>
  <si>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</si>
  <si>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</si>
  <si>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</si>
  <si>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</si>
  <si>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</si>
  <si>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</si>
  <si>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</si>
  <si>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</si>
  <si>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</si>
  <si>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</si>
  <si>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</si>
  <si>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</si>
  <si>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</si>
  <si>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</si>
  <si>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</si>
  <si>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</si>
  <si>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</si>
  <si>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</si>
  <si>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</si>
  <si>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</si>
  <si>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</si>
  <si>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</si>
  <si>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</si>
  <si>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</si>
  <si>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</si>
  <si>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</si>
  <si>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</si>
  <si>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</si>
  <si>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</si>
  <si>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</si>
  <si>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</si>
  <si>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</si>
  <si>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</si>
  <si>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</si>
  <si>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</si>
  <si>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</si>
  <si>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</si>
  <si>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</si>
  <si>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</si>
  <si>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</si>
  <si>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</si>
  <si>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</si>
  <si>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</si>
  <si>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</si>
  <si>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</si>
  <si>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</si>
  <si>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</si>
  <si>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</si>
  <si>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</si>
  <si>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</si>
  <si>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</si>
  <si>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</si>
  <si>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</si>
  <si>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</si>
  <si>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</si>
  <si>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</si>
  <si>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</si>
  <si>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</si>
  <si>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</si>
  <si>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</si>
  <si>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</si>
  <si>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</si>
  <si>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</si>
  <si>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</si>
  <si>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</si>
  <si>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</si>
  <si>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</si>
  <si>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</si>
  <si>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</si>
  <si>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</si>
  <si>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</si>
  <si>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</si>
  <si>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</si>
  <si>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</si>
  <si>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</si>
  <si>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</si>
  <si>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</si>
  <si>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</si>
  <si>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</si>
  <si>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</si>
  <si>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</si>
  <si>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</si>
  <si>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</si>
  <si>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</si>
  <si>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</si>
  <si>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</si>
  <si>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</si>
  <si>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</si>
  <si>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</si>
  <si>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</si>
  <si>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</si>
  <si>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</si>
  <si>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</si>
  <si>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</si>
  <si>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</si>
  <si>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</si>
  <si>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</si>
  <si>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</si>
  <si>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</si>
  <si>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</si>
  <si>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</si>
  <si>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</si>
  <si>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</si>
  <si>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</si>
  <si>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</si>
  <si>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</si>
  <si>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</si>
  <si>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</si>
  <si>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</si>
  <si>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</si>
  <si>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</si>
  <si>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</si>
  <si>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</si>
  <si>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</si>
  <si>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</si>
  <si>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</si>
  <si>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</si>
  <si>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</si>
  <si>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</si>
  <si>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</si>
  <si>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</si>
  <si>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</si>
  <si>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</si>
  <si>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</si>
  <si>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</si>
  <si>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</si>
  <si>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</si>
  <si>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руб./м3</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</si>
  <si>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</si>
  <si>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</si>
  <si>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</si>
  <si>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</si>
  <si>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</si>
  <si>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</si>
  <si>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</si>
  <si>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</si>
  <si>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</si>
  <si>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</si>
  <si>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</si>
  <si>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</si>
  <si>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</si>
  <si>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</si>
  <si>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</si>
  <si>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</si>
  <si>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</si>
  <si>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</si>
  <si>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</si>
  <si>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</si>
  <si>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</si>
  <si>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</si>
  <si>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</si>
  <si>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</si>
  <si>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</si>
  <si>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</si>
  <si>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</si>
  <si>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</si>
  <si>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</si>
  <si>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</si>
  <si>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</si>
  <si>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</si>
  <si>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</si>
  <si>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</si>
  <si>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</si>
  <si>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</si>
  <si>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</si>
  <si>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</si>
  <si>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</si>
  <si>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</si>
  <si>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</si>
  <si>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</si>
  <si>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</si>
  <si>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</si>
  <si>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</si>
  <si>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</si>
  <si>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</si>
  <si>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</si>
  <si>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</si>
  <si>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</si>
  <si>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</si>
  <si>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</si>
  <si>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</si>
  <si>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</si>
  <si>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</si>
  <si>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</si>
  <si>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</si>
  <si>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</si>
  <si>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</si>
  <si>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</si>
  <si>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</si>
  <si>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</si>
  <si>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</si>
  <si>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</si>
  <si>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</si>
  <si>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</si>
  <si>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</si>
  <si>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</si>
  <si>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Госпошлина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</si>
  <si>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</si>
  <si>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</si>
  <si>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</si>
  <si>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</si>
  <si>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</si>
  <si>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</si>
  <si>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</si>
  <si>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</si>
  <si>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</si>
  <si>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</si>
  <si>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</si>
  <si>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</si>
  <si>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</si>
  <si>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</si>
  <si>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</si>
  <si>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</si>
  <si>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</si>
  <si>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</si>
  <si>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</si>
  <si>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</si>
  <si>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</si>
  <si>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</si>
  <si>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</si>
  <si>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</si>
  <si>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</si>
  <si>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</si>
  <si>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</si>
  <si>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</si>
  <si>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</si>
  <si>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</si>
  <si>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</si>
  <si>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</si>
  <si>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</si>
  <si>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</si>
  <si>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</si>
  <si>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</si>
  <si>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</si>
  <si>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</si>
  <si>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</si>
  <si>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</si>
  <si>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</si>
  <si>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</si>
  <si>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</si>
  <si>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</si>
  <si>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</si>
  <si>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</si>
  <si>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</si>
  <si>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</si>
  <si>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</si>
  <si>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</si>
  <si>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</si>
  <si>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</si>
  <si>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</si>
  <si>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</si>
  <si>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</si>
  <si>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</si>
  <si>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</si>
  <si>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</si>
  <si>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</si>
  <si>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</si>
  <si>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</si>
  <si>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</si>
  <si>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</si>
  <si>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</si>
  <si>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</si>
  <si>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</si>
  <si>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</si>
  <si>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</si>
  <si>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</si>
  <si>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</si>
  <si>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</si>
  <si>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</si>
  <si>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</si>
  <si>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</si>
  <si>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</si>
  <si>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</si>
  <si>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</si>
  <si>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</si>
  <si>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</si>
  <si>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</si>
  <si>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</si>
  <si>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</si>
  <si>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</si>
  <si>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</si>
  <si>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</si>
  <si>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</si>
  <si>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</si>
  <si>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</si>
  <si>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</si>
  <si>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</si>
  <si>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</si>
  <si>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</si>
  <si>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</si>
  <si>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</si>
  <si>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</si>
  <si>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</si>
  <si>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</si>
  <si>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</si>
  <si>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</si>
  <si>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</si>
  <si>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</si>
  <si>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</si>
  <si>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</si>
  <si>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</si>
  <si>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</si>
  <si>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</si>
  <si>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</si>
  <si>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</si>
  <si>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</si>
  <si>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</si>
  <si>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</si>
  <si>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</si>
  <si>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</si>
  <si>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</si>
  <si>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</si>
  <si>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</si>
  <si>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</si>
  <si>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</si>
  <si>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</si>
  <si>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</si>
  <si>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</si>
  <si>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</si>
  <si>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</si>
  <si>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</si>
  <si>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</si>
  <si>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</si>
  <si>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</si>
  <si>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</si>
  <si>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</si>
  <si>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</si>
  <si>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</si>
  <si>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</si>
  <si>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</si>
  <si>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</si>
  <si>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</si>
  <si>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</si>
  <si>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</si>
  <si>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</si>
  <si>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</si>
  <si>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</si>
  <si>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</si>
  <si>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</si>
  <si>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</si>
  <si>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</si>
  <si>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</si>
  <si>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</si>
  <si>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</si>
  <si>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</si>
  <si>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</si>
  <si>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</si>
  <si>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</si>
  <si>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</si>
  <si>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</si>
  <si>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</si>
  <si>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</si>
  <si>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</si>
  <si>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</si>
  <si>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</si>
  <si>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</si>
  <si>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</si>
  <si>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</si>
  <si>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</si>
  <si>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</si>
  <si>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</si>
  <si>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</si>
  <si>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</si>
  <si>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</si>
  <si>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</si>
  <si>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</si>
  <si>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</si>
  <si>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</si>
  <si>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</si>
  <si>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</si>
  <si>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</si>
  <si>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</si>
  <si>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</si>
  <si>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</si>
  <si>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</si>
  <si>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</si>
  <si>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</si>
  <si>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</si>
  <si>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</si>
  <si>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</si>
  <si>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</si>
  <si>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</si>
  <si>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</si>
  <si>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</si>
  <si>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</si>
  <si>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</si>
  <si>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</si>
  <si>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</si>
  <si>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</si>
  <si>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</si>
  <si>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</si>
  <si>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</si>
  <si>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</si>
  <si>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</si>
  <si>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</si>
  <si>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</si>
  <si>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</si>
  <si>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</si>
  <si>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</si>
  <si>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</si>
  <si>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</si>
  <si>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</si>
  <si>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</si>
  <si>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</si>
  <si>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</si>
  <si>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</si>
  <si>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</si>
  <si>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</si>
  <si>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</si>
  <si>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</si>
  <si>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</si>
  <si>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</si>
  <si>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</si>
  <si>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</si>
  <si>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</si>
  <si>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</si>
  <si>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</si>
  <si>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</si>
  <si>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</si>
  <si>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</si>
  <si>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</si>
  <si>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</si>
  <si>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</si>
  <si>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</si>
  <si>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</si>
  <si>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</si>
  <si>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</si>
  <si>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</si>
  <si>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</si>
  <si>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</si>
  <si>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</si>
  <si>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</si>
  <si>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</si>
  <si>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</si>
  <si>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</si>
  <si>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</si>
  <si>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</si>
  <si>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</si>
  <si>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</si>
  <si>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</si>
  <si>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</si>
  <si>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</si>
  <si>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</si>
  <si>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</si>
  <si>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</si>
  <si>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</si>
  <si>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</si>
  <si>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</si>
  <si>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</si>
  <si>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</si>
  <si>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</si>
  <si>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</si>
  <si>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</si>
  <si>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</si>
  <si>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</si>
  <si>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</si>
  <si>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</si>
  <si>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</si>
  <si>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</si>
  <si>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</si>
  <si>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</si>
  <si>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</si>
  <si>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</si>
  <si>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</si>
  <si>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</si>
  <si>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</si>
  <si>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</si>
  <si>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</si>
  <si>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</si>
  <si>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</si>
  <si>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</si>
  <si>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</si>
  <si>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</si>
  <si>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</si>
  <si>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</si>
  <si>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</si>
  <si>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</si>
  <si>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</si>
  <si>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</si>
  <si>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</si>
  <si>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</si>
  <si>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</si>
  <si>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</si>
  <si>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</si>
  <si>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</si>
  <si>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</si>
  <si>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</si>
  <si>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</si>
  <si>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</si>
  <si>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</si>
  <si>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</si>
  <si>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</si>
  <si>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</si>
  <si>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</si>
  <si>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</si>
  <si>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</si>
  <si>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</si>
  <si>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</si>
  <si>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</si>
  <si>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</si>
  <si>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</si>
  <si>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</si>
  <si>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</si>
  <si>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</si>
  <si>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</si>
  <si>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</si>
  <si>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</si>
  <si>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</si>
  <si>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</si>
  <si>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</si>
  <si>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</si>
  <si>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</si>
  <si>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</si>
  <si>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</si>
  <si>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</si>
  <si>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</si>
  <si>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</si>
  <si>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</si>
  <si>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</si>
  <si>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</si>
  <si>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</si>
  <si>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</si>
  <si>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</si>
  <si>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</si>
  <si>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</si>
  <si>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</si>
  <si>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</si>
  <si>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</si>
  <si>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</si>
  <si>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</si>
  <si>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</si>
  <si>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</si>
  <si>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</si>
  <si>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</si>
  <si>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</si>
  <si>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</si>
  <si>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</si>
  <si>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</si>
  <si>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</si>
  <si>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</si>
  <si>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</si>
  <si>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</si>
  <si>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</si>
  <si>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</si>
  <si>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</si>
  <si>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</si>
  <si>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</si>
  <si>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</si>
  <si>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</si>
  <si>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</si>
  <si>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</si>
  <si>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</si>
  <si>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</si>
  <si>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</si>
  <si>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</si>
  <si>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</si>
  <si>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</si>
  <si>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</si>
  <si>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</si>
  <si>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</si>
  <si>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</si>
  <si>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</si>
  <si>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</si>
  <si>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</si>
  <si>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</si>
  <si>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</si>
  <si>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</si>
  <si>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</si>
  <si>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</si>
  <si>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</si>
  <si>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</si>
  <si>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</si>
  <si>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</si>
  <si>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</si>
  <si>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</si>
  <si>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</si>
  <si>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</si>
  <si>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</si>
  <si>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</si>
  <si>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</si>
  <si>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</si>
  <si>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</si>
  <si>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</si>
  <si>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</si>
  <si>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</si>
  <si>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</si>
  <si>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</si>
  <si>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</si>
  <si>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</si>
  <si>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</si>
  <si>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</si>
  <si>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</si>
  <si>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</si>
  <si>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</si>
  <si>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</si>
  <si>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</si>
  <si>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</si>
  <si>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</si>
  <si>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</si>
  <si>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</si>
  <si>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</si>
  <si>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</si>
  <si>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</si>
  <si>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</si>
  <si>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</si>
  <si>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</si>
  <si>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</si>
  <si>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</si>
  <si>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</si>
  <si>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</si>
  <si>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</si>
  <si>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</si>
  <si>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</si>
  <si>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</si>
  <si>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</si>
  <si>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</si>
  <si>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</si>
  <si>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</si>
  <si>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</si>
  <si>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</si>
  <si>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</si>
  <si>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</si>
  <si>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</si>
  <si>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</si>
  <si>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</si>
  <si>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</si>
  <si>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</si>
  <si>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</si>
  <si>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</si>
  <si>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</si>
  <si>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</si>
  <si>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</si>
  <si>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</si>
  <si>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</si>
  <si>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</si>
  <si>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</si>
  <si>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</si>
  <si>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</si>
  <si>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</si>
  <si>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</si>
  <si>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</si>
  <si>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</si>
  <si>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</si>
  <si>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</si>
  <si>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</si>
  <si>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</si>
  <si>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</si>
  <si>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</si>
  <si>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</si>
  <si>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</si>
  <si>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</si>
  <si>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</si>
  <si>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</si>
  <si>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</si>
  <si>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</si>
  <si>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</si>
  <si>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</si>
  <si>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</si>
  <si>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</si>
  <si>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</si>
  <si>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</si>
  <si>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</si>
  <si>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</si>
  <si>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</si>
  <si>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</si>
  <si>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</si>
  <si>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</si>
  <si>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</si>
  <si>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</si>
  <si>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</si>
  <si>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</si>
  <si>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</si>
  <si>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</si>
  <si>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</si>
  <si>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</si>
  <si>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</si>
  <si>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</si>
  <si>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</si>
  <si>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</si>
  <si>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</si>
  <si>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</si>
  <si>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</si>
  <si>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</si>
  <si>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</si>
  <si>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</si>
  <si>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</si>
  <si>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</si>
  <si>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</si>
  <si>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</si>
  <si>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</si>
  <si>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</si>
  <si>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</si>
  <si>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</si>
  <si>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</si>
  <si>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</si>
  <si>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</si>
  <si>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</si>
  <si>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</si>
  <si>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</si>
  <si>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</si>
  <si>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</si>
  <si>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</si>
  <si>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</si>
  <si>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</si>
  <si>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</si>
  <si>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</si>
  <si>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</si>
  <si>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</si>
  <si>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</si>
  <si>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</si>
  <si>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</si>
  <si>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</si>
  <si>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</si>
  <si>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</si>
  <si>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</si>
  <si>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</si>
  <si>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</si>
  <si>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</si>
  <si>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</si>
  <si>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</si>
  <si>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</si>
  <si>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</si>
  <si>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</si>
  <si>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</si>
  <si>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</si>
  <si>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</si>
  <si>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</si>
  <si>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</si>
  <si>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</si>
  <si>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</si>
  <si>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</si>
  <si>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</si>
  <si>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</si>
  <si>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</si>
  <si>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</si>
  <si>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</si>
  <si>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</si>
  <si>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</si>
  <si>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</si>
  <si>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</si>
  <si>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</si>
  <si>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</si>
  <si>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</si>
  <si>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</si>
  <si>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</si>
  <si>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</si>
  <si>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</si>
  <si>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</si>
  <si>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</si>
  <si>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</si>
  <si>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</si>
  <si>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</si>
  <si>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</si>
  <si>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</si>
  <si>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</si>
  <si>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</si>
  <si>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</si>
  <si>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</si>
  <si>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</si>
  <si>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</si>
  <si>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</si>
  <si>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</si>
  <si>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</si>
  <si>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</si>
  <si>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</si>
  <si>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</si>
  <si>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</si>
  <si>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</si>
  <si>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</si>
  <si>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</si>
  <si>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</si>
  <si>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</si>
  <si>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</si>
  <si>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</si>
  <si>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</si>
  <si>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</si>
  <si>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</si>
  <si>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</si>
  <si>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</si>
  <si>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</si>
  <si>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</si>
  <si>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</si>
  <si>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</si>
  <si>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</si>
  <si>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</si>
  <si>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</si>
  <si>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</si>
  <si>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</si>
  <si>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</si>
  <si>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</si>
  <si>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</si>
  <si>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</si>
  <si>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</si>
  <si>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</si>
  <si>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</si>
  <si>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</si>
  <si>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</si>
  <si>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</si>
  <si>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</si>
  <si>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</si>
  <si>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</si>
  <si>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</si>
  <si>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</si>
  <si>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</si>
  <si>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</si>
  <si>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</si>
  <si>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</si>
  <si>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</si>
  <si>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</si>
  <si>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</si>
  <si>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</si>
  <si>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</si>
  <si>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</si>
  <si>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</si>
  <si>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</si>
  <si>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</si>
  <si>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</si>
  <si>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</si>
  <si>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</si>
  <si>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</si>
  <si>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</si>
  <si>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</si>
  <si>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</si>
  <si>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</si>
  <si>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</si>
  <si>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</si>
  <si>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</si>
  <si>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</si>
  <si>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</si>
  <si>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</si>
  <si>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</si>
  <si>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</si>
  <si>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</si>
  <si>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</si>
  <si>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</si>
  <si>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</si>
  <si>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</si>
  <si>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</si>
  <si>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</si>
  <si>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</si>
  <si>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</si>
  <si>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</si>
  <si>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</si>
  <si>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</si>
  <si>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</si>
  <si>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</si>
  <si>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</si>
  <si>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</si>
  <si>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</si>
  <si>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</si>
  <si>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</si>
  <si>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</si>
  <si>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</si>
  <si>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</si>
  <si>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</si>
  <si>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</si>
  <si>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</si>
  <si>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</si>
  <si>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</si>
  <si>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</si>
  <si>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</si>
  <si>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</si>
  <si>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</si>
  <si>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</si>
  <si>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</si>
  <si>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</si>
  <si>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</si>
  <si>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</si>
  <si>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</si>
  <si>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</si>
  <si>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</si>
  <si>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</si>
  <si>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</si>
  <si>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</si>
  <si>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</si>
  <si>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</si>
  <si>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</si>
  <si>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</si>
  <si>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</si>
  <si>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</si>
  <si>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</si>
  <si>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</si>
  <si>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</si>
  <si>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</si>
  <si>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</si>
  <si>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</si>
  <si>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</si>
  <si>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</si>
  <si>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</si>
  <si>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</si>
  <si>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</si>
  <si>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</si>
  <si>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</si>
  <si>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</si>
  <si>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</si>
  <si>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</si>
  <si>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</si>
  <si>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</si>
  <si>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</si>
  <si>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</si>
  <si>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</si>
  <si>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</si>
  <si>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</si>
  <si>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</si>
  <si>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</si>
  <si>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</si>
  <si>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</si>
  <si>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</si>
  <si>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</si>
  <si>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</si>
  <si>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</si>
  <si>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</si>
  <si>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</si>
  <si>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</si>
  <si>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</si>
  <si>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</si>
  <si>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</si>
  <si>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</si>
  <si>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</si>
  <si>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</si>
  <si>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</si>
  <si>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</si>
  <si>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</si>
  <si>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</si>
  <si>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</si>
  <si>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</si>
  <si>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</si>
  <si>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</si>
  <si>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</si>
  <si>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</si>
  <si>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</si>
  <si>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</si>
  <si>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</si>
  <si>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</si>
  <si>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</si>
  <si>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</si>
  <si>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</si>
  <si>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</si>
  <si>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</si>
  <si>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</si>
  <si>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</si>
  <si>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</si>
  <si>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</si>
  <si>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</si>
  <si>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</si>
  <si>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</si>
  <si>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</si>
  <si>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</si>
  <si>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</si>
  <si>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</si>
  <si>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</si>
  <si>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</si>
  <si>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</si>
  <si>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</si>
  <si>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</si>
  <si>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</si>
  <si>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</si>
  <si>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</si>
  <si>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</si>
  <si>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</si>
  <si>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</si>
  <si>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</si>
  <si>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</si>
  <si>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</si>
  <si>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</si>
  <si>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</si>
  <si>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</si>
  <si>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</si>
  <si>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</si>
  <si>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</si>
  <si>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</si>
  <si>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</si>
  <si>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</si>
  <si>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</si>
  <si>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</si>
  <si>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</si>
  <si>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</si>
  <si>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</si>
  <si>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</si>
  <si>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</si>
  <si>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</si>
  <si>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</si>
  <si>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</si>
  <si>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</si>
  <si>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</si>
  <si>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</si>
  <si>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</si>
  <si>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</si>
  <si>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</si>
  <si>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</si>
  <si>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</si>
  <si>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</si>
  <si>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</si>
  <si>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</si>
  <si>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</si>
  <si>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</si>
  <si>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</si>
  <si>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</si>
  <si>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</si>
  <si>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</si>
  <si>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</si>
  <si>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</si>
  <si>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</si>
  <si>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</si>
  <si>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</si>
  <si>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</si>
  <si>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</si>
  <si>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</si>
  <si>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</si>
  <si>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</si>
  <si>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</si>
  <si>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</si>
  <si>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</si>
  <si>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</si>
  <si>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</si>
  <si>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</si>
  <si>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</si>
  <si>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</si>
  <si>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</si>
  <si>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</si>
  <si>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</si>
  <si>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</si>
  <si>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</si>
  <si>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</si>
  <si>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</si>
  <si>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</si>
  <si>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</si>
  <si>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</si>
  <si>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</si>
  <si>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</si>
  <si>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</si>
  <si>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</si>
  <si>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</si>
  <si>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</si>
  <si>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</si>
  <si>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</si>
  <si>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</si>
  <si>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</si>
  <si>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</si>
  <si>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</si>
  <si>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</si>
  <si>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</si>
  <si>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</si>
  <si>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</si>
  <si>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</si>
  <si>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</si>
  <si>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</si>
  <si>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</si>
  <si>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</si>
  <si>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</si>
  <si>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</si>
  <si>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</si>
  <si>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</si>
  <si>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</si>
  <si>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</si>
  <si>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</si>
  <si>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</si>
  <si>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</si>
  <si>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</si>
  <si>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</si>
  <si>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</si>
  <si>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</si>
  <si>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</si>
  <si>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</si>
  <si>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</si>
  <si>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</si>
  <si>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</si>
  <si>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</si>
  <si>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</si>
  <si>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</si>
  <si>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</si>
  <si>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</si>
  <si>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</si>
  <si>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</si>
  <si>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</si>
  <si>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</si>
  <si>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</si>
  <si>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</si>
  <si>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</si>
  <si>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</si>
  <si>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</si>
  <si>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</si>
  <si>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</si>
  <si>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</si>
  <si>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</si>
  <si>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</si>
  <si>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</si>
  <si>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</si>
  <si>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</si>
  <si>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</si>
  <si>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</si>
  <si>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</si>
  <si>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</si>
  <si>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</si>
  <si>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</si>
  <si>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</si>
  <si>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</si>
  <si>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</si>
  <si>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</si>
  <si>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</si>
  <si>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</si>
  <si>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</si>
  <si>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</si>
  <si>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</si>
  <si>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</si>
  <si>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</si>
  <si>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</si>
  <si>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</si>
  <si>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</si>
  <si>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</si>
  <si>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</si>
  <si>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</si>
  <si>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</si>
  <si>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</si>
  <si>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</si>
  <si>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</si>
  <si>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</si>
  <si>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</si>
  <si>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</si>
  <si>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</si>
  <si>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</si>
  <si>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</si>
  <si>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</si>
  <si>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</si>
  <si>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</si>
  <si>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</si>
  <si>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</si>
  <si>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</si>
  <si>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</si>
  <si>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</si>
  <si>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</si>
  <si>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</si>
  <si>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</si>
  <si>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</si>
  <si>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</si>
  <si>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</si>
  <si>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</si>
  <si>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</si>
  <si>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</si>
  <si>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</si>
  <si>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</si>
  <si>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</si>
  <si>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</si>
  <si>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</si>
  <si>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</si>
  <si>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</si>
  <si>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</si>
  <si>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</si>
  <si>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</si>
  <si>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</si>
  <si>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</si>
  <si>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</si>
  <si>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</si>
  <si>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</si>
  <si>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</si>
  <si>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</si>
  <si>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</si>
  <si>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</si>
  <si>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</si>
  <si>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</si>
  <si>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</si>
  <si>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</si>
  <si>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</si>
  <si>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</si>
  <si>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</si>
  <si>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</si>
  <si>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</si>
  <si>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</si>
  <si>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</si>
  <si>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</si>
  <si>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</si>
  <si>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</si>
  <si>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</si>
  <si>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</si>
  <si>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</si>
  <si>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</si>
  <si>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</si>
  <si>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</si>
  <si>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</si>
  <si>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</si>
  <si>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</si>
  <si>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</si>
  <si>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</si>
  <si>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</si>
  <si>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</si>
  <si>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</si>
  <si>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</si>
  <si>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</si>
  <si>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</si>
  <si>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</si>
  <si>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</si>
  <si>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</si>
  <si>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</si>
  <si>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</si>
  <si>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</si>
  <si>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</si>
  <si>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</si>
  <si>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</si>
  <si>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</si>
  <si>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</si>
  <si>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</si>
  <si>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</si>
  <si>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</si>
  <si>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</si>
  <si>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</si>
  <si>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</si>
  <si>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</si>
  <si>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</si>
  <si>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</si>
  <si>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</si>
  <si>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</si>
  <si>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</si>
  <si>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</si>
  <si>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</si>
  <si>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</si>
  <si>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</si>
  <si>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</si>
  <si>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</si>
  <si>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</si>
  <si>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</si>
  <si>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</si>
  <si>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</si>
  <si>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</si>
  <si>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</si>
  <si>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</si>
  <si>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</si>
  <si>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</si>
  <si>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</si>
  <si>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</si>
  <si>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</si>
  <si>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</si>
  <si>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</si>
  <si>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</si>
  <si>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</si>
  <si>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</si>
  <si>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</si>
  <si>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</si>
  <si>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</si>
  <si>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</si>
  <si>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</si>
  <si>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</si>
  <si>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</si>
  <si>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</si>
  <si>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</si>
  <si>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</si>
  <si>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</si>
  <si>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</si>
  <si>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</si>
  <si>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</si>
  <si>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</si>
  <si>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</si>
  <si>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</si>
  <si>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</si>
  <si>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</si>
  <si>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</si>
  <si>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</si>
  <si>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</si>
  <si>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</si>
  <si>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</si>
  <si>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</si>
  <si>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</si>
  <si>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</si>
  <si>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</si>
  <si>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</si>
  <si>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</si>
  <si>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</si>
  <si>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</si>
  <si>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</si>
  <si>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</si>
  <si>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</si>
  <si>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</si>
  <si>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</si>
  <si>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</si>
  <si>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</si>
  <si>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</si>
  <si>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</si>
  <si>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</si>
  <si>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</si>
  <si>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</si>
  <si>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</si>
  <si>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</si>
  <si>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</si>
  <si>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</si>
  <si>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</si>
  <si>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</si>
  <si>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</si>
  <si>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</si>
  <si>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</si>
  <si>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</si>
  <si>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</si>
  <si>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</si>
  <si>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</si>
  <si>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</si>
  <si>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</si>
  <si>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</si>
  <si>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</si>
  <si>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</si>
  <si>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</si>
  <si>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</si>
  <si>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</si>
  <si>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</si>
  <si>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</si>
  <si>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</si>
  <si>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</si>
  <si>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</si>
  <si>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</si>
  <si>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</si>
  <si>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</si>
  <si>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</si>
  <si>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</si>
  <si>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</si>
  <si>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</si>
  <si>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</si>
  <si>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</si>
  <si>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</si>
  <si>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</si>
  <si>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</si>
  <si>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</si>
  <si>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</si>
  <si>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</si>
  <si>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</si>
  <si>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</si>
  <si>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</si>
  <si>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</si>
  <si>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</si>
  <si>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</si>
  <si>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</si>
  <si>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</si>
  <si>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</si>
  <si>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</si>
  <si>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</si>
  <si>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</si>
  <si>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</si>
  <si>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</si>
  <si>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</si>
  <si>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</si>
  <si>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</si>
  <si>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</si>
  <si>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</si>
  <si>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</si>
  <si>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</si>
  <si>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</si>
  <si>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</si>
  <si>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</si>
  <si>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</si>
  <si>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</si>
  <si>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</si>
  <si>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</si>
  <si>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</si>
  <si>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</si>
  <si>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</si>
  <si>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</si>
  <si>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</si>
  <si>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</si>
  <si>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</si>
  <si>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</si>
  <si>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</si>
  <si>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</si>
  <si>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</si>
  <si>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</si>
  <si>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</si>
  <si>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</si>
  <si>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</si>
  <si>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</si>
  <si>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</si>
  <si>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</si>
  <si>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</si>
  <si>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</si>
  <si>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</si>
  <si>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</si>
  <si>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</si>
  <si>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</si>
  <si>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</si>
  <si>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</si>
  <si>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</si>
  <si>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</si>
  <si>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</si>
  <si>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</si>
  <si>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</si>
  <si>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</si>
  <si>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</si>
  <si>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</si>
  <si>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</si>
  <si>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</si>
  <si>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</si>
  <si>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</si>
  <si>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</si>
  <si>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</si>
  <si>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</si>
  <si>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</si>
  <si>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</si>
  <si>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</si>
  <si>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</si>
  <si>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</si>
  <si>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</si>
  <si>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</si>
  <si>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</si>
  <si>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</si>
  <si>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</si>
  <si>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</si>
  <si>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</si>
  <si>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</si>
  <si>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</si>
  <si>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</si>
  <si>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</si>
  <si>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</si>
  <si>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</si>
  <si>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</si>
  <si>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</si>
  <si>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</si>
  <si>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</si>
  <si>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</si>
  <si>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</si>
  <si>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</si>
  <si>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</si>
  <si>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</si>
  <si>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</si>
  <si>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</si>
  <si>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</si>
  <si>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</si>
  <si>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</si>
  <si>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</si>
  <si>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</si>
  <si>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</si>
  <si>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</si>
  <si>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</si>
  <si>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</si>
  <si>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</si>
  <si>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</si>
  <si>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</si>
  <si>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</si>
  <si>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</si>
  <si>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</si>
  <si>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</si>
  <si>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</si>
  <si>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</si>
  <si>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</si>
  <si>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</si>
  <si>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</si>
  <si>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</si>
  <si>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</si>
  <si>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</si>
  <si>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</si>
  <si>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</si>
  <si>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</si>
  <si>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</si>
  <si>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</si>
  <si>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</si>
  <si>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</si>
  <si>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</si>
  <si>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</si>
  <si>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</si>
  <si>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</si>
  <si>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</si>
  <si>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</si>
  <si>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</si>
  <si>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</si>
  <si>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</si>
  <si>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</si>
  <si>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</si>
  <si>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</si>
  <si>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</si>
  <si>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</si>
  <si>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</si>
  <si>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</si>
  <si>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</si>
  <si>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</si>
  <si>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</si>
  <si>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</si>
  <si>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</si>
  <si>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</si>
  <si>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</si>
  <si>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</si>
  <si>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</si>
  <si>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</si>
  <si>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</si>
  <si>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</si>
  <si>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</si>
  <si>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</si>
  <si>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</si>
  <si>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</si>
  <si>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</si>
  <si>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</si>
  <si>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</si>
  <si>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</si>
  <si>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</si>
  <si>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</si>
  <si>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</si>
  <si>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</si>
  <si>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</si>
  <si>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</si>
  <si>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</si>
  <si>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</si>
  <si>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</si>
  <si>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</si>
  <si>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</si>
  <si>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</si>
  <si>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</si>
  <si>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</si>
  <si>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</si>
  <si>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</si>
  <si>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</si>
  <si>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</si>
  <si>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</si>
  <si>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</si>
  <si>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</si>
  <si>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</si>
  <si>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</si>
  <si>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</si>
  <si>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</si>
  <si>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</si>
  <si>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</si>
  <si>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</si>
  <si>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</si>
  <si>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</si>
  <si>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</si>
  <si>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</si>
  <si>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</si>
  <si>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</si>
  <si>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</si>
  <si>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</si>
  <si>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</si>
  <si>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</si>
  <si>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</si>
  <si>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</si>
  <si>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</si>
  <si>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</si>
  <si>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</si>
  <si>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</si>
  <si>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</si>
  <si>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</si>
  <si>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</si>
  <si>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</si>
  <si>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</si>
  <si>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</si>
  <si>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</si>
  <si>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</si>
  <si>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</si>
  <si>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</si>
  <si>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</si>
  <si>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</si>
  <si>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</si>
  <si>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</si>
  <si>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</si>
  <si>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</si>
  <si>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</si>
  <si>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</si>
  <si>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</si>
  <si>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</si>
  <si>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</si>
  <si>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</si>
  <si>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</si>
  <si>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</si>
  <si>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</si>
  <si>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</si>
  <si>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</si>
  <si>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</si>
  <si>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</si>
  <si>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</si>
  <si>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</si>
  <si>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</si>
  <si>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</si>
  <si>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</si>
  <si>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</si>
  <si>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</si>
  <si>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</si>
  <si>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</si>
  <si>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</si>
  <si>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</si>
  <si>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</si>
  <si>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</si>
  <si>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</si>
  <si>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</si>
  <si>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</si>
  <si>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</si>
  <si>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</si>
  <si>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</si>
  <si>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</si>
  <si>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</si>
  <si>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</si>
  <si>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</si>
  <si>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</si>
  <si>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</si>
  <si>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</si>
  <si>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</si>
  <si>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</si>
  <si>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</si>
  <si>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</si>
  <si>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</si>
  <si>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</si>
  <si>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</si>
  <si>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</si>
  <si>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</si>
  <si>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</si>
  <si>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</si>
  <si>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</si>
  <si>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</si>
  <si>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</si>
  <si>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</si>
  <si>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</si>
  <si>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</si>
  <si>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</si>
  <si>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</si>
  <si>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</si>
  <si>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</si>
  <si>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</si>
  <si>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</si>
  <si>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</si>
  <si>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</si>
  <si>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</si>
  <si>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</si>
  <si>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</si>
  <si>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</si>
  <si>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</si>
  <si>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</si>
  <si>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</si>
  <si>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</si>
  <si>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</si>
  <si>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</si>
  <si>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</si>
  <si>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</si>
  <si>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</si>
  <si>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</si>
  <si>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</si>
  <si>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</si>
  <si>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</si>
  <si>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</si>
  <si>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</si>
  <si>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</si>
  <si>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</si>
  <si>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</si>
  <si>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</si>
  <si>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</si>
  <si>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</si>
  <si>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</si>
  <si>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</si>
  <si>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</si>
  <si>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</si>
  <si>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</si>
  <si>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</si>
  <si>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</si>
  <si>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</si>
  <si>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</si>
  <si>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</si>
  <si>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</si>
  <si>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</si>
  <si>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</si>
  <si>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</si>
  <si>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</si>
  <si>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</si>
  <si>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</si>
  <si>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</si>
  <si>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</si>
  <si>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</si>
  <si>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</si>
  <si>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</si>
  <si>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</si>
  <si>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</si>
  <si>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</si>
  <si>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</si>
  <si>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</si>
  <si>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</si>
  <si>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</si>
  <si>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</si>
  <si>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</si>
  <si>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</si>
  <si>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</si>
  <si>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</si>
  <si>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</si>
  <si>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</si>
  <si>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</si>
  <si>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</si>
  <si>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</si>
  <si>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</si>
  <si>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</si>
  <si>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</si>
  <si>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</si>
  <si>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</si>
  <si>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</si>
  <si>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</si>
  <si>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</si>
  <si>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</si>
  <si>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</si>
  <si>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</si>
  <si>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</si>
  <si>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</si>
  <si>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8369111021.0000000000</t>
  </si>
  <si>
    <t>г Междуреченск</t>
  </si>
  <si>
    <t>32517000001</t>
  </si>
  <si>
    <t>от ТК-6 у ул. Октябрьская до школы №25; от Тк-10 у ул. Октябрьская,10 до ТК-12 у ул. Пушкина,37; от ТК-12 у ул. Пушкина,37 до ул. Пушкина,35,39;от ТК-12 у ул. Пушкина,39 до ул. Пушкина,31</t>
  </si>
  <si>
    <t>4.2200000000</t>
  </si>
  <si>
    <t>0.0000000000</t>
  </si>
  <si>
    <t>4250003450.0</t>
  </si>
  <si>
    <t>Междуреченская котельная ООО ХК "СДС-Энерго"</t>
  </si>
  <si>
    <t>32517000.0</t>
  </si>
  <si>
    <t>32517000001.0</t>
  </si>
  <si>
    <t>магистральная</t>
  </si>
  <si>
    <t>двухтрубные сети</t>
  </si>
  <si>
    <t>двухтрубное исполнение</t>
  </si>
  <si>
    <t>1.1978000000</t>
  </si>
  <si>
    <t>100.0000000000</t>
  </si>
  <si>
    <t>эксплуатируется</t>
  </si>
  <si>
    <t>частная собственность</t>
  </si>
  <si>
    <t>https://portal.eias.ru/Portal/DownloadPage.aspx?type=12&amp;guid=32603685-3fbf-4983-9508-d9c8763c8386</t>
  </si>
  <si>
    <t>0</t>
  </si>
  <si>
    <t>ТИ с сетями</t>
  </si>
  <si>
    <t>уч-к. 65 км пикеты 8-10 ст.Междуреченск</t>
  </si>
  <si>
    <t>37.0000000000</t>
  </si>
  <si>
    <t>28.3340000000</t>
  </si>
  <si>
    <t>39.0700000000</t>
  </si>
  <si>
    <t>17.4300000000</t>
  </si>
  <si>
    <t>8.7600000000</t>
  </si>
  <si>
    <t>7.2463000000</t>
  </si>
  <si>
    <t>6.7293000000</t>
  </si>
  <si>
    <t>0.5170000000</t>
  </si>
  <si>
    <t>3.0900000000</t>
  </si>
  <si>
    <t>2.6870000000</t>
  </si>
  <si>
    <t>0.4030000000</t>
  </si>
  <si>
    <t>4.1563000000</t>
  </si>
  <si>
    <t>4.0423000000</t>
  </si>
  <si>
    <t>0.1140000000</t>
  </si>
  <si>
    <t>35.3300000000</t>
  </si>
  <si>
    <t>собственное имущество</t>
  </si>
  <si>
    <t>https://portal.eias.ru/Portal/DownloadPage.aspx?type=12&amp;guid=d4c536a0-ada5-4c77-a5df-32ac7c2ac0f4</t>
  </si>
  <si>
    <t>ул. Дзержинского, ул. Пушкина</t>
  </si>
  <si>
    <t>4.6100000000</t>
  </si>
  <si>
    <t>квартальная</t>
  </si>
  <si>
    <t>0.1674700000</t>
  </si>
  <si>
    <t>бесхозное имущество</t>
  </si>
  <si>
    <t>Отсутствует</t>
  </si>
  <si>
    <t>https://portal.eias.ru/Portal/DownloadPage.aspx?type=12&amp;guid=5ac7d01c-8aab-460c-9540-2d0274bd925d</t>
  </si>
  <si>
    <t>от внешней границы жилого дома по ул. Октябрьская, 10 до ТК-9; от внешней границы жилого дома по ул. Октябрьская, 8 до ТК-11</t>
  </si>
  <si>
    <t>1.2700000000</t>
  </si>
  <si>
    <t>0.0547000000</t>
  </si>
  <si>
    <t>https://portal.eias.ru/Portal/DownloadPage.aspx?type=12&amp;guid=1f049562-65f5-4025-97bf-0fbd2867403c</t>
  </si>
  <si>
    <t>от внешней границы жилого дома по ул. Вокзадьная 106, 10 до ТК-59; от внешней границы жилого дома по ул. Вокзальная 102 до ТК-52</t>
  </si>
  <si>
    <t>0.1300000000</t>
  </si>
  <si>
    <t>0.0270000000</t>
  </si>
  <si>
    <t>https://portal.eias.ru/Portal/DownloadPage.aspx?type=12&amp;guid=c9537262-02e8-444d-bdff-47013a1f196d</t>
  </si>
  <si>
    <t>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t>
  </si>
  <si>
    <t>6.4100000000</t>
  </si>
  <si>
    <t>2.0518700000</t>
  </si>
  <si>
    <t>1.7357700000</t>
  </si>
  <si>
    <t>0.3161000000</t>
  </si>
  <si>
    <t>https://portal.eias.ru/Portal/DownloadPage.aspx?type=12&amp;guid=11adb935-6fb0-436b-9f41-8484de8290e3</t>
  </si>
  <si>
    <t>от ТК-6 у ул. Дзержинского, 12 до ТК-10 у ул. Дзержинского, 4; от ЦТП 46 до ул. Дзержинского, 18</t>
  </si>
  <si>
    <t>0.7300000000</t>
  </si>
  <si>
    <t>0.2965000000</t>
  </si>
  <si>
    <t>https://portal.eias.ru/Portal/DownloadPage.aspx?type=12&amp;guid=4e60f9f8-3745-4eb2-b9cc-7502710a6310</t>
  </si>
  <si>
    <t>https://portal.eias.ru/Portal/DownloadPage.aspx?type=12&amp;guid=ae48a6c3-00c3-4882-bb52-074f64558e1a</t>
  </si>
  <si>
    <t>ул. Интернациональная; ул. Вокзальная; ул. Пушкина</t>
  </si>
  <si>
    <t>2.2000000000</t>
  </si>
  <si>
    <t>0.9480700000</t>
  </si>
  <si>
    <t>https://portal.eias.ru/Portal/DownloadPage.aspx?type=12&amp;guid=c50ed7b9-b767-4ee8-a75d-3236cf3d00e6</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</si>
  <si>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</si>
  <si>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</si>
  <si>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</si>
  <si>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</si>
  <si>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</si>
  <si>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</si>
  <si>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</si>
  <si>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</si>
  <si>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</si>
  <si>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</si>
  <si>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</si>
  <si>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</si>
  <si>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</si>
  <si>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</si>
  <si>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</si>
  <si>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</si>
  <si>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</si>
  <si>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</si>
  <si>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</si>
  <si>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</si>
  <si>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</si>
  <si>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</si>
  <si>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</si>
  <si>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</si>
  <si>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</si>
  <si>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</si>
  <si>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</si>
  <si>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</si>
  <si>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</si>
  <si>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</si>
  <si>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</si>
  <si>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</si>
  <si>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</si>
  <si>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</si>
  <si>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</si>
  <si>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</si>
  <si>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</si>
  <si>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</si>
  <si>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</si>
  <si>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</si>
  <si>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</si>
  <si>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</si>
  <si>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</si>
  <si>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</si>
  <si>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</si>
  <si>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</si>
  <si>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</si>
  <si>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</si>
  <si>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</si>
  <si>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</si>
  <si>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</si>
  <si>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</si>
  <si>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</si>
  <si>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</si>
  <si>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</si>
  <si>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</si>
  <si>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</si>
  <si>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</si>
  <si>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</si>
  <si>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</si>
  <si>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</si>
  <si>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</si>
  <si>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</si>
  <si>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</si>
  <si>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</si>
  <si>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</si>
  <si>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</si>
  <si>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</si>
  <si>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</si>
  <si>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</si>
  <si>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</si>
  <si>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</si>
  <si>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</si>
  <si>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</si>
  <si>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</si>
  <si>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</si>
  <si>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</si>
  <si>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</si>
  <si>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</si>
  <si>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</si>
  <si>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</si>
  <si>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</si>
  <si>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</si>
  <si>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</si>
  <si>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</si>
  <si>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</si>
  <si>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</si>
  <si>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</si>
  <si>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</si>
  <si>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</si>
  <si>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</si>
  <si>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</si>
  <si>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</si>
  <si>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</si>
  <si>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</si>
  <si>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</si>
  <si>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</si>
  <si>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</si>
  <si>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</si>
  <si>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</si>
  <si>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</si>
  <si>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</si>
  <si>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</si>
  <si>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</si>
  <si>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</si>
  <si>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</si>
  <si>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</si>
  <si>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</si>
  <si>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</si>
  <si>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</si>
  <si>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</si>
  <si>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</si>
  <si>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</si>
  <si>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</si>
  <si>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</si>
  <si>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</si>
  <si>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</si>
  <si>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</si>
  <si>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</si>
  <si>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</si>
  <si>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</si>
  <si>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</si>
  <si>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</si>
  <si>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</si>
  <si>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</si>
  <si>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</si>
  <si>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</si>
  <si>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</si>
  <si>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</si>
  <si>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</si>
  <si>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</si>
  <si>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</si>
  <si>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</si>
  <si>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</si>
  <si>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</si>
  <si>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</si>
  <si>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</si>
  <si>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</si>
  <si>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</si>
  <si>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</si>
  <si>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</si>
  <si>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</si>
  <si>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</si>
  <si>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</si>
  <si>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</si>
  <si>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</si>
  <si>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</si>
  <si>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</si>
  <si>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</si>
  <si>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</si>
  <si>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</si>
  <si>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</si>
  <si>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</si>
  <si>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</si>
  <si>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</si>
  <si>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</si>
  <si>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</si>
  <si>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</si>
  <si>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</si>
  <si>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</si>
  <si>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</si>
  <si>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</si>
  <si>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</si>
  <si>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</si>
  <si>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</si>
  <si>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</si>
  <si>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</si>
  <si>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</si>
  <si>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</si>
  <si>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</si>
  <si>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</si>
  <si>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</si>
  <si>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</si>
  <si>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</si>
  <si>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</si>
  <si>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</si>
  <si>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</si>
  <si>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</si>
  <si>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</si>
  <si>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</si>
  <si>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</si>
  <si>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</si>
  <si>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</si>
  <si>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</si>
  <si>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</si>
  <si>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</si>
  <si>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</si>
  <si>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</si>
  <si>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</si>
  <si>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</si>
  <si>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</si>
  <si>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</si>
  <si>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</si>
  <si>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</si>
  <si>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</si>
  <si>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</si>
  <si>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</si>
  <si>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</si>
  <si>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</si>
  <si>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</si>
  <si>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</si>
  <si>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</si>
  <si>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</si>
  <si>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</si>
  <si>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</si>
  <si>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</si>
  <si>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</si>
  <si>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</si>
  <si>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</si>
  <si>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</si>
  <si>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</si>
  <si>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</si>
  <si>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</si>
  <si>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</si>
  <si>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</si>
  <si>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</si>
  <si>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</si>
  <si>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</si>
  <si>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</si>
  <si>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</si>
  <si>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</si>
  <si>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</si>
  <si>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</si>
  <si>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</si>
  <si>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</si>
  <si>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</si>
  <si>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</si>
  <si>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</si>
  <si>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</si>
  <si>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</si>
  <si>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</si>
  <si>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</si>
  <si>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</si>
  <si>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</si>
  <si>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</si>
  <si>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</si>
  <si>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</si>
  <si>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</si>
  <si>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</si>
  <si>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</si>
  <si>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</si>
  <si>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</si>
  <si>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</si>
  <si>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</si>
  <si>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</si>
  <si>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</si>
  <si>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</si>
  <si>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</si>
  <si>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</si>
  <si>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</si>
  <si>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</si>
  <si>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</si>
  <si>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</si>
  <si>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</si>
  <si>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</si>
  <si>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</si>
  <si>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</si>
  <si>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</si>
  <si>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</si>
  <si>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</si>
  <si>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</si>
  <si>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</si>
  <si>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</si>
  <si>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</si>
  <si>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</si>
  <si>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</si>
  <si>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</si>
  <si>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</si>
  <si>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</si>
  <si>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</si>
  <si>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</si>
  <si>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</si>
  <si>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</si>
  <si>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</si>
  <si>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</si>
  <si>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</si>
  <si>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</si>
  <si>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</si>
  <si>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</si>
  <si>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</si>
  <si>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</si>
  <si>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</si>
  <si>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</si>
  <si>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</si>
  <si>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</si>
  <si>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</si>
  <si>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</si>
  <si>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</si>
  <si>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</si>
  <si>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</si>
  <si>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</si>
  <si>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</si>
  <si>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</si>
  <si>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</si>
  <si>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</si>
  <si>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</si>
  <si>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</si>
  <si>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</si>
  <si>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</si>
  <si>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</si>
  <si>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</si>
  <si>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</si>
  <si>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</si>
  <si>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</si>
  <si>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</si>
  <si>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</si>
  <si>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</si>
  <si>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</si>
  <si>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</si>
  <si>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</si>
  <si>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</si>
  <si>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</si>
  <si>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</si>
  <si>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</si>
  <si>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</si>
  <si>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</si>
  <si>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</si>
  <si>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</si>
  <si>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</si>
  <si>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</si>
  <si>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</si>
  <si>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</si>
  <si>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</si>
  <si>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</si>
  <si>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</si>
  <si>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</si>
  <si>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</si>
  <si>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</si>
  <si>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</si>
  <si>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</si>
  <si>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</si>
  <si>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</si>
  <si>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</si>
  <si>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</si>
  <si>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</si>
  <si>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</si>
  <si>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</si>
  <si>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</si>
  <si>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</si>
  <si>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</si>
  <si>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</si>
  <si>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</si>
  <si>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</si>
  <si>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</si>
  <si>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</si>
  <si>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</si>
  <si>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</si>
  <si>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</si>
  <si>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</si>
  <si>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</si>
  <si>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</si>
  <si>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</si>
  <si>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</si>
  <si>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</si>
  <si>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</si>
  <si>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</si>
  <si>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</si>
  <si>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</si>
  <si>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</si>
  <si>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</si>
  <si>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</si>
  <si>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</si>
  <si>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</si>
  <si>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</si>
  <si>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</si>
  <si>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</si>
  <si>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</si>
  <si>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</si>
  <si>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</si>
  <si>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</si>
  <si>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</si>
  <si>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</si>
  <si>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</si>
  <si>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</si>
  <si>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</si>
  <si>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</si>
  <si>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</si>
  <si>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</si>
  <si>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</si>
  <si>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</si>
  <si>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</si>
  <si>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</si>
  <si>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</si>
  <si>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</si>
  <si>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</si>
  <si>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</si>
  <si>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</si>
  <si>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</si>
  <si>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</si>
  <si>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</si>
  <si>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</si>
  <si>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</si>
  <si>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</si>
  <si>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</si>
  <si>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</si>
  <si>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</si>
  <si>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</si>
  <si>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</si>
  <si>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</si>
  <si>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</si>
  <si>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</si>
  <si>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</si>
  <si>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</si>
  <si>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</si>
  <si>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</si>
  <si>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</si>
  <si>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</si>
  <si>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</si>
  <si>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</si>
  <si>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</si>
  <si>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</si>
  <si>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</si>
  <si>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</si>
  <si>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</si>
  <si>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</si>
  <si>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</si>
  <si>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</si>
  <si>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</si>
  <si>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</si>
  <si>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</si>
  <si>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</si>
  <si>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</si>
  <si>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</si>
  <si>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</si>
  <si>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</si>
  <si>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</si>
  <si>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</si>
  <si>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</si>
  <si>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</si>
  <si>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</si>
  <si>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</si>
  <si>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</si>
  <si>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</si>
  <si>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</si>
  <si>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</si>
  <si>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</si>
  <si>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</si>
  <si>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</si>
  <si>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</si>
  <si>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</si>
  <si>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</si>
  <si>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</si>
  <si>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</si>
  <si>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</si>
  <si>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</si>
  <si>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</si>
  <si>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</si>
  <si>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</si>
  <si>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</si>
  <si>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</si>
  <si>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</si>
  <si>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</si>
  <si>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</si>
  <si>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</si>
  <si>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</si>
  <si>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</si>
  <si>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</si>
  <si>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</si>
  <si>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</si>
  <si>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</si>
  <si>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</si>
  <si>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</si>
  <si>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</si>
  <si>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</si>
  <si>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</si>
  <si>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</si>
  <si>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</si>
  <si>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</si>
  <si>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</si>
  <si>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</si>
  <si>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</si>
  <si>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</si>
  <si>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</si>
  <si>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</si>
  <si>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</si>
  <si>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</si>
  <si>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</si>
  <si>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</si>
  <si>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</si>
  <si>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</si>
  <si>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</si>
  <si>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</si>
  <si>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</si>
  <si>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</si>
  <si>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</si>
  <si>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</si>
  <si>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</si>
  <si>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</si>
  <si>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</si>
  <si>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</si>
  <si>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</si>
  <si>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</si>
  <si>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</si>
  <si>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</si>
  <si>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</si>
  <si>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</si>
  <si>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</si>
  <si>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</si>
  <si>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</si>
  <si>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</si>
  <si>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</si>
  <si>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</si>
  <si>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</si>
  <si>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</si>
  <si>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</si>
  <si>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</si>
  <si>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</si>
  <si>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</si>
  <si>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</si>
  <si>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</si>
  <si>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</si>
  <si>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</si>
  <si>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</si>
  <si>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</si>
  <si>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</si>
  <si>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</si>
  <si>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</si>
  <si>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</si>
  <si>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</si>
  <si>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</si>
  <si>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</si>
  <si>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</si>
  <si>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</si>
  <si>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</si>
  <si>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</si>
  <si>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</si>
  <si>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</si>
  <si>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</si>
  <si>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</si>
  <si>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</si>
  <si>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</si>
  <si>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</si>
  <si>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</si>
  <si>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</si>
  <si>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</si>
  <si>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</si>
  <si>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</si>
  <si>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</si>
  <si>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</si>
  <si>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</si>
  <si>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</si>
  <si>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</si>
  <si>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</si>
  <si>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</si>
  <si>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</si>
  <si>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</si>
  <si>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</si>
  <si>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</si>
  <si>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</si>
  <si>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</si>
  <si>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</si>
  <si>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</si>
  <si>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</si>
  <si>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</si>
  <si>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</si>
  <si>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</si>
  <si>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</si>
  <si>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</si>
  <si>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</si>
  <si>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</si>
  <si>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</si>
  <si>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</si>
  <si>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</si>
  <si>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</si>
  <si>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</si>
  <si>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</si>
  <si>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</si>
  <si>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</si>
  <si>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</si>
  <si>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</si>
  <si>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</si>
  <si>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</si>
  <si>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</si>
  <si>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</si>
  <si>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</si>
  <si>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</si>
  <si>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</si>
  <si>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</si>
  <si>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</si>
  <si>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</si>
  <si>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</si>
  <si>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</si>
  <si>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</si>
  <si>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</si>
  <si>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</si>
  <si>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</si>
  <si>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</si>
  <si>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</si>
  <si>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</si>
  <si>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</si>
  <si>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</si>
  <si>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</si>
  <si>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</si>
  <si>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</si>
  <si>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</si>
  <si>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</si>
  <si>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</si>
  <si>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</si>
  <si>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</si>
  <si>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</si>
  <si>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</si>
  <si>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</si>
  <si>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</si>
  <si>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</si>
  <si>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</si>
  <si>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</si>
  <si>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</si>
  <si>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</si>
  <si>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</si>
  <si>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</si>
  <si>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</si>
  <si>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</si>
  <si>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</si>
  <si>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</si>
  <si>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</si>
  <si>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</si>
  <si>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</si>
  <si>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</si>
  <si>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</si>
  <si>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</si>
  <si>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</si>
  <si>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</si>
  <si>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</si>
  <si>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</si>
  <si>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</si>
  <si>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</si>
  <si>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</si>
  <si>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</si>
  <si>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</si>
  <si>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</si>
  <si>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</si>
  <si>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</si>
  <si>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</si>
  <si>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</si>
  <si>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</si>
  <si>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</si>
  <si>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</si>
  <si>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</si>
  <si>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</si>
  <si>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</si>
  <si>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</si>
  <si>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</si>
  <si>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</si>
  <si>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</si>
  <si>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</si>
  <si>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</si>
  <si>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</si>
  <si>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</si>
  <si>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</si>
  <si>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</si>
  <si>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</si>
  <si>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</si>
  <si>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</si>
  <si>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</si>
  <si>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</si>
  <si>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</si>
  <si>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</si>
  <si>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</si>
  <si>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</si>
  <si>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</si>
  <si>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</si>
  <si>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</si>
  <si>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</si>
  <si>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</si>
  <si>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</si>
  <si>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</si>
  <si>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</si>
  <si>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</si>
  <si>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</si>
  <si>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</si>
  <si>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</si>
  <si>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</si>
  <si>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</si>
  <si>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</si>
  <si>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</si>
  <si>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</si>
  <si>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</si>
  <si>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</si>
  <si>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</si>
  <si>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</si>
  <si>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</si>
  <si>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</si>
  <si>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</si>
  <si>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</si>
  <si>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</si>
  <si>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</si>
  <si>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</si>
  <si>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</si>
  <si>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</si>
  <si>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</si>
  <si>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</si>
  <si>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</si>
  <si>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</si>
  <si>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</si>
  <si>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</si>
  <si>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</si>
  <si>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</si>
  <si>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</si>
  <si>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</si>
  <si>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</si>
  <si>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</si>
  <si>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</si>
  <si>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</si>
  <si>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</si>
  <si>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</si>
  <si>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</si>
  <si>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</si>
  <si>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</si>
  <si>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</si>
  <si>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</si>
  <si>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</si>
  <si>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</si>
  <si>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</si>
  <si>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</si>
  <si>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</si>
  <si>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</si>
  <si>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</si>
  <si>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</si>
  <si>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</si>
  <si>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</si>
  <si>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</si>
  <si>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</si>
  <si>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</si>
  <si>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</si>
  <si>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</si>
  <si>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</si>
  <si>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</si>
  <si>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</si>
  <si>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</si>
  <si>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</si>
  <si>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</si>
  <si>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</si>
  <si>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</si>
  <si>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</si>
  <si>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</si>
  <si>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</si>
  <si>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</si>
  <si>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</si>
  <si>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</si>
  <si>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</si>
  <si>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</si>
  <si>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</si>
  <si>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</si>
  <si>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</si>
  <si>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</si>
  <si>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</si>
  <si>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</si>
  <si>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</si>
  <si>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</si>
  <si>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</si>
  <si>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</si>
  <si>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</si>
  <si>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</si>
  <si>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</si>
  <si>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</si>
  <si>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</si>
  <si>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</si>
  <si>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</si>
  <si>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</si>
  <si>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</si>
  <si>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</si>
  <si>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</si>
  <si>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</si>
  <si>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</si>
  <si>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</si>
  <si>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</si>
  <si>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</si>
  <si>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</si>
  <si>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</si>
  <si>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</si>
  <si>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</si>
  <si>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</si>
  <si>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</si>
  <si>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</si>
  <si>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</si>
  <si>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</si>
  <si>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</si>
  <si>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</si>
  <si>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</si>
  <si>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</si>
  <si>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</si>
  <si>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</si>
  <si>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</si>
  <si>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</si>
  <si>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</si>
  <si>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</si>
  <si>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</si>
  <si>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</si>
  <si>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</si>
  <si>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</si>
  <si>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</si>
  <si>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</si>
  <si>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</si>
  <si>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</si>
  <si>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</si>
  <si>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</si>
  <si>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</si>
  <si>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</si>
  <si>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</si>
  <si>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</si>
  <si>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</si>
  <si>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</si>
  <si>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</si>
  <si>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</si>
  <si>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</si>
  <si>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</si>
  <si>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</si>
  <si>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</si>
  <si>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</si>
  <si>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</si>
  <si>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</si>
  <si>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</si>
  <si>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</si>
  <si>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</si>
  <si>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</si>
  <si>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</si>
  <si>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</si>
  <si>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</si>
  <si>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</si>
  <si>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</si>
  <si>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</si>
  <si>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</si>
  <si>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</si>
  <si>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</si>
  <si>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</si>
  <si>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</si>
  <si>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</si>
  <si>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</si>
  <si>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</si>
  <si>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</si>
  <si>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</si>
  <si>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</si>
  <si>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</si>
  <si>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</si>
  <si>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</si>
  <si>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</si>
  <si>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</si>
  <si>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</si>
  <si>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</si>
  <si>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</si>
  <si>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</si>
  <si>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</si>
  <si>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</si>
  <si>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</si>
  <si>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</si>
  <si>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</si>
  <si>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</si>
  <si>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</si>
  <si>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</si>
  <si>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</si>
  <si>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</si>
  <si>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</si>
  <si>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</si>
  <si>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</si>
  <si>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</si>
  <si>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</si>
  <si>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</si>
  <si>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</si>
  <si>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</si>
  <si>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</si>
  <si>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</si>
  <si>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</si>
  <si>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</si>
  <si>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</si>
  <si>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</si>
  <si>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</si>
  <si>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</si>
  <si>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</si>
  <si>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</si>
  <si>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</si>
  <si>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</si>
  <si>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</si>
  <si>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</si>
  <si>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</si>
  <si>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</si>
  <si>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</si>
  <si>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</si>
  <si>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</si>
  <si>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</si>
  <si>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</si>
  <si>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</si>
  <si>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</si>
  <si>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</si>
  <si>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</si>
  <si>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</si>
  <si>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</si>
  <si>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</si>
  <si>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</si>
  <si>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</si>
  <si>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</si>
  <si>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</si>
  <si>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</si>
  <si>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</si>
  <si>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</si>
  <si>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</si>
  <si>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</si>
  <si>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</si>
  <si>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</si>
  <si>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</si>
  <si>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</si>
  <si>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</si>
  <si>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</si>
  <si>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</si>
  <si>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</si>
  <si>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</si>
  <si>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</si>
  <si>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</si>
  <si>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</si>
  <si>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</si>
  <si>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</si>
  <si>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</si>
  <si>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</si>
  <si>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</si>
  <si>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</si>
  <si>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</si>
  <si>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</si>
  <si>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</si>
  <si>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</si>
  <si>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</si>
  <si>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</si>
  <si>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</si>
  <si>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</si>
  <si>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</si>
  <si>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</si>
  <si>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</si>
  <si>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</si>
  <si>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</si>
  <si>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</si>
  <si>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</si>
  <si>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</si>
  <si>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</si>
  <si>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</si>
  <si>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</si>
  <si>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</si>
  <si>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</si>
  <si>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</si>
  <si>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</si>
  <si>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</si>
  <si>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</si>
  <si>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</si>
  <si>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</si>
  <si>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</si>
  <si>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</si>
  <si>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</si>
  <si>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</si>
  <si>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</si>
  <si>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</si>
  <si>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</si>
  <si>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</si>
  <si>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</si>
  <si>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</si>
  <si>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</si>
  <si>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</si>
  <si>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</si>
  <si>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</si>
  <si>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</si>
  <si>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</si>
  <si>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</si>
  <si>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</si>
  <si>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</si>
  <si>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</si>
  <si>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</si>
  <si>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</si>
  <si>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</si>
  <si>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</si>
  <si>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</si>
  <si>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</si>
  <si>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</si>
  <si>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</si>
  <si>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</si>
  <si>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</si>
  <si>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</si>
  <si>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</si>
  <si>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</si>
  <si>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</si>
  <si>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</si>
  <si>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</si>
  <si>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</si>
  <si>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</si>
  <si>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</si>
  <si>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</si>
  <si>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</si>
  <si>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</si>
  <si>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</si>
  <si>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</si>
  <si>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</si>
  <si>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</si>
  <si>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</si>
  <si>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</si>
  <si>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</si>
  <si>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</si>
  <si>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</si>
  <si>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</si>
  <si>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</si>
  <si>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</si>
  <si>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</si>
  <si>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</si>
  <si>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</si>
  <si>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</si>
  <si>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</si>
  <si>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</si>
  <si>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</si>
  <si>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</si>
  <si>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</si>
  <si>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</si>
  <si>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</si>
  <si>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</si>
  <si>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</si>
  <si>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</si>
  <si>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</si>
  <si>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</si>
  <si>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</si>
  <si>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</si>
  <si>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</si>
  <si>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</si>
  <si>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</si>
  <si>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</si>
  <si>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</si>
  <si>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</si>
  <si>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</si>
  <si>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</si>
  <si>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</si>
  <si>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</si>
  <si>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</si>
  <si>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</si>
  <si>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</si>
  <si>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</si>
  <si>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</si>
  <si>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</si>
  <si>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</si>
  <si>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</si>
  <si>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</si>
  <si>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</si>
  <si>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</si>
  <si>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</si>
  <si>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</si>
  <si>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</si>
  <si>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</si>
  <si>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</si>
  <si>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</si>
  <si>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</si>
  <si>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</si>
  <si>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</si>
  <si>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</si>
  <si>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</si>
  <si>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</si>
  <si>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</si>
  <si>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</si>
  <si>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</si>
  <si>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</si>
  <si>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</si>
  <si>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</si>
  <si>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</si>
  <si>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</si>
  <si>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</si>
  <si>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</si>
  <si>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</si>
  <si>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</si>
  <si>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</si>
  <si>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</si>
  <si>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</si>
  <si>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</si>
  <si>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</si>
  <si>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</si>
  <si>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</si>
  <si>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</si>
  <si>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</si>
  <si>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</si>
  <si>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</si>
  <si>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</si>
  <si>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</si>
  <si>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</si>
  <si>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</si>
  <si>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</si>
  <si>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</si>
  <si>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</si>
  <si>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</si>
  <si>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</si>
  <si>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</si>
  <si>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</si>
  <si>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</si>
  <si>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</si>
  <si>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</si>
  <si>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</si>
  <si>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</si>
  <si>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</si>
  <si>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</si>
  <si>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</si>
  <si>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</si>
  <si>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</si>
  <si>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</si>
  <si>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</si>
  <si>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</si>
  <si>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</si>
  <si>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</si>
  <si>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</si>
  <si>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</si>
  <si>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</si>
  <si>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</si>
  <si>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</si>
  <si>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</si>
  <si>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</si>
  <si>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</si>
  <si>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</si>
  <si>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</si>
  <si>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</si>
  <si>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</si>
  <si>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</si>
  <si>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</si>
  <si>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</si>
  <si>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</si>
  <si>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</si>
  <si>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</si>
  <si>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</si>
  <si>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</si>
  <si>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</si>
  <si>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</si>
  <si>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</si>
  <si>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</si>
  <si>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</si>
  <si>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</si>
  <si>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</si>
  <si>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</si>
  <si>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</si>
  <si>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</si>
  <si>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</si>
  <si>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</si>
  <si>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</si>
  <si>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</si>
  <si>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</si>
  <si>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</si>
  <si>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</si>
  <si>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</si>
  <si>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</si>
  <si>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</si>
  <si>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</si>
  <si>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</si>
  <si>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</si>
  <si>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</si>
  <si>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</si>
  <si>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</si>
  <si>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</si>
  <si>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</si>
  <si>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</si>
  <si>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</si>
  <si>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</si>
  <si>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</si>
  <si>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</si>
  <si>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</si>
  <si>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</si>
  <si>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</si>
  <si>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</si>
  <si>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</si>
  <si>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</si>
  <si>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</si>
  <si>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</si>
  <si>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</si>
  <si>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</si>
  <si>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</si>
  <si>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</si>
  <si>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</si>
  <si>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</si>
  <si>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</si>
  <si>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</si>
  <si>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</si>
  <si>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</si>
  <si>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</si>
  <si>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</si>
  <si>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</si>
  <si>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</si>
  <si>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</si>
  <si>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</si>
  <si>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</si>
  <si>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</si>
  <si>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</si>
  <si>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</si>
  <si>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</si>
  <si>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</si>
  <si>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</si>
  <si>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</si>
  <si>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</si>
  <si>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</si>
  <si>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</si>
  <si>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</si>
  <si>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</si>
  <si>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</si>
  <si>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</si>
  <si>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</si>
  <si>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</si>
  <si>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</si>
  <si>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</si>
  <si>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</si>
  <si>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</si>
  <si>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</si>
  <si>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</si>
  <si>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</si>
  <si>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</si>
  <si>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</si>
  <si>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</si>
  <si>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</si>
  <si>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</si>
  <si>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</si>
  <si>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</si>
  <si>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</si>
  <si>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</si>
  <si>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</si>
  <si>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</si>
  <si>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</si>
  <si>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</si>
  <si>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</si>
  <si>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</si>
  <si>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</si>
  <si>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</si>
  <si>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</si>
  <si>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</si>
  <si>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</si>
  <si>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</si>
  <si>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</si>
  <si>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</si>
  <si>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</si>
  <si>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</si>
  <si>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</si>
  <si>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</si>
  <si>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</si>
  <si>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</si>
  <si>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</si>
  <si>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</si>
  <si>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</si>
  <si>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</si>
  <si>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</si>
  <si>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</si>
  <si>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</si>
  <si>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</si>
  <si>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</si>
  <si>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</si>
  <si>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</si>
  <si>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</si>
  <si>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</si>
  <si>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</si>
  <si>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</si>
  <si>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</si>
  <si>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</si>
  <si>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</si>
  <si>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</si>
  <si>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</si>
  <si>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</si>
  <si>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</si>
  <si>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</si>
  <si>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</si>
  <si>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</si>
  <si>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</si>
  <si>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</si>
  <si>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</si>
  <si>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</si>
  <si>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</si>
  <si>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</si>
  <si>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</si>
  <si>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</si>
  <si>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</si>
  <si>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</si>
  <si>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</si>
  <si>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</si>
  <si>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</si>
  <si>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</si>
  <si>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</si>
  <si>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</si>
  <si>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</si>
  <si>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</si>
  <si>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</si>
  <si>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</si>
  <si>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</si>
  <si>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</si>
  <si>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</si>
  <si>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</si>
  <si>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</si>
  <si>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</si>
  <si>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</si>
  <si>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</si>
  <si>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</si>
  <si>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</si>
  <si>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</si>
  <si>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</si>
  <si>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</si>
  <si>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</si>
  <si>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</si>
  <si>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</si>
  <si>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</si>
  <si>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</si>
  <si>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</si>
  <si>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</si>
  <si>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</si>
  <si>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</si>
  <si>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</si>
  <si>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</si>
  <si>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</si>
  <si>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</si>
  <si>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</si>
  <si>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</si>
  <si>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</si>
  <si>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</si>
  <si>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</si>
  <si>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</si>
  <si>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</si>
  <si>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</si>
  <si>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</si>
  <si>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</si>
  <si>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</si>
  <si>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</si>
  <si>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</si>
  <si>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</si>
  <si>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</si>
  <si>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</si>
  <si>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</si>
  <si>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</si>
  <si>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</si>
  <si>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</si>
  <si>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</si>
  <si>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</si>
  <si>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</si>
  <si>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</si>
  <si>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</si>
  <si>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</si>
  <si>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</si>
  <si>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</si>
  <si>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</si>
  <si>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</si>
  <si>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</si>
  <si>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</si>
  <si>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</si>
  <si>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</si>
  <si>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</si>
  <si>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</si>
  <si>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</si>
  <si>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</si>
  <si>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</si>
  <si>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</si>
  <si>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</si>
  <si>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</si>
  <si>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</si>
  <si>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</si>
  <si>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</si>
  <si>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</si>
  <si>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</si>
  <si>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</si>
  <si>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</si>
  <si>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</si>
  <si>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</si>
  <si>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</si>
  <si>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</si>
  <si>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</si>
  <si>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</si>
  <si>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</si>
  <si>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</si>
  <si>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</si>
  <si>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</si>
  <si>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</si>
  <si>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</si>
  <si>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</si>
  <si>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</si>
  <si>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</si>
  <si>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</si>
  <si>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</si>
  <si>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</si>
  <si>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</si>
  <si>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</si>
  <si>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</si>
  <si>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</si>
  <si>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</si>
  <si>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</si>
  <si>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</si>
  <si>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</si>
  <si>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</si>
  <si>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</si>
  <si>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</si>
  <si>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</si>
  <si>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</si>
  <si>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</si>
  <si>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</si>
  <si>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</si>
  <si>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</si>
  <si>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</si>
  <si>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</si>
  <si>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</si>
  <si>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</si>
  <si>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</si>
  <si>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</si>
  <si>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</si>
  <si>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</si>
  <si>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</si>
  <si>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</si>
  <si>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</si>
  <si>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</si>
  <si>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</si>
  <si>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</si>
  <si>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</si>
  <si>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</si>
  <si>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</si>
  <si>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</si>
  <si>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</si>
  <si>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</si>
  <si>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</si>
  <si>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</si>
  <si>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</si>
  <si>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</si>
  <si>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</si>
  <si>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</si>
  <si>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</si>
  <si>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</si>
  <si>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</si>
  <si>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</si>
  <si>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</si>
  <si>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</si>
  <si>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</si>
  <si>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</si>
  <si>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</si>
  <si>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</si>
  <si>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</si>
  <si>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</si>
  <si>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</si>
  <si>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</si>
  <si>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</si>
  <si>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</si>
  <si>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</si>
  <si>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</si>
  <si>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</si>
  <si>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</si>
  <si>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</si>
  <si>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</si>
  <si>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</si>
  <si>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</si>
  <si>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</si>
  <si>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</si>
  <si>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</si>
  <si>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</si>
  <si>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</si>
  <si>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</si>
  <si>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</si>
  <si>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</si>
  <si>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</si>
  <si>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</si>
  <si>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</si>
  <si>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</si>
  <si>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</si>
  <si>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</si>
  <si>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</si>
  <si>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</si>
  <si>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</si>
  <si>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</si>
  <si>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</si>
  <si>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</si>
  <si>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</si>
  <si>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</si>
  <si>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</si>
  <si>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</si>
  <si>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</si>
  <si>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</si>
  <si>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</si>
  <si>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</si>
  <si>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</si>
  <si>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</si>
  <si>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</si>
  <si>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</si>
  <si>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</si>
  <si>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</si>
  <si>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</si>
  <si>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</si>
  <si>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</si>
  <si>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</si>
  <si>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</si>
  <si>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</si>
  <si>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</si>
  <si>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</si>
  <si>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</si>
  <si>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</si>
  <si>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</si>
  <si>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</si>
  <si>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</si>
  <si>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</si>
  <si>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</si>
  <si>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</si>
  <si>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</si>
  <si>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</si>
  <si>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</si>
  <si>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</si>
  <si>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</si>
  <si>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</si>
  <si>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</si>
  <si>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</si>
  <si>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</si>
  <si>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</si>
  <si>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</si>
  <si>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</si>
  <si>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</si>
  <si>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</si>
  <si>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</si>
  <si>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</si>
  <si>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</si>
  <si>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</si>
  <si>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</si>
  <si>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</si>
  <si>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</si>
  <si>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</si>
  <si>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</si>
  <si>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</si>
  <si>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</si>
  <si>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</si>
  <si>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</si>
  <si>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</si>
  <si>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</si>
  <si>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</si>
  <si>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</si>
  <si>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</si>
  <si>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</si>
  <si>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</si>
  <si>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</si>
  <si>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</si>
  <si>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</si>
  <si>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</si>
  <si>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</si>
  <si>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</si>
  <si>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</si>
  <si>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</si>
  <si>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</si>
  <si>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</si>
  <si>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</si>
  <si>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</si>
  <si>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</si>
  <si>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</si>
  <si>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</si>
  <si>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</si>
  <si>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</si>
  <si>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</si>
  <si>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</si>
  <si>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</si>
  <si>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</si>
  <si>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</si>
  <si>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</si>
  <si>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</si>
  <si>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</si>
  <si>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</si>
  <si>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</si>
  <si>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</si>
  <si>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</si>
  <si>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</si>
  <si>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</si>
  <si>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</si>
  <si>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</si>
  <si>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</si>
  <si>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</si>
  <si>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</si>
  <si>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</si>
  <si>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</si>
  <si>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</si>
  <si>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</si>
  <si>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</si>
  <si>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</si>
  <si>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</si>
  <si>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</si>
  <si>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</si>
  <si>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</si>
  <si>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</si>
  <si>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</si>
  <si>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</si>
  <si>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</si>
  <si>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</si>
  <si>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</si>
  <si>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</si>
  <si>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</si>
  <si>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</si>
  <si>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</si>
  <si>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</si>
  <si>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</si>
  <si>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</si>
  <si>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</si>
  <si>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</si>
  <si>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</si>
  <si>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</si>
  <si>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</si>
  <si>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</si>
  <si>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</si>
  <si>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</si>
  <si>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</si>
  <si>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</si>
  <si>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</si>
  <si>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</si>
  <si>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</si>
  <si>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</si>
  <si>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</si>
  <si>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</si>
  <si>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</si>
  <si>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</si>
  <si>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</si>
  <si>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</si>
  <si>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</si>
  <si>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</si>
  <si>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</si>
  <si>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</si>
  <si>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</si>
  <si>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</si>
  <si>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</si>
  <si>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</si>
  <si>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</si>
  <si>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</si>
  <si>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</si>
  <si>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</si>
  <si>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</si>
  <si>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</si>
  <si>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</si>
  <si>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</si>
  <si>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</si>
  <si>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</si>
  <si>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</si>
  <si>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</si>
  <si>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</si>
  <si>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</si>
  <si>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</si>
  <si>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</si>
  <si>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</si>
  <si>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</si>
  <si>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</si>
  <si>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</si>
  <si>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</si>
  <si>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</si>
  <si>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</si>
  <si>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</si>
  <si>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</si>
  <si>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</si>
  <si>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</si>
  <si>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</si>
  <si>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</si>
  <si>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</si>
  <si>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</si>
  <si>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</si>
  <si>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</si>
  <si>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</si>
  <si>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</si>
  <si>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</si>
  <si>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</si>
  <si>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</si>
  <si>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</si>
  <si>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</si>
  <si>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</si>
  <si>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</si>
  <si>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</si>
  <si>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</si>
  <si>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</si>
  <si>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</si>
  <si>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</si>
  <si>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</si>
  <si>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</si>
  <si>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</si>
  <si>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</si>
  <si>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</si>
  <si>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</si>
  <si>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</si>
  <si>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</si>
  <si>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</si>
  <si>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</si>
  <si>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</si>
  <si>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</si>
  <si>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</si>
  <si>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</si>
  <si>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</si>
  <si>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</si>
  <si>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</si>
  <si>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</si>
  <si>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</si>
  <si>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</si>
  <si>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</si>
  <si>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</si>
  <si>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</si>
  <si>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</si>
  <si>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</si>
  <si>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</si>
  <si>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</si>
  <si>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</si>
  <si>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</si>
  <si>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</si>
  <si>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</si>
  <si>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</si>
  <si>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</si>
  <si>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</si>
  <si>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</si>
  <si>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</si>
  <si>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</si>
  <si>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</si>
  <si>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</si>
  <si>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</si>
  <si>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</si>
  <si>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</si>
  <si>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</si>
  <si>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</si>
  <si>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</si>
  <si>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</si>
  <si>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</si>
  <si>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</si>
  <si>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</si>
  <si>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</si>
  <si>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</si>
  <si>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</si>
  <si>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</si>
  <si>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</si>
  <si>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</si>
  <si>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</si>
  <si>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</si>
  <si>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</si>
  <si>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</si>
  <si>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</si>
  <si>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</si>
  <si>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</si>
  <si>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</si>
  <si>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</si>
  <si>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</si>
  <si>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</si>
  <si>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</si>
  <si>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</si>
  <si>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</si>
  <si>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</si>
  <si>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</si>
  <si>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</si>
  <si>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</si>
  <si>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</si>
  <si>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</si>
  <si>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</si>
  <si>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</si>
  <si>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</si>
  <si>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</si>
  <si>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</si>
  <si>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</si>
  <si>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</si>
  <si>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</si>
  <si>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</si>
  <si>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</si>
  <si>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</si>
  <si>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</si>
  <si>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</si>
  <si>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</si>
  <si>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</si>
  <si>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</si>
  <si>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Российская Федерация, 650066, г. Кемерово, пр. Октябрьский, д. 53/2</t>
  </si>
  <si>
    <t>(3842) 57-42-02</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</si>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</sst>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00"/>
    <numFmt numFmtId="166" formatCode="dd\.mm\.yyyy"/>
  </numFmts>
  <fonts count="75" x14ac:knownFonts="1">
    <font>
      <sz val="9"/>
      <color rgb="FF000000"/>
      <name val="Tahoma"/>
    </font>
    <font>
      <sz val="11"/>
      <color theme="1"/>
      <name val="Calibri"/>
      <family val="2"/>
      <charset val="204"/>
      <scheme val="minor"/>
    </font>
    <font>
      <sz val="9"/>
      <name val="Tahoma"/>
      <family val="2"/>
      <charset val="204"/>
    </font>
    <font>
      <sz val="9"/>
      <color theme="1"/>
      <name val="Tahoma"/>
      <family val="2"/>
      <charset val="204"/>
    </font>
    <font>
      <sz val="9"/>
      <color rgb="FF22272F"/>
      <name val="Tahoma"/>
      <family val="2"/>
      <charset val="204"/>
    </font>
    <font>
      <b/>
      <sz val="9"/>
      <name val="Tahoma"/>
      <family val="2"/>
      <charset val="204"/>
    </font>
    <font>
      <b/>
      <sz val="9"/>
      <color theme="1"/>
      <name val="Tahoma"/>
      <family val="2"/>
      <charset val="204"/>
    </font>
    <font>
      <b/>
      <sz val="9"/>
      <color rgb="FF22272F"/>
      <name val="Tahoma"/>
      <family val="2"/>
      <charset val="204"/>
    </font>
    <font>
      <strike/>
      <sz val="9"/>
      <color rgb="FFFF0000"/>
      <name val="Tahoma"/>
      <family val="2"/>
      <charset val="204"/>
    </font>
    <font>
      <sz val="8"/>
      <name val="Tahoma"/>
      <family val="2"/>
      <charset val="204"/>
    </font>
    <font>
      <b/>
      <sz val="10"/>
      <name val="Tahoma"/>
      <family val="2"/>
      <charset val="204"/>
    </font>
    <font>
      <b/>
      <sz val="8"/>
      <name val="Tahoma"/>
      <family val="2"/>
      <charset val="204"/>
    </font>
    <font>
      <sz val="8"/>
      <color rgb="FFFF000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8"/>
      <color rgb="FFFF6600"/>
      <name val="Tahoma"/>
      <family val="2"/>
      <charset val="204"/>
    </font>
    <font>
      <sz val="8"/>
      <color theme="0"/>
      <name val="Tahoma"/>
      <family val="2"/>
      <charset val="204"/>
    </font>
    <font>
      <sz val="9"/>
      <color rgb="FFFFFFFF"/>
      <name val="Tahoma"/>
      <family val="2"/>
      <charset val="204"/>
    </font>
    <font>
      <sz val="9"/>
      <color theme="0"/>
      <name val="Tahoma"/>
      <family val="2"/>
      <charset val="204"/>
    </font>
    <font>
      <b/>
      <sz val="9"/>
      <color rgb="FF333399"/>
      <name val="Tahoma"/>
      <family val="2"/>
      <charset val="204"/>
    </font>
    <font>
      <b/>
      <sz val="9"/>
      <color theme="1"/>
      <name val="Calibri"/>
      <family val="2"/>
      <charset val="204"/>
      <scheme val="minor"/>
    </font>
    <font>
      <sz val="9"/>
      <color theme="0" tint="-0.14999847407452621"/>
      <name val="Tahoma"/>
      <family val="2"/>
      <charset val="204"/>
    </font>
    <font>
      <sz val="9"/>
      <color rgb="FF000080"/>
      <name val="Tahoma"/>
      <family val="2"/>
      <charset val="204"/>
    </font>
    <font>
      <b/>
      <sz val="9"/>
      <color theme="0"/>
      <name val="Tahoma"/>
      <family val="2"/>
      <charset val="204"/>
    </font>
    <font>
      <sz val="10"/>
      <name val="Tahoma"/>
      <family val="2"/>
      <charset val="204"/>
    </font>
    <font>
      <u/>
      <sz val="10"/>
      <color rgb="FF000080"/>
      <name val="Tahoma"/>
      <family val="2"/>
      <charset val="204"/>
    </font>
    <font>
      <u/>
      <sz val="9"/>
      <name val="Tahoma"/>
      <family val="2"/>
      <charset val="204"/>
    </font>
    <font>
      <sz val="16"/>
      <color rgb="FF0070C0"/>
      <name val="Tahoma"/>
      <family val="2"/>
      <charset val="204"/>
    </font>
    <font>
      <sz val="16"/>
      <color theme="0"/>
      <name val="Tahoma"/>
      <family val="2"/>
      <charset val="204"/>
    </font>
    <font>
      <sz val="16"/>
      <name val="Tahoma"/>
      <family val="2"/>
      <charset val="204"/>
    </font>
    <font>
      <b/>
      <sz val="16"/>
      <name val="Tahoma"/>
      <family val="2"/>
      <charset val="204"/>
    </font>
    <font>
      <b/>
      <sz val="16"/>
      <color rgb="FF0070C0"/>
      <name val="Tahoma"/>
      <family val="2"/>
      <charset val="204"/>
    </font>
    <font>
      <sz val="20"/>
      <color rgb="FF0070C0"/>
      <name val="Tahoma"/>
      <family val="2"/>
      <charset val="204"/>
    </font>
    <font>
      <u/>
      <sz val="9"/>
      <color rgb="FF000080"/>
      <name val="Tahoma"/>
      <family val="2"/>
      <charset val="204"/>
    </font>
    <font>
      <sz val="12"/>
      <color rgb="FF0070C0"/>
      <name val="Tahoma"/>
      <family val="2"/>
      <charset val="204"/>
    </font>
    <font>
      <sz val="9"/>
      <color theme="1"/>
      <name val="Calibri"/>
      <family val="2"/>
      <charset val="204"/>
      <scheme val="minor"/>
    </font>
    <font>
      <b/>
      <strike/>
      <sz val="9"/>
      <color rgb="FFFF0000"/>
      <name val="Tahoma"/>
      <family val="2"/>
      <charset val="204"/>
    </font>
    <font>
      <sz val="9"/>
      <color rgb="FFFF0000"/>
      <name val="Tahoma"/>
      <family val="2"/>
      <charset val="204"/>
    </font>
    <font>
      <i/>
      <sz val="9"/>
      <color theme="1"/>
      <name val="Tahoma"/>
      <family val="2"/>
      <charset val="204"/>
    </font>
    <font>
      <i/>
      <sz val="9"/>
      <name val="Tahoma"/>
      <family val="2"/>
      <charset val="204"/>
    </font>
    <font>
      <sz val="9"/>
      <color theme="3"/>
      <name val="Tahoma"/>
      <family val="2"/>
      <charset val="204"/>
    </font>
    <font>
      <b/>
      <sz val="9"/>
      <color theme="3"/>
      <name val="Tahoma"/>
      <family val="2"/>
      <charset val="204"/>
    </font>
    <font>
      <sz val="14"/>
      <color rgb="FFBCBCBC"/>
      <name val="Calibri"/>
      <family val="2"/>
      <charset val="204"/>
      <scheme val="minor"/>
    </font>
    <font>
      <sz val="10"/>
      <name val="Arial Cyr"/>
    </font>
    <font>
      <b/>
      <u/>
      <sz val="11"/>
      <color rgb="FF0000FF"/>
      <name val="Tahoma"/>
      <family val="2"/>
      <charset val="204"/>
    </font>
    <font>
      <sz val="11"/>
      <color rgb="FF000000"/>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0"/>
      <color rgb="FF000000"/>
      <name val="Arial Cyr"/>
    </font>
    <font>
      <u/>
      <sz val="20"/>
      <color rgb="FF000000"/>
      <name val="Tahoma"/>
      <family val="2"/>
      <charset val="204"/>
    </font>
    <font>
      <sz val="9"/>
      <color rgb="FF000000"/>
      <name val="Arial Cyr"/>
    </font>
    <font>
      <u/>
      <sz val="9"/>
      <color rgb="FF000000"/>
      <name val="Tahoma"/>
      <family val="2"/>
      <charset val="204"/>
    </font>
    <font>
      <sz val="11"/>
      <color rgb="FFBCBCBC"/>
      <name val="Tahoma"/>
      <family val="2"/>
      <charset val="204"/>
    </font>
    <font>
      <sz val="11"/>
      <color rgb="FFBCBCBC"/>
      <name val="Wingdings 2"/>
      <family val="1"/>
      <charset val="2"/>
    </font>
    <font>
      <sz val="8"/>
      <color rgb="FF000000"/>
      <name val="Tahoma"/>
      <family val="2"/>
      <charset val="204"/>
    </font>
    <font>
      <strike/>
      <sz val="9"/>
      <color rgb="FF000000"/>
      <name val="Tahoma"/>
      <family val="2"/>
      <charset val="204"/>
    </font>
    <font>
      <sz val="8"/>
      <color rgb="FF7030A0"/>
      <name val="Tahoma"/>
      <family val="2"/>
      <charset val="204"/>
    </font>
    <font>
      <sz val="11"/>
      <color rgb="FF000000"/>
      <name val="Calibri"/>
      <family val="2"/>
      <charset val="204"/>
    </font>
    <font>
      <b/>
      <sz val="10"/>
      <color rgb="FF333399"/>
      <name val="Tahoma"/>
      <family val="2"/>
      <charset val="204"/>
    </font>
    <font>
      <sz val="11"/>
      <name val="Calibri"/>
      <family val="2"/>
      <charset val="204"/>
      <scheme val="minor"/>
    </font>
    <font>
      <u/>
      <sz val="9"/>
      <color theme="10"/>
      <name val="Tahoma"/>
      <family val="2"/>
      <charset val="204"/>
    </font>
    <font>
      <b/>
      <sz val="8"/>
      <color rgb="FF000000"/>
      <name val="Tahoma"/>
      <family val="2"/>
      <charset val="204"/>
    </font>
    <font>
      <sz val="9"/>
      <color rgb="FF000000"/>
      <name val="Tahoma"/>
      <family val="2"/>
      <charset val="204"/>
    </font>
    <font>
      <vertAlign val="superscript"/>
      <sz val="9"/>
      <color theme="1"/>
      <name val="Tahoma"/>
      <family val="2"/>
      <charset val="204"/>
    </font>
    <font>
      <vertAlign val="subscrip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s>
  <borders count="74">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style="thin">
        <color theme="0" tint="-0.249977111117893"/>
      </left>
      <right/>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05">
    <xf numFmtId="49" fontId="0" fillId="0" borderId="0" applyFill="0" applyBorder="0">
      <alignment vertical="top"/>
    </xf>
    <xf numFmtId="0" fontId="2" fillId="11" borderId="1">
      <alignment horizontal="right" vertical="center" wrapText="1" indent="1"/>
    </xf>
    <xf numFmtId="0" fontId="3" fillId="11" borderId="1">
      <alignment horizontal="right" vertical="center" wrapText="1" indent="1"/>
    </xf>
    <xf numFmtId="49" fontId="3" fillId="11" borderId="2">
      <alignment horizontal="left" vertical="center" wrapText="1" indent="1"/>
    </xf>
    <xf numFmtId="0" fontId="2" fillId="11" borderId="2">
      <alignment horizontal="left" vertical="center" wrapText="1" indent="1"/>
    </xf>
    <xf numFmtId="0" fontId="3" fillId="11" borderId="2">
      <alignment horizontal="left" vertical="center" wrapText="1" indent="1"/>
    </xf>
    <xf numFmtId="0" fontId="2" fillId="12" borderId="2">
      <alignment horizontal="left" vertical="center" wrapText="1" indent="1"/>
    </xf>
    <xf numFmtId="166" fontId="3" fillId="12" borderId="2">
      <alignment horizontal="left" vertical="center" wrapText="1" indent="1"/>
    </xf>
    <xf numFmtId="0" fontId="2" fillId="11" borderId="1">
      <alignment horizontal="left" vertical="center" wrapText="1" indent="1"/>
    </xf>
    <xf numFmtId="1" fontId="2" fillId="11" borderId="1">
      <alignment horizontal="left" vertical="center" wrapText="1" indent="1"/>
    </xf>
    <xf numFmtId="49" fontId="2" fillId="12" borderId="3">
      <alignment horizontal="left" vertical="center" wrapText="1" indent="1"/>
    </xf>
    <xf numFmtId="49" fontId="2" fillId="12" borderId="1">
      <alignment horizontal="left" vertical="center" wrapText="1"/>
    </xf>
    <xf numFmtId="4" fontId="2" fillId="12" borderId="2">
      <alignment horizontal="right" vertical="center"/>
    </xf>
    <xf numFmtId="0" fontId="2" fillId="12" borderId="1">
      <alignment horizontal="left" vertical="center" wrapText="1"/>
    </xf>
    <xf numFmtId="4" fontId="2" fillId="12" borderId="4">
      <alignment horizontal="right" vertical="center"/>
    </xf>
    <xf numFmtId="4" fontId="2" fillId="12" borderId="1">
      <alignment horizontal="right" vertical="center"/>
    </xf>
    <xf numFmtId="4" fontId="2" fillId="12" borderId="5">
      <alignment horizontal="right" vertical="center"/>
    </xf>
    <xf numFmtId="4" fontId="2" fillId="12" borderId="6">
      <alignment horizontal="right" vertical="center"/>
    </xf>
    <xf numFmtId="4" fontId="2" fillId="12" borderId="7">
      <alignment horizontal="right" vertical="center"/>
    </xf>
    <xf numFmtId="4" fontId="2" fillId="12" borderId="8">
      <alignment horizontal="right" vertical="center"/>
    </xf>
    <xf numFmtId="4" fontId="3" fillId="12" borderId="2">
      <alignment horizontal="right" vertical="center"/>
    </xf>
    <xf numFmtId="2" fontId="3" fillId="13" borderId="2">
      <alignment horizontal="right" vertical="center"/>
    </xf>
    <xf numFmtId="0" fontId="3" fillId="12" borderId="9">
      <alignment horizontal="left" vertical="center" wrapText="1"/>
    </xf>
    <xf numFmtId="2" fontId="3" fillId="12" borderId="9">
      <alignment horizontal="right" vertical="center"/>
    </xf>
    <xf numFmtId="4" fontId="3" fillId="12" borderId="10">
      <alignment horizontal="right" vertical="center"/>
    </xf>
    <xf numFmtId="2" fontId="3" fillId="12" borderId="2">
      <alignment horizontal="right" vertical="center"/>
    </xf>
    <xf numFmtId="2" fontId="68" fillId="12" borderId="2">
      <alignment horizontal="right" vertical="center"/>
    </xf>
    <xf numFmtId="0" fontId="3" fillId="12" borderId="2">
      <alignment horizontal="left" vertical="center" wrapText="1"/>
    </xf>
    <xf numFmtId="4" fontId="2" fillId="12" borderId="1">
      <alignment horizontal="right" vertical="center" wrapText="1"/>
    </xf>
    <xf numFmtId="4" fontId="2" fillId="12" borderId="5">
      <alignment horizontal="right" vertical="center" wrapText="1"/>
    </xf>
    <xf numFmtId="4" fontId="2" fillId="12" borderId="7">
      <alignment horizontal="right" vertical="center" wrapText="1"/>
    </xf>
    <xf numFmtId="4" fontId="2" fillId="12" borderId="10">
      <alignment horizontal="right" vertical="center" wrapText="1"/>
    </xf>
    <xf numFmtId="4" fontId="2" fillId="12" borderId="11">
      <alignment horizontal="right" vertical="center" wrapText="1"/>
    </xf>
    <xf numFmtId="0" fontId="3" fillId="12" borderId="1">
      <alignment horizontal="left" vertical="center" wrapText="1"/>
    </xf>
    <xf numFmtId="0" fontId="3" fillId="12" borderId="10">
      <alignment horizontal="left" vertical="center" wrapText="1"/>
    </xf>
    <xf numFmtId="4" fontId="2" fillId="12" borderId="12">
      <alignment horizontal="right" vertical="center" wrapText="1"/>
    </xf>
    <xf numFmtId="4" fontId="2" fillId="12" borderId="13">
      <alignment horizontal="right" vertical="center" wrapText="1"/>
    </xf>
    <xf numFmtId="4" fontId="2" fillId="12" borderId="14">
      <alignment horizontal="right" vertical="center" wrapText="1"/>
    </xf>
    <xf numFmtId="4" fontId="2" fillId="12" borderId="15">
      <alignment horizontal="right" vertical="center" wrapText="1"/>
    </xf>
    <xf numFmtId="4" fontId="2" fillId="12" borderId="2">
      <alignment horizontal="right" vertical="center" wrapText="1"/>
    </xf>
    <xf numFmtId="4" fontId="2" fillId="12" borderId="7">
      <alignment vertical="center"/>
    </xf>
    <xf numFmtId="4" fontId="2" fillId="12" borderId="1">
      <alignment vertical="center"/>
    </xf>
    <xf numFmtId="49" fontId="4" fillId="12" borderId="7">
      <alignment horizontal="left" vertical="center" wrapText="1" indent="1"/>
    </xf>
    <xf numFmtId="49" fontId="4" fillId="12" borderId="1">
      <alignment horizontal="left" vertical="center" wrapText="1" indent="1"/>
    </xf>
    <xf numFmtId="9" fontId="2" fillId="12" borderId="7">
      <alignment vertical="center"/>
    </xf>
    <xf numFmtId="0" fontId="3" fillId="0" borderId="2" applyFill="0">
      <alignment horizontal="left" vertical="center" wrapText="1"/>
    </xf>
    <xf numFmtId="10" fontId="2" fillId="12" borderId="7">
      <alignment vertical="center"/>
    </xf>
    <xf numFmtId="10" fontId="2" fillId="12" borderId="1">
      <alignment vertical="center"/>
    </xf>
    <xf numFmtId="9" fontId="2" fillId="12" borderId="1">
      <alignment vertical="center"/>
    </xf>
    <xf numFmtId="9" fontId="2" fillId="0" borderId="1" applyFill="0">
      <alignment vertical="center"/>
    </xf>
    <xf numFmtId="4" fontId="5" fillId="12" borderId="7">
      <alignment vertical="center"/>
    </xf>
    <xf numFmtId="4" fontId="5" fillId="12" borderId="10">
      <alignment horizontal="right" vertical="center"/>
    </xf>
    <xf numFmtId="4" fontId="3" fillId="12" borderId="1">
      <alignment horizontal="right" vertical="center"/>
    </xf>
    <xf numFmtId="165" fontId="2" fillId="12" borderId="2">
      <alignment horizontal="right" vertical="center"/>
    </xf>
    <xf numFmtId="0" fontId="2" fillId="11" borderId="2">
      <alignment horizontal="left" vertical="center" wrapText="1"/>
    </xf>
    <xf numFmtId="4" fontId="2" fillId="12" borderId="9">
      <alignment horizontal="right" vertical="center"/>
    </xf>
    <xf numFmtId="4" fontId="5" fillId="12" borderId="1">
      <alignment horizontal="right" vertical="center"/>
    </xf>
    <xf numFmtId="0" fontId="3" fillId="12" borderId="16">
      <alignment horizontal="left" vertical="center" wrapText="1"/>
    </xf>
    <xf numFmtId="0" fontId="3" fillId="12" borderId="17">
      <alignment horizontal="left" vertical="center" wrapText="1"/>
    </xf>
    <xf numFmtId="0" fontId="2" fillId="12" borderId="2">
      <alignment horizontal="left" vertical="center" wrapText="1"/>
    </xf>
    <xf numFmtId="0" fontId="2" fillId="11" borderId="1">
      <alignment horizontal="center" vertical="center"/>
    </xf>
    <xf numFmtId="4" fontId="3" fillId="12" borderId="1">
      <alignment horizontal="right" vertical="center" wrapText="1"/>
    </xf>
    <xf numFmtId="4" fontId="3" fillId="12" borderId="1">
      <alignment horizontal="right"/>
    </xf>
    <xf numFmtId="49" fontId="2" fillId="11" borderId="1">
      <alignment horizontal="left" vertical="center" wrapText="1" indent="1"/>
    </xf>
    <xf numFmtId="4" fontId="68" fillId="12" borderId="1">
      <alignment horizontal="right" vertical="center" wrapText="1"/>
    </xf>
    <xf numFmtId="165" fontId="68" fillId="12" borderId="1">
      <alignment horizontal="right" vertical="center" wrapText="1"/>
    </xf>
    <xf numFmtId="4" fontId="6" fillId="12" borderId="1">
      <alignment horizontal="right" vertical="center"/>
    </xf>
    <xf numFmtId="165" fontId="3" fillId="12" borderId="1">
      <alignment horizontal="right" vertical="center"/>
    </xf>
    <xf numFmtId="49" fontId="2" fillId="11" borderId="5">
      <alignment horizontal="left" vertical="center" wrapText="1" indent="1"/>
    </xf>
    <xf numFmtId="4" fontId="3" fillId="12" borderId="5">
      <alignment horizontal="right" vertical="center"/>
    </xf>
    <xf numFmtId="4" fontId="3" fillId="12" borderId="8">
      <alignment horizontal="right" vertical="center"/>
    </xf>
    <xf numFmtId="2" fontId="4" fillId="12" borderId="1">
      <alignment vertical="center" wrapText="1"/>
    </xf>
    <xf numFmtId="2" fontId="4" fillId="12" borderId="5">
      <alignment vertical="center" wrapText="1"/>
    </xf>
    <xf numFmtId="4" fontId="3" fillId="13" borderId="1">
      <alignment horizontal="right" vertical="center"/>
    </xf>
    <xf numFmtId="2" fontId="3" fillId="12" borderId="1">
      <alignment horizontal="right" vertical="center"/>
    </xf>
    <xf numFmtId="4" fontId="4" fillId="12" borderId="1">
      <alignment vertical="center" wrapText="1"/>
    </xf>
    <xf numFmtId="4" fontId="7" fillId="12" borderId="1">
      <alignment vertical="center" wrapText="1"/>
    </xf>
    <xf numFmtId="9" fontId="2" fillId="12" borderId="1">
      <alignment horizontal="right" vertical="center" wrapText="1"/>
    </xf>
    <xf numFmtId="2" fontId="5" fillId="10" borderId="1">
      <alignment horizontal="center" vertical="center" wrapText="1"/>
    </xf>
    <xf numFmtId="2" fontId="2" fillId="12" borderId="1">
      <alignment horizontal="right" vertical="center" wrapText="1"/>
    </xf>
    <xf numFmtId="2" fontId="2" fillId="12" borderId="1">
      <alignment horizontal="center" vertical="center" wrapText="1"/>
    </xf>
    <xf numFmtId="2" fontId="2" fillId="10" borderId="1">
      <alignment horizontal="center" vertical="center" wrapText="1"/>
    </xf>
    <xf numFmtId="49" fontId="3" fillId="0" borderId="1" applyFill="0">
      <alignment horizontal="left" vertical="center" wrapText="1" indent="1"/>
    </xf>
    <xf numFmtId="49" fontId="3" fillId="0" borderId="1" applyFill="0">
      <alignment horizontal="left" vertical="center" wrapText="1" indent="2"/>
    </xf>
    <xf numFmtId="4" fontId="4" fillId="12" borderId="5">
      <alignment vertical="center" wrapText="1"/>
    </xf>
    <xf numFmtId="4" fontId="4" fillId="0" borderId="14" applyFill="0">
      <alignment vertical="center" wrapText="1"/>
    </xf>
    <xf numFmtId="49" fontId="4" fillId="11" borderId="1">
      <alignment vertical="center" wrapText="1"/>
    </xf>
    <xf numFmtId="4" fontId="4" fillId="12" borderId="14">
      <alignment vertical="center" wrapText="1"/>
    </xf>
    <xf numFmtId="4" fontId="4" fillId="12" borderId="7">
      <alignment vertical="center" wrapText="1"/>
    </xf>
    <xf numFmtId="4" fontId="4" fillId="12" borderId="8">
      <alignment vertical="center" wrapText="1"/>
    </xf>
    <xf numFmtId="4" fontId="3" fillId="12" borderId="14">
      <alignment horizontal="right" vertical="center"/>
    </xf>
    <xf numFmtId="4" fontId="3" fillId="12" borderId="7">
      <alignment horizontal="right" vertical="center"/>
    </xf>
    <xf numFmtId="0" fontId="2" fillId="12" borderId="1">
      <alignment horizontal="left" vertical="center"/>
    </xf>
    <xf numFmtId="10" fontId="2" fillId="12" borderId="1">
      <alignment horizontal="right" vertical="center"/>
    </xf>
    <xf numFmtId="0" fontId="2" fillId="12" borderId="5">
      <alignment horizontal="left" vertical="center"/>
    </xf>
    <xf numFmtId="0" fontId="2" fillId="12" borderId="5">
      <alignment horizontal="left" vertical="center" wrapText="1"/>
    </xf>
    <xf numFmtId="0" fontId="2" fillId="11" borderId="7">
      <alignment horizontal="left" vertical="center" wrapText="1" indent="2"/>
    </xf>
    <xf numFmtId="4" fontId="2" fillId="12" borderId="18">
      <alignment horizontal="right" vertical="center"/>
    </xf>
    <xf numFmtId="0" fontId="2" fillId="11" borderId="1">
      <alignment horizontal="left" vertical="center" wrapText="1" indent="3"/>
    </xf>
    <xf numFmtId="4" fontId="6" fillId="12" borderId="2">
      <alignment horizontal="right" vertical="center"/>
    </xf>
    <xf numFmtId="165" fontId="3" fillId="12" borderId="2">
      <alignment horizontal="right" vertical="center"/>
    </xf>
    <xf numFmtId="49" fontId="2" fillId="11" borderId="2">
      <alignment horizontal="left" vertical="center" wrapText="1"/>
    </xf>
    <xf numFmtId="4" fontId="3" fillId="12" borderId="19">
      <alignment horizontal="right" vertical="center"/>
    </xf>
    <xf numFmtId="2" fontId="3" fillId="12" borderId="19">
      <alignment horizontal="right" vertical="center"/>
    </xf>
    <xf numFmtId="4" fontId="8" fillId="0" borderId="19" applyFill="0">
      <alignment horizontal="right" vertical="center"/>
    </xf>
  </cellStyleXfs>
  <cellXfs count="1625">
    <xf numFmtId="49" fontId="0" fillId="0" borderId="0" xfId="0" applyNumberFormat="1" applyFont="1">
      <alignment vertical="top"/>
    </xf>
    <xf numFmtId="49" fontId="3" fillId="11" borderId="2" xfId="3" applyNumberFormat="1" applyFont="1" applyFill="1" applyBorder="1">
      <alignment horizontal="left" vertical="center" wrapText="1" indent="1"/>
    </xf>
    <xf numFmtId="0" fontId="2" fillId="11" borderId="2" xfId="4" applyFont="1" applyFill="1" applyBorder="1">
      <alignment horizontal="left" vertical="center" wrapText="1" indent="1"/>
    </xf>
    <xf numFmtId="0" fontId="3" fillId="11" borderId="2" xfId="5" applyFont="1" applyFill="1" applyBorder="1">
      <alignment horizontal="left" vertical="center" wrapText="1" indent="1"/>
    </xf>
    <xf numFmtId="0" fontId="2" fillId="12" borderId="2" xfId="6" applyFont="1" applyFill="1" applyBorder="1">
      <alignment horizontal="left" vertical="center" wrapText="1" indent="1"/>
    </xf>
    <xf numFmtId="166" fontId="3" fillId="12" borderId="2" xfId="7" applyNumberFormat="1" applyFont="1" applyFill="1" applyBorder="1">
      <alignment horizontal="left" vertical="center" wrapText="1" indent="1"/>
    </xf>
    <xf numFmtId="0" fontId="2" fillId="11" borderId="1" xfId="8" applyFont="1" applyFill="1" applyBorder="1">
      <alignment horizontal="left" vertical="center" wrapText="1" indent="1"/>
    </xf>
    <xf numFmtId="1" fontId="2" fillId="11" borderId="1" xfId="9" applyNumberFormat="1" applyFont="1" applyFill="1" applyBorder="1">
      <alignment horizontal="left" vertical="center" wrapText="1" indent="1"/>
    </xf>
    <xf numFmtId="49" fontId="2" fillId="12" borderId="3" xfId="10" applyNumberFormat="1" applyFont="1" applyFill="1" applyBorder="1">
      <alignment horizontal="left" vertical="center" wrapText="1" indent="1"/>
    </xf>
    <xf numFmtId="49" fontId="2" fillId="12" borderId="1" xfId="11" applyNumberFormat="1" applyFont="1" applyFill="1" applyBorder="1">
      <alignment horizontal="left" vertical="center" wrapText="1"/>
    </xf>
    <xf numFmtId="4" fontId="2" fillId="12" borderId="2" xfId="12" applyNumberFormat="1" applyFont="1" applyFill="1" applyBorder="1">
      <alignment horizontal="right" vertical="center"/>
    </xf>
    <xf numFmtId="0" fontId="2" fillId="12" borderId="1" xfId="13" applyFont="1" applyFill="1" applyBorder="1">
      <alignment horizontal="left" vertical="center" wrapText="1"/>
    </xf>
    <xf numFmtId="4" fontId="2" fillId="12" borderId="4" xfId="14" applyNumberFormat="1" applyFont="1" applyFill="1" applyBorder="1">
      <alignment horizontal="right" vertical="center"/>
    </xf>
    <xf numFmtId="4" fontId="2" fillId="12" borderId="1" xfId="15" applyNumberFormat="1" applyFont="1" applyFill="1" applyBorder="1">
      <alignment horizontal="right" vertical="center"/>
    </xf>
    <xf numFmtId="4" fontId="2" fillId="12" borderId="5" xfId="16" applyNumberFormat="1" applyFont="1" applyFill="1" applyBorder="1">
      <alignment horizontal="right" vertical="center"/>
    </xf>
    <xf numFmtId="4" fontId="2" fillId="12" borderId="6" xfId="17" applyNumberFormat="1" applyFont="1" applyFill="1" applyBorder="1">
      <alignment horizontal="right" vertical="center"/>
    </xf>
    <xf numFmtId="4" fontId="2" fillId="12" borderId="7" xfId="18" applyNumberFormat="1" applyFont="1" applyFill="1" applyBorder="1">
      <alignment horizontal="right" vertical="center"/>
    </xf>
    <xf numFmtId="4" fontId="2" fillId="12" borderId="8" xfId="19" applyNumberFormat="1" applyFont="1" applyFill="1" applyBorder="1">
      <alignment horizontal="right" vertical="center"/>
    </xf>
    <xf numFmtId="4" fontId="3" fillId="12" borderId="2" xfId="20" applyNumberFormat="1" applyFont="1" applyFill="1" applyBorder="1">
      <alignment horizontal="right" vertical="center"/>
    </xf>
    <xf numFmtId="2" fontId="3" fillId="13" borderId="2" xfId="21" applyNumberFormat="1" applyFont="1" applyFill="1" applyBorder="1">
      <alignment horizontal="right" vertical="center"/>
    </xf>
    <xf numFmtId="0" fontId="3" fillId="12" borderId="9" xfId="22" applyFont="1" applyFill="1" applyBorder="1">
      <alignment horizontal="left" vertical="center" wrapText="1"/>
    </xf>
    <xf numFmtId="2" fontId="3" fillId="12" borderId="9" xfId="23" applyNumberFormat="1" applyFont="1" applyFill="1" applyBorder="1">
      <alignment horizontal="right" vertical="center"/>
    </xf>
    <xf numFmtId="4" fontId="3" fillId="12" borderId="10" xfId="24" applyNumberFormat="1" applyFont="1" applyFill="1" applyBorder="1">
      <alignment horizontal="right" vertical="center"/>
    </xf>
    <xf numFmtId="2" fontId="3" fillId="12" borderId="2" xfId="25" applyNumberFormat="1" applyFont="1" applyFill="1" applyBorder="1">
      <alignment horizontal="right" vertical="center"/>
    </xf>
    <xf numFmtId="2" fontId="0" fillId="12" borderId="2" xfId="26" applyNumberFormat="1" applyFont="1" applyFill="1" applyBorder="1">
      <alignment horizontal="right" vertical="center"/>
    </xf>
    <xf numFmtId="0" fontId="3" fillId="12" borderId="2" xfId="27" applyFont="1" applyFill="1" applyBorder="1">
      <alignment horizontal="left" vertical="center" wrapText="1"/>
    </xf>
    <xf numFmtId="4" fontId="2" fillId="12" borderId="1" xfId="28" applyNumberFormat="1" applyFont="1" applyFill="1" applyBorder="1">
      <alignment horizontal="right" vertical="center" wrapText="1"/>
    </xf>
    <xf numFmtId="4" fontId="2" fillId="12" borderId="5" xfId="29" applyNumberFormat="1" applyFont="1" applyFill="1" applyBorder="1">
      <alignment horizontal="right" vertical="center" wrapText="1"/>
    </xf>
    <xf numFmtId="4" fontId="2" fillId="12" borderId="7" xfId="30" applyNumberFormat="1" applyFont="1" applyFill="1" applyBorder="1">
      <alignment horizontal="right" vertical="center" wrapText="1"/>
    </xf>
    <xf numFmtId="4" fontId="2" fillId="12" borderId="10" xfId="31" applyNumberFormat="1" applyFont="1" applyFill="1" applyBorder="1">
      <alignment horizontal="right" vertical="center" wrapText="1"/>
    </xf>
    <xf numFmtId="4" fontId="2" fillId="12" borderId="11" xfId="32" applyNumberFormat="1" applyFont="1" applyFill="1" applyBorder="1">
      <alignment horizontal="right" vertical="center" wrapText="1"/>
    </xf>
    <xf numFmtId="0" fontId="3" fillId="12" borderId="1" xfId="33" applyFont="1" applyFill="1" applyBorder="1">
      <alignment horizontal="left" vertical="center" wrapText="1"/>
    </xf>
    <xf numFmtId="0" fontId="3" fillId="12" borderId="10" xfId="34" applyFont="1" applyFill="1" applyBorder="1">
      <alignment horizontal="left" vertical="center" wrapText="1"/>
    </xf>
    <xf numFmtId="4" fontId="2" fillId="12" borderId="12" xfId="35" applyNumberFormat="1" applyFont="1" applyFill="1" applyBorder="1">
      <alignment horizontal="right" vertical="center" wrapText="1"/>
    </xf>
    <xf numFmtId="4" fontId="2" fillId="12" borderId="13" xfId="36" applyNumberFormat="1" applyFont="1" applyFill="1" applyBorder="1">
      <alignment horizontal="right" vertical="center" wrapText="1"/>
    </xf>
    <xf numFmtId="4" fontId="2" fillId="12" borderId="14" xfId="37" applyNumberFormat="1" applyFont="1" applyFill="1" applyBorder="1">
      <alignment horizontal="right" vertical="center" wrapText="1"/>
    </xf>
    <xf numFmtId="4" fontId="2" fillId="12" borderId="15" xfId="38" applyNumberFormat="1" applyFont="1" applyFill="1" applyBorder="1">
      <alignment horizontal="right" vertical="center" wrapText="1"/>
    </xf>
    <xf numFmtId="4" fontId="2" fillId="12" borderId="2" xfId="39" applyNumberFormat="1" applyFont="1" applyFill="1" applyBorder="1">
      <alignment horizontal="right" vertical="center" wrapText="1"/>
    </xf>
    <xf numFmtId="4" fontId="2" fillId="12" borderId="7" xfId="40" applyNumberFormat="1" applyFont="1" applyFill="1" applyBorder="1">
      <alignment vertical="center"/>
    </xf>
    <xf numFmtId="4" fontId="2" fillId="12" borderId="1" xfId="41" applyNumberFormat="1" applyFont="1" applyFill="1" applyBorder="1">
      <alignment vertical="center"/>
    </xf>
    <xf numFmtId="49" fontId="4" fillId="12" borderId="7" xfId="42" applyNumberFormat="1" applyFont="1" applyFill="1" applyBorder="1">
      <alignment horizontal="left" vertical="center" wrapText="1" indent="1"/>
    </xf>
    <xf numFmtId="49" fontId="4" fillId="12" borderId="1" xfId="43" applyNumberFormat="1" applyFont="1" applyFill="1" applyBorder="1">
      <alignment horizontal="left" vertical="center" wrapText="1" indent="1"/>
    </xf>
    <xf numFmtId="9" fontId="2" fillId="12" borderId="7" xfId="44" applyNumberFormat="1" applyFont="1" applyFill="1" applyBorder="1">
      <alignment vertical="center"/>
    </xf>
    <xf numFmtId="0" fontId="3" fillId="0" borderId="2" xfId="45" applyFont="1" applyBorder="1">
      <alignment horizontal="left" vertical="center" wrapText="1"/>
    </xf>
    <xf numFmtId="10" fontId="2" fillId="12" borderId="7" xfId="46" applyNumberFormat="1" applyFont="1" applyFill="1" applyBorder="1">
      <alignment vertical="center"/>
    </xf>
    <xf numFmtId="10" fontId="2" fillId="12" borderId="1" xfId="47" applyNumberFormat="1" applyFont="1" applyFill="1" applyBorder="1">
      <alignment vertical="center"/>
    </xf>
    <xf numFmtId="9" fontId="2" fillId="12" borderId="1" xfId="48" applyNumberFormat="1" applyFont="1" applyFill="1" applyBorder="1">
      <alignment vertical="center"/>
    </xf>
    <xf numFmtId="9" fontId="2" fillId="0" borderId="1" xfId="49" applyNumberFormat="1" applyFont="1" applyBorder="1">
      <alignment vertical="center"/>
    </xf>
    <xf numFmtId="4" fontId="5" fillId="12" borderId="7" xfId="50" applyNumberFormat="1" applyFont="1" applyFill="1" applyBorder="1">
      <alignment vertical="center"/>
    </xf>
    <xf numFmtId="4" fontId="5" fillId="12" borderId="10" xfId="51" applyNumberFormat="1" applyFont="1" applyFill="1" applyBorder="1">
      <alignment horizontal="right" vertical="center"/>
    </xf>
    <xf numFmtId="4" fontId="3" fillId="12" borderId="1" xfId="52" applyNumberFormat="1" applyFont="1" applyFill="1" applyBorder="1">
      <alignment horizontal="right" vertical="center"/>
    </xf>
    <xf numFmtId="165" fontId="2" fillId="12" borderId="2" xfId="53" applyNumberFormat="1" applyFont="1" applyFill="1" applyBorder="1">
      <alignment horizontal="right" vertical="center"/>
    </xf>
    <xf numFmtId="0" fontId="2" fillId="11" borderId="2" xfId="54" applyFont="1" applyFill="1" applyBorder="1">
      <alignment horizontal="left" vertical="center" wrapText="1"/>
    </xf>
    <xf numFmtId="4" fontId="2" fillId="12" borderId="9" xfId="55" applyNumberFormat="1" applyFont="1" applyFill="1" applyBorder="1">
      <alignment horizontal="right" vertical="center"/>
    </xf>
    <xf numFmtId="4" fontId="5" fillId="12" borderId="1" xfId="56" applyNumberFormat="1" applyFont="1" applyFill="1" applyBorder="1">
      <alignment horizontal="right" vertical="center"/>
    </xf>
    <xf numFmtId="0" fontId="3" fillId="12" borderId="16" xfId="57" applyFont="1" applyFill="1" applyBorder="1">
      <alignment horizontal="left" vertical="center" wrapText="1"/>
    </xf>
    <xf numFmtId="0" fontId="3" fillId="12" borderId="17" xfId="58" applyFont="1" applyFill="1" applyBorder="1">
      <alignment horizontal="left" vertical="center" wrapText="1"/>
    </xf>
    <xf numFmtId="0" fontId="2" fillId="12" borderId="2" xfId="59" applyFont="1" applyFill="1" applyBorder="1">
      <alignment horizontal="left" vertical="center" wrapText="1"/>
    </xf>
    <xf numFmtId="0" fontId="2" fillId="11" borderId="1" xfId="60" applyFont="1" applyFill="1" applyBorder="1">
      <alignment horizontal="center" vertical="center"/>
    </xf>
    <xf numFmtId="4" fontId="3" fillId="12" borderId="1" xfId="61" applyNumberFormat="1" applyFont="1" applyFill="1" applyBorder="1">
      <alignment horizontal="right" vertical="center" wrapText="1"/>
    </xf>
    <xf numFmtId="4" fontId="3" fillId="12" borderId="1" xfId="62" applyNumberFormat="1" applyFont="1" applyFill="1" applyBorder="1">
      <alignment horizontal="right"/>
    </xf>
    <xf numFmtId="49" fontId="2" fillId="11" borderId="1" xfId="63" applyNumberFormat="1" applyFont="1" applyFill="1" applyBorder="1">
      <alignment horizontal="left" vertical="center" wrapText="1" indent="1"/>
    </xf>
    <xf numFmtId="4" fontId="0" fillId="12" borderId="1" xfId="64" applyNumberFormat="1" applyFont="1" applyFill="1" applyBorder="1">
      <alignment horizontal="right" vertical="center" wrapText="1"/>
    </xf>
    <xf numFmtId="165" fontId="0" fillId="12" borderId="1" xfId="65" applyNumberFormat="1" applyFont="1" applyFill="1" applyBorder="1">
      <alignment horizontal="right" vertical="center" wrapText="1"/>
    </xf>
    <xf numFmtId="4" fontId="6" fillId="12" borderId="1" xfId="66" applyNumberFormat="1" applyFont="1" applyFill="1" applyBorder="1">
      <alignment horizontal="right" vertical="center"/>
    </xf>
    <xf numFmtId="165" fontId="3" fillId="12" borderId="1" xfId="67" applyNumberFormat="1" applyFont="1" applyFill="1" applyBorder="1">
      <alignment horizontal="right" vertical="center"/>
    </xf>
    <xf numFmtId="49" fontId="2" fillId="11" borderId="5" xfId="68" applyNumberFormat="1" applyFont="1" applyFill="1" applyBorder="1">
      <alignment horizontal="left" vertical="center" wrapText="1" indent="1"/>
    </xf>
    <xf numFmtId="4" fontId="3" fillId="12" borderId="5" xfId="69" applyNumberFormat="1" applyFont="1" applyFill="1" applyBorder="1">
      <alignment horizontal="right" vertical="center"/>
    </xf>
    <xf numFmtId="4" fontId="3" fillId="12" borderId="8" xfId="70" applyNumberFormat="1" applyFont="1" applyFill="1" applyBorder="1">
      <alignment horizontal="right" vertical="center"/>
    </xf>
    <xf numFmtId="2" fontId="4" fillId="12" borderId="1" xfId="71" applyNumberFormat="1" applyFont="1" applyFill="1" applyBorder="1">
      <alignment vertical="center" wrapText="1"/>
    </xf>
    <xf numFmtId="2" fontId="4" fillId="12" borderId="5" xfId="72" applyNumberFormat="1" applyFont="1" applyFill="1" applyBorder="1">
      <alignment vertical="center" wrapText="1"/>
    </xf>
    <xf numFmtId="4" fontId="3" fillId="13" borderId="1" xfId="73" applyNumberFormat="1" applyFont="1" applyFill="1" applyBorder="1">
      <alignment horizontal="right" vertical="center"/>
    </xf>
    <xf numFmtId="2" fontId="3" fillId="12" borderId="1" xfId="74" applyNumberFormat="1" applyFont="1" applyFill="1" applyBorder="1">
      <alignment horizontal="right" vertical="center"/>
    </xf>
    <xf numFmtId="4" fontId="4" fillId="12" borderId="1" xfId="75" applyNumberFormat="1" applyFont="1" applyFill="1" applyBorder="1">
      <alignment vertical="center" wrapText="1"/>
    </xf>
    <xf numFmtId="4" fontId="7" fillId="12" borderId="1" xfId="76" applyNumberFormat="1" applyFont="1" applyFill="1" applyBorder="1">
      <alignment vertical="center" wrapText="1"/>
    </xf>
    <xf numFmtId="9" fontId="2" fillId="12" borderId="1" xfId="77" applyNumberFormat="1" applyFont="1" applyFill="1" applyBorder="1">
      <alignment horizontal="right" vertical="center" wrapText="1"/>
    </xf>
    <xf numFmtId="2" fontId="2" fillId="12" borderId="1" xfId="79" applyNumberFormat="1" applyFont="1" applyFill="1" applyBorder="1">
      <alignment horizontal="right" vertical="center" wrapText="1"/>
    </xf>
    <xf numFmtId="2" fontId="2" fillId="12" borderId="1" xfId="80" applyNumberFormat="1" applyFont="1" applyFill="1" applyBorder="1">
      <alignment horizontal="center" vertical="center" wrapText="1"/>
    </xf>
    <xf numFmtId="2" fontId="2" fillId="10" borderId="1" xfId="81" applyNumberFormat="1" applyFont="1" applyFill="1" applyBorder="1">
      <alignment horizontal="center" vertical="center" wrapText="1"/>
    </xf>
    <xf numFmtId="49" fontId="3" fillId="0" borderId="1" xfId="82" applyNumberFormat="1" applyFont="1" applyBorder="1">
      <alignment horizontal="left" vertical="center" wrapText="1" indent="1"/>
    </xf>
    <xf numFmtId="49" fontId="3" fillId="0" borderId="1" xfId="83" applyNumberFormat="1" applyFont="1" applyBorder="1">
      <alignment horizontal="left" vertical="center" wrapText="1" indent="2"/>
    </xf>
    <xf numFmtId="4" fontId="4" fillId="12" borderId="5" xfId="84" applyNumberFormat="1" applyFont="1" applyFill="1" applyBorder="1">
      <alignment vertical="center" wrapText="1"/>
    </xf>
    <xf numFmtId="4" fontId="4" fillId="0" borderId="14" xfId="85" applyNumberFormat="1" applyFont="1" applyBorder="1">
      <alignment vertical="center" wrapText="1"/>
    </xf>
    <xf numFmtId="49" fontId="4" fillId="11" borderId="1" xfId="86" applyNumberFormat="1" applyFont="1" applyFill="1" applyBorder="1">
      <alignment vertical="center" wrapText="1"/>
    </xf>
    <xf numFmtId="4" fontId="4" fillId="12" borderId="14" xfId="87" applyNumberFormat="1" applyFont="1" applyFill="1" applyBorder="1">
      <alignment vertical="center" wrapText="1"/>
    </xf>
    <xf numFmtId="4" fontId="4" fillId="12" borderId="7" xfId="88" applyNumberFormat="1" applyFont="1" applyFill="1" applyBorder="1">
      <alignment vertical="center" wrapText="1"/>
    </xf>
    <xf numFmtId="4" fontId="4" fillId="12" borderId="8" xfId="89" applyNumberFormat="1" applyFont="1" applyFill="1" applyBorder="1">
      <alignment vertical="center" wrapText="1"/>
    </xf>
    <xf numFmtId="4" fontId="3" fillId="12" borderId="14" xfId="90" applyNumberFormat="1" applyFont="1" applyFill="1" applyBorder="1">
      <alignment horizontal="right" vertical="center"/>
    </xf>
    <xf numFmtId="4" fontId="3" fillId="12" borderId="7" xfId="91" applyNumberFormat="1" applyFont="1" applyFill="1" applyBorder="1">
      <alignment horizontal="right" vertical="center"/>
    </xf>
    <xf numFmtId="0" fontId="2" fillId="12" borderId="1" xfId="92" applyFont="1" applyFill="1" applyBorder="1">
      <alignment horizontal="left" vertical="center"/>
    </xf>
    <xf numFmtId="10" fontId="2" fillId="12" borderId="1" xfId="93" applyNumberFormat="1" applyFont="1" applyFill="1" applyBorder="1">
      <alignment horizontal="right" vertical="center"/>
    </xf>
    <xf numFmtId="0" fontId="2" fillId="12" borderId="5" xfId="94" applyFont="1" applyFill="1" applyBorder="1">
      <alignment horizontal="left" vertical="center"/>
    </xf>
    <xf numFmtId="0" fontId="2" fillId="12" borderId="5" xfId="95" applyFont="1" applyFill="1" applyBorder="1">
      <alignment horizontal="left" vertical="center" wrapText="1"/>
    </xf>
    <xf numFmtId="0" fontId="2" fillId="11" borderId="7" xfId="96" applyFont="1" applyFill="1" applyBorder="1">
      <alignment horizontal="left" vertical="center" wrapText="1" indent="2"/>
    </xf>
    <xf numFmtId="4" fontId="2" fillId="12" borderId="18" xfId="97" applyNumberFormat="1" applyFont="1" applyFill="1" applyBorder="1">
      <alignment horizontal="right" vertical="center"/>
    </xf>
    <xf numFmtId="0" fontId="2" fillId="11" borderId="1" xfId="98" applyFont="1" applyFill="1" applyBorder="1">
      <alignment horizontal="left" vertical="center" wrapText="1" indent="3"/>
    </xf>
    <xf numFmtId="4" fontId="6" fillId="12" borderId="2" xfId="99" applyNumberFormat="1" applyFont="1" applyFill="1" applyBorder="1">
      <alignment horizontal="right" vertical="center"/>
    </xf>
    <xf numFmtId="165" fontId="3" fillId="12" borderId="2" xfId="100" applyNumberFormat="1" applyFont="1" applyFill="1" applyBorder="1">
      <alignment horizontal="right" vertical="center"/>
    </xf>
    <xf numFmtId="49" fontId="2" fillId="11" borderId="2" xfId="101" applyNumberFormat="1" applyFont="1" applyFill="1" applyBorder="1">
      <alignment horizontal="left" vertical="center" wrapText="1"/>
    </xf>
    <xf numFmtId="4" fontId="3" fillId="12" borderId="19" xfId="102" applyNumberFormat="1" applyFont="1" applyFill="1" applyBorder="1">
      <alignment horizontal="right" vertical="center"/>
    </xf>
    <xf numFmtId="2" fontId="3" fillId="12" borderId="19" xfId="103" applyNumberFormat="1" applyFont="1" applyFill="1" applyBorder="1">
      <alignment horizontal="right" vertical="center"/>
    </xf>
    <xf numFmtId="4" fontId="8" fillId="0" borderId="19" xfId="104" applyNumberFormat="1" applyFont="1" applyBorder="1">
      <alignment horizontal="right" vertical="center"/>
    </xf>
    <xf numFmtId="0" fontId="2" fillId="0" borderId="1" xfId="0" applyNumberFormat="1" applyFont="1" applyBorder="1" applyAlignment="1">
      <alignment horizontal="center" vertical="center"/>
    </xf>
    <xf numFmtId="0" fontId="9" fillId="0" borderId="0" xfId="0" applyNumberFormat="1" applyFont="1" applyAlignment="1">
      <alignment vertical="center"/>
    </xf>
    <xf numFmtId="0" fontId="2" fillId="14" borderId="2"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14" borderId="0" xfId="0" applyNumberFormat="1" applyFont="1" applyFill="1" applyAlignment="1">
      <alignment vertical="center" wrapText="1"/>
    </xf>
    <xf numFmtId="0" fontId="2" fillId="0" borderId="0" xfId="0" applyNumberFormat="1" applyFont="1" applyAlignment="1">
      <alignment horizontal="center" vertical="center"/>
    </xf>
    <xf numFmtId="49" fontId="4"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left" vertical="center" wrapText="1"/>
    </xf>
    <xf numFmtId="49" fontId="5"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2"/>
    </xf>
    <xf numFmtId="49" fontId="4" fillId="0" borderId="1" xfId="0" applyNumberFormat="1" applyFont="1" applyBorder="1" applyAlignment="1">
      <alignment horizontal="left" vertical="center" wrapText="1"/>
    </xf>
    <xf numFmtId="49" fontId="4" fillId="14"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2"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0" xfId="0" applyNumberFormat="1" applyFont="1" applyAlignment="1">
      <alignment horizontal="center" vertical="center"/>
    </xf>
    <xf numFmtId="49" fontId="5"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9" fillId="0" borderId="0" xfId="0" applyNumberFormat="1" applyFont="1" applyAlignment="1">
      <alignment horizontal="left" vertical="center" wrapText="1"/>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9" fillId="0" borderId="0" xfId="0" applyNumberFormat="1" applyFont="1" applyAlignment="1">
      <alignment horizontal="center" vertical="center"/>
    </xf>
    <xf numFmtId="0" fontId="2" fillId="0" borderId="2" xfId="0" applyNumberFormat="1" applyFont="1" applyBorder="1" applyAlignment="1">
      <alignment horizontal="right" vertical="center" wrapText="1" indent="1"/>
    </xf>
    <xf numFmtId="0" fontId="2" fillId="0" borderId="2" xfId="0" applyNumberFormat="1" applyFont="1" applyBorder="1" applyAlignment="1">
      <alignment horizontal="right" vertical="center" wrapText="1" indent="1"/>
    </xf>
    <xf numFmtId="0" fontId="10" fillId="0" borderId="21" xfId="0" applyNumberFormat="1" applyFont="1" applyBorder="1" applyAlignment="1">
      <alignment horizontal="center" vertical="center"/>
    </xf>
    <xf numFmtId="0" fontId="2" fillId="0" borderId="0" xfId="0" applyNumberFormat="1" applyFont="1" applyAlignment="1"/>
    <xf numFmtId="0" fontId="2" fillId="14" borderId="0" xfId="0" applyNumberFormat="1" applyFont="1" applyFill="1" applyAlignment="1"/>
    <xf numFmtId="49" fontId="2" fillId="12" borderId="22" xfId="0" applyNumberFormat="1" applyFont="1" applyFill="1" applyBorder="1" applyAlignment="1" applyProtection="1">
      <alignment horizontal="left" vertical="center" wrapText="1"/>
      <protection locked="0"/>
    </xf>
    <xf numFmtId="0" fontId="9" fillId="0" borderId="0" xfId="0" applyNumberFormat="1" applyFont="1" applyAlignment="1">
      <alignment vertical="center" wrapText="1"/>
    </xf>
    <xf numFmtId="0" fontId="11" fillId="0" borderId="0" xfId="0" applyNumberFormat="1" applyFont="1" applyAlignment="1">
      <alignment vertical="center"/>
    </xf>
    <xf numFmtId="0" fontId="11" fillId="0" borderId="0" xfId="0" applyNumberFormat="1" applyFont="1" applyAlignment="1">
      <alignment horizontal="center" vertical="center"/>
    </xf>
    <xf numFmtId="0" fontId="12" fillId="0" borderId="0" xfId="0" applyNumberFormat="1" applyFont="1" applyAlignment="1">
      <alignment vertical="center"/>
    </xf>
    <xf numFmtId="49" fontId="2" fillId="0" borderId="0" xfId="0" applyNumberFormat="1" applyFont="1" applyAlignment="1">
      <alignment vertical="center" wrapText="1"/>
    </xf>
    <xf numFmtId="49" fontId="5" fillId="0" borderId="0" xfId="0" applyNumberFormat="1" applyFont="1" applyAlignment="1">
      <alignment vertical="center" wrapText="1"/>
    </xf>
    <xf numFmtId="49" fontId="2" fillId="0" borderId="0" xfId="0" applyNumberFormat="1" applyFont="1" applyAlignment="1">
      <alignment horizontal="left" vertical="center" wrapText="1"/>
    </xf>
    <xf numFmtId="0" fontId="2" fillId="14" borderId="23" xfId="0" applyNumberFormat="1" applyFont="1" applyFill="1" applyBorder="1" applyAlignment="1">
      <alignment horizontal="center" vertical="center" wrapText="1"/>
    </xf>
    <xf numFmtId="0" fontId="2" fillId="14" borderId="24" xfId="0" applyNumberFormat="1" applyFont="1" applyFill="1" applyBorder="1" applyAlignment="1">
      <alignment horizontal="center" vertical="center" wrapText="1"/>
    </xf>
    <xf numFmtId="0" fontId="2" fillId="14" borderId="25"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0" fontId="3" fillId="0" borderId="0" xfId="0" applyNumberFormat="1" applyFont="1" applyAlignment="1"/>
    <xf numFmtId="0" fontId="2" fillId="0" borderId="0" xfId="0" applyNumberFormat="1" applyFont="1" applyAlignment="1">
      <alignment horizontal="center"/>
    </xf>
    <xf numFmtId="0" fontId="2"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2" fillId="0" borderId="2" xfId="0" applyNumberFormat="1" applyFont="1" applyBorder="1" applyAlignment="1">
      <alignment horizontal="center" vertical="center"/>
    </xf>
    <xf numFmtId="0" fontId="3" fillId="13" borderId="2" xfId="0" applyNumberFormat="1" applyFont="1" applyFill="1" applyBorder="1" applyAlignment="1">
      <alignment horizontal="left" vertical="center" wrapText="1"/>
    </xf>
    <xf numFmtId="0" fontId="3" fillId="0" borderId="2" xfId="0" applyNumberFormat="1" applyFont="1" applyBorder="1" applyAlignment="1">
      <alignment vertical="center" wrapText="1"/>
    </xf>
    <xf numFmtId="0" fontId="3" fillId="0" borderId="2" xfId="0" applyNumberFormat="1" applyFont="1" applyBorder="1" applyAlignment="1">
      <alignment horizontal="center" vertical="center"/>
    </xf>
    <xf numFmtId="0" fontId="2" fillId="0" borderId="2" xfId="0" applyNumberFormat="1" applyFont="1" applyBorder="1" applyAlignment="1">
      <alignment vertical="center" wrapText="1"/>
    </xf>
    <xf numFmtId="0" fontId="3" fillId="0" borderId="0" xfId="0" applyNumberFormat="1" applyFont="1" applyAlignment="1">
      <alignment wrapText="1"/>
    </xf>
    <xf numFmtId="4" fontId="2" fillId="12" borderId="2"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vertical="center" wrapText="1"/>
    </xf>
    <xf numFmtId="49" fontId="2" fillId="14" borderId="2" xfId="0" applyNumberFormat="1" applyFont="1" applyFill="1" applyBorder="1" applyAlignment="1">
      <alignment horizontal="center" vertical="center" wrapText="1"/>
    </xf>
    <xf numFmtId="0" fontId="5" fillId="0" borderId="0" xfId="0" applyNumberFormat="1" applyFont="1" applyAlignment="1"/>
    <xf numFmtId="0" fontId="2" fillId="0" borderId="0" xfId="0" applyNumberFormat="1" applyFont="1" applyAlignment="1">
      <alignment vertical="center" wrapText="1"/>
    </xf>
    <xf numFmtId="4" fontId="2"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4" fontId="13" fillId="0" borderId="0" xfId="0" applyNumberFormat="1" applyFont="1" applyAlignment="1">
      <alignment horizontal="left" vertical="center" wrapText="1"/>
    </xf>
    <xf numFmtId="0" fontId="9" fillId="0" borderId="0" xfId="0" applyNumberFormat="1" applyFont="1" applyAlignment="1"/>
    <xf numFmtId="0" fontId="11" fillId="0" borderId="0" xfId="0" applyNumberFormat="1" applyFont="1" applyAlignment="1"/>
    <xf numFmtId="0" fontId="11" fillId="0" borderId="0" xfId="0" applyNumberFormat="1" applyFont="1" applyAlignment="1">
      <alignment horizontal="left"/>
    </xf>
    <xf numFmtId="0" fontId="9" fillId="0" borderId="0" xfId="0" applyNumberFormat="1" applyFont="1" applyAlignment="1">
      <alignment horizontal="left"/>
    </xf>
    <xf numFmtId="0" fontId="14" fillId="0" borderId="0" xfId="0" applyNumberFormat="1" applyFont="1" applyAlignment="1">
      <alignment horizontal="left" vertical="top" wrapText="1"/>
    </xf>
    <xf numFmtId="0" fontId="15" fillId="0" borderId="0" xfId="0" applyNumberFormat="1" applyFont="1" applyAlignment="1">
      <alignment horizontal="center" vertical="center"/>
    </xf>
    <xf numFmtId="0" fontId="15" fillId="0" borderId="0" xfId="0" applyNumberFormat="1" applyFont="1" applyAlignment="1">
      <alignment vertical="center" wrapText="1"/>
    </xf>
    <xf numFmtId="0" fontId="15" fillId="0" borderId="0" xfId="0" applyNumberFormat="1" applyFont="1" applyAlignment="1">
      <alignment vertical="center"/>
    </xf>
    <xf numFmtId="49" fontId="16" fillId="0" borderId="0" xfId="0" applyNumberFormat="1" applyFont="1" applyAlignment="1">
      <alignment horizontal="left" vertical="center" wrapText="1" indent="4"/>
    </xf>
    <xf numFmtId="0" fontId="15" fillId="0" borderId="0" xfId="0" applyNumberFormat="1" applyFont="1" applyAlignment="1">
      <alignment horizontal="center"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vertical="center"/>
    </xf>
    <xf numFmtId="49" fontId="9" fillId="0" borderId="0" xfId="0" applyNumberFormat="1" applyFont="1" applyAlignment="1">
      <alignment vertical="center" wrapText="1"/>
    </xf>
    <xf numFmtId="49" fontId="9" fillId="0" borderId="0" xfId="0" applyNumberFormat="1" applyFont="1" applyAlignment="1">
      <alignment vertical="center"/>
    </xf>
    <xf numFmtId="49" fontId="17" fillId="15" borderId="0" xfId="0" applyNumberFormat="1" applyFont="1" applyFill="1" applyAlignment="1">
      <alignment horizontal="center" vertical="center"/>
    </xf>
    <xf numFmtId="0" fontId="15" fillId="0" borderId="0" xfId="0" applyNumberFormat="1" applyFont="1" applyAlignment="1"/>
    <xf numFmtId="0" fontId="9" fillId="16" borderId="0" xfId="0" applyNumberFormat="1" applyFont="1" applyFill="1" applyAlignment="1">
      <alignment horizontal="right" vertical="center"/>
    </xf>
    <xf numFmtId="0" fontId="9" fillId="16" borderId="0" xfId="0" applyNumberFormat="1" applyFont="1" applyFill="1" applyAlignment="1">
      <alignment horizontal="center" vertical="center"/>
    </xf>
    <xf numFmtId="0" fontId="15" fillId="16" borderId="0" xfId="0" applyNumberFormat="1" applyFont="1" applyFill="1" applyAlignment="1">
      <alignment horizontal="right" vertical="center"/>
    </xf>
    <xf numFmtId="49" fontId="9" fillId="16" borderId="0" xfId="0" applyNumberFormat="1" applyFont="1" applyFill="1" applyAlignment="1">
      <alignment vertical="center" wrapText="1"/>
    </xf>
    <xf numFmtId="49" fontId="15" fillId="0" borderId="0" xfId="0" applyNumberFormat="1" applyFont="1" applyAlignment="1">
      <alignment vertical="center" wrapText="1"/>
    </xf>
    <xf numFmtId="49" fontId="18" fillId="0" borderId="0" xfId="0" applyNumberFormat="1" applyFont="1" applyAlignment="1">
      <alignment vertical="center"/>
    </xf>
    <xf numFmtId="49" fontId="18" fillId="16" borderId="0" xfId="0" applyNumberFormat="1" applyFont="1" applyFill="1" applyAlignment="1">
      <alignment vertical="center" wrapText="1"/>
    </xf>
    <xf numFmtId="49" fontId="18" fillId="0" borderId="0" xfId="0" applyNumberFormat="1" applyFont="1" applyAlignment="1">
      <alignment vertical="center" wrapText="1"/>
    </xf>
    <xf numFmtId="49" fontId="9" fillId="0" borderId="0" xfId="0" applyNumberFormat="1" applyFont="1" applyAlignment="1">
      <alignment horizontal="center" vertical="center"/>
    </xf>
    <xf numFmtId="49" fontId="9" fillId="17" borderId="0" xfId="0" applyNumberFormat="1" applyFont="1" applyFill="1" applyAlignment="1">
      <alignment vertical="center"/>
    </xf>
    <xf numFmtId="49" fontId="9" fillId="0" borderId="0" xfId="0" applyNumberFormat="1" applyFont="1">
      <alignment vertical="top"/>
    </xf>
    <xf numFmtId="0" fontId="19" fillId="0" borderId="0" xfId="0" applyNumberFormat="1" applyFont="1" applyAlignment="1">
      <alignment vertical="center"/>
    </xf>
    <xf numFmtId="0" fontId="9" fillId="16" borderId="0" xfId="0" applyNumberFormat="1" applyFont="1" applyFill="1" applyAlignment="1">
      <alignment horizontal="left" vertical="center"/>
    </xf>
    <xf numFmtId="49" fontId="20" fillId="15" borderId="0" xfId="0" applyNumberFormat="1" applyFont="1" applyFill="1" applyAlignment="1">
      <alignment horizontal="center" vertical="center"/>
    </xf>
    <xf numFmtId="49" fontId="21" fillId="18" borderId="20" xfId="0" applyNumberFormat="1" applyFont="1" applyFill="1" applyBorder="1" applyAlignment="1">
      <alignment horizontal="left" vertical="center" wrapText="1"/>
    </xf>
    <xf numFmtId="49" fontId="22" fillId="19" borderId="26" xfId="0" applyNumberFormat="1" applyFont="1" applyFill="1" applyBorder="1" applyAlignment="1">
      <alignment horizontal="left" vertical="center" wrapText="1" indent="1"/>
    </xf>
    <xf numFmtId="49" fontId="22" fillId="19" borderId="27" xfId="0" applyNumberFormat="1" applyFont="1" applyFill="1" applyBorder="1" applyAlignment="1">
      <alignment horizontal="left" vertical="center" wrapText="1" indent="1"/>
    </xf>
    <xf numFmtId="49" fontId="22" fillId="19" borderId="28" xfId="0" applyNumberFormat="1" applyFont="1" applyFill="1" applyBorder="1" applyAlignment="1">
      <alignment horizontal="left" vertical="center" wrapText="1" indent="1"/>
    </xf>
    <xf numFmtId="49" fontId="22" fillId="19" borderId="27" xfId="0" applyNumberFormat="1" applyFont="1" applyFill="1" applyBorder="1" applyAlignment="1">
      <alignment vertical="center" wrapText="1"/>
    </xf>
    <xf numFmtId="49" fontId="2" fillId="20" borderId="19" xfId="0" applyNumberFormat="1" applyFont="1" applyFill="1" applyBorder="1" applyAlignment="1">
      <alignment horizontal="left" vertical="center" wrapText="1" indent="1"/>
    </xf>
    <xf numFmtId="0" fontId="21" fillId="18" borderId="20" xfId="0" applyNumberFormat="1" applyFont="1" applyFill="1" applyBorder="1" applyAlignment="1">
      <alignment horizontal="left" vertical="center"/>
    </xf>
    <xf numFmtId="0" fontId="15" fillId="0" borderId="1" xfId="0" applyNumberFormat="1" applyFont="1" applyBorder="1" applyAlignment="1">
      <alignment horizontal="center" vertical="center" wrapText="1"/>
    </xf>
    <xf numFmtId="0" fontId="2" fillId="16" borderId="0" xfId="0" applyNumberFormat="1" applyFont="1" applyFill="1" applyAlignment="1">
      <alignment horizontal="left" vertical="center"/>
    </xf>
    <xf numFmtId="0" fontId="21" fillId="18" borderId="29" xfId="0" applyNumberFormat="1" applyFont="1" applyFill="1" applyBorder="1" applyAlignment="1">
      <alignment horizontal="left" vertical="center"/>
    </xf>
    <xf numFmtId="0" fontId="2" fillId="13" borderId="1" xfId="0" applyNumberFormat="1" applyFont="1" applyFill="1" applyBorder="1" applyAlignment="1">
      <alignment horizontal="center" vertical="center" wrapText="1"/>
    </xf>
    <xf numFmtId="49" fontId="22" fillId="19" borderId="30" xfId="0" applyNumberFormat="1" applyFont="1" applyFill="1" applyBorder="1" applyAlignment="1">
      <alignment horizontal="left" vertical="center" wrapText="1" indent="1"/>
    </xf>
    <xf numFmtId="4" fontId="2" fillId="20" borderId="2" xfId="0" applyNumberFormat="1" applyFont="1" applyFill="1" applyBorder="1" applyAlignment="1">
      <alignment horizontal="right" vertical="center"/>
    </xf>
    <xf numFmtId="0" fontId="23" fillId="0" borderId="21" xfId="0" applyNumberFormat="1" applyFont="1" applyBorder="1" applyAlignment="1">
      <alignment vertical="center"/>
    </xf>
    <xf numFmtId="0" fontId="23" fillId="0" borderId="21" xfId="0" applyNumberFormat="1" applyFont="1" applyBorder="1" applyAlignment="1"/>
    <xf numFmtId="0" fontId="6" fillId="0" borderId="21" xfId="0" applyNumberFormat="1" applyFont="1" applyBorder="1" applyAlignment="1">
      <alignment vertical="center" wrapText="1"/>
    </xf>
    <xf numFmtId="49" fontId="6" fillId="0" borderId="31" xfId="0" applyNumberFormat="1" applyFont="1" applyBorder="1" applyAlignment="1">
      <alignment horizontal="left" vertical="center" wrapText="1" indent="4"/>
    </xf>
    <xf numFmtId="49" fontId="6" fillId="0" borderId="0" xfId="0" applyNumberFormat="1" applyFont="1" applyAlignment="1">
      <alignment horizontal="left" vertical="center" wrapText="1" indent="4"/>
    </xf>
    <xf numFmtId="49" fontId="6" fillId="0" borderId="21" xfId="0" applyNumberFormat="1" applyFont="1" applyBorder="1" applyAlignment="1">
      <alignment vertical="center" wrapText="1"/>
    </xf>
    <xf numFmtId="0" fontId="2" fillId="0" borderId="2" xfId="0" applyNumberFormat="1" applyFont="1" applyBorder="1" applyAlignment="1">
      <alignment horizontal="left" vertical="center" wrapText="1" indent="1"/>
    </xf>
    <xf numFmtId="0" fontId="1" fillId="0" borderId="21" xfId="0" applyNumberFormat="1" applyFont="1" applyBorder="1" applyAlignment="1"/>
    <xf numFmtId="49" fontId="6" fillId="0" borderId="21" xfId="0" applyNumberFormat="1" applyFont="1" applyBorder="1" applyAlignment="1">
      <alignment horizontal="center" vertical="center" wrapText="1"/>
    </xf>
    <xf numFmtId="49" fontId="21" fillId="18" borderId="7" xfId="0" applyNumberFormat="1" applyFont="1" applyFill="1" applyBorder="1" applyAlignment="1">
      <alignment horizontal="left" vertical="center" wrapText="1"/>
    </xf>
    <xf numFmtId="0" fontId="5" fillId="0" borderId="1" xfId="0" applyNumberFormat="1" applyFont="1" applyBorder="1" applyAlignment="1">
      <alignment horizontal="center" vertical="center"/>
    </xf>
    <xf numFmtId="0" fontId="5" fillId="0" borderId="1" xfId="0" applyNumberFormat="1" applyFont="1" applyBorder="1" applyAlignment="1">
      <alignment vertical="center" wrapText="1"/>
    </xf>
    <xf numFmtId="4" fontId="5" fillId="20" borderId="1" xfId="0" applyNumberFormat="1" applyFont="1" applyFill="1" applyBorder="1" applyAlignment="1">
      <alignment horizontal="right" vertical="center"/>
    </xf>
    <xf numFmtId="4" fontId="2" fillId="12" borderId="1" xfId="0" applyNumberFormat="1" applyFont="1" applyFill="1" applyBorder="1" applyAlignment="1" applyProtection="1">
      <alignment horizontal="right" vertical="center"/>
      <protection locked="0"/>
    </xf>
    <xf numFmtId="4" fontId="5" fillId="0" borderId="1" xfId="0" applyNumberFormat="1" applyFont="1" applyBorder="1" applyAlignment="1">
      <alignment horizontal="right" vertical="center"/>
    </xf>
    <xf numFmtId="0" fontId="1" fillId="0" borderId="21" xfId="0" applyNumberFormat="1" applyFont="1" applyBorder="1" applyAlignment="1">
      <alignment vertical="center" wrapText="1"/>
    </xf>
    <xf numFmtId="49"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wrapText="1" indent="1"/>
    </xf>
    <xf numFmtId="0" fontId="21" fillId="18" borderId="14" xfId="0" applyNumberFormat="1" applyFont="1" applyFill="1" applyBorder="1" applyAlignment="1">
      <alignment horizontal="left" vertical="center"/>
    </xf>
    <xf numFmtId="0" fontId="1" fillId="0" borderId="21" xfId="0" applyNumberFormat="1" applyFont="1" applyBorder="1" applyAlignment="1">
      <alignment vertical="center"/>
    </xf>
    <xf numFmtId="0" fontId="21" fillId="18" borderId="7" xfId="0" applyNumberFormat="1" applyFont="1" applyFill="1" applyBorder="1" applyAlignment="1">
      <alignment horizontal="left" vertical="center"/>
    </xf>
    <xf numFmtId="0" fontId="2" fillId="0" borderId="1" xfId="0" applyNumberFormat="1" applyFont="1" applyBorder="1" applyAlignment="1"/>
    <xf numFmtId="0" fontId="2" fillId="0" borderId="1" xfId="0" applyNumberFormat="1" applyFont="1" applyBorder="1" applyAlignment="1">
      <alignment horizontal="left" vertical="center" wrapText="1" indent="2"/>
    </xf>
    <xf numFmtId="4" fontId="5" fillId="12" borderId="1" xfId="0" applyNumberFormat="1" applyFont="1" applyFill="1" applyBorder="1" applyAlignment="1" applyProtection="1">
      <alignment horizontal="right" vertical="center"/>
      <protection locked="0"/>
    </xf>
    <xf numFmtId="0" fontId="3" fillId="0" borderId="21" xfId="0" applyNumberFormat="1" applyFont="1" applyBorder="1" applyAlignment="1">
      <alignment vertical="center"/>
    </xf>
    <xf numFmtId="0" fontId="3" fillId="0" borderId="1" xfId="0" applyNumberFormat="1" applyFont="1" applyBorder="1" applyAlignment="1"/>
    <xf numFmtId="4" fontId="6" fillId="20" borderId="1" xfId="0" applyNumberFormat="1" applyFont="1" applyFill="1" applyBorder="1" applyAlignment="1">
      <alignment horizontal="right" vertical="center" wrapText="1"/>
    </xf>
    <xf numFmtId="4" fontId="2"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protection locked="0"/>
    </xf>
    <xf numFmtId="49" fontId="22" fillId="19" borderId="14" xfId="0" applyNumberFormat="1" applyFont="1" applyFill="1" applyBorder="1" applyAlignment="1">
      <alignment horizontal="left" vertical="center" wrapText="1" indent="1"/>
    </xf>
    <xf numFmtId="49" fontId="22" fillId="19" borderId="20" xfId="0" applyNumberFormat="1" applyFont="1" applyFill="1" applyBorder="1" applyAlignment="1">
      <alignment horizontal="left" vertical="center" wrapText="1" indent="1"/>
    </xf>
    <xf numFmtId="49" fontId="22" fillId="19" borderId="7"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0" fontId="3" fillId="0" borderId="21" xfId="0" applyNumberFormat="1" applyFont="1" applyBorder="1" applyAlignment="1">
      <alignment vertical="center" wrapText="1"/>
    </xf>
    <xf numFmtId="0" fontId="3" fillId="0" borderId="21" xfId="0" applyNumberFormat="1" applyFont="1" applyBorder="1" applyAlignment="1"/>
    <xf numFmtId="4" fontId="6" fillId="20" borderId="1" xfId="0" applyNumberFormat="1" applyFont="1" applyFill="1" applyBorder="1" applyAlignment="1">
      <alignment horizontal="right" vertical="center"/>
    </xf>
    <xf numFmtId="4" fontId="3" fillId="20" borderId="1" xfId="0" applyNumberFormat="1" applyFont="1" applyFill="1" applyBorder="1" applyAlignment="1">
      <alignment horizontal="right" vertical="center"/>
    </xf>
    <xf numFmtId="4" fontId="3" fillId="12"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0" xfId="0" applyNumberFormat="1" applyFont="1" applyAlignment="1"/>
    <xf numFmtId="0" fontId="21" fillId="18" borderId="32" xfId="0" applyNumberFormat="1" applyFont="1" applyFill="1" applyBorder="1" applyAlignment="1">
      <alignment horizontal="left" vertical="center"/>
    </xf>
    <xf numFmtId="0" fontId="21" fillId="18" borderId="33" xfId="0" applyNumberFormat="1" applyFont="1" applyFill="1" applyBorder="1" applyAlignment="1">
      <alignment horizontal="left" vertical="center"/>
    </xf>
    <xf numFmtId="0" fontId="3"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 fontId="13" fillId="20" borderId="1" xfId="0" applyNumberFormat="1" applyFont="1" applyFill="1" applyBorder="1" applyAlignment="1">
      <alignment horizontal="right" vertical="center" wrapText="1"/>
    </xf>
    <xf numFmtId="49" fontId="16" fillId="0" borderId="21" xfId="0" applyNumberFormat="1" applyFont="1" applyBorder="1" applyAlignment="1">
      <alignment vertical="center"/>
    </xf>
    <xf numFmtId="0" fontId="21" fillId="18" borderId="34" xfId="0" applyNumberFormat="1" applyFont="1" applyFill="1" applyBorder="1" applyAlignment="1">
      <alignment horizontal="left" vertical="center"/>
    </xf>
    <xf numFmtId="0" fontId="21" fillId="18"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5" xfId="0" applyNumberFormat="1" applyFont="1" applyBorder="1" applyAlignment="1">
      <alignment horizontal="center" vertical="center" wrapText="1"/>
    </xf>
    <xf numFmtId="4" fontId="2" fillId="20" borderId="1" xfId="0" applyNumberFormat="1" applyFont="1" applyFill="1" applyBorder="1" applyAlignment="1">
      <alignment horizontal="right" vertical="center"/>
    </xf>
    <xf numFmtId="49" fontId="9" fillId="21" borderId="0" xfId="0" applyNumberFormat="1" applyFont="1" applyFill="1" applyAlignment="1" applyProtection="1">
      <alignment vertical="center" wrapText="1"/>
      <protection locked="0"/>
    </xf>
    <xf numFmtId="49" fontId="22" fillId="19" borderId="27" xfId="0" applyNumberFormat="1" applyFont="1" applyFill="1" applyBorder="1" applyAlignment="1">
      <alignment horizontal="left" vertical="center" indent="1"/>
    </xf>
    <xf numFmtId="0" fontId="2" fillId="16" borderId="0" xfId="0" applyNumberFormat="1" applyFont="1" applyFill="1" applyAlignment="1">
      <alignment horizontal="left" vertical="center" wrapText="1"/>
    </xf>
    <xf numFmtId="49" fontId="22" fillId="19" borderId="36" xfId="0" applyNumberFormat="1" applyFont="1" applyFill="1" applyBorder="1" applyAlignment="1">
      <alignment horizontal="left" vertical="center" wrapText="1" indent="1"/>
    </xf>
    <xf numFmtId="49" fontId="22" fillId="19" borderId="37" xfId="0" applyNumberFormat="1" applyFont="1" applyFill="1" applyBorder="1" applyAlignment="1">
      <alignment horizontal="left" vertical="center" wrapText="1" indent="1"/>
    </xf>
    <xf numFmtId="49" fontId="22" fillId="19" borderId="36" xfId="0" applyNumberFormat="1" applyFont="1" applyFill="1" applyBorder="1" applyAlignment="1">
      <alignment horizontal="left" vertical="center" wrapText="1"/>
    </xf>
    <xf numFmtId="49" fontId="22" fillId="19" borderId="38" xfId="0" applyNumberFormat="1" applyFont="1" applyFill="1" applyBorder="1" applyAlignment="1">
      <alignment horizontal="left" vertical="center" wrapText="1"/>
    </xf>
    <xf numFmtId="0" fontId="2" fillId="22" borderId="0" xfId="0" applyNumberFormat="1" applyFont="1" applyFill="1" applyAlignment="1">
      <alignment horizontal="left" vertical="center" wrapText="1"/>
    </xf>
    <xf numFmtId="0" fontId="3" fillId="22" borderId="0" xfId="0" applyNumberFormat="1" applyFont="1" applyFill="1" applyAlignment="1">
      <alignment horizontal="center" vertical="center" wrapText="1"/>
    </xf>
    <xf numFmtId="4" fontId="2" fillId="22" borderId="0" xfId="0" applyNumberFormat="1" applyFont="1" applyFill="1" applyAlignment="1">
      <alignment horizontal="right" vertical="center"/>
    </xf>
    <xf numFmtId="49" fontId="24" fillId="22" borderId="14" xfId="0" applyNumberFormat="1" applyFont="1" applyFill="1" applyBorder="1" applyAlignment="1">
      <alignment horizontal="center" vertical="center" wrapText="1"/>
    </xf>
    <xf numFmtId="49" fontId="25" fillId="22" borderId="12" xfId="0" applyNumberFormat="1" applyFont="1" applyFill="1" applyBorder="1" applyAlignment="1">
      <alignment horizontal="left" vertical="center" indent="1"/>
    </xf>
    <xf numFmtId="49" fontId="2" fillId="22" borderId="39" xfId="0" applyNumberFormat="1" applyFont="1" applyFill="1" applyBorder="1" applyAlignment="1">
      <alignment horizontal="left" vertical="center" indent="1"/>
    </xf>
    <xf numFmtId="49" fontId="25" fillId="22" borderId="39" xfId="0" applyNumberFormat="1" applyFont="1" applyFill="1" applyBorder="1" applyAlignment="1">
      <alignment horizontal="left" vertical="center" indent="1"/>
    </xf>
    <xf numFmtId="0" fontId="3" fillId="19" borderId="7" xfId="0" applyNumberFormat="1" applyFont="1" applyFill="1" applyBorder="1" applyAlignment="1">
      <alignment vertical="center" wrapText="1"/>
    </xf>
    <xf numFmtId="165" fontId="25" fillId="22" borderId="39" xfId="0" applyNumberFormat="1" applyFont="1" applyFill="1" applyBorder="1" applyAlignment="1">
      <alignment horizontal="left" vertical="center" indent="1"/>
    </xf>
    <xf numFmtId="49" fontId="6" fillId="0" borderId="21" xfId="0" applyNumberFormat="1" applyFont="1" applyBorder="1" applyAlignment="1">
      <alignment horizontal="left" vertical="center" wrapText="1" indent="1"/>
    </xf>
    <xf numFmtId="0" fontId="5" fillId="20" borderId="12" xfId="0" applyNumberFormat="1" applyFont="1" applyFill="1" applyBorder="1" applyAlignment="1">
      <alignment horizontal="left" vertical="center" indent="1"/>
    </xf>
    <xf numFmtId="0" fontId="5" fillId="20" borderId="39" xfId="0" applyNumberFormat="1" applyFont="1" applyFill="1" applyBorder="1" applyAlignment="1">
      <alignment vertical="center" wrapText="1"/>
    </xf>
    <xf numFmtId="0" fontId="5" fillId="20" borderId="17" xfId="0" applyNumberFormat="1" applyFont="1" applyFill="1" applyBorder="1" applyAlignment="1">
      <alignment vertical="center" wrapText="1"/>
    </xf>
    <xf numFmtId="49" fontId="5" fillId="20" borderId="39" xfId="0" applyNumberFormat="1" applyFont="1" applyFill="1" applyBorder="1" applyAlignment="1">
      <alignment vertical="center" wrapText="1"/>
    </xf>
    <xf numFmtId="49" fontId="5" fillId="20" borderId="17" xfId="0" applyNumberFormat="1" applyFont="1" applyFill="1" applyBorder="1" applyAlignment="1">
      <alignment vertical="center" wrapText="1"/>
    </xf>
    <xf numFmtId="0" fontId="2" fillId="22" borderId="12" xfId="0" applyNumberFormat="1" applyFont="1" applyFill="1" applyBorder="1" applyAlignment="1">
      <alignment horizontal="left" vertical="center" wrapText="1"/>
    </xf>
    <xf numFmtId="0" fontId="2" fillId="22" borderId="39" xfId="0" applyNumberFormat="1" applyFont="1" applyFill="1" applyBorder="1" applyAlignment="1">
      <alignment horizontal="center" vertical="center"/>
    </xf>
    <xf numFmtId="0" fontId="2" fillId="22" borderId="39" xfId="0" applyNumberFormat="1" applyFont="1" applyFill="1" applyBorder="1" applyAlignment="1">
      <alignment horizontal="left" vertical="center" indent="1"/>
    </xf>
    <xf numFmtId="0" fontId="2" fillId="22" borderId="17" xfId="0" applyNumberFormat="1" applyFont="1" applyFill="1" applyBorder="1" applyAlignment="1">
      <alignment horizontal="left" vertical="center" indent="1"/>
    </xf>
    <xf numFmtId="0" fontId="6" fillId="0" borderId="0" xfId="0" applyNumberFormat="1" applyFont="1" applyAlignment="1">
      <alignment vertical="center"/>
    </xf>
    <xf numFmtId="0" fontId="5" fillId="0" borderId="2" xfId="0" applyNumberFormat="1" applyFont="1" applyBorder="1" applyAlignment="1">
      <alignment horizontal="center" vertical="center" wrapText="1"/>
    </xf>
    <xf numFmtId="4" fontId="5" fillId="20" borderId="2" xfId="0" applyNumberFormat="1" applyFont="1" applyFill="1" applyBorder="1" applyAlignment="1">
      <alignment vertical="center"/>
    </xf>
    <xf numFmtId="4" fontId="2" fillId="20" borderId="1" xfId="0" applyNumberFormat="1" applyFont="1" applyFill="1" applyBorder="1" applyAlignment="1">
      <alignment horizontal="right" vertical="center" wrapText="1"/>
    </xf>
    <xf numFmtId="4" fontId="2" fillId="20" borderId="2" xfId="0" applyNumberFormat="1" applyFont="1" applyFill="1" applyBorder="1" applyAlignment="1">
      <alignment vertical="center"/>
    </xf>
    <xf numFmtId="4" fontId="3" fillId="12" borderId="2" xfId="0" applyNumberFormat="1" applyFont="1" applyFill="1" applyBorder="1" applyAlignment="1" applyProtection="1">
      <alignment horizontal="right" vertical="center"/>
      <protection locked="0"/>
    </xf>
    <xf numFmtId="0" fontId="2" fillId="0" borderId="39" xfId="0" applyNumberFormat="1" applyFont="1" applyBorder="1" applyAlignment="1">
      <alignment horizontal="center" vertical="center"/>
    </xf>
    <xf numFmtId="0" fontId="2" fillId="0" borderId="39" xfId="0" applyNumberFormat="1" applyFont="1" applyBorder="1" applyAlignment="1">
      <alignment horizontal="left" vertical="center" indent="1"/>
    </xf>
    <xf numFmtId="0" fontId="2" fillId="0" borderId="17" xfId="0" applyNumberFormat="1" applyFont="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4" fontId="3" fillId="0" borderId="1" xfId="0" applyNumberFormat="1" applyFont="1" applyBorder="1" applyAlignment="1">
      <alignment horizontal="right" vertical="center"/>
    </xf>
    <xf numFmtId="0" fontId="24" fillId="22" borderId="39" xfId="0" applyNumberFormat="1" applyFont="1" applyFill="1" applyBorder="1" applyAlignment="1">
      <alignment horizontal="left" vertical="center" indent="1"/>
    </xf>
    <xf numFmtId="4" fontId="26" fillId="18" borderId="20" xfId="0" applyNumberFormat="1" applyFont="1" applyFill="1" applyBorder="1" applyAlignment="1">
      <alignment horizontal="right" vertical="center"/>
    </xf>
    <xf numFmtId="165" fontId="3" fillId="20" borderId="1" xfId="0" applyNumberFormat="1" applyFont="1" applyFill="1" applyBorder="1" applyAlignment="1">
      <alignment horizontal="right" vertical="center"/>
    </xf>
    <xf numFmtId="0" fontId="3" fillId="19" borderId="20" xfId="0" applyNumberFormat="1" applyFont="1" applyFill="1" applyBorder="1" applyAlignment="1">
      <alignment vertical="center" wrapText="1"/>
    </xf>
    <xf numFmtId="0" fontId="3" fillId="19" borderId="20" xfId="0" applyNumberFormat="1" applyFont="1" applyFill="1" applyBorder="1" applyAlignment="1">
      <alignment vertical="center"/>
    </xf>
    <xf numFmtId="0" fontId="3" fillId="19" borderId="7" xfId="0" applyNumberFormat="1" applyFont="1" applyFill="1" applyBorder="1" applyAlignment="1">
      <alignment vertical="center"/>
    </xf>
    <xf numFmtId="0" fontId="3" fillId="19" borderId="27" xfId="0" applyNumberFormat="1" applyFont="1" applyFill="1" applyBorder="1" applyAlignment="1">
      <alignment vertical="center" wrapText="1"/>
    </xf>
    <xf numFmtId="165" fontId="2" fillId="20" borderId="2" xfId="0" applyNumberFormat="1" applyFont="1" applyFill="1" applyBorder="1" applyAlignment="1">
      <alignment horizontal="right" vertical="center"/>
    </xf>
    <xf numFmtId="165" fontId="3" fillId="12" borderId="1" xfId="0" applyNumberFormat="1" applyFont="1" applyFill="1" applyBorder="1" applyAlignment="1" applyProtection="1">
      <alignment horizontal="right" vertical="center" wrapText="1"/>
      <protection locked="0"/>
    </xf>
    <xf numFmtId="0" fontId="5" fillId="0" borderId="21" xfId="0" quotePrefix="1" applyNumberFormat="1" applyFont="1" applyBorder="1" applyAlignment="1">
      <alignment horizontal="left" vertical="center" indent="1"/>
    </xf>
    <xf numFmtId="0" fontId="6" fillId="0" borderId="21" xfId="0" quotePrefix="1" applyNumberFormat="1" applyFont="1" applyBorder="1" applyAlignment="1">
      <alignment horizontal="left" vertical="center" indent="1"/>
    </xf>
    <xf numFmtId="49" fontId="6" fillId="0" borderId="21" xfId="0" quotePrefix="1" applyNumberFormat="1" applyFont="1" applyBorder="1" applyAlignment="1">
      <alignment horizontal="left" vertical="center" indent="1"/>
    </xf>
    <xf numFmtId="0" fontId="27" fillId="0" borderId="0" xfId="0" applyNumberFormat="1" applyFont="1" applyAlignment="1"/>
    <xf numFmtId="0" fontId="10" fillId="0" borderId="21" xfId="0" applyNumberFormat="1" applyFont="1" applyBorder="1" applyAlignment="1">
      <alignment horizontal="left" vertical="center" indent="1"/>
    </xf>
    <xf numFmtId="0" fontId="27" fillId="0" borderId="21" xfId="0" applyNumberFormat="1" applyFont="1" applyBorder="1" applyAlignment="1"/>
    <xf numFmtId="0" fontId="28" fillId="3" borderId="1" xfId="0" applyNumberFormat="1" applyFont="1" applyFill="1" applyBorder="1" applyAlignment="1">
      <alignment horizontal="center" vertical="center"/>
    </xf>
    <xf numFmtId="0" fontId="27" fillId="3" borderId="1" xfId="0" applyNumberFormat="1" applyFont="1" applyFill="1" applyBorder="1" applyAlignment="1">
      <alignment vertical="center"/>
    </xf>
    <xf numFmtId="0" fontId="27" fillId="3" borderId="1" xfId="0" applyNumberFormat="1" applyFont="1" applyFill="1" applyBorder="1" applyAlignment="1">
      <alignment vertical="center" wrapText="1"/>
    </xf>
    <xf numFmtId="0" fontId="27" fillId="0" borderId="0" xfId="0" applyNumberFormat="1" applyFont="1" applyAlignment="1">
      <alignment horizontal="left" vertical="center" indent="1"/>
    </xf>
    <xf numFmtId="165" fontId="2" fillId="20" borderId="2" xfId="0" applyNumberFormat="1" applyFont="1" applyFill="1" applyBorder="1" applyAlignment="1">
      <alignment vertical="center"/>
    </xf>
    <xf numFmtId="0" fontId="15" fillId="11" borderId="2"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left" vertical="center"/>
    </xf>
    <xf numFmtId="49" fontId="6" fillId="0" borderId="21" xfId="0" applyNumberFormat="1" applyFont="1" applyBorder="1" applyAlignment="1">
      <alignment horizontal="left" vertical="center" wrapText="1" indent="4"/>
    </xf>
    <xf numFmtId="49" fontId="6" fillId="0" borderId="0" xfId="0" quotePrefix="1" applyNumberFormat="1" applyFont="1" applyAlignment="1">
      <alignment horizontal="left" vertical="center" wrapText="1" indent="4"/>
    </xf>
    <xf numFmtId="49" fontId="2" fillId="14" borderId="1"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27" fillId="3" borderId="1" xfId="0" quotePrefix="1" applyNumberFormat="1" applyFont="1" applyFill="1" applyBorder="1" applyAlignment="1">
      <alignment vertical="center" wrapText="1"/>
    </xf>
    <xf numFmtId="0" fontId="3" fillId="0" borderId="40"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2" fillId="0" borderId="0" xfId="0" applyNumberFormat="1" applyFont="1" applyAlignment="1">
      <alignment horizontal="left" vertical="center"/>
    </xf>
    <xf numFmtId="49" fontId="22" fillId="19" borderId="37" xfId="0" applyNumberFormat="1" applyFont="1" applyFill="1" applyBorder="1" applyAlignment="1">
      <alignment horizontal="left" vertical="center" wrapText="1"/>
    </xf>
    <xf numFmtId="0" fontId="2" fillId="0" borderId="2" xfId="0" applyNumberFormat="1" applyFont="1" applyBorder="1" applyAlignment="1">
      <alignment horizontal="left" vertical="center" wrapText="1" indent="2"/>
    </xf>
    <xf numFmtId="49" fontId="6" fillId="23" borderId="39" xfId="0" applyNumberFormat="1" applyFont="1" applyFill="1" applyBorder="1" applyAlignment="1">
      <alignment horizontal="left" vertical="center" wrapText="1"/>
    </xf>
    <xf numFmtId="49" fontId="6" fillId="23" borderId="17" xfId="0" applyNumberFormat="1" applyFont="1" applyFill="1" applyBorder="1" applyAlignment="1">
      <alignment horizontal="left" vertical="center" wrapText="1"/>
    </xf>
    <xf numFmtId="0" fontId="2" fillId="14" borderId="41" xfId="0" applyNumberFormat="1" applyFont="1" applyFill="1" applyBorder="1" applyAlignment="1">
      <alignment horizontal="center" vertical="center" wrapText="1"/>
    </xf>
    <xf numFmtId="4" fontId="5" fillId="20" borderId="1" xfId="0" applyNumberFormat="1" applyFont="1" applyFill="1" applyBorder="1" applyAlignment="1">
      <alignment horizontal="right" vertical="center" wrapText="1"/>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2" fillId="20" borderId="1" xfId="0" applyNumberFormat="1" applyFont="1" applyFill="1" applyBorder="1" applyAlignment="1" applyProtection="1">
      <alignment horizontal="left" vertical="center" wrapText="1" indent="1"/>
      <protection locked="0"/>
    </xf>
    <xf numFmtId="0" fontId="2" fillId="11" borderId="2" xfId="0" applyNumberFormat="1" applyFont="1" applyFill="1" applyBorder="1" applyAlignment="1" applyProtection="1">
      <alignment horizontal="left" vertical="center" wrapText="1" indent="1"/>
      <protection locked="0"/>
    </xf>
    <xf numFmtId="0" fontId="2" fillId="11" borderId="2" xfId="0" applyNumberFormat="1" applyFont="1" applyFill="1" applyBorder="1" applyAlignment="1" applyProtection="1">
      <alignment horizontal="left" vertical="center" wrapText="1" indent="1"/>
      <protection locked="0"/>
    </xf>
    <xf numFmtId="0" fontId="2" fillId="12"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pplyProtection="1">
      <alignment horizontal="left" vertical="center" wrapText="1" indent="1"/>
      <protection locked="0"/>
    </xf>
    <xf numFmtId="49" fontId="3" fillId="20" borderId="2" xfId="0" applyNumberFormat="1" applyFont="1" applyFill="1" applyBorder="1" applyAlignment="1">
      <alignment horizontal="left" vertical="center" wrapText="1" indent="1"/>
    </xf>
    <xf numFmtId="0" fontId="21" fillId="0" borderId="0" xfId="0" applyNumberFormat="1" applyFont="1" applyAlignment="1">
      <alignment vertical="center"/>
    </xf>
    <xf numFmtId="49" fontId="2" fillId="0" borderId="17" xfId="0" applyNumberFormat="1" applyFont="1" applyBorder="1" applyAlignment="1">
      <alignment horizontal="right" vertical="center" wrapText="1" indent="1"/>
    </xf>
    <xf numFmtId="0" fontId="5" fillId="0" borderId="17" xfId="0" applyNumberFormat="1" applyFont="1" applyBorder="1" applyAlignment="1">
      <alignment horizontal="right" vertical="center" wrapText="1" indent="1"/>
    </xf>
    <xf numFmtId="0" fontId="6" fillId="0" borderId="2" xfId="0" applyNumberFormat="1" applyFont="1" applyBorder="1" applyAlignment="1">
      <alignment horizontal="left" vertical="center" wrapText="1" indent="1"/>
    </xf>
    <xf numFmtId="49" fontId="2" fillId="0" borderId="2" xfId="0" applyNumberFormat="1" applyFont="1" applyBorder="1" applyAlignment="1">
      <alignment horizontal="right" vertical="center" wrapText="1" indent="1"/>
    </xf>
    <xf numFmtId="49" fontId="22" fillId="19" borderId="38" xfId="0" applyNumberFormat="1" applyFont="1" applyFill="1" applyBorder="1" applyAlignment="1">
      <alignment horizontal="right" vertical="center" wrapText="1" indent="1"/>
    </xf>
    <xf numFmtId="0" fontId="3" fillId="20" borderId="2" xfId="0" applyNumberFormat="1" applyFont="1" applyFill="1" applyBorder="1" applyAlignment="1">
      <alignment horizontal="left" vertical="center" wrapText="1" indent="1"/>
    </xf>
    <xf numFmtId="0" fontId="2" fillId="20" borderId="2" xfId="0" applyNumberFormat="1" applyFont="1" applyFill="1" applyBorder="1" applyAlignment="1">
      <alignment horizontal="left" vertical="center" indent="1"/>
    </xf>
    <xf numFmtId="0" fontId="5" fillId="0" borderId="2" xfId="0" applyNumberFormat="1" applyFont="1" applyBorder="1" applyAlignment="1">
      <alignment horizontal="right" vertical="center" wrapText="1" indent="1"/>
    </xf>
    <xf numFmtId="0" fontId="6" fillId="20" borderId="2" xfId="0" applyNumberFormat="1" applyFont="1" applyFill="1" applyBorder="1" applyAlignment="1">
      <alignment horizontal="left" vertical="center" wrapText="1" indent="1"/>
    </xf>
    <xf numFmtId="49" fontId="3" fillId="12" borderId="2" xfId="0" applyNumberFormat="1" applyFont="1" applyFill="1" applyBorder="1" applyAlignment="1" applyProtection="1">
      <alignment horizontal="left" vertical="center" wrapText="1" indent="1"/>
      <protection locked="0"/>
    </xf>
    <xf numFmtId="49" fontId="36" fillId="12" borderId="2" xfId="0" applyNumberFormat="1" applyFont="1" applyFill="1" applyBorder="1" applyAlignment="1" applyProtection="1">
      <alignment horizontal="left" vertical="center" wrapText="1" indent="1"/>
      <protection locked="0"/>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2" fillId="20" borderId="1" xfId="0" applyNumberFormat="1" applyFont="1" applyFill="1" applyBorder="1" applyAlignment="1">
      <alignment horizontal="left" vertical="center" wrapText="1" indent="1"/>
    </xf>
    <xf numFmtId="49" fontId="6" fillId="23" borderId="12" xfId="0" applyNumberFormat="1" applyFont="1" applyFill="1" applyBorder="1" applyAlignment="1">
      <alignment horizontal="left" vertical="center"/>
    </xf>
    <xf numFmtId="4" fontId="3" fillId="0" borderId="19" xfId="0" applyNumberFormat="1" applyFont="1" applyBorder="1" applyAlignment="1">
      <alignment horizontal="right" vertical="center"/>
    </xf>
    <xf numFmtId="0" fontId="21" fillId="18" borderId="29" xfId="0" applyNumberFormat="1" applyFont="1" applyFill="1" applyBorder="1" applyAlignment="1">
      <alignment horizontal="left" vertical="center" indent="1"/>
    </xf>
    <xf numFmtId="0" fontId="2" fillId="20" borderId="1" xfId="0" applyNumberFormat="1" applyFont="1" applyFill="1" applyBorder="1" applyAlignment="1">
      <alignment horizontal="left" vertical="center" wrapText="1"/>
    </xf>
    <xf numFmtId="49" fontId="36" fillId="12"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0"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left" vertical="center" wrapText="1" indent="1"/>
    </xf>
    <xf numFmtId="14" fontId="3" fillId="0" borderId="2" xfId="0" applyNumberFormat="1" applyFont="1" applyBorder="1" applyAlignment="1">
      <alignment horizontal="left" vertical="center" wrapText="1" indent="1"/>
    </xf>
    <xf numFmtId="49" fontId="36" fillId="0" borderId="2"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22" fillId="0" borderId="38" xfId="0" applyNumberFormat="1" applyFont="1" applyBorder="1" applyAlignment="1">
      <alignment horizontal="left" vertical="center" wrapText="1"/>
    </xf>
    <xf numFmtId="49" fontId="22" fillId="0" borderId="36" xfId="0" applyNumberFormat="1" applyFont="1" applyBorder="1" applyAlignment="1">
      <alignment horizontal="left" vertical="center" wrapText="1"/>
    </xf>
    <xf numFmtId="49" fontId="22" fillId="0" borderId="37" xfId="0" applyNumberFormat="1" applyFont="1" applyBorder="1" applyAlignment="1">
      <alignment horizontal="left" vertical="center" wrapText="1"/>
    </xf>
    <xf numFmtId="49"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center" vertical="center"/>
    </xf>
    <xf numFmtId="49" fontId="5" fillId="13" borderId="13" xfId="0" applyNumberFormat="1" applyFont="1" applyFill="1" applyBorder="1" applyAlignment="1">
      <alignment horizontal="left" vertical="center" wrapText="1"/>
    </xf>
    <xf numFmtId="49" fontId="5" fillId="13" borderId="2" xfId="0" applyNumberFormat="1" applyFont="1" applyFill="1" applyBorder="1" applyAlignment="1">
      <alignment horizontal="center" vertical="center" wrapText="1"/>
    </xf>
    <xf numFmtId="4" fontId="2" fillId="12" borderId="2" xfId="0" applyNumberFormat="1" applyFont="1" applyFill="1" applyBorder="1" applyAlignment="1" applyProtection="1">
      <alignment horizontal="right" vertical="center" wrapText="1"/>
      <protection locked="0"/>
    </xf>
    <xf numFmtId="4" fontId="2" fillId="12" borderId="10" xfId="0" applyNumberFormat="1" applyFont="1" applyFill="1" applyBorder="1" applyAlignment="1" applyProtection="1">
      <alignment horizontal="right" vertical="center" wrapText="1"/>
      <protection locked="0"/>
    </xf>
    <xf numFmtId="4" fontId="2" fillId="20" borderId="2" xfId="0" applyNumberFormat="1" applyFont="1" applyFill="1" applyBorder="1" applyAlignment="1">
      <alignment horizontal="right" vertical="center" wrapText="1"/>
    </xf>
    <xf numFmtId="49" fontId="2" fillId="13"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0" fontId="2" fillId="11" borderId="1" xfId="0" applyNumberFormat="1" applyFont="1" applyFill="1" applyBorder="1" applyAlignment="1" applyProtection="1">
      <alignment horizontal="left" vertical="center" wrapText="1" indent="1"/>
      <protection locked="0"/>
    </xf>
    <xf numFmtId="49" fontId="2" fillId="0" borderId="9" xfId="0" applyNumberFormat="1" applyFont="1" applyBorder="1" applyAlignment="1">
      <alignment horizontal="center" vertical="center" wrapText="1"/>
    </xf>
    <xf numFmtId="0" fontId="3" fillId="0" borderId="0" xfId="0" applyNumberFormat="1" applyFont="1" applyAlignment="1">
      <alignment vertical="center"/>
    </xf>
    <xf numFmtId="49" fontId="6" fillId="0" borderId="21" xfId="0" quotePrefix="1" applyNumberFormat="1" applyFont="1" applyBorder="1" applyAlignment="1">
      <alignment horizontal="left" vertical="center"/>
    </xf>
    <xf numFmtId="49" fontId="22" fillId="19" borderId="14" xfId="0" applyNumberFormat="1" applyFont="1" applyFill="1" applyBorder="1" applyAlignment="1">
      <alignment horizontal="left" vertical="center" wrapText="1"/>
    </xf>
    <xf numFmtId="49" fontId="2" fillId="0" borderId="12" xfId="0" applyNumberFormat="1" applyFont="1" applyBorder="1" applyAlignment="1">
      <alignment horizontal="left" vertical="center" wrapText="1" indent="1"/>
    </xf>
    <xf numFmtId="49" fontId="5" fillId="0" borderId="2" xfId="0" applyNumberFormat="1" applyFont="1" applyBorder="1" applyAlignment="1">
      <alignment horizontal="center" vertical="center"/>
    </xf>
    <xf numFmtId="0" fontId="38" fillId="0" borderId="14" xfId="0" applyNumberFormat="1" applyFont="1" applyBorder="1" applyAlignment="1"/>
    <xf numFmtId="0" fontId="38" fillId="0" borderId="20" xfId="0" applyNumberFormat="1" applyFont="1" applyBorder="1" applyAlignment="1"/>
    <xf numFmtId="0" fontId="38" fillId="0" borderId="7" xfId="0" applyNumberFormat="1" applyFont="1" applyBorder="1" applyAlignment="1"/>
    <xf numFmtId="0" fontId="38" fillId="0" borderId="32" xfId="0" applyNumberFormat="1" applyFont="1" applyBorder="1" applyAlignment="1"/>
    <xf numFmtId="0" fontId="3"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3" fillId="13" borderId="20" xfId="0" applyNumberFormat="1" applyFont="1" applyFill="1" applyBorder="1" applyAlignment="1">
      <alignment horizontal="center" vertical="center" wrapText="1"/>
    </xf>
    <xf numFmtId="49" fontId="2" fillId="0" borderId="9"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 fontId="3" fillId="20" borderId="7" xfId="0" applyNumberFormat="1" applyFont="1" applyFill="1" applyBorder="1" applyAlignment="1">
      <alignment horizontal="right" vertical="center"/>
    </xf>
    <xf numFmtId="0" fontId="2" fillId="0" borderId="20" xfId="0" applyNumberFormat="1" applyFont="1" applyBorder="1" applyAlignment="1">
      <alignment horizontal="center" vertical="center"/>
    </xf>
    <xf numFmtId="0" fontId="3" fillId="0" borderId="6"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3" fillId="0" borderId="33" xfId="0" applyNumberFormat="1" applyFont="1" applyBorder="1" applyAlignment="1">
      <alignment horizontal="center" vertical="center" wrapText="1"/>
    </xf>
    <xf numFmtId="0" fontId="3" fillId="13" borderId="33" xfId="0" applyNumberFormat="1" applyFont="1" applyFill="1" applyBorder="1" applyAlignment="1">
      <alignment horizontal="center" vertical="center" wrapText="1"/>
    </xf>
    <xf numFmtId="0" fontId="2" fillId="14" borderId="0" xfId="0" applyNumberFormat="1" applyFont="1" applyFill="1" applyAlignment="1">
      <alignment horizontal="center" vertical="center" wrapText="1"/>
    </xf>
    <xf numFmtId="0" fontId="3" fillId="0" borderId="29" xfId="0" applyNumberFormat="1" applyFont="1" applyBorder="1" applyAlignment="1">
      <alignment horizontal="center" vertical="center" wrapText="1"/>
    </xf>
    <xf numFmtId="4" fontId="2" fillId="20" borderId="10" xfId="0" applyNumberFormat="1" applyFont="1" applyFill="1" applyBorder="1" applyAlignment="1">
      <alignment horizontal="right" vertical="center" wrapText="1"/>
    </xf>
    <xf numFmtId="49" fontId="5" fillId="0" borderId="13" xfId="0" applyNumberFormat="1" applyFont="1" applyBorder="1" applyAlignment="1">
      <alignment horizontal="left" vertical="center" wrapText="1"/>
    </xf>
    <xf numFmtId="49" fontId="2" fillId="0" borderId="2" xfId="0" applyNumberFormat="1" applyFont="1" applyBorder="1" applyAlignment="1">
      <alignment horizontal="left" vertical="center" wrapText="1" indent="2"/>
    </xf>
    <xf numFmtId="0" fontId="8" fillId="0" borderId="0" xfId="0" applyNumberFormat="1" applyFont="1" applyAlignment="1">
      <alignment vertical="center"/>
    </xf>
    <xf numFmtId="49" fontId="39" fillId="0" borderId="21" xfId="0" applyNumberFormat="1" applyFont="1" applyBorder="1" applyAlignment="1">
      <alignment vertical="center" wrapText="1"/>
    </xf>
    <xf numFmtId="0" fontId="8" fillId="0" borderId="0" xfId="0" applyNumberFormat="1" applyFont="1" applyAlignment="1">
      <alignment vertical="center" wrapText="1"/>
    </xf>
    <xf numFmtId="0" fontId="8" fillId="0" borderId="33" xfId="0" applyNumberFormat="1" applyFont="1" applyBorder="1" applyAlignment="1">
      <alignment horizontal="left" vertical="center"/>
    </xf>
    <xf numFmtId="0" fontId="8" fillId="0" borderId="27" xfId="0" applyNumberFormat="1" applyFont="1" applyBorder="1" applyAlignment="1">
      <alignment vertical="center" wrapText="1"/>
    </xf>
    <xf numFmtId="49" fontId="2" fillId="0" borderId="0" xfId="0" applyNumberFormat="1" applyFont="1" applyAlignment="1"/>
    <xf numFmtId="49" fontId="2" fillId="0" borderId="0" xfId="0" applyNumberFormat="1" applyFont="1" applyAlignment="1"/>
    <xf numFmtId="49" fontId="2"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20" borderId="18" xfId="0" applyNumberFormat="1" applyFont="1" applyFill="1" applyBorder="1" applyAlignment="1">
      <alignment horizontal="right" vertical="center"/>
    </xf>
    <xf numFmtId="4" fontId="3" fillId="20" borderId="5" xfId="0" applyNumberFormat="1" applyFont="1" applyFill="1" applyBorder="1" applyAlignment="1">
      <alignment horizontal="right" vertical="center"/>
    </xf>
    <xf numFmtId="0" fontId="15" fillId="13" borderId="0" xfId="0" applyNumberFormat="1" applyFont="1" applyFill="1" applyAlignment="1">
      <alignment vertical="center"/>
    </xf>
    <xf numFmtId="49" fontId="2" fillId="13" borderId="13" xfId="0" applyNumberFormat="1" applyFont="1" applyFill="1" applyBorder="1" applyAlignment="1">
      <alignment horizontal="left" vertical="center" wrapText="1" indent="1"/>
    </xf>
    <xf numFmtId="4" fontId="2" fillId="20" borderId="7" xfId="0" applyNumberFormat="1" applyFont="1" applyFill="1" applyBorder="1" applyAlignment="1">
      <alignment horizontal="right" vertical="center" wrapText="1"/>
    </xf>
    <xf numFmtId="49" fontId="2" fillId="0" borderId="10" xfId="0" applyNumberFormat="1" applyFont="1" applyBorder="1" applyAlignment="1">
      <alignment horizontal="center" vertical="center" wrapText="1"/>
    </xf>
    <xf numFmtId="49" fontId="2" fillId="0" borderId="13" xfId="0" applyNumberFormat="1" applyFont="1" applyBorder="1" applyAlignment="1">
      <alignment horizontal="left" vertical="center" wrapText="1" inden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2"/>
    </xf>
    <xf numFmtId="4" fontId="2" fillId="12" borderId="13" xfId="0" applyNumberFormat="1" applyFont="1" applyFill="1" applyBorder="1" applyAlignment="1" applyProtection="1">
      <alignment horizontal="right" vertical="center" wrapText="1"/>
      <protection locked="0"/>
    </xf>
    <xf numFmtId="0" fontId="2" fillId="0" borderId="17" xfId="0" applyNumberFormat="1" applyFont="1" applyBorder="1" applyAlignment="1">
      <alignment horizontal="left" vertical="center" wrapText="1" indent="2"/>
    </xf>
    <xf numFmtId="4" fontId="2" fillId="12" borderId="11" xfId="0" applyNumberFormat="1" applyFont="1" applyFill="1" applyBorder="1" applyAlignment="1" applyProtection="1">
      <alignment horizontal="right" vertical="center" wrapText="1"/>
      <protection locked="0"/>
    </xf>
    <xf numFmtId="49" fontId="5" fillId="0" borderId="2" xfId="0" applyNumberFormat="1" applyFont="1" applyBorder="1" applyAlignment="1">
      <alignment horizontal="center" vertical="center" wrapText="1"/>
    </xf>
    <xf numFmtId="49" fontId="5" fillId="0" borderId="12" xfId="0" applyNumberFormat="1" applyFont="1" applyBorder="1" applyAlignment="1">
      <alignment horizontal="left" vertical="center" wrapText="1"/>
    </xf>
    <xf numFmtId="49" fontId="5" fillId="13" borderId="12" xfId="0" applyNumberFormat="1" applyFont="1" applyFill="1" applyBorder="1" applyAlignment="1">
      <alignment horizontal="left" vertical="center" wrapText="1"/>
    </xf>
    <xf numFmtId="10" fontId="2" fillId="20" borderId="2" xfId="0" applyNumberFormat="1" applyFont="1" applyFill="1" applyBorder="1" applyAlignment="1">
      <alignment horizontal="right" vertical="center" wrapText="1"/>
    </xf>
    <xf numFmtId="49" fontId="2" fillId="0" borderId="42" xfId="0" applyNumberFormat="1" applyFont="1" applyBorder="1" applyAlignment="1">
      <alignment horizontal="center" vertical="center"/>
    </xf>
    <xf numFmtId="49" fontId="2" fillId="0" borderId="40" xfId="0" applyNumberFormat="1" applyFont="1" applyBorder="1" applyAlignment="1">
      <alignment horizontal="left" vertical="center" indent="1"/>
    </xf>
    <xf numFmtId="49" fontId="2" fillId="0" borderId="13"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2" fillId="19" borderId="33" xfId="0" applyNumberFormat="1" applyFont="1" applyFill="1" applyBorder="1" applyAlignment="1">
      <alignment horizontal="left" vertical="center" wrapText="1" indent="1"/>
    </xf>
    <xf numFmtId="49" fontId="21" fillId="18" borderId="33" xfId="0" applyNumberFormat="1" applyFont="1" applyFill="1" applyBorder="1" applyAlignment="1">
      <alignment horizontal="left" vertical="center" wrapText="1"/>
    </xf>
    <xf numFmtId="49" fontId="2" fillId="0" borderId="14" xfId="0" applyNumberFormat="1" applyFont="1" applyBorder="1" applyAlignment="1">
      <alignment horizontal="center" vertical="center"/>
    </xf>
    <xf numFmtId="0" fontId="2" fillId="0" borderId="43" xfId="0" applyNumberFormat="1" applyFont="1" applyBorder="1" applyAlignment="1">
      <alignment horizontal="center" vertical="center"/>
    </xf>
    <xf numFmtId="49" fontId="2"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3"/>
    </xf>
    <xf numFmtId="49" fontId="2" fillId="0" borderId="44" xfId="0" applyNumberFormat="1" applyFont="1" applyBorder="1" applyAlignment="1">
      <alignment horizontal="left" vertical="center" wrapText="1" indent="2"/>
    </xf>
    <xf numFmtId="4" fontId="2" fillId="12" borderId="4" xfId="0" applyNumberFormat="1" applyFont="1" applyFill="1" applyBorder="1" applyAlignment="1" applyProtection="1">
      <alignment horizontal="right" vertical="center"/>
      <protection locked="0"/>
    </xf>
    <xf numFmtId="4" fontId="2" fillId="12" borderId="6" xfId="0" applyNumberFormat="1" applyFont="1" applyFill="1" applyBorder="1" applyAlignment="1" applyProtection="1">
      <alignment horizontal="right" vertical="center"/>
      <protection locked="0"/>
    </xf>
    <xf numFmtId="4" fontId="2" fillId="12" borderId="7" xfId="0" applyNumberFormat="1" applyFont="1" applyFill="1" applyBorder="1" applyAlignment="1" applyProtection="1">
      <alignment horizontal="right" vertical="center"/>
      <protection locked="0"/>
    </xf>
    <xf numFmtId="4" fontId="5" fillId="0" borderId="7" xfId="0" applyNumberFormat="1" applyFont="1" applyBorder="1" applyAlignment="1">
      <alignment horizontal="right" vertical="center"/>
    </xf>
    <xf numFmtId="49" fontId="22" fillId="19" borderId="29" xfId="0" applyNumberFormat="1" applyFont="1" applyFill="1" applyBorder="1" applyAlignment="1">
      <alignment horizontal="left" vertical="center" wrapText="1" indent="1"/>
    </xf>
    <xf numFmtId="49" fontId="22" fillId="19" borderId="32" xfId="0" applyNumberFormat="1" applyFont="1" applyFill="1" applyBorder="1" applyAlignment="1">
      <alignment horizontal="left" vertical="center" wrapText="1" indent="1"/>
    </xf>
    <xf numFmtId="0" fontId="2" fillId="0" borderId="1" xfId="0" applyNumberFormat="1" applyFont="1" applyBorder="1" applyAlignment="1">
      <alignment horizontal="left" vertical="center" wrapText="1" indent="3"/>
    </xf>
    <xf numFmtId="4" fontId="2" fillId="20" borderId="7" xfId="0" applyNumberFormat="1" applyFont="1" applyFill="1" applyBorder="1" applyAlignment="1">
      <alignment horizontal="right" vertical="center"/>
    </xf>
    <xf numFmtId="4" fontId="2" fillId="12" borderId="5" xfId="0" applyNumberFormat="1" applyFont="1" applyFill="1" applyBorder="1" applyAlignment="1" applyProtection="1">
      <alignment horizontal="right" vertical="center" wrapText="1"/>
      <protection locked="0"/>
    </xf>
    <xf numFmtId="49" fontId="5" fillId="14" borderId="1" xfId="0" applyNumberFormat="1" applyFont="1" applyFill="1" applyBorder="1" applyAlignment="1">
      <alignment horizontal="left" vertical="center" wrapText="1"/>
    </xf>
    <xf numFmtId="49" fontId="5" fillId="14" borderId="14" xfId="0" applyNumberFormat="1" applyFont="1" applyFill="1" applyBorder="1" applyAlignment="1">
      <alignment horizontal="left" vertical="center" wrapText="1"/>
    </xf>
    <xf numFmtId="0" fontId="2" fillId="0" borderId="15" xfId="0" applyNumberFormat="1" applyFont="1" applyBorder="1" applyAlignment="1">
      <alignment horizontal="center" vertical="center" wrapText="1"/>
    </xf>
    <xf numFmtId="0" fontId="15" fillId="16" borderId="0" xfId="0" applyNumberFormat="1" applyFont="1" applyFill="1" applyAlignment="1"/>
    <xf numFmtId="49" fontId="5" fillId="0" borderId="12" xfId="0" applyNumberFormat="1" applyFont="1" applyBorder="1" applyAlignment="1">
      <alignment horizontal="left" vertical="center"/>
    </xf>
    <xf numFmtId="49" fontId="5" fillId="0" borderId="12" xfId="0" applyNumberFormat="1" applyFont="1" applyBorder="1" applyAlignment="1">
      <alignment vertical="center"/>
    </xf>
    <xf numFmtId="0" fontId="2" fillId="20" borderId="1" xfId="0" applyNumberFormat="1" applyFont="1" applyFill="1" applyBorder="1" applyAlignment="1">
      <alignment horizontal="left" vertical="center" wrapText="1" indent="2"/>
    </xf>
    <xf numFmtId="0" fontId="2" fillId="0" borderId="1" xfId="0" applyNumberFormat="1" applyFont="1" applyBorder="1" applyAlignment="1">
      <alignment horizontal="left" vertical="center" wrapText="1" indent="4"/>
    </xf>
    <xf numFmtId="0" fontId="2" fillId="0" borderId="1" xfId="0" applyNumberFormat="1" applyFont="1" applyBorder="1" applyAlignment="1">
      <alignment horizontal="left" vertical="center" indent="4"/>
    </xf>
    <xf numFmtId="49" fontId="21" fillId="18" borderId="29" xfId="0" applyNumberFormat="1" applyFont="1" applyFill="1" applyBorder="1" applyAlignment="1">
      <alignment horizontal="left" vertical="center" wrapText="1"/>
    </xf>
    <xf numFmtId="0" fontId="5" fillId="0" borderId="14" xfId="0" applyNumberFormat="1" applyFont="1" applyBorder="1" applyAlignment="1">
      <alignment horizontal="center" vertical="center"/>
    </xf>
    <xf numFmtId="0" fontId="2" fillId="0" borderId="14" xfId="0" applyNumberFormat="1" applyFont="1" applyBorder="1" applyAlignment="1">
      <alignment horizontal="center" vertical="center"/>
    </xf>
    <xf numFmtId="4" fontId="2" fillId="12" borderId="8" xfId="0" applyNumberFormat="1" applyFont="1" applyFill="1" applyBorder="1" applyAlignment="1" applyProtection="1">
      <alignment horizontal="right" vertical="center"/>
      <protection locked="0"/>
    </xf>
    <xf numFmtId="4" fontId="5" fillId="20" borderId="10" xfId="0" applyNumberFormat="1" applyFont="1" applyFill="1" applyBorder="1" applyAlignment="1">
      <alignment horizontal="right" vertical="center"/>
    </xf>
    <xf numFmtId="49" fontId="4" fillId="14" borderId="1" xfId="0" applyNumberFormat="1" applyFont="1" applyFill="1" applyBorder="1" applyAlignment="1">
      <alignment vertical="center" wrapText="1"/>
    </xf>
    <xf numFmtId="4" fontId="4" fillId="14" borderId="1" xfId="0" applyNumberFormat="1" applyFont="1" applyFill="1" applyBorder="1" applyAlignment="1">
      <alignment vertical="center" wrapText="1"/>
    </xf>
    <xf numFmtId="4" fontId="4" fillId="20" borderId="1" xfId="0" applyNumberFormat="1" applyFont="1" applyFill="1" applyBorder="1" applyAlignment="1">
      <alignment vertical="center" wrapText="1"/>
    </xf>
    <xf numFmtId="4" fontId="4" fillId="0" borderId="1" xfId="0" applyNumberFormat="1" applyFont="1" applyBorder="1" applyAlignment="1">
      <alignment vertical="center" wrapText="1"/>
    </xf>
    <xf numFmtId="4" fontId="4" fillId="12" borderId="1" xfId="0" applyNumberFormat="1" applyFont="1" applyFill="1" applyBorder="1" applyAlignment="1" applyProtection="1">
      <alignment vertical="center" wrapText="1"/>
      <protection locked="0"/>
    </xf>
    <xf numFmtId="4" fontId="7" fillId="20" borderId="1" xfId="0" applyNumberFormat="1" applyFont="1" applyFill="1" applyBorder="1" applyAlignment="1">
      <alignment vertical="center" wrapText="1"/>
    </xf>
    <xf numFmtId="49" fontId="2" fillId="0" borderId="8" xfId="0" applyNumberFormat="1" applyFont="1" applyBorder="1" applyAlignment="1">
      <alignment horizontal="left" vertical="center" wrapText="1" indent="1"/>
    </xf>
    <xf numFmtId="49" fontId="2" fillId="0" borderId="33" xfId="0" applyNumberFormat="1" applyFont="1" applyBorder="1" applyAlignment="1">
      <alignment horizontal="center" vertical="center" wrapText="1"/>
    </xf>
    <xf numFmtId="49" fontId="5" fillId="13" borderId="1" xfId="0" applyNumberFormat="1" applyFont="1" applyFill="1" applyBorder="1" applyAlignment="1">
      <alignment horizontal="left" vertical="center" wrapText="1"/>
    </xf>
    <xf numFmtId="49" fontId="5" fillId="13" borderId="33" xfId="0" applyNumberFormat="1" applyFont="1" applyFill="1" applyBorder="1" applyAlignment="1">
      <alignment horizontal="center" vertical="center" wrapText="1"/>
    </xf>
    <xf numFmtId="0" fontId="0" fillId="13" borderId="35" xfId="0" applyNumberFormat="1" applyFont="1" applyFill="1" applyBorder="1" applyAlignment="1">
      <alignment horizontal="center" vertical="center" wrapText="1"/>
    </xf>
    <xf numFmtId="49" fontId="4" fillId="20" borderId="1" xfId="0" applyNumberFormat="1" applyFont="1" applyFill="1" applyBorder="1" applyAlignment="1">
      <alignment horizontal="left" vertical="center" wrapText="1" indent="1"/>
    </xf>
    <xf numFmtId="0" fontId="3" fillId="0" borderId="17"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1"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9" fontId="2" fillId="0" borderId="1" xfId="0" applyNumberFormat="1" applyFont="1" applyBorder="1" applyAlignment="1"/>
    <xf numFmtId="49" fontId="2" fillId="0" borderId="1" xfId="0" applyNumberFormat="1" applyFont="1" applyBorder="1" applyAlignment="1">
      <alignment horizontal="left" vertical="center" wrapText="1" indent="4"/>
    </xf>
    <xf numFmtId="49" fontId="3" fillId="0" borderId="1" xfId="0" applyNumberFormat="1" applyFont="1" applyBorder="1" applyAlignment="1">
      <alignment vertical="center" wrapText="1"/>
    </xf>
    <xf numFmtId="49" fontId="42" fillId="0" borderId="1" xfId="0" applyNumberFormat="1" applyFont="1" applyBorder="1" applyAlignment="1">
      <alignment horizontal="left" vertical="center" wrapText="1" indent="3"/>
    </xf>
    <xf numFmtId="49" fontId="7" fillId="14" borderId="5" xfId="0" applyNumberFormat="1" applyFont="1" applyFill="1" applyBorder="1" applyAlignment="1">
      <alignment horizontal="center" vertical="center" wrapText="1"/>
    </xf>
    <xf numFmtId="4" fontId="4" fillId="14" borderId="5" xfId="0" applyNumberFormat="1" applyFont="1" applyFill="1" applyBorder="1" applyAlignment="1">
      <alignment vertical="center" wrapText="1"/>
    </xf>
    <xf numFmtId="4" fontId="4" fillId="14" borderId="15" xfId="0" applyNumberFormat="1" applyFont="1" applyFill="1" applyBorder="1" applyAlignment="1">
      <alignment vertical="center" wrapText="1"/>
    </xf>
    <xf numFmtId="4" fontId="4" fillId="12" borderId="5" xfId="0" applyNumberFormat="1" applyFont="1" applyFill="1" applyBorder="1" applyAlignment="1" applyProtection="1">
      <alignment vertical="center" wrapText="1"/>
      <protection locked="0"/>
    </xf>
    <xf numFmtId="49" fontId="4" fillId="14" borderId="5" xfId="0" applyNumberFormat="1" applyFont="1" applyFill="1" applyBorder="1" applyAlignment="1">
      <alignment horizontal="center" vertical="center" wrapText="1"/>
    </xf>
    <xf numFmtId="49" fontId="4" fillId="14" borderId="8" xfId="0" applyNumberFormat="1" applyFont="1" applyFill="1" applyBorder="1" applyAlignment="1">
      <alignment horizontal="center" vertical="center" wrapText="1"/>
    </xf>
    <xf numFmtId="49" fontId="4" fillId="14" borderId="5" xfId="0" applyNumberFormat="1" applyFont="1" applyFill="1" applyBorder="1" applyAlignment="1">
      <alignment vertical="center" wrapText="1"/>
    </xf>
    <xf numFmtId="4" fontId="3" fillId="20" borderId="8" xfId="0" applyNumberFormat="1" applyFont="1" applyFill="1" applyBorder="1" applyAlignment="1">
      <alignment horizontal="right" vertical="center"/>
    </xf>
    <xf numFmtId="0" fontId="15" fillId="0" borderId="21" xfId="0" applyNumberFormat="1" applyFont="1" applyBorder="1" applyAlignment="1">
      <alignment vertical="center"/>
    </xf>
    <xf numFmtId="4" fontId="3" fillId="0" borderId="45" xfId="0" applyNumberFormat="1" applyFont="1" applyBorder="1" applyAlignment="1">
      <alignment horizontal="right" vertical="center"/>
    </xf>
    <xf numFmtId="49" fontId="7" fillId="14" borderId="8" xfId="0" applyNumberFormat="1" applyFont="1" applyFill="1" applyBorder="1" applyAlignment="1">
      <alignment horizontal="center" vertical="center" wrapText="1"/>
    </xf>
    <xf numFmtId="49" fontId="7" fillId="14" borderId="8" xfId="0" applyNumberFormat="1" applyFont="1" applyFill="1" applyBorder="1" applyAlignment="1">
      <alignmen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wrapText="1"/>
    </xf>
    <xf numFmtId="49" fontId="2" fillId="0" borderId="40" xfId="0" applyNumberFormat="1" applyFont="1" applyBorder="1" applyAlignment="1">
      <alignment horizontal="center" vertical="center" wrapText="1"/>
    </xf>
    <xf numFmtId="4" fontId="4" fillId="20" borderId="14" xfId="0" applyNumberFormat="1" applyFont="1" applyFill="1" applyBorder="1" applyAlignment="1">
      <alignment vertical="center" wrapText="1"/>
    </xf>
    <xf numFmtId="4" fontId="4" fillId="20" borderId="7" xfId="0" applyNumberFormat="1" applyFont="1" applyFill="1" applyBorder="1" applyAlignment="1">
      <alignment vertical="center" wrapText="1"/>
    </xf>
    <xf numFmtId="49" fontId="5" fillId="0" borderId="5" xfId="0" applyNumberFormat="1" applyFont="1" applyBorder="1" applyAlignment="1">
      <alignment horizontal="center" vertical="center"/>
    </xf>
    <xf numFmtId="0" fontId="4" fillId="14" borderId="1" xfId="0" applyNumberFormat="1" applyFont="1" applyFill="1" applyBorder="1" applyAlignment="1">
      <alignment horizontal="center" vertical="center" wrapText="1"/>
    </xf>
    <xf numFmtId="49" fontId="5" fillId="0" borderId="13" xfId="0" applyNumberFormat="1" applyFont="1" applyBorder="1" applyAlignment="1">
      <alignment horizontal="center" vertical="center" wrapText="1"/>
    </xf>
    <xf numFmtId="10" fontId="4" fillId="20" borderId="1" xfId="0" applyNumberFormat="1" applyFont="1" applyFill="1" applyBorder="1" applyAlignment="1">
      <alignment vertical="center" wrapText="1"/>
    </xf>
    <xf numFmtId="4" fontId="3" fillId="0" borderId="8" xfId="0" applyNumberFormat="1" applyFont="1" applyBorder="1" applyAlignment="1">
      <alignment horizontal="right" vertical="center"/>
    </xf>
    <xf numFmtId="0" fontId="0" fillId="0" borderId="35" xfId="0" applyNumberFormat="1" applyFont="1" applyBorder="1" applyAlignment="1">
      <alignment horizontal="center" vertical="center" wrapText="1"/>
    </xf>
    <xf numFmtId="4" fontId="4" fillId="12" borderId="8" xfId="0" applyNumberFormat="1" applyFont="1" applyFill="1" applyBorder="1" applyAlignment="1" applyProtection="1">
      <alignment vertical="center" wrapText="1"/>
      <protection locked="0"/>
    </xf>
    <xf numFmtId="4" fontId="2" fillId="20" borderId="8" xfId="0" applyNumberFormat="1" applyFont="1" applyFill="1" applyBorder="1" applyAlignment="1">
      <alignment horizontal="right" vertical="center"/>
    </xf>
    <xf numFmtId="4" fontId="6" fillId="20" borderId="5" xfId="0" applyNumberFormat="1" applyFont="1" applyFill="1" applyBorder="1" applyAlignment="1">
      <alignment horizontal="right" vertical="center"/>
    </xf>
    <xf numFmtId="49" fontId="43" fillId="14" borderId="5" xfId="0" applyNumberFormat="1" applyFont="1" applyFill="1" applyBorder="1" applyAlignment="1">
      <alignment horizontal="left" vertical="center" wrapText="1" indent="1"/>
    </xf>
    <xf numFmtId="49" fontId="2" fillId="0" borderId="5" xfId="0" applyNumberFormat="1" applyFont="1" applyBorder="1" applyAlignment="1">
      <alignment horizontal="center" vertical="center" wrapText="1"/>
    </xf>
    <xf numFmtId="49" fontId="7" fillId="14" borderId="0" xfId="0" applyNumberFormat="1" applyFont="1" applyFill="1" applyAlignment="1">
      <alignment horizontal="center" vertical="center" wrapText="1"/>
    </xf>
    <xf numFmtId="49" fontId="7" fillId="14" borderId="15" xfId="0" applyNumberFormat="1" applyFont="1" applyFill="1" applyBorder="1" applyAlignment="1">
      <alignment horizontal="center" vertical="center" wrapText="1"/>
    </xf>
    <xf numFmtId="49" fontId="2" fillId="0" borderId="0" xfId="0" applyNumberFormat="1" applyFont="1" applyAlignment="1">
      <alignment horizontal="left" vertical="top" wrapText="1"/>
    </xf>
    <xf numFmtId="0" fontId="2" fillId="0" borderId="12" xfId="0" applyNumberFormat="1" applyFont="1" applyBorder="1" applyAlignment="1">
      <alignment horizontal="center"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7" xfId="0" applyNumberFormat="1" applyFont="1" applyBorder="1" applyAlignment="1">
      <alignment horizontal="center" vertical="center" wrapText="1"/>
    </xf>
    <xf numFmtId="49" fontId="2" fillId="0" borderId="12" xfId="0" applyNumberFormat="1" applyFont="1" applyBorder="1" applyAlignment="1">
      <alignment horizontal="left" vertical="center" wrapText="1" indent="2"/>
    </xf>
    <xf numFmtId="49" fontId="0" fillId="13" borderId="42" xfId="0" applyNumberFormat="1" applyFont="1" applyFill="1" applyBorder="1" applyAlignment="1">
      <alignment horizontal="left" vertical="center" wrapText="1" indent="2"/>
    </xf>
    <xf numFmtId="49" fontId="2" fillId="0" borderId="42" xfId="0" applyNumberFormat="1" applyFont="1" applyBorder="1" applyAlignment="1">
      <alignment horizontal="left" vertical="center" wrapText="1" indent="2"/>
    </xf>
    <xf numFmtId="0" fontId="2" fillId="0" borderId="17" xfId="0" applyNumberFormat="1" applyFont="1" applyBorder="1" applyAlignment="1">
      <alignment horizontal="left" vertical="center" wrapText="1" indent="3"/>
    </xf>
    <xf numFmtId="0" fontId="2" fillId="0" borderId="2" xfId="0" applyNumberFormat="1" applyFont="1" applyBorder="1" applyAlignment="1">
      <alignment horizontal="left" vertical="center" wrapText="1" indent="3"/>
    </xf>
    <xf numFmtId="4" fontId="2" fillId="20" borderId="8" xfId="0" applyNumberFormat="1" applyFont="1" applyFill="1" applyBorder="1" applyAlignment="1">
      <alignment horizontal="right" vertical="center" wrapText="1"/>
    </xf>
    <xf numFmtId="4" fontId="2" fillId="20" borderId="13" xfId="0" applyNumberFormat="1" applyFont="1" applyFill="1" applyBorder="1" applyAlignment="1">
      <alignment horizontal="right" vertical="center" wrapText="1"/>
    </xf>
    <xf numFmtId="165" fontId="2" fillId="20" borderId="17" xfId="0" applyNumberFormat="1" applyFont="1" applyFill="1" applyBorder="1" applyAlignment="1">
      <alignment vertical="center"/>
    </xf>
    <xf numFmtId="4" fontId="4" fillId="20" borderId="8" xfId="0" applyNumberFormat="1" applyFont="1" applyFill="1" applyBorder="1" applyAlignment="1">
      <alignment vertical="center" wrapText="1"/>
    </xf>
    <xf numFmtId="49" fontId="3" fillId="0" borderId="8" xfId="0" applyNumberFormat="1" applyFont="1" applyBorder="1" applyAlignment="1">
      <alignment horizontal="center" vertical="center"/>
    </xf>
    <xf numFmtId="49" fontId="3" fillId="0" borderId="8" xfId="0" applyNumberFormat="1" applyFont="1" applyBorder="1" applyAlignment="1">
      <alignment horizontal="left" vertical="center" wrapText="1"/>
    </xf>
    <xf numFmtId="4" fontId="3" fillId="20" borderId="8"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2" borderId="1"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2" fillId="20" borderId="1" xfId="0" applyNumberFormat="1" applyFont="1" applyFill="1" applyBorder="1" applyAlignment="1">
      <alignment horizontal="right" vertical="center"/>
    </xf>
    <xf numFmtId="49" fontId="3" fillId="0" borderId="5" xfId="0" applyNumberFormat="1" applyFont="1" applyBorder="1" applyAlignment="1">
      <alignment horizontal="center" vertical="center"/>
    </xf>
    <xf numFmtId="4" fontId="3" fillId="20" borderId="5" xfId="0" applyNumberFormat="1" applyFont="1" applyFill="1" applyBorder="1" applyAlignment="1">
      <alignment horizontal="right" vertical="center"/>
    </xf>
    <xf numFmtId="49" fontId="3" fillId="0" borderId="5" xfId="0" applyNumberFormat="1" applyFont="1" applyBorder="1" applyAlignment="1">
      <alignment horizontal="left" vertical="center" indent="2"/>
    </xf>
    <xf numFmtId="4" fontId="3" fillId="12" borderId="5"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2" fillId="0" borderId="0" xfId="0" applyNumberFormat="1" applyFont="1" applyAlignment="1">
      <alignment horizontal="center"/>
    </xf>
    <xf numFmtId="0" fontId="9" fillId="14" borderId="34" xfId="0" applyNumberFormat="1" applyFont="1" applyFill="1" applyBorder="1" applyAlignment="1">
      <alignment horizontal="center" vertical="center" wrapText="1"/>
    </xf>
    <xf numFmtId="0" fontId="9" fillId="14" borderId="0" xfId="0" applyNumberFormat="1" applyFont="1" applyFill="1" applyAlignment="1">
      <alignment horizontal="center" vertical="center" wrapText="1"/>
    </xf>
    <xf numFmtId="49" fontId="5" fillId="0" borderId="33"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2" fillId="14" borderId="0" xfId="0" applyNumberFormat="1" applyFont="1" applyFill="1" applyAlignment="1">
      <alignment horizontal="center" vertical="center" wrapText="1"/>
    </xf>
    <xf numFmtId="0" fontId="2" fillId="13" borderId="20" xfId="0" applyNumberFormat="1" applyFont="1" applyFill="1" applyBorder="1" applyAlignment="1">
      <alignment horizontal="center" vertical="center" wrapText="1"/>
    </xf>
    <xf numFmtId="0" fontId="2" fillId="13" borderId="20"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0" borderId="14" xfId="0" applyNumberFormat="1" applyFont="1" applyBorder="1" applyAlignment="1">
      <alignment horizontal="left" vertical="center" wrapText="1" indent="3"/>
    </xf>
    <xf numFmtId="49" fontId="2" fillId="0" borderId="14" xfId="0" applyNumberFormat="1" applyFont="1" applyBorder="1" applyAlignment="1">
      <alignment horizontal="left" vertical="center" wrapText="1" indent="2"/>
    </xf>
    <xf numFmtId="49" fontId="2" fillId="0" borderId="32" xfId="0" applyNumberFormat="1" applyFont="1" applyBorder="1" applyAlignment="1">
      <alignment horizontal="left" vertical="center" wrapText="1" indent="1"/>
    </xf>
    <xf numFmtId="49" fontId="2" fillId="0" borderId="14" xfId="0" applyNumberFormat="1" applyFont="1" applyBorder="1" applyAlignment="1">
      <alignment horizontal="left" vertical="center" wrapText="1" indent="1"/>
    </xf>
    <xf numFmtId="4" fontId="2" fillId="12" borderId="17" xfId="0" applyNumberFormat="1" applyFont="1" applyFill="1" applyBorder="1" applyAlignment="1" applyProtection="1">
      <alignment horizontal="right" vertical="center"/>
      <protection locked="0"/>
    </xf>
    <xf numFmtId="0" fontId="3" fillId="0" borderId="8" xfId="0" applyNumberFormat="1" applyFont="1" applyBorder="1" applyAlignment="1">
      <alignment horizontal="left" vertical="center" wrapText="1" indent="1"/>
    </xf>
    <xf numFmtId="49" fontId="4" fillId="19" borderId="14" xfId="0" applyNumberFormat="1" applyFont="1" applyFill="1" applyBorder="1" applyAlignment="1">
      <alignment horizontal="center" vertical="center" wrapText="1"/>
    </xf>
    <xf numFmtId="49" fontId="2" fillId="19" borderId="20" xfId="0" applyNumberFormat="1" applyFont="1" applyFill="1" applyBorder="1" applyAlignment="1">
      <alignment horizontal="center" vertical="center" wrapText="1"/>
    </xf>
    <xf numFmtId="4" fontId="3" fillId="19" borderId="20" xfId="0" applyNumberFormat="1" applyFont="1" applyFill="1" applyBorder="1" applyAlignment="1">
      <alignment horizontal="right" vertical="center"/>
    </xf>
    <xf numFmtId="4" fontId="3" fillId="19" borderId="21" xfId="0" applyNumberFormat="1" applyFont="1" applyFill="1" applyBorder="1" applyAlignment="1">
      <alignment horizontal="right" vertical="center"/>
    </xf>
    <xf numFmtId="49" fontId="44" fillId="19" borderId="20" xfId="0" applyNumberFormat="1" applyFont="1" applyFill="1" applyBorder="1" applyAlignment="1">
      <alignment horizontal="left" vertical="center" wrapText="1" indent="1"/>
    </xf>
    <xf numFmtId="0" fontId="2" fillId="0" borderId="0" xfId="0" applyNumberFormat="1" applyFont="1" applyAlignment="1">
      <alignment vertical="center"/>
    </xf>
    <xf numFmtId="0" fontId="3" fillId="13" borderId="14" xfId="0" applyNumberFormat="1" applyFont="1" applyFill="1" applyBorder="1" applyAlignment="1">
      <alignment horizontal="center" vertical="center"/>
    </xf>
    <xf numFmtId="4" fontId="4" fillId="0" borderId="5" xfId="0" applyNumberFormat="1" applyFont="1" applyBorder="1" applyAlignment="1">
      <alignment vertical="center" wrapText="1"/>
    </xf>
    <xf numFmtId="0" fontId="40" fillId="0" borderId="0" xfId="0" applyNumberFormat="1" applyFont="1" applyAlignment="1">
      <alignment vertical="center"/>
    </xf>
    <xf numFmtId="4" fontId="3" fillId="20" borderId="2" xfId="0" applyNumberFormat="1" applyFont="1" applyFill="1" applyBorder="1" applyAlignment="1">
      <alignment horizontal="right" vertical="center"/>
    </xf>
    <xf numFmtId="49" fontId="4" fillId="13" borderId="1" xfId="0" applyNumberFormat="1" applyFont="1" applyFill="1" applyBorder="1" applyAlignment="1">
      <alignment vertical="center" wrapText="1"/>
    </xf>
    <xf numFmtId="49" fontId="4" fillId="13" borderId="1" xfId="0" applyNumberFormat="1" applyFont="1" applyFill="1" applyBorder="1" applyAlignment="1">
      <alignment horizontal="left" vertical="center" wrapText="1"/>
    </xf>
    <xf numFmtId="49" fontId="7" fillId="13" borderId="5" xfId="0" applyNumberFormat="1" applyFont="1" applyFill="1" applyBorder="1" applyAlignment="1">
      <alignment horizontal="left" vertical="center" wrapText="1"/>
    </xf>
    <xf numFmtId="4" fontId="7" fillId="12" borderId="1" xfId="0" applyNumberFormat="1" applyFont="1" applyFill="1" applyBorder="1" applyAlignment="1" applyProtection="1">
      <alignment vertical="center" wrapText="1"/>
      <protection locked="0"/>
    </xf>
    <xf numFmtId="49" fontId="2" fillId="13" borderId="9" xfId="0" applyNumberFormat="1" applyFont="1" applyFill="1" applyBorder="1" applyAlignment="1">
      <alignment horizontal="left" vertical="center" wrapText="1"/>
    </xf>
    <xf numFmtId="49" fontId="2" fillId="13" borderId="7"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wrapText="1"/>
    </xf>
    <xf numFmtId="0" fontId="2" fillId="22" borderId="39" xfId="0" applyNumberFormat="1" applyFont="1" applyFill="1" applyBorder="1" applyAlignment="1">
      <alignment horizontal="left" vertical="center"/>
    </xf>
    <xf numFmtId="0" fontId="2" fillId="0" borderId="7"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0"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4"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2" borderId="15" xfId="0" applyNumberFormat="1" applyFont="1" applyFill="1" applyBorder="1" applyAlignment="1">
      <alignment horizontal="center" vertical="center" wrapText="1"/>
    </xf>
    <xf numFmtId="0" fontId="0" fillId="17" borderId="15" xfId="0" applyNumberFormat="1" applyFont="1" applyFill="1" applyBorder="1" applyAlignment="1">
      <alignment horizontal="center" vertical="center" wrapText="1"/>
    </xf>
    <xf numFmtId="0" fontId="0" fillId="20" borderId="15" xfId="0" applyNumberFormat="1" applyFont="1" applyFill="1" applyBorder="1" applyAlignment="1">
      <alignment horizontal="center" vertical="center" wrapText="1"/>
    </xf>
    <xf numFmtId="0" fontId="0" fillId="11" borderId="15"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51" fillId="0" borderId="29" xfId="0" applyNumberFormat="1" applyFont="1" applyBorder="1" applyAlignment="1">
      <alignment horizontal="left" vertical="center" wrapText="1"/>
    </xf>
    <xf numFmtId="0" fontId="53" fillId="0" borderId="0" xfId="0" applyNumberFormat="1" applyFont="1" applyAlignment="1"/>
    <xf numFmtId="0" fontId="53" fillId="0" borderId="34" xfId="0" applyNumberFormat="1" applyFont="1" applyBorder="1" applyAlignment="1">
      <alignment wrapText="1"/>
    </xf>
    <xf numFmtId="0" fontId="48" fillId="0" borderId="32" xfId="0" applyNumberFormat="1" applyFont="1" applyBorder="1" applyAlignment="1">
      <alignment wrapText="1"/>
    </xf>
    <xf numFmtId="0" fontId="48" fillId="0" borderId="33" xfId="0" applyNumberFormat="1" applyFont="1" applyBorder="1" applyAlignment="1">
      <alignment wrapText="1"/>
    </xf>
    <xf numFmtId="0" fontId="48" fillId="0" borderId="33" xfId="0" applyNumberFormat="1" applyFont="1" applyBorder="1" applyAlignment="1">
      <alignment vertical="center" wrapText="1"/>
    </xf>
    <xf numFmtId="0" fontId="49" fillId="0" borderId="0" xfId="0" applyNumberFormat="1" applyFont="1" applyAlignment="1"/>
    <xf numFmtId="49" fontId="9" fillId="14" borderId="0" xfId="0" applyNumberFormat="1" applyFont="1" applyFill="1" applyAlignment="1">
      <alignment vertical="center" wrapText="1"/>
    </xf>
    <xf numFmtId="49" fontId="11" fillId="24" borderId="0" xfId="0" applyNumberFormat="1" applyFont="1" applyFill="1" applyAlignment="1">
      <alignment vertical="center" wrapText="1"/>
    </xf>
    <xf numFmtId="0" fontId="2" fillId="0" borderId="9" xfId="0" applyNumberFormat="1" applyFont="1" applyBorder="1" applyAlignment="1">
      <alignment horizontal="left" vertical="center" wrapText="1" indent="2"/>
    </xf>
    <xf numFmtId="4" fontId="2" fillId="12" borderId="9" xfId="0" applyNumberFormat="1" applyFont="1" applyFill="1" applyBorder="1" applyAlignment="1" applyProtection="1">
      <alignment horizontal="right" vertical="center"/>
      <protection locked="0"/>
    </xf>
    <xf numFmtId="49" fontId="22" fillId="19" borderId="46" xfId="0" applyNumberFormat="1" applyFont="1" applyFill="1" applyBorder="1" applyAlignment="1">
      <alignment horizontal="left" vertical="center" wrapText="1" indent="1"/>
    </xf>
    <xf numFmtId="0" fontId="2" fillId="0" borderId="9" xfId="0" applyNumberFormat="1" applyFont="1" applyBorder="1" applyAlignment="1">
      <alignment horizontal="left" vertical="center" wrapText="1" indent="1"/>
    </xf>
    <xf numFmtId="49" fontId="24" fillId="22" borderId="32" xfId="0" applyNumberFormat="1" applyFont="1" applyFill="1" applyBorder="1" applyAlignment="1">
      <alignment horizontal="center" vertical="center" wrapText="1"/>
    </xf>
    <xf numFmtId="0" fontId="5" fillId="0" borderId="47" xfId="0" applyNumberFormat="1" applyFont="1" applyBorder="1" applyAlignment="1">
      <alignment vertical="center" wrapText="1"/>
    </xf>
    <xf numFmtId="0" fontId="5" fillId="0" borderId="48"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29"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3"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3"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3" fillId="22" borderId="0" xfId="0" applyNumberFormat="1" applyFont="1" applyFill="1" applyAlignment="1">
      <alignment horizontal="center" vertical="center"/>
    </xf>
    <xf numFmtId="0" fontId="3" fillId="26"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2" fillId="0" borderId="49" xfId="0" applyNumberFormat="1" applyFont="1" applyBorder="1" applyAlignment="1">
      <alignment horizontal="center" vertical="center" wrapText="1"/>
    </xf>
    <xf numFmtId="0" fontId="2" fillId="13" borderId="7" xfId="0" applyNumberFormat="1" applyFont="1" applyFill="1" applyBorder="1" applyAlignment="1">
      <alignment horizontal="center" vertical="center" wrapText="1"/>
    </xf>
    <xf numFmtId="0" fontId="2" fillId="13" borderId="0" xfId="0" applyNumberFormat="1" applyFont="1" applyFill="1" applyAlignment="1">
      <alignment horizontal="center" vertical="center" wrapText="1"/>
    </xf>
    <xf numFmtId="0" fontId="2" fillId="0" borderId="0" xfId="0" applyNumberFormat="1" applyFont="1">
      <alignment vertical="top"/>
    </xf>
    <xf numFmtId="0" fontId="3" fillId="0" borderId="50" xfId="0" applyNumberFormat="1" applyFont="1" applyBorder="1" applyAlignment="1">
      <alignment horizontal="center" vertical="center" wrapText="1"/>
    </xf>
    <xf numFmtId="49" fontId="2" fillId="14" borderId="9" xfId="0" applyNumberFormat="1" applyFont="1" applyFill="1" applyBorder="1" applyAlignment="1">
      <alignment horizontal="center" vertical="center" wrapText="1"/>
    </xf>
    <xf numFmtId="49" fontId="22" fillId="19" borderId="51" xfId="0" applyNumberFormat="1" applyFont="1" applyFill="1" applyBorder="1" applyAlignment="1">
      <alignment horizontal="left" vertical="center" wrapText="1" indent="1"/>
    </xf>
    <xf numFmtId="49" fontId="5" fillId="0" borderId="47" xfId="0" applyNumberFormat="1" applyFont="1" applyBorder="1" applyAlignment="1">
      <alignment horizontal="center" vertical="center"/>
    </xf>
    <xf numFmtId="49" fontId="22" fillId="19" borderId="15" xfId="0" applyNumberFormat="1" applyFont="1" applyFill="1" applyBorder="1" applyAlignment="1">
      <alignment horizontal="left" vertical="center" wrapText="1" indent="1"/>
    </xf>
    <xf numFmtId="0" fontId="2" fillId="26" borderId="0" xfId="0" applyNumberFormat="1" applyFont="1" applyFill="1" applyAlignment="1">
      <alignment horizontal="center" vertical="center"/>
    </xf>
    <xf numFmtId="0" fontId="2" fillId="0" borderId="0" xfId="0" applyNumberFormat="1" applyFont="1">
      <alignment vertical="top"/>
    </xf>
    <xf numFmtId="2" fontId="58" fillId="0" borderId="1" xfId="0" applyNumberFormat="1" applyFont="1" applyBorder="1" applyAlignment="1">
      <alignment horizontal="center" vertical="center" wrapText="1"/>
    </xf>
    <xf numFmtId="0" fontId="27" fillId="0" borderId="0" xfId="0" applyNumberFormat="1" applyFont="1" applyAlignment="1">
      <alignment vertical="center"/>
    </xf>
    <xf numFmtId="0" fontId="9" fillId="16" borderId="0" xfId="0" applyNumberFormat="1" applyFont="1" applyFill="1" applyAlignment="1">
      <alignment vertical="center"/>
    </xf>
    <xf numFmtId="49" fontId="9" fillId="16" borderId="0" xfId="0" applyNumberFormat="1" applyFont="1" applyFill="1" applyAlignment="1">
      <alignment vertical="center" wrapText="1"/>
    </xf>
    <xf numFmtId="49" fontId="36" fillId="27" borderId="2" xfId="0" applyNumberFormat="1" applyFont="1" applyFill="1" applyBorder="1" applyAlignment="1">
      <alignment horizontal="left" vertical="center" wrapText="1" indent="1"/>
    </xf>
    <xf numFmtId="0" fontId="30" fillId="27" borderId="0" xfId="0" applyNumberFormat="1" applyFont="1" applyFill="1" applyAlignment="1">
      <alignment vertical="center"/>
    </xf>
    <xf numFmtId="49" fontId="22" fillId="28" borderId="38" xfId="0" applyNumberFormat="1" applyFont="1" applyFill="1" applyBorder="1" applyAlignment="1">
      <alignment horizontal="left" vertical="center" wrapText="1"/>
    </xf>
    <xf numFmtId="49" fontId="22" fillId="28" borderId="36" xfId="0" applyNumberFormat="1" applyFont="1" applyFill="1" applyBorder="1" applyAlignment="1">
      <alignment horizontal="left" vertical="center" wrapText="1"/>
    </xf>
    <xf numFmtId="49" fontId="22" fillId="28" borderId="37" xfId="0" applyNumberFormat="1" applyFont="1" applyFill="1" applyBorder="1" applyAlignment="1">
      <alignment horizontal="left" vertical="center" wrapText="1"/>
    </xf>
    <xf numFmtId="0" fontId="3" fillId="11" borderId="17" xfId="0" applyNumberFormat="1" applyFont="1" applyFill="1" applyBorder="1" applyAlignment="1" applyProtection="1">
      <alignment horizontal="left" vertical="center" wrapText="1" indent="1"/>
      <protection locked="0"/>
    </xf>
    <xf numFmtId="49" fontId="2" fillId="0" borderId="16" xfId="0" applyNumberFormat="1" applyFont="1" applyBorder="1" applyAlignment="1">
      <alignment horizontal="right" vertical="center" wrapText="1" indent="1"/>
    </xf>
    <xf numFmtId="0" fontId="9" fillId="16" borderId="0" xfId="0" applyNumberFormat="1" applyFont="1" applyFill="1" applyAlignment="1">
      <alignment vertical="center" wrapText="1"/>
    </xf>
    <xf numFmtId="0" fontId="3" fillId="0" borderId="17" xfId="0" applyNumberFormat="1" applyFont="1" applyBorder="1" applyAlignment="1">
      <alignment vertical="center" wrapText="1"/>
    </xf>
    <xf numFmtId="0" fontId="2" fillId="0" borderId="12" xfId="0" applyNumberFormat="1" applyFont="1" applyBorder="1" applyAlignment="1">
      <alignment horizontal="center" vertical="center"/>
    </xf>
    <xf numFmtId="0" fontId="3" fillId="0" borderId="39" xfId="0" applyNumberFormat="1" applyFont="1" applyBorder="1" applyAlignment="1">
      <alignment horizontal="center" vertical="center"/>
    </xf>
    <xf numFmtId="49" fontId="2" fillId="13" borderId="2" xfId="0" applyNumberFormat="1" applyFont="1" applyFill="1" applyBorder="1" applyAlignment="1">
      <alignment horizontal="center" vertical="center"/>
    </xf>
    <xf numFmtId="0" fontId="3" fillId="13" borderId="9" xfId="0" applyNumberFormat="1" applyFont="1" applyFill="1" applyBorder="1" applyAlignment="1">
      <alignment horizontal="left" vertical="center" wrapText="1"/>
    </xf>
    <xf numFmtId="0" fontId="3" fillId="13" borderId="2" xfId="0" applyNumberFormat="1" applyFont="1" applyFill="1" applyBorder="1" applyAlignment="1">
      <alignment horizontal="center" vertical="center"/>
    </xf>
    <xf numFmtId="49" fontId="2" fillId="13" borderId="12"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17"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2" borderId="2" xfId="0" applyNumberFormat="1" applyFont="1" applyFill="1" applyBorder="1" applyAlignment="1" applyProtection="1">
      <alignment horizontal="right" vertical="center"/>
      <protection locked="0"/>
    </xf>
    <xf numFmtId="0" fontId="2" fillId="0" borderId="10" xfId="0" applyNumberFormat="1" applyFont="1" applyBorder="1" applyAlignment="1">
      <alignment vertical="center" wrapText="1"/>
    </xf>
    <xf numFmtId="0" fontId="2" fillId="0" borderId="10" xfId="0" applyNumberFormat="1" applyFont="1" applyBorder="1" applyAlignment="1">
      <alignment horizontal="center" vertical="center" wrapText="1"/>
    </xf>
    <xf numFmtId="0" fontId="5" fillId="13" borderId="1" xfId="0" applyNumberFormat="1" applyFont="1" applyFill="1" applyBorder="1" applyAlignment="1">
      <alignment horizontal="left" vertical="center"/>
    </xf>
    <xf numFmtId="0" fontId="3" fillId="0" borderId="5"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4" fontId="2" fillId="20" borderId="6" xfId="0" applyNumberFormat="1" applyFont="1" applyFill="1" applyBorder="1" applyAlignment="1">
      <alignment horizontal="right" vertical="center" wrapText="1"/>
    </xf>
    <xf numFmtId="49" fontId="5" fillId="0" borderId="10" xfId="0" applyNumberFormat="1" applyFont="1" applyBorder="1" applyAlignment="1">
      <alignment horizontal="center" vertical="center" wrapText="1"/>
    </xf>
    <xf numFmtId="49" fontId="5" fillId="13" borderId="10" xfId="0" applyNumberFormat="1" applyFont="1" applyFill="1" applyBorder="1" applyAlignment="1">
      <alignment horizontal="center" vertical="center" wrapText="1"/>
    </xf>
    <xf numFmtId="49" fontId="2" fillId="13" borderId="9" xfId="0" applyNumberFormat="1" applyFont="1" applyFill="1" applyBorder="1" applyAlignment="1">
      <alignment horizontal="center" vertical="center" wrapText="1"/>
    </xf>
    <xf numFmtId="49" fontId="2" fillId="13" borderId="1" xfId="0" applyNumberFormat="1" applyFont="1" applyFill="1" applyBorder="1" applyAlignment="1">
      <alignment horizontal="center" vertical="center" wrapText="1"/>
    </xf>
    <xf numFmtId="4" fontId="2" fillId="20" borderId="7" xfId="0" applyNumberFormat="1" applyFont="1" applyFill="1" applyBorder="1" applyAlignment="1">
      <alignment vertical="center"/>
    </xf>
    <xf numFmtId="4" fontId="2" fillId="0" borderId="7" xfId="0" applyNumberFormat="1" applyFont="1" applyBorder="1" applyAlignment="1">
      <alignment vertical="center"/>
    </xf>
    <xf numFmtId="4" fontId="2" fillId="20" borderId="1" xfId="0" applyNumberFormat="1" applyFont="1" applyFill="1" applyBorder="1" applyAlignment="1">
      <alignment vertical="center"/>
    </xf>
    <xf numFmtId="4" fontId="2" fillId="0" borderId="1" xfId="0" applyNumberFormat="1" applyFont="1" applyBorder="1" applyAlignment="1">
      <alignment vertical="center"/>
    </xf>
    <xf numFmtId="4" fontId="5" fillId="20" borderId="7" xfId="0" applyNumberFormat="1" applyFont="1" applyFill="1" applyBorder="1" applyAlignment="1">
      <alignment vertical="center"/>
    </xf>
    <xf numFmtId="49" fontId="4" fillId="14" borderId="0" xfId="0" applyNumberFormat="1" applyFont="1" applyFill="1" applyAlignment="1">
      <alignment horizontal="center" vertical="center" wrapText="1"/>
    </xf>
    <xf numFmtId="9" fontId="2" fillId="20" borderId="7" xfId="0" applyNumberFormat="1" applyFont="1" applyFill="1" applyBorder="1" applyAlignment="1">
      <alignment vertical="center"/>
    </xf>
    <xf numFmtId="9" fontId="2" fillId="20" borderId="1" xfId="0" applyNumberFormat="1" applyFont="1" applyFill="1" applyBorder="1" applyAlignment="1">
      <alignment vertical="center"/>
    </xf>
    <xf numFmtId="49" fontId="46" fillId="16" borderId="0" xfId="0" applyNumberFormat="1" applyFont="1" applyFill="1">
      <alignment vertical="top"/>
    </xf>
    <xf numFmtId="49" fontId="2" fillId="16" borderId="0" xfId="0" applyNumberFormat="1" applyFont="1" applyFill="1">
      <alignment vertical="top"/>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left" vertical="center" wrapText="1" indent="1"/>
    </xf>
    <xf numFmtId="9" fontId="2" fillId="0" borderId="7" xfId="0" applyNumberFormat="1" applyFont="1" applyBorder="1" applyAlignment="1">
      <alignment vertical="center"/>
    </xf>
    <xf numFmtId="4" fontId="2" fillId="0" borderId="6" xfId="0" applyNumberFormat="1" applyFont="1" applyBorder="1" applyAlignment="1">
      <alignment vertical="center"/>
    </xf>
    <xf numFmtId="4" fontId="2" fillId="0" borderId="8" xfId="0" applyNumberFormat="1" applyFont="1" applyBorder="1" applyAlignment="1">
      <alignment vertical="center"/>
    </xf>
    <xf numFmtId="0" fontId="2" fillId="22" borderId="0" xfId="0" applyNumberFormat="1" applyFont="1" applyFill="1" applyAlignment="1">
      <alignment horizontal="left" vertical="center" wrapText="1"/>
    </xf>
    <xf numFmtId="4" fontId="7" fillId="20" borderId="14" xfId="0" applyNumberFormat="1" applyFont="1" applyFill="1" applyBorder="1" applyAlignment="1">
      <alignment vertical="center" wrapText="1"/>
    </xf>
    <xf numFmtId="49" fontId="2" fillId="13" borderId="1" xfId="0" applyNumberFormat="1" applyFont="1" applyFill="1" applyBorder="1" applyAlignment="1">
      <alignment horizontal="center" vertical="center"/>
    </xf>
    <xf numFmtId="49" fontId="5" fillId="0" borderId="32" xfId="0" applyNumberFormat="1" applyFont="1" applyBorder="1" applyAlignment="1">
      <alignment horizontal="left" vertical="center" wrapText="1"/>
    </xf>
    <xf numFmtId="2" fontId="4" fillId="20" borderId="1" xfId="0" applyNumberFormat="1" applyFont="1" applyFill="1" applyBorder="1" applyAlignment="1">
      <alignment vertical="center" wrapText="1"/>
    </xf>
    <xf numFmtId="49" fontId="2" fillId="0" borderId="40" xfId="0" applyNumberFormat="1" applyFont="1" applyBorder="1" applyAlignment="1">
      <alignment horizontal="center" vertical="center"/>
    </xf>
    <xf numFmtId="0" fontId="3" fillId="13" borderId="9" xfId="0" applyNumberFormat="1" applyFont="1" applyFill="1" applyBorder="1" applyAlignment="1">
      <alignment horizontal="center" vertical="center"/>
    </xf>
    <xf numFmtId="0" fontId="2" fillId="0" borderId="13" xfId="0" applyNumberFormat="1" applyFont="1" applyBorder="1" applyAlignment="1">
      <alignment horizontal="center" vertical="center"/>
    </xf>
    <xf numFmtId="0" fontId="3" fillId="0" borderId="11" xfId="0" applyNumberFormat="1" applyFont="1" applyBorder="1" applyAlignment="1">
      <alignment vertical="center" wrapText="1"/>
    </xf>
    <xf numFmtId="0" fontId="3" fillId="0" borderId="10" xfId="0" applyNumberFormat="1" applyFont="1" applyBorder="1" applyAlignment="1">
      <alignment horizontal="center" vertical="center"/>
    </xf>
    <xf numFmtId="49" fontId="22" fillId="19" borderId="38" xfId="0" applyNumberFormat="1" applyFont="1" applyFill="1" applyBorder="1" applyAlignment="1">
      <alignment horizontal="left" vertical="center" wrapText="1" indent="1"/>
    </xf>
    <xf numFmtId="49" fontId="22" fillId="19" borderId="1" xfId="0" applyNumberFormat="1" applyFont="1" applyFill="1" applyBorder="1" applyAlignment="1">
      <alignment horizontal="left" vertical="center" indent="1"/>
    </xf>
    <xf numFmtId="9" fontId="2" fillId="20" borderId="6" xfId="0" applyNumberFormat="1" applyFont="1" applyFill="1" applyBorder="1" applyAlignment="1">
      <alignment vertical="center"/>
    </xf>
    <xf numFmtId="49" fontId="22" fillId="19" borderId="39" xfId="0" applyNumberFormat="1" applyFont="1" applyFill="1" applyBorder="1" applyAlignment="1">
      <alignment horizontal="left" vertical="center" wrapText="1" indent="1"/>
    </xf>
    <xf numFmtId="166" fontId="3" fillId="11" borderId="2" xfId="0" applyNumberFormat="1" applyFont="1" applyFill="1" applyBorder="1" applyAlignment="1" applyProtection="1">
      <alignment horizontal="left" vertical="center" wrapText="1" indent="1"/>
      <protection locked="0"/>
    </xf>
    <xf numFmtId="166" fontId="3" fillId="11" borderId="2" xfId="0" applyNumberFormat="1" applyFont="1" applyFill="1" applyBorder="1" applyAlignment="1">
      <alignment horizontal="left" vertical="center" wrapText="1" indent="1"/>
    </xf>
    <xf numFmtId="166" fontId="3" fillId="11" borderId="2" xfId="0" applyNumberFormat="1" applyFont="1" applyFill="1" applyBorder="1" applyAlignment="1" applyProtection="1">
      <alignment horizontal="left" vertical="center" wrapText="1" indent="1"/>
      <protection locked="0"/>
    </xf>
    <xf numFmtId="166" fontId="3" fillId="11"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2" fillId="22" borderId="0" xfId="0" applyNumberFormat="1" applyFont="1" applyFill="1" applyAlignment="1">
      <alignment horizontal="center" vertical="center"/>
    </xf>
    <xf numFmtId="0" fontId="45" fillId="27" borderId="0" xfId="0" applyNumberFormat="1" applyFont="1" applyFill="1" applyAlignment="1">
      <alignment horizontal="center" vertical="center" wrapText="1"/>
    </xf>
    <xf numFmtId="0" fontId="2" fillId="27" borderId="0" xfId="0" applyNumberFormat="1" applyFont="1" applyFill="1">
      <alignment vertical="top"/>
    </xf>
    <xf numFmtId="0" fontId="5" fillId="0" borderId="0" xfId="0" applyNumberFormat="1" applyFont="1" applyAlignment="1">
      <alignment vertical="center" wrapText="1"/>
    </xf>
    <xf numFmtId="0" fontId="45" fillId="0" borderId="0" xfId="0" applyNumberFormat="1" applyFont="1" applyAlignment="1">
      <alignment horizontal="center" vertical="center" wrapText="1"/>
    </xf>
    <xf numFmtId="0" fontId="2"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3" fillId="26" borderId="0" xfId="0" applyNumberFormat="1" applyFont="1" applyFill="1" applyAlignment="1">
      <alignment horizontal="center" vertical="center" wrapText="1"/>
    </xf>
    <xf numFmtId="0" fontId="6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2" fillId="0" borderId="0" xfId="0" applyNumberFormat="1" applyFont="1" applyAlignment="1">
      <alignment vertical="center" wrapText="1"/>
    </xf>
    <xf numFmtId="0" fontId="0" fillId="13" borderId="0" xfId="0" applyNumberFormat="1" applyFont="1" applyFill="1" applyAlignment="1">
      <alignment horizontal="center" vertical="center"/>
    </xf>
    <xf numFmtId="0" fontId="12" fillId="13" borderId="0" xfId="0" applyNumberFormat="1" applyFont="1" applyFill="1" applyAlignment="1">
      <alignment vertical="center"/>
    </xf>
    <xf numFmtId="0" fontId="2" fillId="0" borderId="0" xfId="0" applyNumberFormat="1" applyFont="1" applyAlignment="1"/>
    <xf numFmtId="0" fontId="61" fillId="0" borderId="0" xfId="0" applyNumberFormat="1" applyFont="1" applyAlignment="1">
      <alignment horizontal="center" vertical="center"/>
    </xf>
    <xf numFmtId="0" fontId="61" fillId="22" borderId="0" xfId="0" applyNumberFormat="1" applyFont="1" applyFill="1" applyAlignment="1">
      <alignment horizontal="center" vertical="center"/>
    </xf>
    <xf numFmtId="0" fontId="2" fillId="0" borderId="0" xfId="0" applyNumberFormat="1" applyFont="1" applyAlignment="1">
      <alignment horizontal="left" vertical="center" indent="2"/>
    </xf>
    <xf numFmtId="0" fontId="2" fillId="0" borderId="0" xfId="0" applyNumberFormat="1" applyFont="1" applyAlignment="1">
      <alignment horizontal="left" vertical="center"/>
    </xf>
    <xf numFmtId="0" fontId="0" fillId="0" borderId="0" xfId="0" applyNumberFormat="1" applyFont="1" applyAlignment="1">
      <alignment horizontal="left" vertical="center"/>
    </xf>
    <xf numFmtId="0" fontId="27" fillId="0" borderId="0" xfId="0" applyNumberFormat="1" applyFont="1" applyAlignment="1">
      <alignment horizontal="right" vertical="center" wrapText="1"/>
    </xf>
    <xf numFmtId="0" fontId="12" fillId="0" borderId="0" xfId="0" applyNumberFormat="1" applyFont="1" applyAlignment="1">
      <alignment horizontal="center" vertical="center"/>
    </xf>
    <xf numFmtId="0" fontId="2" fillId="26" borderId="0" xfId="0" applyNumberFormat="1" applyFont="1" applyFill="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0" fontId="8"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5" fillId="9" borderId="0" xfId="0" applyNumberFormat="1" applyFont="1" applyFill="1" applyAlignment="1">
      <alignment horizontal="center" vertical="center"/>
    </xf>
    <xf numFmtId="0" fontId="2" fillId="27" borderId="0" xfId="0" applyNumberFormat="1" applyFont="1" applyFill="1" applyAlignment="1">
      <alignment horizontal="center" vertical="center"/>
    </xf>
    <xf numFmtId="0" fontId="2" fillId="9" borderId="0" xfId="0" applyNumberFormat="1" applyFont="1" applyFill="1" applyAlignment="1">
      <alignment horizontal="center" vertical="center"/>
    </xf>
    <xf numFmtId="0" fontId="2" fillId="27"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0" fontId="15" fillId="13" borderId="0" xfId="0" applyNumberFormat="1" applyFont="1" applyFill="1" applyAlignment="1">
      <alignment horizontal="center" vertical="center"/>
    </xf>
    <xf numFmtId="0" fontId="3" fillId="13"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9" borderId="0" xfId="0" applyNumberFormat="1" applyFont="1" applyFill="1" applyAlignment="1">
      <alignment horizontal="center" vertical="center"/>
    </xf>
    <xf numFmtId="0" fontId="2"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2" fillId="0" borderId="0" xfId="0" applyNumberFormat="1" applyFont="1" applyAlignment="1">
      <alignment vertical="center"/>
    </xf>
    <xf numFmtId="0" fontId="2" fillId="0" borderId="0" xfId="0" applyNumberFormat="1" applyFont="1" applyAlignment="1">
      <alignment horizontal="center" vertical="top" wrapText="1"/>
    </xf>
    <xf numFmtId="49" fontId="4" fillId="20" borderId="7"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indent="1"/>
    </xf>
    <xf numFmtId="49" fontId="2" fillId="0" borderId="1" xfId="0" applyNumberFormat="1" applyFont="1" applyBorder="1" applyAlignment="1">
      <alignment horizontal="center" vertical="center" textRotation="90"/>
    </xf>
    <xf numFmtId="49" fontId="4" fillId="22" borderId="1" xfId="0" applyNumberFormat="1" applyFont="1" applyFill="1" applyBorder="1" applyAlignment="1">
      <alignment horizontal="center" vertical="center" wrapText="1"/>
    </xf>
    <xf numFmtId="49" fontId="2" fillId="0" borderId="54" xfId="0" applyNumberFormat="1" applyFont="1" applyBorder="1">
      <alignment vertical="top"/>
    </xf>
    <xf numFmtId="4" fontId="2" fillId="12" borderId="1" xfId="0" applyNumberFormat="1" applyFont="1" applyFill="1" applyBorder="1" applyAlignment="1" applyProtection="1">
      <alignment vertical="center"/>
      <protection locked="0"/>
    </xf>
    <xf numFmtId="4" fontId="2" fillId="12" borderId="7" xfId="0" applyNumberFormat="1" applyFont="1" applyFill="1" applyBorder="1" applyAlignment="1" applyProtection="1">
      <alignment vertical="center"/>
      <protection locked="0"/>
    </xf>
    <xf numFmtId="9" fontId="2" fillId="12" borderId="7" xfId="0" applyNumberFormat="1" applyFont="1" applyFill="1" applyBorder="1" applyAlignment="1" applyProtection="1">
      <alignment vertical="center"/>
      <protection locked="0"/>
    </xf>
    <xf numFmtId="9" fontId="2" fillId="12" borderId="1" xfId="0" applyNumberFormat="1" applyFont="1" applyFill="1" applyBorder="1" applyAlignment="1" applyProtection="1">
      <alignment vertical="center"/>
      <protection locked="0"/>
    </xf>
    <xf numFmtId="4" fontId="5" fillId="12" borderId="7" xfId="0" applyNumberFormat="1" applyFont="1" applyFill="1" applyBorder="1" applyAlignment="1" applyProtection="1">
      <alignment vertical="center"/>
      <protection locked="0"/>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0" xfId="0" applyNumberFormat="1" applyFont="1" applyAlignment="1">
      <alignment horizontal="left" vertical="center"/>
    </xf>
    <xf numFmtId="49" fontId="5" fillId="13" borderId="42" xfId="0" applyNumberFormat="1" applyFont="1" applyFill="1" applyBorder="1" applyAlignment="1">
      <alignment horizontal="center" vertical="center"/>
    </xf>
    <xf numFmtId="49" fontId="5" fillId="13" borderId="42" xfId="0" applyNumberFormat="1" applyFont="1" applyFill="1" applyBorder="1" applyAlignment="1">
      <alignment vertical="center" wrapText="1"/>
    </xf>
    <xf numFmtId="49" fontId="5" fillId="13" borderId="43" xfId="0" applyNumberFormat="1" applyFont="1" applyFill="1" applyBorder="1" applyAlignment="1">
      <alignment horizontal="center" vertical="center"/>
    </xf>
    <xf numFmtId="49" fontId="2" fillId="0" borderId="42" xfId="0" applyNumberFormat="1" applyFont="1" applyBorder="1" applyAlignment="1">
      <alignment horizontal="center" vertical="center" wrapText="1"/>
    </xf>
    <xf numFmtId="49" fontId="2" fillId="0" borderId="42" xfId="0" applyNumberFormat="1" applyFont="1" applyBorder="1" applyAlignment="1">
      <alignment horizontal="left" vertical="center" wrapText="1" indent="1"/>
    </xf>
    <xf numFmtId="49" fontId="2" fillId="0" borderId="43"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44" xfId="0" applyNumberFormat="1" applyFont="1" applyBorder="1" applyAlignment="1">
      <alignment horizontal="left" vertical="center" wrapText="1" indent="1"/>
    </xf>
    <xf numFmtId="49" fontId="2" fillId="0" borderId="55" xfId="0" applyNumberFormat="1" applyFont="1" applyBorder="1" applyAlignment="1">
      <alignment horizontal="center" vertical="center" wrapText="1"/>
    </xf>
    <xf numFmtId="49" fontId="2" fillId="13" borderId="1" xfId="0" applyNumberFormat="1" applyFont="1" applyFill="1" applyBorder="1" applyAlignment="1">
      <alignment horizontal="left" vertical="center" wrapText="1" indent="1"/>
    </xf>
    <xf numFmtId="49" fontId="2" fillId="13" borderId="1" xfId="0" applyNumberFormat="1" applyFont="1" applyFill="1" applyBorder="1" applyAlignment="1">
      <alignment vertical="center"/>
    </xf>
    <xf numFmtId="49" fontId="2" fillId="13" borderId="1"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13" borderId="1" xfId="0" applyNumberFormat="1" applyFont="1" applyFill="1" applyBorder="1" applyAlignment="1">
      <alignment vertical="center" wrapText="1"/>
    </xf>
    <xf numFmtId="49" fontId="7" fillId="13" borderId="1" xfId="0" applyNumberFormat="1" applyFont="1" applyFill="1" applyBorder="1" applyAlignment="1">
      <alignment horizontal="center" vertical="center" wrapText="1"/>
    </xf>
    <xf numFmtId="49" fontId="7" fillId="13" borderId="1" xfId="0" applyNumberFormat="1" applyFont="1" applyFill="1" applyBorder="1" applyAlignment="1">
      <alignment vertical="center" wrapText="1"/>
    </xf>
    <xf numFmtId="49" fontId="5" fillId="13" borderId="1" xfId="0" applyNumberFormat="1" applyFont="1" applyFill="1" applyBorder="1" applyAlignment="1">
      <alignment horizontal="center" vertical="center" wrapText="1"/>
    </xf>
    <xf numFmtId="49" fontId="4" fillId="13" borderId="1" xfId="0" applyNumberFormat="1" applyFont="1" applyFill="1" applyBorder="1" applyAlignment="1">
      <alignment horizontal="center" vertical="center" wrapText="1"/>
    </xf>
    <xf numFmtId="49" fontId="5" fillId="0" borderId="56"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0" fontId="27" fillId="9"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2" fillId="29" borderId="0" xfId="0" applyNumberFormat="1" applyFont="1" applyFill="1" applyAlignment="1">
      <alignment horizontal="left" vertical="center"/>
    </xf>
    <xf numFmtId="4" fontId="4" fillId="20" borderId="5" xfId="0" applyNumberFormat="1" applyFont="1" applyFill="1" applyBorder="1" applyAlignment="1">
      <alignment vertical="center" wrapText="1"/>
    </xf>
    <xf numFmtId="4" fontId="4" fillId="0" borderId="7" xfId="0" applyNumberFormat="1" applyFont="1" applyBorder="1" applyAlignment="1">
      <alignment vertical="center" wrapText="1"/>
    </xf>
    <xf numFmtId="49" fontId="2" fillId="14" borderId="1" xfId="0" applyNumberFormat="1" applyFont="1" applyFill="1" applyBorder="1" applyAlignment="1">
      <alignment horizontal="left" vertical="center" wrapText="1"/>
    </xf>
    <xf numFmtId="49" fontId="2" fillId="16" borderId="0" xfId="0" applyNumberFormat="1" applyFont="1" applyFill="1">
      <alignment vertical="top"/>
    </xf>
    <xf numFmtId="0" fontId="2" fillId="0" borderId="1" xfId="0" applyNumberFormat="1" applyFont="1" applyBorder="1" applyAlignment="1">
      <alignment horizontal="left" vertical="center"/>
    </xf>
    <xf numFmtId="0" fontId="21" fillId="0" borderId="1" xfId="0" applyNumberFormat="1" applyFont="1" applyBorder="1" applyAlignment="1">
      <alignment horizontal="left" vertical="center"/>
    </xf>
    <xf numFmtId="0" fontId="2" fillId="0" borderId="5" xfId="0" applyNumberFormat="1" applyFont="1" applyBorder="1" applyAlignment="1">
      <alignment horizontal="left" vertical="center" wrapText="1" indent="1"/>
    </xf>
    <xf numFmtId="0" fontId="2" fillId="0" borderId="5" xfId="0" applyNumberFormat="1" applyFont="1" applyBorder="1" applyAlignment="1">
      <alignment horizontal="center" vertical="center"/>
    </xf>
    <xf numFmtId="0" fontId="2" fillId="0" borderId="15" xfId="0" applyNumberFormat="1" applyFont="1" applyBorder="1" applyAlignment="1">
      <alignment horizontal="center" vertical="center"/>
    </xf>
    <xf numFmtId="49" fontId="2" fillId="0" borderId="5" xfId="0" applyNumberFormat="1" applyFont="1" applyBorder="1" applyAlignment="1">
      <alignment horizontal="left" vertical="center" wrapText="1" indent="1"/>
    </xf>
    <xf numFmtId="0" fontId="2" fillId="0" borderId="7" xfId="0" applyNumberFormat="1" applyFont="1" applyBorder="1" applyAlignment="1">
      <alignment horizontal="left" vertical="center" wrapText="1" indent="1"/>
    </xf>
    <xf numFmtId="0" fontId="2" fillId="0" borderId="18" xfId="0" applyNumberFormat="1" applyFont="1" applyBorder="1" applyAlignment="1">
      <alignment horizontal="left" vertical="center" wrapText="1" indent="1"/>
    </xf>
    <xf numFmtId="10" fontId="2" fillId="12" borderId="1" xfId="0" applyNumberFormat="1" applyFont="1" applyFill="1" applyBorder="1" applyAlignment="1" applyProtection="1">
      <alignment vertical="center"/>
      <protection locked="0"/>
    </xf>
    <xf numFmtId="10" fontId="2" fillId="0" borderId="1" xfId="0" applyNumberFormat="1" applyFont="1" applyBorder="1" applyAlignment="1">
      <alignment vertical="center"/>
    </xf>
    <xf numFmtId="2" fontId="2" fillId="12" borderId="1" xfId="0" applyNumberFormat="1" applyFont="1" applyFill="1" applyBorder="1" applyAlignment="1" applyProtection="1">
      <alignment horizontal="right" vertical="center" wrapText="1"/>
      <protection locked="0"/>
    </xf>
    <xf numFmtId="2" fontId="2" fillId="12" borderId="1" xfId="0" applyNumberFormat="1" applyFont="1" applyFill="1" applyBorder="1" applyAlignment="1" applyProtection="1">
      <alignment horizontal="center" vertical="center" wrapText="1"/>
      <protection locked="0"/>
    </xf>
    <xf numFmtId="10" fontId="2" fillId="20" borderId="1" xfId="0" applyNumberFormat="1" applyFont="1" applyFill="1" applyBorder="1" applyAlignment="1">
      <alignment horizontal="right" vertical="center" wrapText="1"/>
    </xf>
    <xf numFmtId="0" fontId="2" fillId="14" borderId="1" xfId="0" applyNumberFormat="1" applyFont="1" applyFill="1" applyBorder="1" applyAlignment="1">
      <alignment horizontal="center" vertical="center" wrapText="1"/>
    </xf>
    <xf numFmtId="0" fontId="21"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49" fontId="25" fillId="22" borderId="12" xfId="0" applyNumberFormat="1" applyFont="1" applyFill="1" applyBorder="1" applyAlignment="1">
      <alignment horizontal="center" vertical="center"/>
    </xf>
    <xf numFmtId="0" fontId="5" fillId="0" borderId="5" xfId="0" applyNumberFormat="1" applyFont="1" applyBorder="1" applyAlignment="1">
      <alignment horizontal="left" vertical="center" wrapText="1"/>
    </xf>
    <xf numFmtId="0" fontId="5" fillId="14" borderId="9" xfId="0" applyNumberFormat="1" applyFont="1" applyFill="1" applyBorder="1" applyAlignment="1">
      <alignment horizontal="center" vertical="center" wrapText="1"/>
    </xf>
    <xf numFmtId="0" fontId="5" fillId="14" borderId="1" xfId="0" applyNumberFormat="1" applyFont="1" applyFill="1" applyBorder="1" applyAlignment="1">
      <alignment horizontal="center" vertical="center" wrapText="1"/>
    </xf>
    <xf numFmtId="0" fontId="62" fillId="0" borderId="0" xfId="0" applyNumberFormat="1" applyFont="1" applyAlignment="1"/>
    <xf numFmtId="0" fontId="2" fillId="13" borderId="1" xfId="0" applyNumberFormat="1" applyFont="1" applyFill="1" applyBorder="1" applyAlignment="1">
      <alignment horizontal="left" vertical="center" wrapText="1" indent="1"/>
    </xf>
    <xf numFmtId="0" fontId="3" fillId="8" borderId="0" xfId="0" applyNumberFormat="1" applyFont="1" applyFill="1" applyAlignment="1">
      <alignment horizontal="center" vertical="center" wrapText="1"/>
    </xf>
    <xf numFmtId="0" fontId="2" fillId="0" borderId="2" xfId="0" applyNumberFormat="1" applyFont="1" applyBorder="1" applyAlignment="1">
      <alignment horizontal="left" vertical="center" wrapText="1"/>
    </xf>
    <xf numFmtId="49" fontId="2" fillId="13" borderId="14" xfId="0" applyNumberFormat="1" applyFont="1" applyFill="1" applyBorder="1" applyAlignment="1">
      <alignment horizontal="left" vertical="center" wrapText="1"/>
    </xf>
    <xf numFmtId="4" fontId="3" fillId="12" borderId="7" xfId="0" applyNumberFormat="1" applyFont="1" applyFill="1" applyBorder="1" applyAlignment="1" applyProtection="1">
      <alignment horizontal="right" vertical="center"/>
      <protection locked="0"/>
    </xf>
    <xf numFmtId="10" fontId="4" fillId="20" borderId="5" xfId="0" applyNumberFormat="1" applyFont="1" applyFill="1" applyBorder="1" applyAlignment="1">
      <alignment vertical="center" wrapText="1"/>
    </xf>
    <xf numFmtId="4" fontId="3" fillId="0" borderId="5" xfId="0" applyNumberFormat="1" applyFont="1" applyBorder="1" applyAlignment="1">
      <alignment horizontal="right" vertical="center"/>
    </xf>
    <xf numFmtId="49" fontId="4" fillId="14" borderId="1" xfId="0" applyNumberFormat="1" applyFont="1" applyFill="1" applyBorder="1" applyAlignment="1">
      <alignment horizontal="left" vertical="center" wrapText="1" indent="3"/>
    </xf>
    <xf numFmtId="165" fontId="2" fillId="0" borderId="2" xfId="0" applyNumberFormat="1" applyFont="1" applyBorder="1" applyAlignment="1">
      <alignment vertical="center"/>
    </xf>
    <xf numFmtId="0" fontId="4" fillId="13" borderId="1" xfId="0" applyNumberFormat="1" applyFont="1" applyFill="1" applyBorder="1" applyAlignment="1">
      <alignment horizontal="center" vertical="center" wrapText="1"/>
    </xf>
    <xf numFmtId="49" fontId="5" fillId="14" borderId="8" xfId="0" applyNumberFormat="1" applyFont="1" applyFill="1" applyBorder="1" applyAlignment="1">
      <alignment vertical="center" wrapText="1"/>
    </xf>
    <xf numFmtId="4" fontId="4" fillId="14" borderId="14" xfId="0" applyNumberFormat="1" applyFont="1" applyFill="1" applyBorder="1" applyAlignment="1">
      <alignment vertical="center" wrapText="1"/>
    </xf>
    <xf numFmtId="4" fontId="3" fillId="13" borderId="14" xfId="0" applyNumberFormat="1" applyFont="1" applyFill="1" applyBorder="1" applyAlignment="1">
      <alignment horizontal="right" vertical="center"/>
    </xf>
    <xf numFmtId="2" fontId="4" fillId="20" borderId="7" xfId="0" applyNumberFormat="1" applyFont="1" applyFill="1" applyBorder="1" applyAlignment="1">
      <alignment vertical="center" wrapText="1"/>
    </xf>
    <xf numFmtId="2" fontId="4" fillId="20" borderId="5" xfId="0" applyNumberFormat="1" applyFont="1" applyFill="1" applyBorder="1" applyAlignment="1">
      <alignment vertical="center" wrapText="1"/>
    </xf>
    <xf numFmtId="49" fontId="5" fillId="0" borderId="14" xfId="0" applyNumberFormat="1" applyFont="1" applyBorder="1" applyAlignment="1">
      <alignment horizontal="center" vertical="center" wrapText="1"/>
    </xf>
    <xf numFmtId="4" fontId="6" fillId="20" borderId="18" xfId="0" applyNumberFormat="1" applyFont="1" applyFill="1" applyBorder="1" applyAlignment="1">
      <alignment horizontal="right" vertical="center"/>
    </xf>
    <xf numFmtId="0" fontId="2" fillId="13" borderId="18" xfId="0" applyNumberFormat="1" applyFont="1" applyFill="1" applyBorder="1" applyAlignment="1">
      <alignment horizontal="left" vertical="center" wrapText="1" indent="2"/>
    </xf>
    <xf numFmtId="49" fontId="2" fillId="14" borderId="8" xfId="0" applyNumberFormat="1" applyFont="1" applyFill="1" applyBorder="1" applyAlignment="1">
      <alignment vertical="center" wrapText="1"/>
    </xf>
    <xf numFmtId="0" fontId="22" fillId="19" borderId="17" xfId="0" applyNumberFormat="1" applyFont="1" applyFill="1" applyBorder="1" applyAlignment="1">
      <alignment horizontal="left" vertical="center" wrapText="1" indent="1"/>
    </xf>
    <xf numFmtId="0" fontId="2" fillId="22" borderId="7" xfId="0" applyNumberFormat="1" applyFont="1" applyFill="1" applyBorder="1" applyAlignment="1">
      <alignment horizontal="left" vertical="center"/>
    </xf>
    <xf numFmtId="0" fontId="22" fillId="19" borderId="57" xfId="0" applyNumberFormat="1" applyFont="1" applyFill="1" applyBorder="1" applyAlignment="1">
      <alignment horizontal="left" vertical="center" wrapText="1" indent="1"/>
    </xf>
    <xf numFmtId="0" fontId="2" fillId="22" borderId="6" xfId="0" applyNumberFormat="1" applyFont="1" applyFill="1" applyBorder="1" applyAlignment="1">
      <alignment horizontal="left" vertical="center"/>
    </xf>
    <xf numFmtId="0" fontId="22" fillId="19" borderId="18" xfId="0" applyNumberFormat="1" applyFont="1" applyFill="1" applyBorder="1" applyAlignment="1">
      <alignment horizontal="left" vertical="center" wrapText="1" indent="1"/>
    </xf>
    <xf numFmtId="0" fontId="22" fillId="19" borderId="7" xfId="0" applyNumberFormat="1" applyFont="1" applyFill="1" applyBorder="1" applyAlignment="1">
      <alignment horizontal="left" vertical="center" wrapText="1" indent="1"/>
    </xf>
    <xf numFmtId="0" fontId="3" fillId="19" borderId="20" xfId="0" applyNumberFormat="1" applyFont="1" applyFill="1" applyBorder="1" applyAlignment="1">
      <alignment horizontal="right" vertical="center"/>
    </xf>
    <xf numFmtId="0" fontId="3" fillId="19" borderId="7" xfId="0" applyNumberFormat="1" applyFont="1" applyFill="1" applyBorder="1" applyAlignment="1">
      <alignment horizontal="right" vertical="center"/>
    </xf>
    <xf numFmtId="0" fontId="22" fillId="19" borderId="20" xfId="0" applyNumberFormat="1" applyFont="1" applyFill="1" applyBorder="1" applyAlignment="1">
      <alignment horizontal="left" vertical="center" wrapText="1" indent="1"/>
    </xf>
    <xf numFmtId="10" fontId="2" fillId="20" borderId="10" xfId="0" applyNumberFormat="1" applyFont="1" applyFill="1" applyBorder="1" applyAlignment="1">
      <alignment horizontal="right" vertical="center" wrapText="1"/>
    </xf>
    <xf numFmtId="49" fontId="2" fillId="0" borderId="13" xfId="0" applyNumberFormat="1" applyFont="1" applyBorder="1" applyAlignment="1">
      <alignment horizontal="left" vertical="center" wrapText="1" indent="2"/>
    </xf>
    <xf numFmtId="0" fontId="2" fillId="30" borderId="1" xfId="0" applyNumberFormat="1" applyFont="1" applyFill="1" applyBorder="1" applyAlignment="1">
      <alignment horizontal="center" vertical="center" wrapText="1"/>
    </xf>
    <xf numFmtId="0" fontId="63" fillId="0" borderId="0" xfId="0" applyNumberFormat="1" applyFont="1" applyAlignment="1">
      <alignment vertical="top" wrapText="1"/>
    </xf>
    <xf numFmtId="0" fontId="2" fillId="31" borderId="1"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48" fillId="0" borderId="34" xfId="0" applyNumberFormat="1" applyFont="1" applyBorder="1" applyAlignment="1">
      <alignment wrapText="1"/>
    </xf>
    <xf numFmtId="0" fontId="2" fillId="31" borderId="2" xfId="0" applyNumberFormat="1" applyFont="1" applyFill="1" applyBorder="1" applyAlignment="1">
      <alignment horizontal="left" vertical="center" wrapText="1" indent="1"/>
    </xf>
    <xf numFmtId="49" fontId="2" fillId="31" borderId="2" xfId="0" applyNumberFormat="1" applyFont="1" applyFill="1" applyBorder="1" applyAlignment="1">
      <alignment horizontal="left" vertical="center" wrapText="1" indent="1"/>
    </xf>
    <xf numFmtId="49" fontId="3" fillId="31" borderId="2" xfId="0" applyNumberFormat="1" applyFont="1" applyFill="1" applyBorder="1" applyAlignment="1">
      <alignment horizontal="left" vertical="center" wrapText="1" indent="1"/>
    </xf>
    <xf numFmtId="49" fontId="2" fillId="0" borderId="32"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5" xfId="0" applyNumberFormat="1" applyFont="1" applyBorder="1" applyAlignment="1">
      <alignment horizontal="center" vertical="center"/>
    </xf>
    <xf numFmtId="0" fontId="45" fillId="0" borderId="0" xfId="0" applyNumberFormat="1" applyFont="1" applyAlignment="1">
      <alignment horizontal="center" vertical="center"/>
    </xf>
    <xf numFmtId="49" fontId="64" fillId="19" borderId="37" xfId="0" applyNumberFormat="1" applyFont="1" applyFill="1" applyBorder="1" applyAlignment="1">
      <alignment horizontal="right" vertical="center" wrapText="1" indent="1"/>
    </xf>
    <xf numFmtId="0" fontId="3" fillId="29" borderId="0" xfId="0" applyNumberFormat="1" applyFont="1" applyFill="1" applyAlignment="1">
      <alignment horizontal="left" vertical="center"/>
    </xf>
    <xf numFmtId="4" fontId="3" fillId="12" borderId="10" xfId="0" applyNumberFormat="1" applyFont="1" applyFill="1" applyBorder="1" applyAlignment="1" applyProtection="1">
      <alignment horizontal="right" vertical="center"/>
      <protection locked="0"/>
    </xf>
    <xf numFmtId="2" fontId="3" fillId="12" borderId="9" xfId="0" applyNumberFormat="1" applyFont="1" applyFill="1" applyBorder="1" applyAlignment="1" applyProtection="1">
      <alignment horizontal="right" vertical="center"/>
      <protection locked="0"/>
    </xf>
    <xf numFmtId="2" fontId="3" fillId="0" borderId="2" xfId="0" applyNumberFormat="1" applyFont="1" applyBorder="1" applyAlignment="1">
      <alignment horizontal="right" vertical="center"/>
    </xf>
    <xf numFmtId="2" fontId="0" fillId="12" borderId="2" xfId="0" applyNumberFormat="1" applyFont="1" applyFill="1" applyBorder="1" applyAlignment="1" applyProtection="1">
      <alignment horizontal="right" vertical="center"/>
      <protection locked="0"/>
    </xf>
    <xf numFmtId="4" fontId="2" fillId="12" borderId="12" xfId="0" applyNumberFormat="1" applyFont="1" applyFill="1" applyBorder="1" applyAlignment="1" applyProtection="1">
      <alignment horizontal="right" vertical="center" wrapText="1"/>
      <protection locked="0"/>
    </xf>
    <xf numFmtId="2" fontId="4" fillId="12" borderId="1" xfId="0" applyNumberFormat="1" applyFont="1" applyFill="1" applyBorder="1" applyAlignment="1" applyProtection="1">
      <alignment vertical="center" wrapText="1"/>
      <protection locked="0"/>
    </xf>
    <xf numFmtId="2" fontId="4" fillId="14" borderId="1" xfId="0" applyNumberFormat="1" applyFont="1" applyFill="1" applyBorder="1" applyAlignment="1">
      <alignment vertical="center" wrapText="1"/>
    </xf>
    <xf numFmtId="2" fontId="4" fillId="14" borderId="5" xfId="0" applyNumberFormat="1" applyFont="1" applyFill="1" applyBorder="1" applyAlignment="1">
      <alignment vertical="center" wrapText="1"/>
    </xf>
    <xf numFmtId="2" fontId="6" fillId="20" borderId="1" xfId="0" applyNumberFormat="1" applyFont="1" applyFill="1" applyBorder="1" applyAlignment="1">
      <alignment horizontal="right" vertical="center"/>
    </xf>
    <xf numFmtId="2" fontId="6" fillId="0" borderId="1" xfId="0" applyNumberFormat="1" applyFont="1" applyBorder="1" applyAlignment="1">
      <alignment horizontal="right" vertical="center"/>
    </xf>
    <xf numFmtId="2" fontId="3" fillId="12" borderId="1" xfId="0" applyNumberFormat="1" applyFont="1" applyFill="1" applyBorder="1" applyAlignment="1" applyProtection="1">
      <alignment horizontal="right" vertical="center"/>
      <protection locked="0"/>
    </xf>
    <xf numFmtId="2" fontId="3" fillId="13" borderId="1" xfId="0" applyNumberFormat="1" applyFont="1" applyFill="1" applyBorder="1" applyAlignment="1">
      <alignment horizontal="right" vertical="center"/>
    </xf>
    <xf numFmtId="2" fontId="3" fillId="20" borderId="1" xfId="0" applyNumberFormat="1" applyFont="1" applyFill="1" applyBorder="1" applyAlignment="1">
      <alignment horizontal="right" vertical="center" wrapText="1"/>
    </xf>
    <xf numFmtId="4" fontId="2" fillId="20" borderId="6" xfId="0" applyNumberFormat="1" applyFont="1" applyFill="1" applyBorder="1" applyAlignment="1">
      <alignment vertical="center"/>
    </xf>
    <xf numFmtId="49" fontId="5" fillId="0" borderId="0" xfId="0" applyNumberFormat="1" applyFont="1" applyAlignment="1">
      <alignment vertical="top" wrapText="1"/>
    </xf>
    <xf numFmtId="49" fontId="2" fillId="0" borderId="0" xfId="0" applyNumberFormat="1" applyFont="1" applyAlignment="1">
      <alignment vertical="top" wrapText="1"/>
    </xf>
    <xf numFmtId="0" fontId="3" fillId="32" borderId="0" xfId="0" applyNumberFormat="1" applyFont="1" applyFill="1" applyAlignment="1">
      <alignment horizontal="left" vertical="center"/>
    </xf>
    <xf numFmtId="0" fontId="3" fillId="32" borderId="0" xfId="0" applyNumberFormat="1" applyFont="1" applyFill="1" applyAlignment="1">
      <alignment horizontal="center" vertical="center"/>
    </xf>
    <xf numFmtId="0" fontId="2"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2" fillId="3" borderId="0" xfId="0" applyNumberFormat="1" applyFont="1" applyFill="1" applyAlignment="1">
      <alignment vertical="center" wrapText="1"/>
    </xf>
    <xf numFmtId="0" fontId="3" fillId="3" borderId="0" xfId="0" applyNumberFormat="1" applyFont="1" applyFill="1" applyAlignment="1">
      <alignment horizontal="center"/>
    </xf>
    <xf numFmtId="0" fontId="2" fillId="3" borderId="0" xfId="0" applyNumberFormat="1" applyFont="1" applyFill="1" applyAlignment="1">
      <alignment horizontal="left" vertical="center"/>
    </xf>
    <xf numFmtId="0" fontId="2" fillId="3" borderId="0" xfId="0" applyNumberFormat="1" applyFont="1" applyFill="1" applyAlignment="1">
      <alignment vertical="center"/>
    </xf>
    <xf numFmtId="0" fontId="0" fillId="3" borderId="0" xfId="0" applyNumberFormat="1" applyFont="1" applyFill="1" applyAlignment="1">
      <alignment horizontal="left" vertical="center"/>
    </xf>
    <xf numFmtId="0" fontId="3" fillId="3" borderId="0" xfId="0" applyNumberFormat="1" applyFont="1" applyFill="1" applyAlignment="1">
      <alignment horizontal="left"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center" vertical="center" wrapText="1"/>
    </xf>
    <xf numFmtId="0" fontId="3"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3" fillId="3" borderId="0" xfId="0" applyNumberFormat="1" applyFont="1" applyFill="1" applyAlignment="1">
      <alignment horizontal="left" vertical="center" wrapText="1"/>
    </xf>
    <xf numFmtId="0" fontId="3" fillId="22" borderId="0" xfId="0" applyNumberFormat="1" applyFont="1" applyFill="1" applyAlignment="1">
      <alignment horizontal="left" vertical="center" wrapText="1"/>
    </xf>
    <xf numFmtId="0" fontId="40" fillId="32" borderId="0" xfId="0" applyNumberFormat="1" applyFont="1" applyFill="1" applyAlignment="1">
      <alignment horizontal="center" vertical="center"/>
    </xf>
    <xf numFmtId="0" fontId="3" fillId="3" borderId="0" xfId="0" applyNumberFormat="1" applyFont="1" applyFill="1" applyAlignment="1">
      <alignment vertical="center"/>
    </xf>
    <xf numFmtId="0" fontId="2" fillId="3" borderId="0" xfId="0" applyNumberFormat="1" applyFont="1" applyFill="1" applyAlignment="1">
      <alignment horizontal="left"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left" vertical="top"/>
    </xf>
    <xf numFmtId="0" fontId="2" fillId="3" borderId="0" xfId="0" applyNumberFormat="1" applyFont="1" applyFill="1" applyAlignment="1">
      <alignment vertical="center"/>
    </xf>
    <xf numFmtId="0" fontId="2"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2" fillId="22" borderId="0" xfId="0" applyNumberFormat="1" applyFont="1" applyFill="1" applyAlignment="1">
      <alignment vertical="center"/>
    </xf>
    <xf numFmtId="0" fontId="2" fillId="3" borderId="0" xfId="0" applyNumberFormat="1" applyFont="1" applyFill="1">
      <alignment vertical="top"/>
    </xf>
    <xf numFmtId="0" fontId="2" fillId="22" borderId="0" xfId="0" applyNumberFormat="1" applyFont="1" applyFill="1">
      <alignment vertical="top"/>
    </xf>
    <xf numFmtId="0" fontId="2" fillId="3" borderId="0" xfId="0" applyNumberFormat="1" applyFont="1" applyFill="1" applyAlignment="1">
      <alignment horizontal="left" vertical="top"/>
    </xf>
    <xf numFmtId="0" fontId="2" fillId="22" borderId="0" xfId="0" applyNumberFormat="1" applyFont="1" applyFill="1" applyAlignment="1">
      <alignment vertical="center"/>
    </xf>
    <xf numFmtId="49" fontId="2" fillId="3" borderId="0" xfId="0" applyNumberFormat="1" applyFont="1" applyFill="1">
      <alignment vertical="top"/>
    </xf>
    <xf numFmtId="0" fontId="3" fillId="3" borderId="0" xfId="0" applyNumberFormat="1" applyFont="1" applyFill="1" applyAlignment="1">
      <alignment horizontal="left" vertical="center"/>
    </xf>
    <xf numFmtId="0" fontId="3" fillId="3" borderId="0" xfId="0" applyNumberFormat="1" applyFont="1" applyFill="1" applyAlignment="1">
      <alignment horizontal="left" vertical="top"/>
    </xf>
    <xf numFmtId="0" fontId="40" fillId="3" borderId="0" xfId="0" applyNumberFormat="1" applyFont="1" applyFill="1" applyAlignment="1">
      <alignment vertical="center"/>
    </xf>
    <xf numFmtId="0" fontId="3" fillId="0" borderId="0" xfId="0" applyNumberFormat="1" applyFont="1" applyAlignment="1">
      <alignment horizontal="left" vertical="center"/>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2" fillId="22" borderId="0" xfId="0" applyNumberFormat="1" applyFont="1" applyFill="1" applyAlignment="1">
      <alignment horizontal="left" vertical="top"/>
    </xf>
    <xf numFmtId="0" fontId="3" fillId="3" borderId="0" xfId="0" applyNumberFormat="1" applyFont="1" applyFill="1" applyAlignment="1">
      <alignment horizontal="left" vertical="top" wrapText="1"/>
    </xf>
    <xf numFmtId="0" fontId="3" fillId="22" borderId="0" xfId="0" applyNumberFormat="1" applyFont="1" applyFill="1" applyAlignment="1">
      <alignment horizontal="left" vertical="top" wrapText="1"/>
    </xf>
    <xf numFmtId="0" fontId="9" fillId="3" borderId="0" xfId="0" applyNumberFormat="1" applyFont="1" applyFill="1" applyAlignment="1">
      <alignment horizontal="left" vertical="top"/>
    </xf>
    <xf numFmtId="0" fontId="9"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2" fillId="32" borderId="0" xfId="0" applyNumberFormat="1" applyFont="1" applyFill="1" applyAlignment="1">
      <alignment horizontal="left" vertical="center"/>
    </xf>
    <xf numFmtId="0" fontId="2" fillId="32" borderId="0" xfId="0" applyNumberFormat="1" applyFont="1" applyFill="1" applyAlignment="1">
      <alignment horizontal="left"/>
    </xf>
    <xf numFmtId="0" fontId="3" fillId="32" borderId="0" xfId="0" applyNumberFormat="1" applyFont="1" applyFill="1" applyAlignment="1">
      <alignment horizontal="left"/>
    </xf>
    <xf numFmtId="0" fontId="0" fillId="3" borderId="0" xfId="0" applyNumberFormat="1" applyFont="1" applyFill="1" applyAlignment="1">
      <alignment vertical="center"/>
    </xf>
    <xf numFmtId="0" fontId="2"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2"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3" fillId="3" borderId="0" xfId="0" applyNumberFormat="1" applyFont="1" applyFill="1" applyAlignment="1">
      <alignment horizontal="left"/>
    </xf>
    <xf numFmtId="0" fontId="3" fillId="22" borderId="0" xfId="0" applyNumberFormat="1" applyFont="1" applyFill="1" applyAlignment="1">
      <alignment horizontal="left"/>
    </xf>
    <xf numFmtId="0" fontId="2" fillId="3" borderId="0" xfId="0" applyNumberFormat="1" applyFont="1" applyFill="1" applyAlignment="1">
      <alignment horizontal="left"/>
    </xf>
    <xf numFmtId="0" fontId="2" fillId="22" borderId="0" xfId="0" applyNumberFormat="1" applyFont="1" applyFill="1" applyAlignment="1">
      <alignment horizontal="left"/>
    </xf>
    <xf numFmtId="0" fontId="2" fillId="3" borderId="0" xfId="0" applyNumberFormat="1" applyFont="1" applyFill="1" applyAlignment="1"/>
    <xf numFmtId="0" fontId="9" fillId="3" borderId="0" xfId="0" applyNumberFormat="1" applyFont="1" applyFill="1" applyAlignment="1">
      <alignment horizontal="center" vertical="center"/>
    </xf>
    <xf numFmtId="0" fontId="12" fillId="3" borderId="0" xfId="0" applyNumberFormat="1" applyFont="1" applyFill="1" applyAlignment="1">
      <alignment horizontal="center" vertical="center"/>
    </xf>
    <xf numFmtId="0" fontId="9" fillId="3" borderId="0" xfId="0" applyNumberFormat="1" applyFont="1" applyFill="1" applyAlignment="1">
      <alignment vertical="center"/>
    </xf>
    <xf numFmtId="0" fontId="12" fillId="3" borderId="0" xfId="0" applyNumberFormat="1" applyFont="1" applyFill="1" applyAlignment="1">
      <alignment vertical="center"/>
    </xf>
    <xf numFmtId="0" fontId="3"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left" vertical="top"/>
    </xf>
    <xf numFmtId="0" fontId="3" fillId="3" borderId="0" xfId="0" applyNumberFormat="1" applyFont="1" applyFill="1" applyAlignment="1">
      <alignment vertical="center"/>
    </xf>
    <xf numFmtId="0" fontId="40" fillId="3" borderId="0" xfId="0" applyNumberFormat="1" applyFont="1" applyFill="1" applyAlignment="1">
      <alignment vertical="center"/>
    </xf>
    <xf numFmtId="0" fontId="0" fillId="3" borderId="0" xfId="0" applyNumberFormat="1" applyFont="1" applyFill="1" applyAlignment="1">
      <alignment horizontal="left" vertical="top"/>
    </xf>
    <xf numFmtId="0" fontId="9" fillId="3" borderId="0" xfId="0" applyNumberFormat="1" applyFont="1" applyFill="1" applyAlignment="1">
      <alignment horizontal="left" vertical="center"/>
    </xf>
    <xf numFmtId="0" fontId="9" fillId="3" borderId="0" xfId="0" applyNumberFormat="1" applyFont="1" applyFill="1">
      <alignment vertical="top"/>
    </xf>
    <xf numFmtId="0" fontId="9"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3" fillId="3" borderId="0" xfId="0" applyNumberFormat="1" applyFont="1" applyFill="1">
      <alignment vertical="top"/>
    </xf>
    <xf numFmtId="0" fontId="3" fillId="22" borderId="0" xfId="0" applyNumberFormat="1" applyFont="1" applyFill="1">
      <alignment vertical="top"/>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3" fillId="3" borderId="0" xfId="0" applyNumberFormat="1" applyFont="1" applyFill="1" applyAlignment="1">
      <alignment horizontal="left" vertical="top"/>
    </xf>
    <xf numFmtId="0" fontId="15" fillId="3" borderId="0" xfId="0" applyNumberFormat="1" applyFont="1" applyFill="1" applyAlignment="1">
      <alignment horizontal="left" vertical="center"/>
    </xf>
    <xf numFmtId="0" fontId="15" fillId="3" borderId="0" xfId="0" applyNumberFormat="1" applyFont="1" applyFill="1" applyAlignment="1">
      <alignment horizontal="center" vertical="center"/>
    </xf>
    <xf numFmtId="0" fontId="15" fillId="3" borderId="0" xfId="0" applyNumberFormat="1" applyFont="1" applyFill="1" applyAlignment="1">
      <alignment horizontal="left" vertical="top"/>
    </xf>
    <xf numFmtId="0" fontId="15" fillId="22" borderId="0" xfId="0" applyNumberFormat="1" applyFont="1" applyFill="1" applyAlignment="1">
      <alignment horizontal="left" vertical="top"/>
    </xf>
    <xf numFmtId="0" fontId="15" fillId="3" borderId="0" xfId="0" applyNumberFormat="1" applyFont="1" applyFill="1" applyAlignment="1">
      <alignment vertical="center"/>
    </xf>
    <xf numFmtId="0" fontId="15" fillId="3" borderId="0" xfId="0" applyNumberFormat="1" applyFont="1" applyFill="1" applyAlignment="1">
      <alignment horizontal="center" vertical="center" wrapText="1"/>
    </xf>
    <xf numFmtId="0" fontId="15" fillId="3" borderId="0" xfId="0" applyNumberFormat="1" applyFont="1" applyFill="1" applyAlignment="1">
      <alignment horizontal="left" vertical="top" wrapText="1"/>
    </xf>
    <xf numFmtId="0" fontId="15" fillId="22" borderId="0" xfId="0" applyNumberFormat="1" applyFont="1" applyFill="1" applyAlignment="1">
      <alignment horizontal="left" vertical="top" wrapText="1"/>
    </xf>
    <xf numFmtId="0" fontId="16" fillId="3" borderId="0" xfId="0" applyNumberFormat="1" applyFont="1" applyFill="1" applyAlignment="1">
      <alignment horizontal="left" vertical="top" wrapText="1"/>
    </xf>
    <xf numFmtId="0" fontId="16" fillId="22" borderId="0" xfId="0" applyNumberFormat="1" applyFont="1" applyFill="1" applyAlignment="1">
      <alignment horizontal="left" vertical="top" wrapText="1"/>
    </xf>
    <xf numFmtId="0" fontId="16" fillId="3" borderId="0" xfId="0" applyNumberFormat="1" applyFont="1" applyFill="1" applyAlignment="1">
      <alignment horizontal="left" vertical="top"/>
    </xf>
    <xf numFmtId="0" fontId="16" fillId="22" borderId="0" xfId="0" applyNumberFormat="1" applyFont="1" applyFill="1" applyAlignment="1">
      <alignment horizontal="left" vertical="top"/>
    </xf>
    <xf numFmtId="49" fontId="15" fillId="3" borderId="0" xfId="0" applyNumberFormat="1" applyFont="1" applyFill="1" applyAlignment="1">
      <alignment horizontal="left" vertical="top"/>
    </xf>
    <xf numFmtId="49" fontId="2" fillId="3" borderId="0" xfId="0" applyNumberFormat="1" applyFont="1" applyFill="1" applyAlignment="1">
      <alignment horizontal="center" vertical="center"/>
    </xf>
    <xf numFmtId="49" fontId="2" fillId="3" borderId="0" xfId="0" applyNumberFormat="1" applyFont="1" applyFill="1" applyAlignment="1">
      <alignment horizontal="left" vertical="top"/>
    </xf>
    <xf numFmtId="0" fontId="15" fillId="3" borderId="21" xfId="0" applyNumberFormat="1" applyFont="1" applyFill="1" applyBorder="1" applyAlignment="1">
      <alignment horizontal="left" vertical="top"/>
    </xf>
    <xf numFmtId="0" fontId="15" fillId="22" borderId="21" xfId="0" applyNumberFormat="1" applyFont="1" applyFill="1" applyBorder="1" applyAlignment="1">
      <alignment horizontal="left" vertical="top"/>
    </xf>
    <xf numFmtId="0" fontId="8" fillId="3" borderId="0" xfId="0" applyNumberFormat="1" applyFont="1" applyFill="1" applyAlignment="1">
      <alignment horizontal="center" vertical="center"/>
    </xf>
    <xf numFmtId="49" fontId="2" fillId="0" borderId="0" xfId="0" applyNumberFormat="1" applyFont="1" applyAlignment="1">
      <alignment horizontal="center" vertical="center"/>
    </xf>
    <xf numFmtId="0" fontId="2" fillId="2" borderId="0" xfId="0" applyNumberFormat="1" applyFont="1" applyFill="1" applyAlignment="1">
      <alignment horizontal="center" vertical="center"/>
    </xf>
    <xf numFmtId="0" fontId="2"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2" fillId="2" borderId="58" xfId="0" applyNumberFormat="1" applyFont="1" applyFill="1" applyBorder="1" applyAlignment="1">
      <alignment horizontal="center" vertical="center"/>
    </xf>
    <xf numFmtId="0" fontId="9" fillId="2" borderId="58" xfId="0" applyNumberFormat="1" applyFont="1" applyFill="1" applyBorder="1" applyAlignment="1">
      <alignment horizontal="center" vertical="center"/>
    </xf>
    <xf numFmtId="0" fontId="9" fillId="7" borderId="58" xfId="0" applyNumberFormat="1" applyFont="1" applyFill="1" applyBorder="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49" fontId="9" fillId="7" borderId="58" xfId="0" applyNumberFormat="1" applyFont="1" applyFill="1" applyBorder="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vertical="center"/>
    </xf>
    <xf numFmtId="0" fontId="12" fillId="7" borderId="0" xfId="0" applyNumberFormat="1" applyFont="1" applyFill="1" applyAlignment="1">
      <alignment vertical="center"/>
    </xf>
    <xf numFmtId="0" fontId="3" fillId="7" borderId="0" xfId="0" applyNumberFormat="1" applyFont="1" applyFill="1" applyAlignment="1">
      <alignment horizontal="center"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horizontal="left" vertical="top"/>
    </xf>
    <xf numFmtId="0" fontId="3"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2" fillId="7" borderId="0" xfId="0" applyNumberFormat="1" applyFont="1" applyFill="1">
      <alignment vertical="top"/>
    </xf>
    <xf numFmtId="0" fontId="9" fillId="7" borderId="0" xfId="0" applyNumberFormat="1" applyFont="1" applyFill="1" applyAlignment="1">
      <alignment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vertical="center" wrapText="1"/>
    </xf>
    <xf numFmtId="0" fontId="3" fillId="7" borderId="0" xfId="0" applyNumberFormat="1" applyFont="1" applyFill="1" applyAlignment="1">
      <alignment horizontal="center" vertical="center"/>
    </xf>
    <xf numFmtId="0" fontId="3" fillId="7" borderId="0" xfId="0" applyNumberFormat="1" applyFont="1" applyFill="1" applyAlignment="1"/>
    <xf numFmtId="0" fontId="15" fillId="7" borderId="58" xfId="0" applyNumberFormat="1" applyFont="1" applyFill="1" applyBorder="1" applyAlignment="1">
      <alignment horizontal="center" vertical="center"/>
    </xf>
    <xf numFmtId="49" fontId="2" fillId="7" borderId="58" xfId="0" applyNumberFormat="1" applyFont="1" applyFill="1" applyBorder="1">
      <alignment vertical="top"/>
    </xf>
    <xf numFmtId="0" fontId="16" fillId="7" borderId="58" xfId="0" applyNumberFormat="1" applyFont="1" applyFill="1" applyBorder="1" applyAlignment="1">
      <alignment vertical="center"/>
    </xf>
    <xf numFmtId="0" fontId="15" fillId="7" borderId="58" xfId="0" applyNumberFormat="1" applyFont="1" applyFill="1" applyBorder="1" applyAlignment="1">
      <alignment vertical="center"/>
    </xf>
    <xf numFmtId="49" fontId="15" fillId="7" borderId="58" xfId="0" applyNumberFormat="1" applyFont="1" applyFill="1" applyBorder="1" applyAlignment="1">
      <alignment horizontal="center" vertical="center"/>
    </xf>
    <xf numFmtId="0" fontId="9" fillId="7" borderId="58" xfId="0" applyNumberFormat="1" applyFont="1" applyFill="1" applyBorder="1" applyAlignment="1">
      <alignment vertical="center"/>
    </xf>
    <xf numFmtId="0" fontId="15" fillId="2" borderId="0" xfId="0" applyNumberFormat="1" applyFont="1" applyFill="1" applyAlignment="1">
      <alignment horizontal="center" vertical="center" wrapText="1"/>
    </xf>
    <xf numFmtId="0" fontId="15" fillId="2" borderId="0" xfId="0" applyNumberFormat="1" applyFont="1" applyFill="1" applyAlignment="1">
      <alignment horizontal="center" vertical="center"/>
    </xf>
    <xf numFmtId="0" fontId="15" fillId="2" borderId="0" xfId="0" applyNumberFormat="1" applyFont="1" applyFill="1" applyAlignment="1">
      <alignment horizontal="center" vertical="center" wrapText="1"/>
    </xf>
    <xf numFmtId="0" fontId="9"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xf>
    <xf numFmtId="0" fontId="2" fillId="7" borderId="0" xfId="0" applyNumberFormat="1" applyFont="1" applyFill="1" applyAlignment="1">
      <alignment vertical="center"/>
    </xf>
    <xf numFmtId="0" fontId="9" fillId="7" borderId="0" xfId="0" applyNumberFormat="1" applyFont="1" applyFill="1" applyAlignment="1">
      <alignment vertical="center" wrapText="1"/>
    </xf>
    <xf numFmtId="0" fontId="11" fillId="7" borderId="58" xfId="0" applyNumberFormat="1" applyFont="1" applyFill="1" applyBorder="1" applyAlignment="1">
      <alignment vertical="center"/>
    </xf>
    <xf numFmtId="0" fontId="0" fillId="7" borderId="0" xfId="0" applyNumberFormat="1" applyFont="1" applyFill="1" applyAlignment="1">
      <alignment vertical="center"/>
    </xf>
    <xf numFmtId="0" fontId="3" fillId="7" borderId="0" xfId="0" applyNumberFormat="1" applyFont="1" applyFill="1" applyAlignment="1">
      <alignment vertical="center"/>
    </xf>
    <xf numFmtId="0" fontId="15" fillId="2" borderId="0" xfId="0" applyNumberFormat="1" applyFont="1" applyFill="1" applyAlignment="1">
      <alignment horizontal="left" vertical="center" wrapText="1"/>
    </xf>
    <xf numFmtId="0" fontId="15" fillId="2" borderId="58" xfId="0" applyNumberFormat="1" applyFont="1" applyFill="1" applyBorder="1" applyAlignment="1">
      <alignment horizontal="left" vertical="center" wrapText="1"/>
    </xf>
    <xf numFmtId="0" fontId="15"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9" fillId="2" borderId="0" xfId="0" applyNumberFormat="1" applyFont="1" applyFill="1" applyAlignment="1">
      <alignment horizontal="left" vertical="center" wrapText="1"/>
    </xf>
    <xf numFmtId="0" fontId="3" fillId="2" borderId="0" xfId="0" applyNumberFormat="1" applyFont="1" applyFill="1" applyAlignment="1">
      <alignment horizontal="left" vertical="center" wrapText="1"/>
    </xf>
    <xf numFmtId="0" fontId="15" fillId="2" borderId="0" xfId="0" applyNumberFormat="1" applyFont="1" applyFill="1" applyAlignment="1">
      <alignment horizontal="left" vertical="center" wrapText="1"/>
    </xf>
    <xf numFmtId="0" fontId="15" fillId="2" borderId="59" xfId="0" applyNumberFormat="1" applyFont="1" applyFill="1" applyBorder="1" applyAlignment="1">
      <alignment horizontal="left" vertical="center" wrapText="1"/>
    </xf>
    <xf numFmtId="0" fontId="15" fillId="7" borderId="0" xfId="0" applyNumberFormat="1" applyFont="1" applyFill="1" applyAlignment="1">
      <alignment horizontal="left" vertical="center"/>
    </xf>
    <xf numFmtId="0" fontId="9" fillId="7" borderId="0" xfId="0" applyNumberFormat="1" applyFont="1" applyFill="1" applyAlignment="1">
      <alignment horizontal="left" vertical="center"/>
    </xf>
    <xf numFmtId="0" fontId="15" fillId="7" borderId="0" xfId="0" applyNumberFormat="1" applyFont="1" applyFill="1" applyAlignment="1">
      <alignment horizontal="left" vertical="center"/>
    </xf>
    <xf numFmtId="0" fontId="40" fillId="7" borderId="0" xfId="0" applyNumberFormat="1" applyFont="1" applyFill="1" applyAlignment="1">
      <alignment vertical="center"/>
    </xf>
    <xf numFmtId="0" fontId="3" fillId="7" borderId="0" xfId="0" applyNumberFormat="1" applyFont="1" applyFill="1" applyAlignment="1">
      <alignment horizontal="center" vertical="center" wrapText="1"/>
    </xf>
    <xf numFmtId="0" fontId="3" fillId="7" borderId="0" xfId="0" applyNumberFormat="1" applyFont="1" applyFill="1" applyAlignment="1">
      <alignment horizontal="left" vertical="top"/>
    </xf>
    <xf numFmtId="0" fontId="2" fillId="7" borderId="0" xfId="0" applyNumberFormat="1" applyFont="1" applyFill="1" applyAlignment="1">
      <alignment vertical="center"/>
    </xf>
    <xf numFmtId="0" fontId="3" fillId="7" borderId="58" xfId="0" applyNumberFormat="1" applyFont="1" applyFill="1" applyBorder="1" applyAlignment="1">
      <alignment vertical="center"/>
    </xf>
    <xf numFmtId="0" fontId="3" fillId="7" borderId="60" xfId="0" applyNumberFormat="1" applyFont="1" applyFill="1" applyBorder="1" applyAlignment="1">
      <alignment vertical="center"/>
    </xf>
    <xf numFmtId="0" fontId="3"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wrapText="1"/>
    </xf>
    <xf numFmtId="0" fontId="9" fillId="2" borderId="58" xfId="0" applyNumberFormat="1" applyFont="1" applyFill="1" applyBorder="1" applyAlignment="1">
      <alignment horizontal="center" vertical="center" wrapText="1"/>
    </xf>
    <xf numFmtId="0" fontId="9" fillId="2" borderId="59"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9"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vertical="center" wrapText="1"/>
    </xf>
    <xf numFmtId="0" fontId="0" fillId="2" borderId="0" xfId="0" applyNumberFormat="1" applyFont="1" applyFill="1" applyAlignment="1">
      <alignment vertical="center" wrapText="1"/>
    </xf>
    <xf numFmtId="0" fontId="3" fillId="7" borderId="0" xfId="0" applyNumberFormat="1" applyFont="1" applyFill="1" applyAlignment="1">
      <alignment vertical="center" wrapText="1"/>
    </xf>
    <xf numFmtId="0" fontId="2" fillId="2" borderId="0" xfId="0" applyNumberFormat="1" applyFont="1" applyFill="1" applyAlignment="1">
      <alignment vertical="center" wrapText="1"/>
    </xf>
    <xf numFmtId="0" fontId="9" fillId="2" borderId="0" xfId="0" applyNumberFormat="1" applyFont="1" applyFill="1" applyAlignment="1">
      <alignment horizontal="center" vertical="center" wrapText="1"/>
    </xf>
    <xf numFmtId="0" fontId="15" fillId="2" borderId="58" xfId="0" applyNumberFormat="1" applyFont="1" applyFill="1" applyBorder="1" applyAlignment="1">
      <alignment horizontal="left" vertical="center"/>
    </xf>
    <xf numFmtId="0" fontId="9" fillId="7" borderId="0" xfId="0" applyNumberFormat="1" applyFont="1" applyFill="1" applyAlignment="1">
      <alignment vertical="center"/>
    </xf>
    <xf numFmtId="0" fontId="0" fillId="7" borderId="0" xfId="0" applyNumberFormat="1" applyFont="1" applyFill="1" applyAlignment="1">
      <alignment vertical="center"/>
    </xf>
    <xf numFmtId="0" fontId="15" fillId="7" borderId="0" xfId="0" applyNumberFormat="1" applyFont="1" applyFill="1" applyAlignment="1">
      <alignment vertical="center"/>
    </xf>
    <xf numFmtId="0" fontId="15" fillId="7" borderId="0" xfId="0" applyNumberFormat="1" applyFont="1" applyFill="1" applyAlignment="1">
      <alignment vertical="center" wrapText="1"/>
    </xf>
    <xf numFmtId="4" fontId="6" fillId="20" borderId="7" xfId="0" applyNumberFormat="1" applyFont="1" applyFill="1" applyBorder="1" applyAlignment="1">
      <alignment horizontal="right" vertical="center"/>
    </xf>
    <xf numFmtId="4" fontId="7" fillId="12" borderId="20" xfId="0" applyNumberFormat="1" applyFont="1" applyFill="1" applyBorder="1" applyAlignment="1" applyProtection="1">
      <alignment vertical="center" wrapText="1"/>
      <protection locked="0"/>
    </xf>
    <xf numFmtId="4" fontId="6" fillId="20" borderId="14" xfId="0" applyNumberFormat="1" applyFont="1" applyFill="1" applyBorder="1" applyAlignment="1">
      <alignment horizontal="right" vertical="center"/>
    </xf>
    <xf numFmtId="1" fontId="2" fillId="11" borderId="1" xfId="0" applyNumberFormat="1" applyFont="1" applyFill="1" applyBorder="1" applyAlignment="1" applyProtection="1">
      <alignment horizontal="left" vertical="center" wrapText="1" indent="1"/>
      <protection locked="0"/>
    </xf>
    <xf numFmtId="0" fontId="16" fillId="7" borderId="0" xfId="0" applyNumberFormat="1" applyFont="1" applyFill="1" applyAlignment="1">
      <alignment vertical="center"/>
    </xf>
    <xf numFmtId="0" fontId="15" fillId="7" borderId="61" xfId="0" applyNumberFormat="1" applyFont="1" applyFill="1" applyBorder="1" applyAlignment="1">
      <alignment vertical="center"/>
    </xf>
    <xf numFmtId="0" fontId="15" fillId="7" borderId="59" xfId="0" applyNumberFormat="1" applyFont="1" applyFill="1" applyBorder="1" applyAlignment="1">
      <alignment vertical="center"/>
    </xf>
    <xf numFmtId="0" fontId="9" fillId="7" borderId="61" xfId="0" applyNumberFormat="1" applyFont="1" applyFill="1" applyBorder="1" applyAlignment="1">
      <alignment vertical="center"/>
    </xf>
    <xf numFmtId="0" fontId="9" fillId="7" borderId="59" xfId="0" applyNumberFormat="1" applyFont="1" applyFill="1" applyBorder="1" applyAlignment="1">
      <alignment vertical="center"/>
    </xf>
    <xf numFmtId="0" fontId="15" fillId="3" borderId="0" xfId="0" applyNumberFormat="1" applyFont="1" applyFill="1" applyAlignment="1">
      <alignment horizontal="center" vertical="top"/>
    </xf>
    <xf numFmtId="0" fontId="15" fillId="22" borderId="0" xfId="0" applyNumberFormat="1" applyFont="1" applyFill="1" applyAlignment="1">
      <alignment horizontal="center" vertical="top"/>
    </xf>
    <xf numFmtId="49" fontId="2" fillId="0" borderId="7" xfId="0" applyNumberFormat="1" applyFont="1" applyBorder="1" applyAlignment="1">
      <alignment horizontal="left" vertical="center" wrapText="1" indent="1"/>
    </xf>
    <xf numFmtId="0" fontId="5" fillId="0" borderId="2" xfId="0" applyNumberFormat="1" applyFont="1" applyBorder="1" applyAlignment="1">
      <alignment horizontal="left" vertical="center" wrapText="1"/>
    </xf>
    <xf numFmtId="0" fontId="3" fillId="7" borderId="2" xfId="0" applyNumberFormat="1" applyFont="1" applyFill="1" applyBorder="1" applyAlignment="1">
      <alignment horizontal="center" vertical="center" wrapText="1"/>
    </xf>
    <xf numFmtId="0" fontId="3" fillId="7" borderId="12" xfId="0" applyNumberFormat="1" applyFont="1" applyFill="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7" borderId="14" xfId="0" applyNumberFormat="1" applyFont="1" applyFill="1" applyBorder="1" applyAlignment="1">
      <alignment horizontal="center" vertical="center" wrapText="1"/>
    </xf>
    <xf numFmtId="0" fontId="2" fillId="7" borderId="2" xfId="0" applyNumberFormat="1" applyFont="1" applyFill="1" applyBorder="1" applyAlignment="1">
      <alignment horizontal="center" vertical="center" wrapText="1"/>
    </xf>
    <xf numFmtId="0" fontId="3" fillId="7" borderId="40" xfId="0" applyNumberFormat="1" applyFont="1" applyFill="1" applyBorder="1" applyAlignment="1">
      <alignment horizontal="center" vertical="center" wrapText="1"/>
    </xf>
    <xf numFmtId="0" fontId="15" fillId="7" borderId="1" xfId="0" applyNumberFormat="1" applyFont="1" applyFill="1" applyBorder="1" applyAlignment="1">
      <alignment horizontal="center" vertical="center" wrapText="1"/>
    </xf>
    <xf numFmtId="0" fontId="5"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2" fillId="30" borderId="2" xfId="0" applyNumberFormat="1" applyFont="1" applyFill="1" applyBorder="1" applyAlignment="1" applyProtection="1">
      <alignment horizontal="left" vertical="center" wrapText="1" indent="1"/>
      <protection locked="0"/>
    </xf>
    <xf numFmtId="4" fontId="2" fillId="20" borderId="9" xfId="0" applyNumberFormat="1" applyFont="1" applyFill="1" applyBorder="1" applyAlignment="1">
      <alignment horizontal="right" vertical="center"/>
    </xf>
    <xf numFmtId="49" fontId="0" fillId="0" borderId="21" xfId="0" applyNumberFormat="1" applyFont="1" applyBorder="1">
      <alignment vertical="top"/>
    </xf>
    <xf numFmtId="0" fontId="0" fillId="33" borderId="0" xfId="0" applyNumberFormat="1" applyFont="1" applyFill="1" applyAlignment="1">
      <alignment horizontal="center" vertical="center"/>
    </xf>
    <xf numFmtId="49" fontId="2" fillId="0" borderId="0" xfId="0" applyNumberFormat="1" applyFont="1">
      <alignment vertical="top"/>
    </xf>
    <xf numFmtId="0" fontId="0" fillId="34" borderId="0" xfId="0" applyNumberFormat="1" applyFont="1" applyFill="1" applyAlignment="1">
      <alignment vertical="center"/>
    </xf>
    <xf numFmtId="0" fontId="0" fillId="33" borderId="0" xfId="0" applyNumberFormat="1" applyFont="1" applyFill="1" applyAlignment="1">
      <alignment horizontal="left" vertical="top"/>
    </xf>
    <xf numFmtId="0" fontId="9" fillId="0" borderId="0" xfId="0" applyNumberFormat="1" applyFont="1" applyAlignment="1">
      <alignment horizontal="center" vertical="center"/>
    </xf>
    <xf numFmtId="0" fontId="2"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9" fillId="0" borderId="0" xfId="0" applyNumberFormat="1" applyFont="1" applyAlignment="1">
      <alignment vertical="center"/>
    </xf>
    <xf numFmtId="49" fontId="3" fillId="11"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66" fontId="2" fillId="11" borderId="2" xfId="0" applyNumberFormat="1" applyFont="1" applyFill="1" applyBorder="1" applyAlignment="1">
      <alignment horizontal="left" vertical="center" wrapText="1" indent="1"/>
    </xf>
    <xf numFmtId="49" fontId="29" fillId="12" borderId="2" xfId="0" applyNumberFormat="1" applyFont="1" applyFill="1" applyBorder="1" applyAlignment="1">
      <alignment horizontal="left" vertical="center" wrapText="1" indent="1"/>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166" fontId="3" fillId="11" borderId="2" xfId="0" applyNumberFormat="1" applyFont="1" applyFill="1" applyBorder="1" applyAlignment="1" applyProtection="1">
      <alignment horizontal="left" vertical="center" wrapText="1" indent="1"/>
      <protection locked="0"/>
    </xf>
    <xf numFmtId="49" fontId="36" fillId="12" borderId="2" xfId="0" applyNumberFormat="1" applyFont="1" applyFill="1" applyBorder="1" applyAlignment="1" applyProtection="1">
      <alignment horizontal="left" vertical="center" wrapText="1" indent="1"/>
      <protection locked="0"/>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66" fontId="3" fillId="11" borderId="2" xfId="0" applyNumberFormat="1" applyFont="1" applyFill="1" applyBorder="1" applyAlignment="1">
      <alignment horizontal="left" vertical="center" wrapText="1" indent="1"/>
    </xf>
    <xf numFmtId="49" fontId="66" fillId="12" borderId="2"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3" fillId="11" borderId="2" xfId="3" applyNumberFormat="1" applyFont="1" applyFill="1" applyBorder="1" applyProtection="1">
      <alignment horizontal="left" vertical="center" wrapText="1" indent="1"/>
      <protection locked="0"/>
    </xf>
    <xf numFmtId="0" fontId="2" fillId="11" borderId="2" xfId="4" applyFont="1" applyFill="1" applyBorder="1" applyProtection="1">
      <alignment horizontal="left" vertical="center" wrapText="1" indent="1"/>
      <protection locked="0"/>
    </xf>
    <xf numFmtId="0" fontId="3" fillId="11" borderId="2" xfId="5" applyFont="1" applyFill="1" applyBorder="1" applyProtection="1">
      <alignment horizontal="left" vertical="center" wrapText="1" indent="1"/>
      <protection locked="0"/>
    </xf>
    <xf numFmtId="0" fontId="2" fillId="12" borderId="2" xfId="6" applyFont="1" applyFill="1" applyBorder="1" applyProtection="1">
      <alignment horizontal="left" vertical="center" wrapText="1" indent="1"/>
      <protection locked="0"/>
    </xf>
    <xf numFmtId="166" fontId="3" fillId="12" borderId="2" xfId="7" applyNumberFormat="1" applyFont="1" applyFill="1" applyBorder="1" applyProtection="1">
      <alignment horizontal="left" vertical="center" wrapText="1" indent="1"/>
      <protection locked="0"/>
    </xf>
    <xf numFmtId="0" fontId="2" fillId="11" borderId="1" xfId="8" applyFont="1" applyFill="1" applyBorder="1" applyProtection="1">
      <alignment horizontal="left" vertical="center" wrapText="1" indent="1"/>
      <protection locked="0"/>
    </xf>
    <xf numFmtId="1" fontId="2" fillId="11" borderId="1" xfId="9" applyNumberFormat="1" applyFont="1" applyFill="1" applyBorder="1" applyProtection="1">
      <alignment horizontal="left" vertical="center" wrapText="1" indent="1"/>
      <protection locked="0"/>
    </xf>
    <xf numFmtId="49" fontId="2" fillId="11" borderId="2" xfId="0" applyNumberFormat="1" applyFont="1" applyFill="1" applyBorder="1" applyAlignment="1">
      <alignment horizontal="right" vertical="center" wrapText="1" indent="1"/>
    </xf>
    <xf numFmtId="49" fontId="2" fillId="12" borderId="3" xfId="10"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2" fillId="12" borderId="1" xfId="11" applyNumberFormat="1" applyFont="1" applyFill="1" applyBorder="1" applyProtection="1">
      <alignment horizontal="left" vertical="center" wrapText="1"/>
      <protection locked="0"/>
    </xf>
    <xf numFmtId="0" fontId="0" fillId="0" borderId="0" xfId="0" applyNumberFormat="1" applyFont="1" applyAlignment="1"/>
    <xf numFmtId="4" fontId="2" fillId="12" borderId="2" xfId="0" applyNumberFormat="1" applyFont="1" applyFill="1" applyBorder="1" applyAlignment="1">
      <alignment horizontal="right" vertical="center"/>
    </xf>
    <xf numFmtId="4" fontId="2" fillId="12" borderId="4" xfId="0" applyNumberFormat="1" applyFont="1" applyFill="1" applyBorder="1" applyAlignment="1">
      <alignment horizontal="right" vertical="center"/>
    </xf>
    <xf numFmtId="4" fontId="2" fillId="12" borderId="1" xfId="0" applyNumberFormat="1" applyFont="1" applyFill="1" applyBorder="1" applyAlignment="1">
      <alignment horizontal="right" vertical="center"/>
    </xf>
    <xf numFmtId="4" fontId="2" fillId="12" borderId="6" xfId="0" applyNumberFormat="1" applyFont="1" applyFill="1" applyBorder="1" applyAlignment="1">
      <alignment horizontal="right" vertical="center"/>
    </xf>
    <xf numFmtId="4" fontId="2" fillId="12" borderId="7" xfId="0" applyNumberFormat="1" applyFont="1" applyFill="1" applyBorder="1" applyAlignment="1">
      <alignment horizontal="right" vertical="center"/>
    </xf>
    <xf numFmtId="0" fontId="0" fillId="0" borderId="0" xfId="0" applyNumberFormat="1" applyFont="1" applyAlignment="1"/>
    <xf numFmtId="0" fontId="0" fillId="0" borderId="0" xfId="0" applyNumberFormat="1" applyFont="1" applyAlignment="1"/>
    <xf numFmtId="4" fontId="2" fillId="12" borderId="2" xfId="12" applyNumberFormat="1" applyFont="1" applyFill="1" applyBorder="1" applyProtection="1">
      <alignment horizontal="right" vertical="center"/>
      <protection locked="0"/>
    </xf>
    <xf numFmtId="0" fontId="2" fillId="12" borderId="1" xfId="13"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4" xfId="14" applyNumberFormat="1" applyFont="1" applyFill="1" applyBorder="1" applyProtection="1">
      <alignment horizontal="right" vertical="center"/>
      <protection locked="0"/>
    </xf>
    <xf numFmtId="0" fontId="0" fillId="0" borderId="0" xfId="0" applyNumberFormat="1" applyFont="1" applyAlignment="1"/>
    <xf numFmtId="4" fontId="2" fillId="12" borderId="1" xfId="15"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2" fillId="12" borderId="5"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6" xfId="17" applyNumberFormat="1" applyFont="1" applyFill="1" applyBorder="1" applyProtection="1">
      <alignment horizontal="right" vertical="center"/>
      <protection locked="0"/>
    </xf>
    <xf numFmtId="0" fontId="0" fillId="0" borderId="0" xfId="0" applyNumberFormat="1" applyFont="1" applyAlignment="1"/>
    <xf numFmtId="4" fontId="2" fillId="12" borderId="7"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8" xfId="19" applyNumberFormat="1" applyFont="1" applyFill="1" applyBorder="1" applyProtection="1">
      <alignment horizontal="right" vertical="center"/>
      <protection locked="0"/>
    </xf>
    <xf numFmtId="4" fontId="3" fillId="12" borderId="10" xfId="0" applyNumberFormat="1" applyFont="1" applyFill="1" applyBorder="1" applyAlignment="1">
      <alignment horizontal="right" vertical="center"/>
    </xf>
    <xf numFmtId="4" fontId="3" fillId="12" borderId="2" xfId="0" applyNumberFormat="1" applyFont="1" applyFill="1" applyBorder="1" applyAlignment="1">
      <alignment horizontal="right" vertical="center"/>
    </xf>
    <xf numFmtId="2" fontId="3" fillId="12" borderId="9" xfId="0" applyNumberFormat="1" applyFont="1" applyFill="1" applyBorder="1" applyAlignment="1">
      <alignment horizontal="right" vertical="center"/>
    </xf>
    <xf numFmtId="4" fontId="3" fillId="12" borderId="2" xfId="20" applyNumberFormat="1" applyFont="1" applyFill="1" applyBorder="1" applyProtection="1">
      <alignment horizontal="right" vertical="center"/>
      <protection locked="0"/>
    </xf>
    <xf numFmtId="4" fontId="3" fillId="12" borderId="10" xfId="24" applyNumberFormat="1" applyFont="1" applyFill="1" applyBorder="1" applyProtection="1">
      <alignment horizontal="right" vertical="center"/>
      <protection locked="0"/>
    </xf>
    <xf numFmtId="2" fontId="3" fillId="12" borderId="2" xfId="0" applyNumberFormat="1" applyFont="1" applyFill="1" applyBorder="1" applyAlignment="1">
      <alignment horizontal="right" vertical="center"/>
    </xf>
    <xf numFmtId="2" fontId="3" fillId="12" borderId="10" xfId="0" applyNumberFormat="1" applyFont="1" applyFill="1" applyBorder="1" applyAlignment="1">
      <alignment horizontal="right" vertical="center"/>
    </xf>
    <xf numFmtId="2" fontId="0" fillId="12" borderId="2" xfId="0" applyNumberFormat="1" applyFont="1" applyFill="1" applyBorder="1" applyAlignment="1">
      <alignment horizontal="right" vertical="center"/>
    </xf>
    <xf numFmtId="2" fontId="3" fillId="12" borderId="2" xfId="25" applyNumberFormat="1" applyFont="1" applyFill="1" applyBorder="1" applyProtection="1">
      <alignment horizontal="right" vertical="center"/>
      <protection locked="0"/>
    </xf>
    <xf numFmtId="2" fontId="0" fillId="12" borderId="2" xfId="26" applyNumberFormat="1" applyFont="1" applyFill="1" applyBorder="1" applyProtection="1">
      <alignment horizontal="right" vertical="center"/>
      <protection locked="0"/>
    </xf>
    <xf numFmtId="4" fontId="2" fillId="12" borderId="1" xfId="0" applyNumberFormat="1" applyFont="1" applyFill="1" applyBorder="1" applyAlignment="1">
      <alignment horizontal="right" vertical="center" wrapText="1"/>
    </xf>
    <xf numFmtId="4" fontId="2" fillId="12" borderId="5" xfId="0" applyNumberFormat="1" applyFont="1" applyFill="1" applyBorder="1" applyAlignment="1">
      <alignment horizontal="right" vertical="center" wrapText="1"/>
    </xf>
    <xf numFmtId="4" fontId="2" fillId="12" borderId="7" xfId="0" applyNumberFormat="1" applyFont="1" applyFill="1" applyBorder="1" applyAlignment="1">
      <alignment horizontal="right" vertical="center" wrapText="1"/>
    </xf>
    <xf numFmtId="4" fontId="2" fillId="12" borderId="10" xfId="0" applyNumberFormat="1" applyFont="1" applyFill="1" applyBorder="1" applyAlignment="1">
      <alignment horizontal="right" vertical="center" wrapText="1"/>
    </xf>
    <xf numFmtId="4" fontId="2" fillId="12" borderId="11" xfId="0" applyNumberFormat="1" applyFont="1" applyFill="1" applyBorder="1" applyAlignment="1">
      <alignment horizontal="right" vertical="center" wrapText="1"/>
    </xf>
    <xf numFmtId="4" fontId="2" fillId="12" borderId="12" xfId="0" applyNumberFormat="1" applyFont="1" applyFill="1" applyBorder="1" applyAlignment="1">
      <alignment horizontal="right" vertical="center" wrapText="1"/>
    </xf>
    <xf numFmtId="4" fontId="2" fillId="12" borderId="13" xfId="0" applyNumberFormat="1" applyFont="1" applyFill="1" applyBorder="1" applyAlignment="1">
      <alignment horizontal="right" vertical="center" wrapText="1"/>
    </xf>
    <xf numFmtId="0" fontId="3" fillId="12" borderId="2" xfId="27" applyFont="1" applyFill="1" applyBorder="1" applyProtection="1">
      <alignment horizontal="left" vertical="center" wrapText="1"/>
      <protection locked="0"/>
    </xf>
    <xf numFmtId="4" fontId="2" fillId="12" borderId="1" xfId="28" applyNumberFormat="1" applyFont="1" applyFill="1" applyBorder="1" applyProtection="1">
      <alignment horizontal="right" vertical="center" wrapText="1"/>
      <protection locked="0"/>
    </xf>
    <xf numFmtId="4" fontId="2" fillId="12" borderId="5" xfId="29" applyNumberFormat="1" applyFont="1" applyFill="1" applyBorder="1" applyProtection="1">
      <alignment horizontal="right" vertical="center" wrapText="1"/>
      <protection locked="0"/>
    </xf>
    <xf numFmtId="4" fontId="2" fillId="12" borderId="7" xfId="30" applyNumberFormat="1" applyFont="1" applyFill="1" applyBorder="1" applyProtection="1">
      <alignment horizontal="right" vertical="center" wrapText="1"/>
      <protection locked="0"/>
    </xf>
    <xf numFmtId="4" fontId="2" fillId="12" borderId="10" xfId="31" applyNumberFormat="1" applyFont="1" applyFill="1" applyBorder="1" applyProtection="1">
      <alignment horizontal="right" vertical="center" wrapText="1"/>
      <protection locked="0"/>
    </xf>
    <xf numFmtId="4" fontId="2" fillId="12" borderId="11" xfId="32" applyNumberFormat="1" applyFont="1" applyFill="1" applyBorder="1" applyProtection="1">
      <alignment horizontal="right" vertical="center" wrapText="1"/>
      <protection locked="0"/>
    </xf>
    <xf numFmtId="0" fontId="3" fillId="12" borderId="9" xfId="22" applyFont="1" applyFill="1" applyBorder="1" applyProtection="1">
      <alignment horizontal="left" vertical="center" wrapText="1"/>
      <protection locked="0"/>
    </xf>
    <xf numFmtId="0" fontId="3" fillId="12" borderId="1" xfId="33" applyFont="1" applyFill="1" applyBorder="1" applyProtection="1">
      <alignment horizontal="left" vertical="center" wrapText="1"/>
      <protection locked="0"/>
    </xf>
    <xf numFmtId="0" fontId="3" fillId="12" borderId="10" xfId="34" applyFont="1" applyFill="1" applyBorder="1" applyProtection="1">
      <alignment horizontal="left" vertical="center" wrapText="1"/>
      <protection locked="0"/>
    </xf>
    <xf numFmtId="4" fontId="2" fillId="12" borderId="12" xfId="35" applyNumberFormat="1" applyFont="1" applyFill="1" applyBorder="1" applyProtection="1">
      <alignment horizontal="right" vertical="center" wrapText="1"/>
      <protection locked="0"/>
    </xf>
    <xf numFmtId="4" fontId="2" fillId="12" borderId="13" xfId="36" applyNumberFormat="1" applyFont="1" applyFill="1" applyBorder="1" applyProtection="1">
      <alignment horizontal="right" vertical="center" wrapText="1"/>
      <protection locked="0"/>
    </xf>
    <xf numFmtId="4" fontId="2" fillId="12" borderId="2" xfId="0" applyNumberFormat="1" applyFont="1" applyFill="1" applyBorder="1" applyAlignment="1">
      <alignment horizontal="right" vertical="center" wrapText="1"/>
    </xf>
    <xf numFmtId="49" fontId="0" fillId="0" borderId="0" xfId="0" applyNumberFormat="1" applyFont="1">
      <alignment vertical="top"/>
    </xf>
    <xf numFmtId="4" fontId="2" fillId="12" borderId="1" xfId="0" applyNumberFormat="1" applyFont="1" applyFill="1" applyBorder="1" applyAlignment="1">
      <alignment vertical="center"/>
    </xf>
    <xf numFmtId="4" fontId="2" fillId="12" borderId="7" xfId="0" applyNumberFormat="1" applyFont="1" applyFill="1" applyBorder="1" applyAlignment="1">
      <alignment vertical="center"/>
    </xf>
    <xf numFmtId="9" fontId="2" fillId="12" borderId="7" xfId="0" applyNumberFormat="1" applyFont="1" applyFill="1" applyBorder="1" applyAlignment="1">
      <alignment vertical="center"/>
    </xf>
    <xf numFmtId="10" fontId="2" fillId="12" borderId="1" xfId="0" applyNumberFormat="1" applyFont="1" applyFill="1" applyBorder="1" applyAlignment="1">
      <alignment vertical="center"/>
    </xf>
    <xf numFmtId="9" fontId="2" fillId="12" borderId="1" xfId="0" applyNumberFormat="1" applyFont="1" applyFill="1" applyBorder="1" applyAlignment="1">
      <alignment vertical="center"/>
    </xf>
    <xf numFmtId="4" fontId="5" fillId="12" borderId="7" xfId="0" applyNumberFormat="1" applyFont="1" applyFill="1" applyBorder="1" applyAlignment="1">
      <alignment vertical="center"/>
    </xf>
    <xf numFmtId="4" fontId="2" fillId="12" borderId="1" xfId="41" applyNumberFormat="1" applyFont="1" applyFill="1" applyBorder="1" applyProtection="1">
      <alignment vertical="center"/>
      <protection locked="0"/>
    </xf>
    <xf numFmtId="4" fontId="2" fillId="12" borderId="7" xfId="40" applyNumberFormat="1" applyFont="1" applyFill="1" applyBorder="1" applyProtection="1">
      <alignment vertical="center"/>
      <protection locked="0"/>
    </xf>
    <xf numFmtId="49" fontId="4" fillId="12" borderId="7" xfId="42" applyNumberFormat="1" applyFont="1" applyFill="1" applyBorder="1" applyProtection="1">
      <alignment horizontal="left" vertical="center" wrapText="1" indent="1"/>
      <protection locked="0"/>
    </xf>
    <xf numFmtId="49" fontId="4" fillId="12" borderId="1" xfId="43" applyNumberFormat="1" applyFont="1" applyFill="1" applyBorder="1" applyProtection="1">
      <alignment horizontal="left" vertical="center" wrapText="1" indent="1"/>
      <protection locked="0"/>
    </xf>
    <xf numFmtId="9" fontId="2" fillId="12" borderId="7" xfId="44" applyNumberFormat="1" applyFont="1" applyFill="1" applyBorder="1" applyProtection="1">
      <alignment vertical="center"/>
      <protection locked="0"/>
    </xf>
    <xf numFmtId="10" fontId="2" fillId="12" borderId="7" xfId="46" applyNumberFormat="1" applyFont="1" applyFill="1" applyBorder="1" applyProtection="1">
      <alignment vertical="center"/>
      <protection locked="0"/>
    </xf>
    <xf numFmtId="10" fontId="2" fillId="12" borderId="1" xfId="47" applyNumberFormat="1" applyFont="1" applyFill="1" applyBorder="1" applyProtection="1">
      <alignment vertical="center"/>
      <protection locked="0"/>
    </xf>
    <xf numFmtId="9" fontId="2" fillId="12" borderId="1" xfId="48" applyNumberFormat="1" applyFont="1" applyFill="1" applyBorder="1" applyProtection="1">
      <alignment vertical="center"/>
      <protection locked="0"/>
    </xf>
    <xf numFmtId="4" fontId="5" fillId="12" borderId="7" xfId="50" applyNumberFormat="1" applyFont="1" applyFill="1" applyBorder="1" applyProtection="1">
      <alignment vertical="center"/>
      <protection locked="0"/>
    </xf>
    <xf numFmtId="4" fontId="5" fillId="12" borderId="10" xfId="0" applyNumberFormat="1" applyFont="1" applyFill="1" applyBorder="1" applyAlignment="1">
      <alignment horizontal="right" vertical="center"/>
    </xf>
    <xf numFmtId="4" fontId="3" fillId="12" borderId="1" xfId="0" applyNumberFormat="1" applyFont="1" applyFill="1" applyBorder="1" applyAlignment="1">
      <alignment horizontal="right" vertical="center"/>
    </xf>
    <xf numFmtId="165" fontId="2" fillId="12" borderId="2" xfId="0" applyNumberFormat="1" applyFont="1" applyFill="1" applyBorder="1" applyAlignment="1">
      <alignment horizontal="right" vertical="center"/>
    </xf>
    <xf numFmtId="4" fontId="2" fillId="12" borderId="9" xfId="0" applyNumberFormat="1" applyFont="1" applyFill="1" applyBorder="1" applyAlignment="1">
      <alignment horizontal="right" vertical="center"/>
    </xf>
    <xf numFmtId="4" fontId="5" fillId="12" borderId="1" xfId="0" applyNumberFormat="1" applyFont="1" applyFill="1" applyBorder="1" applyAlignment="1">
      <alignment horizontal="right" vertical="center"/>
    </xf>
    <xf numFmtId="4" fontId="2" fillId="12" borderId="8" xfId="0" applyNumberFormat="1" applyFont="1" applyFill="1" applyBorder="1" applyAlignment="1">
      <alignment horizontal="right" vertical="center"/>
    </xf>
    <xf numFmtId="4" fontId="5" fillId="12" borderId="10" xfId="51" applyNumberFormat="1" applyFont="1" applyFill="1" applyBorder="1" applyProtection="1">
      <alignment horizontal="right" vertical="center"/>
      <protection locked="0"/>
    </xf>
    <xf numFmtId="4" fontId="3" fillId="12" borderId="1" xfId="52" applyNumberFormat="1" applyFont="1" applyFill="1" applyBorder="1" applyProtection="1">
      <alignment horizontal="right" vertical="center"/>
      <protection locked="0"/>
    </xf>
    <xf numFmtId="165" fontId="2" fillId="12" borderId="2" xfId="53" applyNumberFormat="1" applyFont="1" applyFill="1" applyBorder="1" applyProtection="1">
      <alignment horizontal="right" vertical="center"/>
      <protection locked="0"/>
    </xf>
    <xf numFmtId="0" fontId="2" fillId="11" borderId="2" xfId="54" applyFont="1" applyFill="1" applyBorder="1" applyProtection="1">
      <alignment horizontal="left" vertical="center" wrapText="1"/>
      <protection locked="0"/>
    </xf>
    <xf numFmtId="4" fontId="2" fillId="12" borderId="9" xfId="55" applyNumberFormat="1" applyFont="1" applyFill="1" applyBorder="1" applyProtection="1">
      <alignment horizontal="right" vertical="center"/>
      <protection locked="0"/>
    </xf>
    <xf numFmtId="4" fontId="5" fillId="12" borderId="1" xfId="56" applyNumberFormat="1" applyFont="1" applyFill="1" applyBorder="1" applyProtection="1">
      <alignment horizontal="right" vertical="center"/>
      <protection locked="0"/>
    </xf>
    <xf numFmtId="4" fontId="2" fillId="12" borderId="2" xfId="39" applyNumberFormat="1" applyFont="1" applyFill="1" applyBorder="1" applyProtection="1">
      <alignment horizontal="right" vertical="center" wrapText="1"/>
      <protection locked="0"/>
    </xf>
    <xf numFmtId="0" fontId="2" fillId="12" borderId="2" xfId="59" applyFont="1" applyFill="1" applyBorder="1" applyProtection="1">
      <alignment horizontal="left" vertical="center" wrapText="1"/>
      <protection locked="0"/>
    </xf>
    <xf numFmtId="0" fontId="0" fillId="0" borderId="0" xfId="0" applyNumberFormat="1" applyFont="1" applyAlignment="1"/>
    <xf numFmtId="0" fontId="2" fillId="11" borderId="1" xfId="60" applyFont="1" applyFill="1" applyBorder="1" applyProtection="1">
      <alignment horizontal="center" vertical="center"/>
      <protection locked="0"/>
    </xf>
    <xf numFmtId="4" fontId="3" fillId="12" borderId="1" xfId="61" applyNumberFormat="1" applyFont="1" applyFill="1" applyBorder="1" applyProtection="1">
      <alignment horizontal="right" vertical="center" wrapText="1"/>
      <protection locked="0"/>
    </xf>
    <xf numFmtId="4" fontId="3" fillId="12" borderId="1" xfId="0" applyNumberFormat="1" applyFont="1" applyFill="1" applyBorder="1" applyAlignment="1">
      <alignment horizontal="right" vertical="center" wrapText="1"/>
    </xf>
    <xf numFmtId="4" fontId="3" fillId="12" borderId="1" xfId="0" applyNumberFormat="1" applyFont="1" applyFill="1" applyBorder="1" applyAlignment="1">
      <alignment horizontal="right"/>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2" borderId="1" xfId="62"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9" fontId="2" fillId="11" borderId="1" xfId="63" applyNumberFormat="1" applyFont="1" applyFill="1" applyBorder="1" applyProtection="1">
      <alignment horizontal="left" vertical="center" wrapText="1" indent="1"/>
      <protection locked="0"/>
    </xf>
    <xf numFmtId="4" fontId="0" fillId="12" borderId="1" xfId="0" applyNumberFormat="1" applyFont="1" applyFill="1" applyBorder="1" applyAlignment="1">
      <alignment horizontal="right" vertical="center" wrapText="1"/>
    </xf>
    <xf numFmtId="165" fontId="0" fillId="12" borderId="1" xfId="0" applyNumberFormat="1" applyFont="1" applyFill="1" applyBorder="1" applyAlignment="1">
      <alignment horizontal="right" vertical="center" wrapText="1"/>
    </xf>
    <xf numFmtId="0" fontId="13" fillId="0" borderId="0" xfId="0" applyNumberFormat="1" applyFont="1" applyAlignment="1"/>
    <xf numFmtId="4" fontId="0" fillId="12" borderId="1" xfId="64" applyNumberFormat="1" applyFont="1" applyFill="1" applyBorder="1" applyProtection="1">
      <alignment horizontal="right" vertical="center" wrapText="1"/>
      <protection locked="0"/>
    </xf>
    <xf numFmtId="165" fontId="0" fillId="12" borderId="1" xfId="65" applyNumberFormat="1" applyFont="1" applyFill="1" applyBorder="1" applyProtection="1">
      <alignment horizontal="right" vertical="center" wrapText="1"/>
      <protection locked="0"/>
    </xf>
    <xf numFmtId="0" fontId="13" fillId="0" borderId="0" xfId="0" applyNumberFormat="1" applyFont="1" applyAlignment="1"/>
    <xf numFmtId="0" fontId="67" fillId="0" borderId="0" xfId="0" applyNumberFormat="1" applyFont="1" applyAlignment="1">
      <alignment vertical="center" wrapText="1"/>
    </xf>
    <xf numFmtId="4" fontId="6" fillId="12" borderId="1" xfId="66" applyNumberFormat="1" applyFont="1" applyFill="1" applyBorder="1" applyProtection="1">
      <alignment horizontal="right" vertical="center"/>
      <protection locked="0"/>
    </xf>
    <xf numFmtId="165" fontId="3" fillId="12" borderId="1" xfId="67"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9" fontId="2" fillId="11" borderId="5" xfId="68" applyNumberFormat="1" applyFont="1" applyFill="1" applyBorder="1" applyProtection="1">
      <alignment horizontal="left" vertical="center" wrapText="1" indent="1"/>
      <protection locked="0"/>
    </xf>
    <xf numFmtId="4" fontId="3" fillId="12" borderId="5" xfId="69" applyNumberFormat="1" applyFont="1" applyFill="1" applyBorder="1" applyProtection="1">
      <alignment horizontal="right" vertical="center"/>
      <protection locked="0"/>
    </xf>
    <xf numFmtId="4" fontId="3" fillId="12" borderId="8" xfId="70" applyNumberFormat="1" applyFont="1" applyFill="1" applyBorder="1" applyProtection="1">
      <alignment horizontal="right" vertical="center"/>
      <protection locked="0"/>
    </xf>
    <xf numFmtId="2" fontId="4" fillId="12" borderId="1" xfId="0" applyNumberFormat="1" applyFont="1" applyFill="1" applyBorder="1" applyAlignment="1">
      <alignment vertical="center" wrapText="1"/>
    </xf>
    <xf numFmtId="2" fontId="3" fillId="12" borderId="1" xfId="0" applyNumberFormat="1" applyFont="1" applyFill="1" applyBorder="1" applyAlignment="1">
      <alignment horizontal="right" vertical="center"/>
    </xf>
    <xf numFmtId="2" fontId="4" fillId="12" borderId="1" xfId="71"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2" fontId="4" fillId="12" borderId="5" xfId="72" applyNumberFormat="1" applyFont="1" applyFill="1" applyBorder="1" applyProtection="1">
      <alignment vertical="center" wrapText="1"/>
      <protection locked="0"/>
    </xf>
    <xf numFmtId="0" fontId="60" fillId="14" borderId="0" xfId="0" applyNumberFormat="1" applyFont="1" applyFill="1" applyAlignment="1">
      <alignment vertical="center"/>
    </xf>
    <xf numFmtId="2" fontId="3" fillId="12" borderId="1" xfId="74" applyNumberFormat="1" applyFont="1" applyFill="1" applyBorder="1" applyProtection="1">
      <alignment horizontal="right" vertical="center"/>
      <protection locked="0"/>
    </xf>
    <xf numFmtId="4" fontId="4" fillId="12" borderId="1" xfId="0" applyNumberFormat="1" applyFont="1" applyFill="1" applyBorder="1" applyAlignment="1">
      <alignment vertical="center" wrapText="1"/>
    </xf>
    <xf numFmtId="4" fontId="4" fillId="12" borderId="1" xfId="75"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0" fontId="67" fillId="0" borderId="0" xfId="0" applyNumberFormat="1" applyFont="1" applyAlignment="1">
      <alignment vertical="center"/>
    </xf>
    <xf numFmtId="4" fontId="7" fillId="12" borderId="1" xfId="76" applyNumberFormat="1" applyFont="1" applyFill="1" applyBorder="1" applyProtection="1">
      <alignment vertical="center" wrapText="1"/>
      <protection locked="0"/>
    </xf>
    <xf numFmtId="2" fontId="2" fillId="12" borderId="1" xfId="0" applyNumberFormat="1" applyFont="1" applyFill="1" applyBorder="1" applyAlignment="1">
      <alignment horizontal="right" vertical="center" wrapText="1"/>
    </xf>
    <xf numFmtId="2" fontId="2" fillId="12" borderId="1" xfId="0" applyNumberFormat="1" applyFont="1" applyFill="1" applyBorder="1" applyAlignment="1">
      <alignment horizontal="center" vertical="center" wrapText="1"/>
    </xf>
    <xf numFmtId="9" fontId="2" fillId="12" borderId="1" xfId="77" applyNumberFormat="1" applyFont="1" applyFill="1" applyBorder="1" applyProtection="1">
      <alignment horizontal="right" vertical="center" wrapText="1"/>
      <protection locked="0"/>
    </xf>
    <xf numFmtId="2" fontId="2" fillId="12" borderId="1" xfId="79" applyNumberFormat="1" applyFont="1" applyFill="1" applyBorder="1" applyProtection="1">
      <alignment horizontal="right" vertical="center" wrapText="1"/>
      <protection locked="0"/>
    </xf>
    <xf numFmtId="2" fontId="2" fillId="12" borderId="1" xfId="80" applyNumberFormat="1" applyFont="1" applyFill="1" applyBorder="1" applyProtection="1">
      <alignment horizontal="center" vertical="center" wrapText="1"/>
      <protection locked="0"/>
    </xf>
    <xf numFmtId="4" fontId="4" fillId="12" borderId="8" xfId="0" applyNumberFormat="1" applyFont="1" applyFill="1" applyBorder="1" applyAlignment="1">
      <alignment vertical="center" wrapText="1"/>
    </xf>
    <xf numFmtId="4" fontId="3" fillId="12" borderId="7" xfId="0" applyNumberFormat="1" applyFont="1" applyFill="1" applyBorder="1" applyAlignment="1">
      <alignment horizontal="right" vertical="center"/>
    </xf>
    <xf numFmtId="0" fontId="67" fillId="0" borderId="0" xfId="0" applyNumberFormat="1" applyFont="1" applyAlignment="1">
      <alignment vertical="center"/>
    </xf>
    <xf numFmtId="0" fontId="67" fillId="0" borderId="0" xfId="0" applyNumberFormat="1" applyFont="1" applyAlignment="1">
      <alignment vertical="center"/>
    </xf>
    <xf numFmtId="4" fontId="4" fillId="12" borderId="5" xfId="84" applyNumberFormat="1" applyFont="1" applyFill="1" applyBorder="1" applyProtection="1">
      <alignment vertical="center" wrapText="1"/>
      <protection locked="0"/>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4" fontId="4" fillId="12" borderId="8" xfId="89" applyNumberFormat="1" applyFont="1" applyFill="1" applyBorder="1" applyProtection="1">
      <alignment vertical="center" wrapText="1"/>
      <protection locked="0"/>
    </xf>
    <xf numFmtId="4" fontId="3" fillId="12" borderId="14" xfId="90" applyNumberFormat="1" applyFont="1" applyFill="1" applyBorder="1" applyProtection="1">
      <alignment horizontal="right" vertical="center"/>
      <protection locked="0"/>
    </xf>
    <xf numFmtId="4" fontId="3" fillId="12" borderId="7" xfId="91" applyNumberFormat="1" applyFont="1" applyFill="1" applyBorder="1" applyProtection="1">
      <alignment horizontal="right" vertical="center"/>
      <protection locked="0"/>
    </xf>
    <xf numFmtId="0" fontId="67" fillId="0" borderId="0" xfId="0" applyNumberFormat="1" applyFont="1" applyAlignment="1">
      <alignment vertical="center"/>
    </xf>
    <xf numFmtId="0" fontId="67" fillId="0" borderId="0" xfId="0" applyNumberFormat="1" applyFont="1" applyAlignment="1">
      <alignment vertical="center"/>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0" fontId="2" fillId="12" borderId="1" xfId="92" applyFont="1" applyFill="1" applyBorder="1" applyProtection="1">
      <alignment horizontal="left" vertical="center"/>
      <protection locked="0"/>
    </xf>
    <xf numFmtId="10" fontId="2" fillId="12" borderId="1" xfId="93" applyNumberFormat="1" applyFont="1" applyFill="1" applyBorder="1" applyProtection="1">
      <alignment horizontal="right" vertical="center"/>
      <protection locked="0"/>
    </xf>
    <xf numFmtId="0" fontId="2" fillId="12" borderId="5" xfId="94" applyFont="1" applyFill="1" applyBorder="1" applyProtection="1">
      <alignment horizontal="left" vertical="center"/>
      <protection locked="0"/>
    </xf>
    <xf numFmtId="0" fontId="2" fillId="12" borderId="5" xfId="95" applyFont="1" applyFill="1" applyBorder="1" applyProtection="1">
      <alignment horizontal="left" vertical="center" wrapText="1"/>
      <protection locked="0"/>
    </xf>
    <xf numFmtId="4" fontId="2" fillId="12" borderId="18" xfId="97" applyNumberFormat="1" applyFont="1" applyFill="1" applyBorder="1" applyProtection="1">
      <alignment horizontal="right" vertical="center"/>
      <protection locked="0"/>
    </xf>
    <xf numFmtId="4" fontId="3" fillId="12" borderId="5" xfId="0" applyNumberFormat="1" applyFont="1" applyFill="1" applyBorder="1" applyAlignment="1">
      <alignment horizontal="right" vertical="center"/>
    </xf>
    <xf numFmtId="0" fontId="67" fillId="0" borderId="0" xfId="0" applyNumberFormat="1" applyFont="1" applyAlignment="1">
      <alignment vertical="center"/>
    </xf>
    <xf numFmtId="0" fontId="67" fillId="0" borderId="0" xfId="0" applyNumberFormat="1" applyFont="1" applyAlignment="1">
      <alignment vertical="center"/>
    </xf>
    <xf numFmtId="0" fontId="13" fillId="0" borderId="0" xfId="0" applyNumberFormat="1" applyFont="1" applyAlignment="1"/>
    <xf numFmtId="4" fontId="6" fillId="12" borderId="2" xfId="0" applyNumberFormat="1" applyFont="1" applyFill="1" applyBorder="1" applyAlignment="1">
      <alignment horizontal="right" vertical="center"/>
    </xf>
    <xf numFmtId="165" fontId="3" fillId="12" borderId="2" xfId="0" applyNumberFormat="1" applyFont="1" applyFill="1" applyBorder="1" applyAlignment="1">
      <alignment horizontal="right" vertical="center"/>
    </xf>
    <xf numFmtId="165" fontId="3" fillId="12" borderId="1" xfId="0" applyNumberFormat="1" applyFont="1" applyFill="1" applyBorder="1" applyAlignment="1">
      <alignment horizontal="right" vertical="center"/>
    </xf>
    <xf numFmtId="0" fontId="13" fillId="0" borderId="0" xfId="0" applyNumberFormat="1" applyFont="1" applyAlignment="1">
      <alignment vertical="center"/>
    </xf>
    <xf numFmtId="4" fontId="6" fillId="12" borderId="2" xfId="99" applyNumberFormat="1" applyFont="1" applyFill="1" applyBorder="1" applyProtection="1">
      <alignment horizontal="right" vertical="center"/>
      <protection locked="0"/>
    </xf>
    <xf numFmtId="0" fontId="13" fillId="0" borderId="0" xfId="0" applyNumberFormat="1" applyFont="1" applyAlignment="1">
      <alignment vertical="center"/>
    </xf>
    <xf numFmtId="165" fontId="3" fillId="12" borderId="2" xfId="100" applyNumberFormat="1" applyFont="1" applyFill="1" applyBorder="1" applyProtection="1">
      <alignment horizontal="right" vertical="center"/>
      <protection locked="0"/>
    </xf>
    <xf numFmtId="0" fontId="13" fillId="0" borderId="0" xfId="0" applyNumberFormat="1" applyFont="1" applyAlignment="1">
      <alignment vertical="center"/>
    </xf>
    <xf numFmtId="0" fontId="13" fillId="0" borderId="0" xfId="0" applyNumberFormat="1" applyFont="1" applyAlignment="1">
      <alignment vertical="center"/>
    </xf>
    <xf numFmtId="0" fontId="60" fillId="0" borderId="0" xfId="0" applyNumberFormat="1" applyFont="1" applyAlignment="1">
      <alignment vertical="center"/>
    </xf>
    <xf numFmtId="4" fontId="3" fillId="12" borderId="19" xfId="102" applyNumberFormat="1" applyFont="1" applyFill="1" applyBorder="1" applyProtection="1">
      <alignment horizontal="right" vertical="center"/>
      <protection locked="0"/>
    </xf>
    <xf numFmtId="2" fontId="3" fillId="12" borderId="19" xfId="103"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2" fillId="12" borderId="52" xfId="0" applyNumberFormat="1" applyFont="1" applyFill="1" applyBorder="1" applyAlignment="1">
      <alignment horizontal="left" vertical="center" wrapText="1"/>
    </xf>
    <xf numFmtId="0" fontId="27" fillId="22" borderId="15" xfId="0" applyNumberFormat="1" applyFont="1" applyFill="1" applyBorder="1" applyAlignment="1">
      <alignment horizontal="right" vertical="center" wrapText="1" indent="1"/>
    </xf>
    <xf numFmtId="0" fontId="27" fillId="22" borderId="18" xfId="0" applyNumberFormat="1" applyFont="1" applyFill="1" applyBorder="1" applyAlignment="1">
      <alignment horizontal="right" vertical="center" wrapText="1" indent="1"/>
    </xf>
    <xf numFmtId="0" fontId="27" fillId="22" borderId="34" xfId="0" applyNumberFormat="1" applyFont="1" applyFill="1" applyBorder="1" applyAlignment="1">
      <alignment horizontal="right" vertical="center" wrapText="1" indent="1"/>
    </xf>
    <xf numFmtId="0" fontId="27" fillId="22"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7" fillId="22" borderId="62" xfId="0" applyNumberFormat="1" applyFont="1" applyFill="1" applyBorder="1" applyAlignment="1">
      <alignment horizontal="right" vertical="center" wrapText="1" indent="1"/>
    </xf>
    <xf numFmtId="0" fontId="27" fillId="22" borderId="32" xfId="0" applyNumberFormat="1" applyFont="1" applyFill="1" applyBorder="1" applyAlignment="1">
      <alignment horizontal="right" vertical="center" wrapText="1" indent="1"/>
    </xf>
    <xf numFmtId="0" fontId="27" fillId="22" borderId="33"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0" fillId="0" borderId="0" xfId="0" applyNumberFormat="1" applyFont="1" applyAlignment="1">
      <alignment vertical="center"/>
    </xf>
    <xf numFmtId="0" fontId="53" fillId="35" borderId="63" xfId="0" applyNumberFormat="1" applyFont="1" applyFill="1" applyBorder="1" applyAlignment="1">
      <alignment horizontal="center" vertical="center" wrapText="1"/>
    </xf>
    <xf numFmtId="0" fontId="53" fillId="35" borderId="64" xfId="0" applyNumberFormat="1" applyFont="1" applyFill="1" applyBorder="1" applyAlignment="1">
      <alignment horizontal="center" vertical="center" wrapText="1"/>
    </xf>
    <xf numFmtId="0" fontId="53" fillId="35" borderId="65" xfId="0" applyNumberFormat="1" applyFont="1" applyFill="1" applyBorder="1" applyAlignment="1">
      <alignment horizontal="center" vertical="center" wrapText="1"/>
    </xf>
    <xf numFmtId="0" fontId="53" fillId="0" borderId="34" xfId="0" applyNumberFormat="1" applyFont="1" applyBorder="1" applyAlignment="1">
      <alignment vertical="center" wrapText="1"/>
    </xf>
    <xf numFmtId="0" fontId="53" fillId="0" borderId="34"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2" fillId="0" borderId="0" xfId="0" applyNumberFormat="1" applyFont="1" applyAlignment="1">
      <alignment horizontal="center" vertical="center"/>
    </xf>
    <xf numFmtId="49" fontId="45" fillId="0" borderId="56" xfId="0" applyNumberFormat="1" applyFont="1" applyBorder="1" applyAlignment="1">
      <alignment horizontal="center" vertical="top" wrapText="1"/>
    </xf>
    <xf numFmtId="0" fontId="2" fillId="0" borderId="2" xfId="0" applyNumberFormat="1" applyFont="1" applyBorder="1" applyAlignment="1">
      <alignment horizontal="center" vertical="center" textRotation="90" wrapText="1"/>
    </xf>
    <xf numFmtId="0" fontId="2" fillId="0" borderId="2" xfId="0" applyNumberFormat="1" applyFont="1" applyBorder="1" applyAlignment="1">
      <alignment horizontal="right" vertical="center" wrapText="1" indent="1"/>
    </xf>
    <xf numFmtId="0" fontId="45" fillId="0" borderId="66" xfId="0" applyNumberFormat="1" applyFont="1" applyBorder="1" applyAlignment="1">
      <alignment horizontal="center" vertical="top" wrapText="1"/>
    </xf>
    <xf numFmtId="0" fontId="9" fillId="0" borderId="2" xfId="0" applyNumberFormat="1" applyFont="1" applyBorder="1" applyAlignment="1">
      <alignment vertical="center" wrapText="1"/>
    </xf>
    <xf numFmtId="0" fontId="2" fillId="11" borderId="1" xfId="0" applyNumberFormat="1" applyFont="1" applyFill="1" applyBorder="1" applyAlignment="1" applyProtection="1">
      <alignment horizontal="right" vertical="center" wrapText="1" indent="1"/>
      <protection locked="0"/>
    </xf>
    <xf numFmtId="0" fontId="3" fillId="11" borderId="1" xfId="0" applyNumberFormat="1" applyFont="1" applyFill="1" applyBorder="1" applyAlignment="1" applyProtection="1">
      <alignment horizontal="right" vertical="center" wrapText="1" indent="1"/>
      <protection locked="0"/>
    </xf>
    <xf numFmtId="0" fontId="2" fillId="11" borderId="1" xfId="1" applyFont="1" applyFill="1" applyBorder="1">
      <alignment horizontal="right" vertical="center" wrapText="1" indent="1"/>
    </xf>
    <xf numFmtId="0" fontId="3" fillId="11" borderId="1" xfId="2" applyFont="1" applyFill="1" applyBorder="1">
      <alignment horizontal="right" vertical="center" wrapText="1" indent="1"/>
    </xf>
    <xf numFmtId="0" fontId="2" fillId="11" borderId="1" xfId="1" applyFont="1" applyFill="1" applyBorder="1" applyProtection="1">
      <alignment horizontal="right" vertical="center" wrapText="1" indent="1"/>
      <protection locked="0"/>
    </xf>
    <xf numFmtId="0" fontId="3" fillId="11" borderId="1" xfId="2" applyFont="1" applyFill="1" applyBorder="1" applyProtection="1">
      <alignment horizontal="right" vertical="center" wrapText="1" indent="1"/>
      <protection locked="0"/>
    </xf>
    <xf numFmtId="0" fontId="9" fillId="0" borderId="14" xfId="0" applyNumberFormat="1" applyFont="1" applyBorder="1" applyAlignment="1">
      <alignment horizontal="left" vertical="center" wrapText="1"/>
    </xf>
    <xf numFmtId="0" fontId="9" fillId="0" borderId="20"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12" borderId="1" xfId="0" applyNumberFormat="1" applyFont="1" applyFill="1" applyBorder="1" applyAlignment="1" applyProtection="1">
      <alignment horizontal="left" vertical="center" wrapText="1"/>
      <protection locked="0"/>
    </xf>
    <xf numFmtId="0" fontId="2" fillId="0" borderId="34" xfId="0" applyNumberFormat="1" applyFont="1" applyBorder="1" applyAlignment="1">
      <alignment horizontal="center" vertical="center" wrapText="1"/>
    </xf>
    <xf numFmtId="0" fontId="2" fillId="0" borderId="62"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49" fontId="2" fillId="0" borderId="1" xfId="0" applyNumberFormat="1" applyFont="1" applyBorder="1" applyAlignment="1">
      <alignment horizontal="right" vertical="center" wrapText="1"/>
    </xf>
    <xf numFmtId="0" fontId="9" fillId="0" borderId="0" xfId="0" applyNumberFormat="1" applyFont="1" applyAlignment="1">
      <alignment horizontal="center" vertical="center"/>
    </xf>
    <xf numFmtId="49" fontId="5" fillId="36" borderId="2" xfId="0" applyNumberFormat="1" applyFont="1" applyFill="1" applyBorder="1" applyAlignment="1">
      <alignment horizontal="left" vertical="center" wrapText="1" indent="4"/>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2" fillId="0" borderId="7" xfId="0" applyNumberFormat="1" applyFont="1" applyBorder="1" applyAlignment="1">
      <alignment horizontal="right" vertical="center" wrapText="1" indent="1"/>
    </xf>
    <xf numFmtId="49" fontId="6" fillId="36" borderId="2" xfId="0" applyNumberFormat="1" applyFont="1" applyFill="1" applyBorder="1" applyAlignment="1">
      <alignment horizontal="center" vertical="center" wrapText="1"/>
    </xf>
    <xf numFmtId="0" fontId="5" fillId="11" borderId="2" xfId="0" applyNumberFormat="1" applyFont="1" applyFill="1" applyBorder="1" applyAlignment="1" applyProtection="1">
      <alignment horizontal="center" vertical="center"/>
      <protection locked="0"/>
    </xf>
    <xf numFmtId="0" fontId="5" fillId="31" borderId="2" xfId="0" applyNumberFormat="1" applyFont="1" applyFill="1" applyBorder="1" applyAlignment="1">
      <alignment horizontal="center" vertical="center" wrapText="1"/>
    </xf>
    <xf numFmtId="0" fontId="5" fillId="31" borderId="2" xfId="0" applyNumberFormat="1" applyFont="1" applyFill="1" applyBorder="1" applyAlignment="1">
      <alignment horizontal="center" vertical="center"/>
    </xf>
    <xf numFmtId="0" fontId="6" fillId="36" borderId="2" xfId="0" applyNumberFormat="1" applyFont="1" applyFill="1" applyBorder="1" applyAlignment="1">
      <alignment horizontal="center" vertical="center" wrapText="1"/>
    </xf>
    <xf numFmtId="0" fontId="5" fillId="36" borderId="2" xfId="0" applyNumberFormat="1" applyFont="1" applyFill="1" applyBorder="1" applyAlignment="1">
      <alignment horizontal="center" vertical="center" wrapText="1"/>
    </xf>
    <xf numFmtId="0" fontId="2" fillId="0" borderId="12" xfId="0" applyNumberFormat="1" applyFont="1" applyBorder="1" applyAlignment="1">
      <alignment vertical="center"/>
    </xf>
    <xf numFmtId="0" fontId="2" fillId="0" borderId="39" xfId="0" applyNumberFormat="1" applyFont="1" applyBorder="1" applyAlignment="1">
      <alignment vertical="center"/>
    </xf>
    <xf numFmtId="0" fontId="2" fillId="0" borderId="17" xfId="0" applyNumberFormat="1" applyFont="1" applyBorder="1" applyAlignment="1">
      <alignment vertical="center"/>
    </xf>
    <xf numFmtId="0" fontId="9" fillId="0" borderId="0" xfId="0" applyNumberFormat="1" applyFont="1" applyAlignment="1">
      <alignment horizontal="left" vertical="center" wrapText="1"/>
    </xf>
    <xf numFmtId="0" fontId="2" fillId="0" borderId="12" xfId="0" applyNumberFormat="1" applyFont="1" applyBorder="1" applyAlignment="1">
      <alignment horizontal="right" vertical="center" wrapText="1" indent="1"/>
    </xf>
    <xf numFmtId="0" fontId="2" fillId="0" borderId="39" xfId="0" applyNumberFormat="1" applyFont="1" applyBorder="1" applyAlignment="1">
      <alignment horizontal="right" vertical="center" wrapText="1" indent="1"/>
    </xf>
    <xf numFmtId="0" fontId="2" fillId="0" borderId="17" xfId="0" applyNumberFormat="1" applyFont="1" applyBorder="1" applyAlignment="1">
      <alignment horizontal="right" vertical="center" wrapText="1" indent="1"/>
    </xf>
    <xf numFmtId="0" fontId="5" fillId="0" borderId="0" xfId="0" applyNumberFormat="1" applyFont="1" applyAlignment="1">
      <alignment vertical="center" wrapText="1"/>
    </xf>
    <xf numFmtId="0" fontId="2" fillId="27" borderId="2" xfId="0" applyNumberFormat="1" applyFont="1" applyFill="1" applyBorder="1" applyAlignment="1">
      <alignment horizontal="right" vertical="center" wrapText="1" indent="1"/>
    </xf>
    <xf numFmtId="0" fontId="2" fillId="0" borderId="56" xfId="0" applyNumberFormat="1" applyFont="1" applyBorder="1" applyAlignment="1">
      <alignment horizontal="right" vertical="center" wrapText="1" indent="1"/>
    </xf>
    <xf numFmtId="0" fontId="2" fillId="0" borderId="66" xfId="0" applyNumberFormat="1" applyFont="1" applyBorder="1" applyAlignment="1">
      <alignment horizontal="right" vertical="center" wrapText="1" indent="1"/>
    </xf>
    <xf numFmtId="0" fontId="2" fillId="0" borderId="13" xfId="0" applyNumberFormat="1" applyFont="1" applyBorder="1" applyAlignment="1">
      <alignment horizontal="right" vertical="center" wrapText="1" indent="1"/>
    </xf>
    <xf numFmtId="0" fontId="2" fillId="0" borderId="16" xfId="0" applyNumberFormat="1" applyFont="1" applyBorder="1" applyAlignment="1">
      <alignment horizontal="right" vertical="center" wrapText="1" indent="1"/>
    </xf>
    <xf numFmtId="0" fontId="9" fillId="0" borderId="1" xfId="0" applyNumberFormat="1" applyFont="1" applyBorder="1" applyAlignment="1">
      <alignment vertical="center" wrapText="1"/>
    </xf>
    <xf numFmtId="0" fontId="9" fillId="0" borderId="5" xfId="0" applyNumberFormat="1" applyFont="1" applyBorder="1" applyAlignment="1">
      <alignment vertical="center" wrapText="1"/>
    </xf>
    <xf numFmtId="0" fontId="6" fillId="36" borderId="9" xfId="0" applyNumberFormat="1" applyFont="1" applyFill="1" applyBorder="1" applyAlignment="1">
      <alignment horizontal="left" vertical="center" wrapText="1" indent="4"/>
    </xf>
    <xf numFmtId="0" fontId="6" fillId="36" borderId="2" xfId="0" applyNumberFormat="1" applyFont="1" applyFill="1" applyBorder="1" applyAlignment="1">
      <alignment horizontal="left" vertical="center" wrapText="1" indent="4"/>
    </xf>
    <xf numFmtId="0" fontId="9" fillId="0" borderId="9" xfId="0" applyNumberFormat="1" applyFont="1" applyBorder="1" applyAlignment="1">
      <alignment vertical="center" wrapText="1"/>
    </xf>
    <xf numFmtId="0" fontId="5" fillId="0" borderId="21" xfId="0" quotePrefix="1"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0" fillId="0" borderId="0" xfId="0" applyNumberFormat="1" applyFont="1">
      <alignment vertical="top"/>
    </xf>
    <xf numFmtId="49" fontId="5" fillId="0" borderId="0" xfId="0" applyNumberFormat="1" applyFont="1" applyAlignment="1">
      <alignment horizontal="center" vertical="center" wrapText="1" shrinkToFit="1"/>
    </xf>
    <xf numFmtId="0" fontId="3" fillId="0" borderId="0" xfId="0" applyNumberFormat="1" applyFont="1" applyAlignment="1"/>
    <xf numFmtId="0" fontId="2" fillId="0" borderId="0" xfId="0" applyNumberFormat="1" applyFont="1" applyAlignment="1"/>
    <xf numFmtId="0" fontId="3" fillId="0" borderId="0" xfId="0" applyNumberFormat="1" applyFont="1" applyAlignment="1">
      <alignment horizontal="center" vertical="center"/>
    </xf>
    <xf numFmtId="0" fontId="3" fillId="0" borderId="9"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0" xfId="0" applyNumberFormat="1" applyFont="1" applyAlignment="1">
      <alignment vertical="center" wrapText="1"/>
    </xf>
    <xf numFmtId="0" fontId="2" fillId="0" borderId="2"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2" fillId="0" borderId="10" xfId="0" applyNumberFormat="1" applyFont="1" applyBorder="1" applyAlignment="1">
      <alignment horizontal="center" vertical="center" wrapText="1"/>
    </xf>
    <xf numFmtId="0" fontId="6" fillId="23" borderId="2" xfId="0" applyNumberFormat="1" applyFont="1" applyFill="1" applyBorder="1" applyAlignment="1">
      <alignment vertical="center" wrapText="1"/>
    </xf>
    <xf numFmtId="0" fontId="3" fillId="0" borderId="2"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14" borderId="16" xfId="0" applyNumberFormat="1" applyFont="1" applyFill="1" applyBorder="1" applyAlignment="1">
      <alignment horizontal="center" vertical="center" wrapText="1"/>
    </xf>
    <xf numFmtId="0" fontId="2" fillId="14" borderId="17" xfId="0" applyNumberFormat="1" applyFont="1" applyFill="1" applyBorder="1" applyAlignment="1">
      <alignment horizontal="center" vertical="center" wrapText="1"/>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19" xfId="0" applyNumberFormat="1" applyFont="1" applyBorder="1" applyAlignment="1">
      <alignment horizontal="center" vertical="center" wrapText="1"/>
    </xf>
    <xf numFmtId="0" fontId="38" fillId="0" borderId="19" xfId="0" applyNumberFormat="1" applyFont="1" applyBorder="1" applyAlignment="1">
      <alignment vertical="center"/>
    </xf>
    <xf numFmtId="0" fontId="2" fillId="12" borderId="67"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lignment horizontal="left" vertical="center" wrapText="1"/>
    </xf>
    <xf numFmtId="0" fontId="2" fillId="12" borderId="68" xfId="0" applyNumberFormat="1" applyFont="1" applyFill="1" applyBorder="1" applyAlignment="1" applyProtection="1">
      <alignment horizontal="left" vertical="center" wrapText="1"/>
      <protection locked="0"/>
    </xf>
    <xf numFmtId="0" fontId="2" fillId="12" borderId="67" xfId="0" applyNumberFormat="1" applyFont="1" applyFill="1" applyBorder="1" applyAlignment="1">
      <alignment horizontal="left" vertical="center" wrapText="1"/>
    </xf>
    <xf numFmtId="0" fontId="2" fillId="12" borderId="68" xfId="0" applyNumberFormat="1" applyFont="1" applyFill="1" applyBorder="1" applyAlignment="1">
      <alignment horizontal="left" vertical="center" wrapText="1"/>
    </xf>
    <xf numFmtId="49" fontId="2" fillId="0" borderId="7" xfId="0" applyNumberFormat="1" applyFont="1" applyBorder="1" applyAlignment="1">
      <alignment horizontal="left" vertical="center" wrapText="1"/>
    </xf>
    <xf numFmtId="49" fontId="4" fillId="14" borderId="7" xfId="0" applyNumberFormat="1" applyFont="1" applyFill="1" applyBorder="1" applyAlignment="1">
      <alignment horizontal="left" vertical="center" wrapText="1"/>
    </xf>
    <xf numFmtId="49" fontId="4" fillId="14" borderId="1" xfId="0" applyNumberFormat="1" applyFont="1" applyFill="1" applyBorder="1" applyAlignment="1">
      <alignment horizontal="left" vertical="center" wrapText="1"/>
    </xf>
    <xf numFmtId="49" fontId="2" fillId="0" borderId="7" xfId="0" applyNumberFormat="1" applyFont="1" applyBorder="1" applyAlignment="1">
      <alignment horizontal="left" vertical="center" wrapText="1" indent="1"/>
    </xf>
    <xf numFmtId="49" fontId="2" fillId="0" borderId="1" xfId="0" applyNumberFormat="1" applyFont="1" applyBorder="1" applyAlignment="1">
      <alignment horizontal="left" vertical="center" wrapText="1" indent="1"/>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49" fontId="5" fillId="22" borderId="20" xfId="0" applyNumberFormat="1" applyFont="1" applyFill="1" applyBorder="1" applyAlignment="1">
      <alignment horizontal="left" vertical="center" wrapText="1" indent="2"/>
    </xf>
    <xf numFmtId="49" fontId="5" fillId="22" borderId="7" xfId="0" applyNumberFormat="1" applyFont="1" applyFill="1" applyBorder="1" applyAlignment="1">
      <alignment horizontal="left" vertical="center" wrapText="1" indent="2"/>
    </xf>
    <xf numFmtId="49" fontId="7" fillId="14" borderId="7" xfId="0" applyNumberFormat="1" applyFont="1" applyFill="1" applyBorder="1" applyAlignment="1">
      <alignment horizontal="left" vertical="center" wrapText="1"/>
    </xf>
    <xf numFmtId="49" fontId="7" fillId="14" borderId="1" xfId="0" applyNumberFormat="1" applyFont="1" applyFill="1" applyBorder="1" applyAlignment="1">
      <alignment horizontal="left" vertical="center" wrapText="1"/>
    </xf>
    <xf numFmtId="49" fontId="4" fillId="14" borderId="7"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14" borderId="6" xfId="0" applyNumberFormat="1" applyFont="1" applyFill="1" applyBorder="1" applyAlignment="1">
      <alignment horizontal="left" vertical="center" wrapText="1" indent="1"/>
    </xf>
    <xf numFmtId="49" fontId="4" fillId="14" borderId="8" xfId="0" applyNumberFormat="1" applyFont="1" applyFill="1" applyBorder="1" applyAlignment="1">
      <alignment horizontal="left" vertical="center" wrapText="1" indent="1"/>
    </xf>
    <xf numFmtId="49" fontId="4" fillId="14" borderId="7" xfId="0" applyNumberFormat="1" applyFont="1" applyFill="1" applyBorder="1" applyAlignment="1">
      <alignment horizontal="left" vertical="center" wrapText="1" indent="2"/>
    </xf>
    <xf numFmtId="49" fontId="4" fillId="14" borderId="1" xfId="0" applyNumberFormat="1" applyFont="1" applyFill="1" applyBorder="1" applyAlignment="1">
      <alignment horizontal="left" vertical="center" wrapText="1" indent="2"/>
    </xf>
    <xf numFmtId="49" fontId="4" fillId="14" borderId="18" xfId="0" applyNumberFormat="1" applyFont="1" applyFill="1" applyBorder="1" applyAlignment="1">
      <alignment horizontal="left" vertical="center" wrapText="1"/>
    </xf>
    <xf numFmtId="49" fontId="4" fillId="14" borderId="5" xfId="0" applyNumberFormat="1" applyFont="1" applyFill="1" applyBorder="1" applyAlignment="1">
      <alignment horizontal="left" vertical="center" wrapText="1"/>
    </xf>
    <xf numFmtId="49" fontId="4" fillId="14" borderId="6" xfId="0" applyNumberFormat="1" applyFont="1" applyFill="1" applyBorder="1" applyAlignment="1">
      <alignment horizontal="left" vertical="center" wrapText="1"/>
    </xf>
    <xf numFmtId="49" fontId="4" fillId="14" borderId="8" xfId="0" applyNumberFormat="1" applyFont="1" applyFill="1" applyBorder="1" applyAlignment="1">
      <alignment horizontal="left" vertical="center" wrapText="1"/>
    </xf>
    <xf numFmtId="49" fontId="2" fillId="4" borderId="69" xfId="0" applyNumberFormat="1" applyFont="1" applyFill="1" applyBorder="1" applyAlignment="1">
      <alignment horizontal="center" vertical="center" textRotation="90"/>
    </xf>
    <xf numFmtId="49" fontId="2" fillId="4" borderId="70" xfId="0" applyNumberFormat="1" applyFont="1" applyFill="1" applyBorder="1" applyAlignment="1">
      <alignment horizontal="center" vertical="center" textRotation="90"/>
    </xf>
    <xf numFmtId="49" fontId="2" fillId="4" borderId="71" xfId="0" applyNumberFormat="1" applyFont="1" applyFill="1" applyBorder="1" applyAlignment="1">
      <alignment horizontal="center" vertical="center" textRotation="90"/>
    </xf>
    <xf numFmtId="49" fontId="2" fillId="5" borderId="69" xfId="0" applyNumberFormat="1" applyFont="1" applyFill="1" applyBorder="1" applyAlignment="1">
      <alignment horizontal="center" vertical="center" textRotation="90"/>
    </xf>
    <xf numFmtId="49" fontId="2" fillId="5" borderId="70" xfId="0" applyNumberFormat="1" applyFont="1" applyFill="1" applyBorder="1" applyAlignment="1">
      <alignment horizontal="center" vertical="center" textRotation="90"/>
    </xf>
    <xf numFmtId="49" fontId="2" fillId="5" borderId="71" xfId="0" applyNumberFormat="1" applyFont="1" applyFill="1" applyBorder="1" applyAlignment="1">
      <alignment horizontal="center" vertical="center" textRotation="90"/>
    </xf>
    <xf numFmtId="49" fontId="2" fillId="6" borderId="69" xfId="0" applyNumberFormat="1" applyFont="1" applyFill="1" applyBorder="1" applyAlignment="1">
      <alignment horizontal="center" vertical="center" textRotation="90"/>
    </xf>
    <xf numFmtId="49" fontId="2" fillId="6" borderId="70" xfId="0" applyNumberFormat="1" applyFont="1" applyFill="1" applyBorder="1" applyAlignment="1">
      <alignment horizontal="center" vertical="center" textRotation="90"/>
    </xf>
    <xf numFmtId="49" fontId="2" fillId="6" borderId="71" xfId="0" applyNumberFormat="1" applyFont="1" applyFill="1" applyBorder="1" applyAlignment="1">
      <alignment horizontal="center" vertical="center" textRotation="90"/>
    </xf>
    <xf numFmtId="49" fontId="2" fillId="37" borderId="69" xfId="0" applyNumberFormat="1" applyFont="1" applyFill="1" applyBorder="1" applyAlignment="1">
      <alignment horizontal="center" vertical="center" textRotation="90"/>
    </xf>
    <xf numFmtId="49" fontId="2" fillId="37" borderId="70" xfId="0" applyNumberFormat="1" applyFont="1" applyFill="1" applyBorder="1" applyAlignment="1">
      <alignment horizontal="center" vertical="center" textRotation="90"/>
    </xf>
    <xf numFmtId="49" fontId="2" fillId="37" borderId="71" xfId="0" applyNumberFormat="1" applyFont="1" applyFill="1" applyBorder="1" applyAlignment="1">
      <alignment horizontal="center" vertical="center" textRotation="90"/>
    </xf>
    <xf numFmtId="0" fontId="2" fillId="0" borderId="0" xfId="0" applyNumberFormat="1" applyFont="1" applyAlignment="1">
      <alignment horizontal="center" vertical="top"/>
    </xf>
    <xf numFmtId="49" fontId="2" fillId="38" borderId="69" xfId="0" applyNumberFormat="1" applyFont="1" applyFill="1" applyBorder="1" applyAlignment="1">
      <alignment horizontal="center" vertical="center" textRotation="90"/>
    </xf>
    <xf numFmtId="49" fontId="2" fillId="38" borderId="70" xfId="0" applyNumberFormat="1" applyFont="1" applyFill="1" applyBorder="1" applyAlignment="1">
      <alignment horizontal="center" vertical="center" textRotation="90"/>
    </xf>
    <xf numFmtId="49" fontId="2" fillId="39" borderId="69" xfId="0" applyNumberFormat="1" applyFont="1" applyFill="1" applyBorder="1" applyAlignment="1">
      <alignment horizontal="center" vertical="center" textRotation="90"/>
    </xf>
    <xf numFmtId="49" fontId="2" fillId="39" borderId="70" xfId="0" applyNumberFormat="1" applyFont="1" applyFill="1" applyBorder="1" applyAlignment="1">
      <alignment horizontal="center" vertical="center" textRotation="90"/>
    </xf>
    <xf numFmtId="49" fontId="2" fillId="39" borderId="71" xfId="0" applyNumberFormat="1" applyFont="1" applyFill="1" applyBorder="1" applyAlignment="1">
      <alignment horizontal="center" vertical="center" textRotation="90"/>
    </xf>
    <xf numFmtId="49" fontId="4" fillId="14" borderId="1" xfId="0" applyNumberFormat="1" applyFont="1" applyFill="1" applyBorder="1" applyAlignment="1">
      <alignment horizontal="center" vertical="center" wrapText="1"/>
    </xf>
    <xf numFmtId="0" fontId="2" fillId="14" borderId="0" xfId="0" applyNumberFormat="1" applyFont="1" applyFill="1" applyAlignment="1">
      <alignment vertical="center" wrapText="1"/>
    </xf>
    <xf numFmtId="0" fontId="9" fillId="0" borderId="0" xfId="0" applyNumberFormat="1" applyFont="1" applyAlignment="1"/>
    <xf numFmtId="0" fontId="45" fillId="0" borderId="62" xfId="0" applyNumberFormat="1" applyFont="1" applyBorder="1" applyAlignment="1">
      <alignment horizontal="center" vertical="top" wrapText="1"/>
    </xf>
    <xf numFmtId="0" fontId="0" fillId="0" borderId="0" xfId="0" applyNumberFormat="1" applyFont="1" applyAlignment="1">
      <alignment horizontal="center" vertical="center" wrapText="1"/>
    </xf>
    <xf numFmtId="0" fontId="2"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2"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lignment horizontal="left" vertical="top" wrapText="1"/>
    </xf>
    <xf numFmtId="0" fontId="2" fillId="14" borderId="2" xfId="0" applyNumberFormat="1" applyFont="1" applyFill="1" applyBorder="1" applyAlignment="1">
      <alignment horizontal="center" vertical="center" wrapText="1"/>
    </xf>
    <xf numFmtId="0" fontId="2" fillId="0" borderId="0" xfId="0" applyNumberFormat="1" applyFont="1" applyAlignment="1">
      <alignment vertical="center"/>
    </xf>
    <xf numFmtId="49" fontId="2" fillId="12" borderId="8" xfId="0" applyNumberFormat="1" applyFont="1" applyFill="1" applyBorder="1" applyAlignment="1">
      <alignment horizontal="left" vertical="top" wrapText="1"/>
    </xf>
    <xf numFmtId="49" fontId="2" fillId="0" borderId="0" xfId="0" applyNumberFormat="1" applyFont="1">
      <alignment vertical="top"/>
    </xf>
    <xf numFmtId="0" fontId="38" fillId="0" borderId="1" xfId="0" applyNumberFormat="1" applyFont="1" applyBorder="1" applyAlignment="1"/>
    <xf numFmtId="0" fontId="2" fillId="0" borderId="1" xfId="0" applyNumberFormat="1" applyFont="1" applyBorder="1" applyAlignment="1">
      <alignment horizontal="center" vertical="center"/>
    </xf>
    <xf numFmtId="0" fontId="5" fillId="0" borderId="0" xfId="0" applyNumberFormat="1" applyFont="1" applyAlignment="1">
      <alignment horizontal="center"/>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5" fillId="0" borderId="0" xfId="0" applyNumberFormat="1" applyFont="1" applyAlignment="1"/>
    <xf numFmtId="0" fontId="3" fillId="13" borderId="1" xfId="0" applyNumberFormat="1" applyFont="1" applyFill="1" applyBorder="1" applyAlignment="1">
      <alignment horizontal="center" vertical="center" wrapText="1"/>
    </xf>
    <xf numFmtId="0" fontId="0" fillId="0" borderId="0" xfId="0" applyNumberFormat="1" applyFont="1" applyAlignment="1"/>
    <xf numFmtId="49" fontId="2" fillId="12" borderId="1" xfId="0" applyNumberFormat="1" applyFont="1" applyFill="1" applyBorder="1" applyAlignment="1">
      <alignment horizontal="left" vertical="top" wrapText="1"/>
    </xf>
    <xf numFmtId="49" fontId="2" fillId="10" borderId="1" xfId="0" applyNumberFormat="1" applyFont="1" applyFill="1" applyBorder="1" applyAlignment="1">
      <alignment horizontal="left" vertical="top" wrapText="1"/>
    </xf>
    <xf numFmtId="49" fontId="65" fillId="0" borderId="1" xfId="0" applyNumberFormat="1" applyFont="1" applyBorder="1" applyAlignment="1">
      <alignment horizontal="left" vertical="top" wrapText="1"/>
    </xf>
    <xf numFmtId="0" fontId="6" fillId="0" borderId="0" xfId="0" applyNumberFormat="1" applyFont="1" applyAlignment="1"/>
    <xf numFmtId="49" fontId="2" fillId="12" borderId="1" xfId="0" applyNumberFormat="1" applyFont="1" applyFill="1" applyBorder="1" applyAlignment="1" applyProtection="1">
      <alignment horizontal="left" vertical="top" wrapText="1"/>
      <protection locked="0"/>
    </xf>
    <xf numFmtId="0" fontId="15" fillId="0" borderId="1" xfId="0" applyNumberFormat="1" applyFont="1" applyBorder="1" applyAlignment="1">
      <alignment horizontal="center" vertical="center" wrapText="1"/>
    </xf>
    <xf numFmtId="0" fontId="9" fillId="14" borderId="1" xfId="0" applyNumberFormat="1" applyFont="1" applyFill="1" applyBorder="1" applyAlignment="1">
      <alignment horizontal="center" vertical="center" wrapText="1"/>
    </xf>
    <xf numFmtId="0" fontId="5" fillId="0" borderId="14" xfId="0" applyNumberFormat="1" applyFont="1" applyBorder="1" applyAlignment="1">
      <alignment horizontal="left" vertical="center" wrapText="1"/>
    </xf>
    <xf numFmtId="0" fontId="5" fillId="0" borderId="7" xfId="0" applyNumberFormat="1" applyFont="1" applyBorder="1" applyAlignment="1">
      <alignment horizontal="left" vertical="center" wrapText="1"/>
    </xf>
    <xf numFmtId="0" fontId="16" fillId="0" borderId="0" xfId="0" applyNumberFormat="1" applyFont="1" applyAlignment="1">
      <alignment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xf>
    <xf numFmtId="0" fontId="2" fillId="14" borderId="1" xfId="0" applyNumberFormat="1" applyFont="1" applyFill="1" applyBorder="1" applyAlignment="1">
      <alignment horizontal="center" vertical="center" wrapText="1"/>
    </xf>
    <xf numFmtId="0" fontId="15" fillId="13" borderId="0" xfId="0" applyNumberFormat="1" applyFont="1" applyFill="1" applyAlignment="1">
      <alignment vertical="center"/>
    </xf>
    <xf numFmtId="0" fontId="15" fillId="0" borderId="0" xfId="0" applyNumberFormat="1" applyFont="1" applyAlignment="1">
      <alignment horizontal="center" vertical="center"/>
    </xf>
    <xf numFmtId="49" fontId="5" fillId="0" borderId="1" xfId="0" applyNumberFormat="1" applyFont="1" applyBorder="1" applyAlignment="1">
      <alignment horizontal="center" vertical="center" wrapText="1"/>
    </xf>
    <xf numFmtId="2" fontId="5" fillId="10" borderId="1" xfId="78" applyNumberFormat="1" applyFont="1" applyFill="1" applyBorder="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15" fillId="0" borderId="21" xfId="0" applyNumberFormat="1" applyFont="1" applyBorder="1" applyAlignment="1">
      <alignment vertical="center"/>
    </xf>
    <xf numFmtId="0" fontId="3" fillId="0" borderId="0" xfId="0" applyNumberFormat="1" applyFont="1" applyAlignment="1">
      <alignment horizontal="center" vertical="top"/>
    </xf>
    <xf numFmtId="49" fontId="6" fillId="0" borderId="21" xfId="0" quotePrefix="1" applyNumberFormat="1" applyFont="1" applyBorder="1" applyAlignment="1">
      <alignment horizontal="left" vertical="center" wrapText="1"/>
    </xf>
    <xf numFmtId="0" fontId="9" fillId="14" borderId="15" xfId="0" applyNumberFormat="1" applyFont="1" applyFill="1" applyBorder="1" applyAlignment="1">
      <alignment horizontal="center" vertical="center" wrapText="1"/>
    </xf>
    <xf numFmtId="0" fontId="9" fillId="14" borderId="32" xfId="0" applyNumberFormat="1" applyFont="1" applyFill="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49" fontId="2" fillId="12" borderId="14" xfId="0" applyNumberFormat="1" applyFont="1" applyFill="1" applyBorder="1" applyAlignment="1" applyProtection="1">
      <alignment horizontal="left" vertical="top" wrapText="1"/>
      <protection locked="0"/>
    </xf>
    <xf numFmtId="49" fontId="2" fillId="12" borderId="20" xfId="0" applyNumberFormat="1" applyFont="1" applyFill="1" applyBorder="1" applyAlignment="1" applyProtection="1">
      <alignment horizontal="left" vertical="top" wrapText="1"/>
      <protection locked="0"/>
    </xf>
    <xf numFmtId="49" fontId="2" fillId="12" borderId="7" xfId="0" applyNumberFormat="1" applyFont="1" applyFill="1" applyBorder="1" applyAlignment="1" applyProtection="1">
      <alignment horizontal="left" vertical="top" wrapText="1"/>
      <protection locked="0"/>
    </xf>
    <xf numFmtId="49" fontId="2" fillId="12" borderId="14" xfId="0" applyNumberFormat="1" applyFont="1" applyFill="1" applyBorder="1" applyAlignment="1">
      <alignment horizontal="left" vertical="top" wrapText="1"/>
    </xf>
    <xf numFmtId="49" fontId="2" fillId="12" borderId="20" xfId="0" applyNumberFormat="1" applyFont="1" applyFill="1" applyBorder="1" applyAlignment="1">
      <alignment horizontal="left" vertical="top" wrapText="1"/>
    </xf>
    <xf numFmtId="49" fontId="2" fillId="12" borderId="7" xfId="0" applyNumberFormat="1" applyFont="1" applyFill="1" applyBorder="1" applyAlignment="1">
      <alignment horizontal="left" vertical="top" wrapText="1"/>
    </xf>
    <xf numFmtId="0" fontId="3" fillId="0" borderId="1" xfId="0" applyNumberFormat="1" applyFont="1" applyBorder="1" applyAlignment="1">
      <alignment vertical="center" wrapText="1"/>
    </xf>
    <xf numFmtId="0" fontId="3" fillId="0" borderId="1" xfId="0" applyNumberFormat="1" applyFont="1" applyBorder="1" applyAlignment="1"/>
    <xf numFmtId="0" fontId="6" fillId="0" borderId="0" xfId="0" applyNumberFormat="1" applyFont="1" applyAlignment="1">
      <alignment vertical="center"/>
    </xf>
    <xf numFmtId="0" fontId="2" fillId="0" borderId="72" xfId="0" applyNumberFormat="1" applyFont="1" applyBorder="1" applyAlignment="1">
      <alignment horizontal="right" vertical="center" wrapText="1"/>
    </xf>
    <xf numFmtId="0" fontId="2" fillId="0" borderId="73" xfId="0" applyNumberFormat="1" applyFont="1" applyBorder="1" applyAlignment="1">
      <alignment horizontal="right"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0" fontId="2" fillId="12" borderId="1" xfId="0" applyNumberFormat="1" applyFont="1" applyFill="1" applyBorder="1" applyAlignment="1" applyProtection="1">
      <alignment horizontal="left" vertical="center" wrapText="1"/>
      <protection locked="0"/>
    </xf>
    <xf numFmtId="0" fontId="2" fillId="12" borderId="1" xfId="0" applyNumberFormat="1" applyFont="1" applyFill="1" applyBorder="1" applyAlignment="1">
      <alignment horizontal="left" vertical="center" wrapText="1"/>
    </xf>
    <xf numFmtId="0" fontId="15" fillId="0" borderId="0" xfId="0" applyNumberFormat="1" applyFont="1" applyAlignment="1">
      <alignment vertical="center"/>
    </xf>
    <xf numFmtId="49" fontId="2" fillId="12" borderId="19" xfId="0" applyNumberFormat="1" applyFont="1" applyFill="1" applyBorder="1" applyAlignment="1">
      <alignment horizontal="left" vertical="center" wrapText="1"/>
    </xf>
    <xf numFmtId="49" fontId="2" fillId="12" borderId="19" xfId="0" applyNumberFormat="1" applyFont="1" applyFill="1" applyBorder="1" applyAlignment="1" applyProtection="1">
      <alignment horizontal="left" vertical="center" wrapText="1"/>
      <protection locked="0"/>
    </xf>
    <xf numFmtId="49" fontId="2" fillId="0" borderId="14"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cellXfs>
  <cellStyles count="105">
    <cellStyle name="s1" xfId="1" xr:uid="{00000000-0005-0000-0000-00002F000000}"/>
    <cellStyle name="s10" xfId="10" xr:uid="{00000000-0005-0000-0000-000038000000}"/>
    <cellStyle name="s100" xfId="100" xr:uid="{00000000-0005-0000-0000-000092000000}"/>
    <cellStyle name="s101" xfId="101" xr:uid="{00000000-0005-0000-0000-000093000000}"/>
    <cellStyle name="s102" xfId="102" xr:uid="{00000000-0005-0000-0000-000094000000}"/>
    <cellStyle name="s103" xfId="103" xr:uid="{00000000-0005-0000-0000-000095000000}"/>
    <cellStyle name="s104" xfId="104" xr:uid="{00000000-0005-0000-0000-000096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s98" xfId="98" xr:uid="{00000000-0005-0000-0000-000090000000}"/>
    <cellStyle name="s99" xfId="99" xr:uid="{00000000-0005-0000-0000-000091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hyperlink" Target="mailto:k.lapteva@sdsenergo.ru" TargetMode="External"/><Relationship Id="rId1" Type="http://schemas.openxmlformats.org/officeDocument/2006/relationships/hyperlink" Target="https://portal.eias.ru/Portal/DownloadPage.aspx?type=12&amp;guid=34868839-3944-4c27-9e28-7fa3f71444c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7EC18-FB6F-75FE-9761-0FB4721172B8}">
  <sheetPr>
    <tabColor theme="0" tint="-4.9989318521683403E-2"/>
  </sheetPr>
  <dimension ref="A1:AA16"/>
  <sheetViews>
    <sheetView showGridLines="0" showRowColHeaders="0" workbookViewId="0"/>
  </sheetViews>
  <sheetFormatPr defaultColWidth="10.42578125" defaultRowHeight="12.6" customHeight="1" x14ac:dyDescent="0.2"/>
  <cols>
    <col min="1" max="1" width="5.140625" style="624" customWidth="1"/>
    <col min="2" max="2" width="8.5703125" style="675" customWidth="1"/>
    <col min="3" max="3" width="15.5703125" style="624" customWidth="1"/>
    <col min="4" max="4" width="6" style="624" customWidth="1"/>
    <col min="5" max="5" width="6" style="666" customWidth="1"/>
    <col min="6" max="25" width="6" style="624" customWidth="1"/>
    <col min="26" max="27" width="10.42578125" style="624"/>
  </cols>
  <sheetData>
    <row r="1" spans="1:27" ht="15.75" customHeight="1" x14ac:dyDescent="0.2">
      <c r="A1" s="625"/>
      <c r="B1" s="670"/>
      <c r="C1" s="626"/>
      <c r="D1" s="626"/>
      <c r="E1" s="662"/>
      <c r="F1" s="626"/>
      <c r="G1" s="626"/>
      <c r="H1" s="626"/>
      <c r="I1" s="626"/>
      <c r="J1" s="626"/>
      <c r="K1" s="626"/>
      <c r="L1" s="626"/>
      <c r="M1" s="626"/>
      <c r="N1" s="626"/>
      <c r="O1" s="626"/>
      <c r="P1" s="626"/>
      <c r="Q1" s="626"/>
      <c r="R1" s="626"/>
      <c r="S1" s="626"/>
      <c r="T1" s="626"/>
      <c r="U1" s="626"/>
      <c r="V1" s="626"/>
      <c r="W1" s="626"/>
      <c r="X1" s="626"/>
      <c r="Y1" s="627"/>
      <c r="Z1" s="626"/>
      <c r="AA1" s="628" t="s">
        <v>0</v>
      </c>
    </row>
    <row r="2" spans="1:27" s="675" customFormat="1" ht="17.25" customHeight="1" x14ac:dyDescent="0.15">
      <c r="A2" s="670"/>
      <c r="B2" s="1420" t="s">
        <v>1</v>
      </c>
      <c r="C2" s="1420"/>
      <c r="D2" s="1420"/>
      <c r="E2" s="1420"/>
      <c r="F2" s="1420"/>
      <c r="G2" s="1420"/>
      <c r="H2" s="1420"/>
      <c r="I2" s="1420"/>
      <c r="J2" s="1420"/>
      <c r="K2" s="1420"/>
      <c r="L2" s="1420"/>
      <c r="M2" s="1420"/>
      <c r="N2" s="1420"/>
      <c r="O2" s="1420"/>
      <c r="P2" s="1420"/>
      <c r="Q2" s="676"/>
      <c r="R2" s="676"/>
      <c r="S2" s="676"/>
      <c r="T2" s="676"/>
      <c r="U2" s="676"/>
      <c r="V2" s="677"/>
      <c r="W2" s="676"/>
      <c r="X2" s="676"/>
      <c r="Y2" s="670"/>
      <c r="Z2" s="670"/>
      <c r="AA2" s="670"/>
    </row>
    <row r="3" spans="1:27" ht="15.75" customHeight="1" x14ac:dyDescent="0.35">
      <c r="A3" s="626"/>
      <c r="B3" s="1420" t="s">
        <v>2</v>
      </c>
      <c r="C3" s="1420"/>
      <c r="D3" s="1420"/>
      <c r="E3" s="1420"/>
      <c r="F3" s="1420"/>
      <c r="G3" s="1420"/>
      <c r="H3" s="1420"/>
      <c r="I3" s="1420"/>
      <c r="J3" s="1420"/>
      <c r="K3" s="1420"/>
      <c r="L3" s="1420"/>
      <c r="M3" s="1420"/>
      <c r="N3" s="1420"/>
      <c r="O3" s="1420"/>
      <c r="P3" s="1420"/>
      <c r="Q3" s="630"/>
      <c r="R3" s="630"/>
      <c r="S3" s="629"/>
      <c r="T3" s="629"/>
      <c r="U3" s="629"/>
      <c r="V3" s="630"/>
      <c r="W3" s="630"/>
      <c r="X3" s="630"/>
      <c r="Y3" s="630"/>
      <c r="Z3" s="626"/>
      <c r="AA3" s="628"/>
    </row>
    <row r="4" spans="1:27" ht="16.5" customHeight="1" x14ac:dyDescent="0.35">
      <c r="A4" s="626"/>
      <c r="B4" s="663"/>
      <c r="C4" s="626"/>
      <c r="D4" s="630"/>
      <c r="E4" s="667"/>
      <c r="F4" s="630"/>
      <c r="G4" s="630"/>
      <c r="H4" s="630"/>
      <c r="I4" s="630"/>
      <c r="J4" s="630"/>
      <c r="K4" s="630"/>
      <c r="L4" s="630"/>
      <c r="M4" s="630"/>
      <c r="N4" s="630"/>
      <c r="O4" s="630"/>
      <c r="P4" s="630"/>
      <c r="Q4" s="630"/>
      <c r="R4" s="630"/>
      <c r="S4" s="630"/>
      <c r="T4" s="630"/>
      <c r="U4" s="630"/>
      <c r="V4" s="630"/>
      <c r="W4" s="630"/>
      <c r="X4" s="630"/>
      <c r="Y4" s="630"/>
      <c r="Z4" s="626"/>
      <c r="AA4" s="628"/>
    </row>
    <row r="5" spans="1:27" s="666" customFormat="1" ht="22.5" customHeight="1" x14ac:dyDescent="0.15">
      <c r="A5" s="670"/>
      <c r="B5" s="1421"/>
      <c r="C5" s="1422"/>
      <c r="D5" s="1422"/>
      <c r="E5" s="1422"/>
      <c r="F5" s="1422"/>
      <c r="G5" s="1422"/>
      <c r="H5" s="1422"/>
      <c r="I5" s="1422"/>
      <c r="J5" s="1422"/>
      <c r="K5" s="1422"/>
      <c r="L5" s="1422"/>
      <c r="M5" s="1422"/>
      <c r="N5" s="1422"/>
      <c r="O5" s="1422"/>
      <c r="P5" s="1422"/>
      <c r="Q5" s="1422"/>
      <c r="R5" s="1422"/>
      <c r="S5" s="1422"/>
      <c r="T5" s="1422"/>
      <c r="U5" s="1422"/>
      <c r="V5" s="1422"/>
      <c r="W5" s="1422"/>
      <c r="X5" s="1422"/>
      <c r="Y5" s="1423"/>
      <c r="Z5" s="670"/>
      <c r="AA5" s="662"/>
    </row>
    <row r="6" spans="1:27" ht="13.5" customHeight="1" x14ac:dyDescent="0.2">
      <c r="A6" s="631"/>
      <c r="B6" s="1413" t="s">
        <v>3</v>
      </c>
      <c r="C6" s="1416"/>
      <c r="D6" s="632"/>
      <c r="E6" s="661"/>
      <c r="F6" s="632"/>
      <c r="G6" s="632"/>
      <c r="H6" s="632"/>
      <c r="I6" s="632"/>
      <c r="J6" s="632"/>
      <c r="K6" s="632"/>
      <c r="L6" s="632"/>
      <c r="M6" s="632"/>
      <c r="N6" s="632"/>
      <c r="O6" s="632"/>
      <c r="P6" s="632"/>
      <c r="Q6" s="632"/>
      <c r="R6" s="632"/>
      <c r="S6" s="632"/>
      <c r="T6" s="632"/>
      <c r="U6" s="632"/>
      <c r="V6" s="632"/>
      <c r="W6" s="632"/>
      <c r="X6" s="632"/>
      <c r="Y6" s="633"/>
      <c r="Z6" s="634"/>
      <c r="AA6" s="635"/>
    </row>
    <row r="7" spans="1:27" ht="13.5" customHeight="1" x14ac:dyDescent="0.2">
      <c r="A7" s="631"/>
      <c r="B7" s="1413"/>
      <c r="C7" s="1416"/>
      <c r="D7" s="632"/>
      <c r="E7" s="661"/>
      <c r="F7" s="636"/>
      <c r="G7" s="636"/>
      <c r="H7" s="636"/>
      <c r="I7" s="636"/>
      <c r="J7" s="636"/>
      <c r="K7" s="636"/>
      <c r="L7" s="636"/>
      <c r="M7" s="636"/>
      <c r="N7" s="636"/>
      <c r="O7" s="632"/>
      <c r="P7" s="636"/>
      <c r="Q7" s="636"/>
      <c r="R7" s="636"/>
      <c r="S7" s="636"/>
      <c r="T7" s="636"/>
      <c r="U7" s="636"/>
      <c r="V7" s="636"/>
      <c r="W7" s="636"/>
      <c r="X7" s="636"/>
      <c r="Y7" s="633"/>
      <c r="Z7" s="634"/>
      <c r="AA7" s="635"/>
    </row>
    <row r="8" spans="1:27" ht="13.5" customHeight="1" x14ac:dyDescent="0.2">
      <c r="A8" s="631"/>
      <c r="B8" s="1413"/>
      <c r="C8" s="1416"/>
      <c r="D8" s="637"/>
      <c r="E8" s="638" t="s">
        <v>4</v>
      </c>
      <c r="F8" s="1424" t="s">
        <v>5</v>
      </c>
      <c r="G8" s="1415"/>
      <c r="H8" s="1415"/>
      <c r="I8" s="1415"/>
      <c r="J8" s="1415"/>
      <c r="K8" s="1415"/>
      <c r="L8" s="1415"/>
      <c r="M8" s="1415"/>
      <c r="N8" s="637"/>
      <c r="O8" s="639" t="s">
        <v>4</v>
      </c>
      <c r="P8" s="1425" t="s">
        <v>6</v>
      </c>
      <c r="Q8" s="1426"/>
      <c r="R8" s="1426"/>
      <c r="S8" s="1426"/>
      <c r="T8" s="1426"/>
      <c r="U8" s="1426"/>
      <c r="V8" s="1426"/>
      <c r="W8" s="1426"/>
      <c r="X8" s="1426"/>
      <c r="Y8" s="633"/>
      <c r="Z8" s="634"/>
      <c r="AA8" s="635"/>
    </row>
    <row r="9" spans="1:27" ht="13.5" customHeight="1" x14ac:dyDescent="0.2">
      <c r="A9" s="631"/>
      <c r="B9" s="1413"/>
      <c r="C9" s="1416"/>
      <c r="D9" s="637"/>
      <c r="E9" s="640" t="s">
        <v>4</v>
      </c>
      <c r="F9" s="1424" t="s">
        <v>7</v>
      </c>
      <c r="G9" s="1415"/>
      <c r="H9" s="1415"/>
      <c r="I9" s="1415"/>
      <c r="J9" s="1415"/>
      <c r="K9" s="1415"/>
      <c r="L9" s="1415"/>
      <c r="M9" s="1415"/>
      <c r="N9" s="637"/>
      <c r="O9" s="641" t="s">
        <v>4</v>
      </c>
      <c r="P9" s="1425" t="s">
        <v>8</v>
      </c>
      <c r="Q9" s="1426"/>
      <c r="R9" s="1426"/>
      <c r="S9" s="1426"/>
      <c r="T9" s="1426"/>
      <c r="U9" s="1426"/>
      <c r="V9" s="1426"/>
      <c r="W9" s="1426"/>
      <c r="X9" s="1426"/>
      <c r="Y9" s="633"/>
      <c r="Z9" s="634"/>
      <c r="AA9" s="635"/>
    </row>
    <row r="10" spans="1:27" ht="13.5" customHeight="1" x14ac:dyDescent="0.2">
      <c r="B10" s="1413"/>
      <c r="C10" s="1416"/>
      <c r="D10" s="908"/>
      <c r="E10" s="905" t="s">
        <v>4</v>
      </c>
      <c r="F10" s="1426" t="s">
        <v>9</v>
      </c>
      <c r="G10" s="1427"/>
      <c r="H10" s="1427"/>
      <c r="I10" s="1427"/>
      <c r="J10" s="1427"/>
      <c r="K10" s="1427"/>
      <c r="L10" s="1427"/>
      <c r="M10" s="1427"/>
      <c r="N10" s="1427"/>
      <c r="O10" s="907" t="s">
        <v>4</v>
      </c>
      <c r="P10" s="1426" t="s">
        <v>10</v>
      </c>
      <c r="Q10" s="1427"/>
      <c r="R10" s="1427"/>
      <c r="S10" s="1427"/>
      <c r="T10" s="1427"/>
      <c r="U10" s="1427"/>
      <c r="V10" s="1427"/>
      <c r="W10" s="1427"/>
      <c r="X10" s="1427"/>
      <c r="Y10" s="906"/>
      <c r="Z10" s="909"/>
      <c r="AA10" s="906"/>
    </row>
    <row r="11" spans="1:27" ht="30" customHeight="1" x14ac:dyDescent="0.2">
      <c r="A11" s="631"/>
      <c r="B11" s="1413"/>
      <c r="C11" s="1414"/>
      <c r="D11" s="642"/>
      <c r="E11" s="671"/>
      <c r="F11" s="636"/>
      <c r="G11" s="636"/>
      <c r="H11" s="636"/>
      <c r="I11" s="636"/>
      <c r="J11" s="636"/>
      <c r="K11" s="636"/>
      <c r="L11" s="636"/>
      <c r="M11" s="636"/>
      <c r="N11" s="636"/>
      <c r="O11" s="643"/>
      <c r="P11" s="636"/>
      <c r="Q11" s="636"/>
      <c r="R11" s="636"/>
      <c r="S11" s="636"/>
      <c r="T11" s="636"/>
      <c r="U11" s="636"/>
      <c r="V11" s="636"/>
      <c r="W11" s="636"/>
      <c r="X11" s="636"/>
      <c r="Y11" s="633"/>
      <c r="Z11" s="634"/>
      <c r="AA11" s="635"/>
    </row>
    <row r="12" spans="1:27" ht="19.5" customHeight="1" x14ac:dyDescent="0.2">
      <c r="A12" s="631"/>
      <c r="B12" s="1411" t="s">
        <v>11</v>
      </c>
      <c r="C12" s="1412"/>
      <c r="D12" s="637"/>
      <c r="E12" s="672"/>
      <c r="F12" s="644"/>
      <c r="G12" s="644"/>
      <c r="H12" s="644"/>
      <c r="I12" s="644"/>
      <c r="J12" s="644"/>
      <c r="K12" s="644"/>
      <c r="L12" s="644"/>
      <c r="M12" s="644"/>
      <c r="N12" s="644"/>
      <c r="O12" s="644"/>
      <c r="P12" s="644"/>
      <c r="Q12" s="644"/>
      <c r="R12" s="644"/>
      <c r="S12" s="644"/>
      <c r="T12" s="644"/>
      <c r="U12" s="644"/>
      <c r="V12" s="644"/>
      <c r="W12" s="644"/>
      <c r="X12" s="644"/>
      <c r="Y12" s="633"/>
      <c r="Z12" s="634"/>
      <c r="AA12" s="635"/>
    </row>
    <row r="13" spans="1:27" ht="68.25" customHeight="1" x14ac:dyDescent="0.2">
      <c r="A13" s="631"/>
      <c r="B13" s="1413"/>
      <c r="C13" s="1414"/>
      <c r="D13" s="645"/>
      <c r="E13" s="1415" t="s">
        <v>12</v>
      </c>
      <c r="F13" s="1415"/>
      <c r="G13" s="1415"/>
      <c r="H13" s="1415"/>
      <c r="I13" s="1415"/>
      <c r="J13" s="1415"/>
      <c r="K13" s="1415"/>
      <c r="L13" s="1415"/>
      <c r="M13" s="1415"/>
      <c r="N13" s="1415"/>
      <c r="O13" s="1415"/>
      <c r="P13" s="1415"/>
      <c r="Q13" s="1415"/>
      <c r="R13" s="1415"/>
      <c r="S13" s="1415"/>
      <c r="T13" s="1415"/>
      <c r="U13" s="1415"/>
      <c r="V13" s="1415"/>
      <c r="W13" s="1415"/>
      <c r="X13" s="1415"/>
      <c r="Y13" s="633"/>
      <c r="Z13" s="634"/>
      <c r="AA13" s="635"/>
    </row>
    <row r="14" spans="1:27" ht="13.5" customHeight="1" x14ac:dyDescent="0.2">
      <c r="A14" s="631"/>
      <c r="B14" s="1411" t="s">
        <v>13</v>
      </c>
      <c r="C14" s="1412"/>
      <c r="D14" s="632"/>
      <c r="E14" s="672"/>
      <c r="F14" s="644"/>
      <c r="G14" s="644"/>
      <c r="H14" s="644"/>
      <c r="I14" s="644"/>
      <c r="J14" s="644"/>
      <c r="K14" s="644"/>
      <c r="L14" s="644"/>
      <c r="M14" s="644"/>
      <c r="N14" s="644"/>
      <c r="O14" s="644"/>
      <c r="P14" s="644"/>
      <c r="Q14" s="644"/>
      <c r="R14" s="644"/>
      <c r="S14" s="644"/>
      <c r="T14" s="644"/>
      <c r="U14" s="644"/>
      <c r="V14" s="644"/>
      <c r="W14" s="644"/>
      <c r="X14" s="644"/>
      <c r="Y14" s="633"/>
      <c r="Z14" s="634"/>
      <c r="AA14" s="635"/>
    </row>
    <row r="15" spans="1:27" ht="65.25" customHeight="1" x14ac:dyDescent="0.2">
      <c r="A15" s="631"/>
      <c r="B15" s="1413"/>
      <c r="C15" s="1416"/>
      <c r="D15" s="637"/>
      <c r="E15" s="1419" t="s">
        <v>14</v>
      </c>
      <c r="F15" s="1419"/>
      <c r="G15" s="1419"/>
      <c r="H15" s="1419"/>
      <c r="I15" s="1419"/>
      <c r="J15" s="1419"/>
      <c r="K15" s="1419"/>
      <c r="L15" s="1419"/>
      <c r="M15" s="1419"/>
      <c r="N15" s="1419"/>
      <c r="O15" s="1419"/>
      <c r="P15" s="1419"/>
      <c r="Q15" s="1419"/>
      <c r="R15" s="1419"/>
      <c r="S15" s="1419"/>
      <c r="T15" s="1419"/>
      <c r="U15" s="1419"/>
      <c r="V15" s="1419"/>
      <c r="W15" s="1419"/>
      <c r="X15" s="1419"/>
      <c r="Y15" s="633"/>
      <c r="Z15" s="634"/>
      <c r="AA15" s="635"/>
    </row>
    <row r="16" spans="1:27" ht="16.5" customHeight="1" x14ac:dyDescent="0.2">
      <c r="A16" s="631"/>
      <c r="B16" s="1417"/>
      <c r="C16" s="1418"/>
      <c r="D16" s="646"/>
      <c r="E16" s="673"/>
      <c r="F16" s="647"/>
      <c r="G16" s="647"/>
      <c r="H16" s="647"/>
      <c r="I16" s="647"/>
      <c r="J16" s="647"/>
      <c r="K16" s="647"/>
      <c r="L16" s="647"/>
      <c r="M16" s="647"/>
      <c r="N16" s="647"/>
      <c r="O16" s="647"/>
      <c r="P16" s="647"/>
      <c r="Q16" s="647"/>
      <c r="R16" s="647"/>
      <c r="S16" s="647"/>
      <c r="T16" s="647"/>
      <c r="U16" s="647"/>
      <c r="V16" s="647"/>
      <c r="W16" s="647"/>
      <c r="X16" s="647"/>
      <c r="Y16" s="648"/>
      <c r="Z16" s="634"/>
      <c r="AA16" s="649"/>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1A959-DFC6-1418-3463-763C8D5D08AE}">
  <sheetPr>
    <tabColor theme="6" tint="0.39997558519241921"/>
    <outlinePr summaryBelow="0" summaryRight="0"/>
    <pageSetUpPr fitToPage="1"/>
  </sheetPr>
  <dimension ref="A1:BF170"/>
  <sheetViews>
    <sheetView showGridLines="0" workbookViewId="0">
      <pane xSplit="30" ySplit="27" topLeftCell="AE96" activePane="bottomRight" state="frozen"/>
      <selection pane="topRight" activeCell="AE1" sqref="AE1"/>
      <selection pane="bottomLeft" activeCell="A28" sqref="A28"/>
      <selection pane="bottomRight" activeCell="AG103" sqref="AG103"/>
    </sheetView>
  </sheetViews>
  <sheetFormatPr defaultColWidth="9.140625" defaultRowHeight="11.25" customHeight="1" x14ac:dyDescent="0.15"/>
  <cols>
    <col min="1" max="1" width="6" style="973" hidden="1" customWidth="1"/>
    <col min="2" max="2" width="8.5703125" style="773" hidden="1" customWidth="1"/>
    <col min="3" max="4" width="3.5703125" style="1152" hidden="1" customWidth="1"/>
    <col min="5" max="5" width="8.42578125" style="772" hidden="1" customWidth="1"/>
    <col min="6" max="6" width="6.42578125" style="1152" hidden="1" customWidth="1"/>
    <col min="7" max="19" width="3.5703125" style="417" hidden="1" customWidth="1"/>
    <col min="20" max="20" width="8.42578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17" customWidth="1"/>
    <col min="28" max="28" width="9.140625" style="162" customWidth="1"/>
    <col min="29" max="29" width="61.28515625" style="162" customWidth="1"/>
    <col min="30" max="30" width="10.42578125" style="162" customWidth="1"/>
    <col min="31" max="35" width="13.140625" style="417" customWidth="1"/>
    <col min="36" max="44" width="13.140625" style="417" hidden="1" customWidth="1"/>
    <col min="45" max="45" width="13.140625" style="417" customWidth="1"/>
    <col min="46" max="54" width="13.140625" style="417" hidden="1" customWidth="1"/>
    <col min="55" max="55" width="20.140625" style="162" customWidth="1"/>
    <col min="56" max="56" width="3" style="417" customWidth="1"/>
    <col min="57" max="57" width="9.140625" style="417" hidden="1"/>
    <col min="58" max="58" width="9.140625" style="935" hidden="1"/>
  </cols>
  <sheetData>
    <row r="1" spans="1:58" s="1152" customFormat="1" ht="12" hidden="1" customHeight="1" x14ac:dyDescent="0.15">
      <c r="A1" s="973" t="b">
        <f>OR(T27:T164)</f>
        <v>1</v>
      </c>
      <c r="B1" s="659"/>
      <c r="E1" s="659"/>
      <c r="F1" s="690" t="s">
        <v>83</v>
      </c>
      <c r="G1" s="160"/>
      <c r="H1" s="160"/>
      <c r="I1" s="160"/>
      <c r="J1" s="160"/>
      <c r="K1" s="160"/>
      <c r="L1" s="160"/>
      <c r="M1" s="160"/>
      <c r="N1" s="160"/>
      <c r="O1" s="160"/>
      <c r="P1" s="160"/>
      <c r="Q1" s="160"/>
      <c r="R1" s="160"/>
      <c r="S1" s="160"/>
      <c r="T1" s="679" t="s">
        <v>86</v>
      </c>
      <c r="U1" s="679" t="s">
        <v>91</v>
      </c>
      <c r="V1" s="679" t="s">
        <v>87</v>
      </c>
      <c r="W1" s="679" t="s">
        <v>88</v>
      </c>
      <c r="X1" s="679" t="s">
        <v>89</v>
      </c>
      <c r="Y1" s="690" t="s">
        <v>374</v>
      </c>
      <c r="Z1" s="679" t="s">
        <v>93</v>
      </c>
      <c r="AA1" s="690" t="s">
        <v>90</v>
      </c>
      <c r="AB1" s="690" t="s">
        <v>92</v>
      </c>
      <c r="AC1" s="119"/>
      <c r="AD1" s="119"/>
      <c r="BC1" s="119"/>
      <c r="BF1" s="935" t="s">
        <v>375</v>
      </c>
    </row>
    <row r="2" spans="1:58" s="773" customFormat="1" ht="12" hidden="1" customHeight="1" x14ac:dyDescent="0.15">
      <c r="A2" s="981"/>
      <c r="B2" s="758" t="s">
        <v>15</v>
      </c>
      <c r="G2" s="776"/>
      <c r="H2" s="776"/>
      <c r="I2" s="776"/>
      <c r="J2" s="776"/>
      <c r="K2" s="776"/>
      <c r="L2" s="776"/>
      <c r="M2" s="776"/>
      <c r="N2" s="776"/>
      <c r="O2" s="776"/>
      <c r="P2" s="776"/>
      <c r="Q2" s="776"/>
      <c r="R2" s="776"/>
      <c r="S2" s="776"/>
      <c r="AB2" s="663"/>
      <c r="AC2" s="663"/>
      <c r="AD2" s="663"/>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63"/>
      <c r="BF2" s="982"/>
    </row>
    <row r="3" spans="1:58" s="1152" customFormat="1" ht="12" hidden="1" customHeight="1" x14ac:dyDescent="0.15">
      <c r="A3" s="973"/>
      <c r="B3" s="659"/>
      <c r="E3" s="659"/>
      <c r="G3" s="160"/>
      <c r="H3" s="160"/>
      <c r="I3" s="160"/>
      <c r="J3" s="160"/>
      <c r="K3" s="160"/>
      <c r="L3" s="160"/>
      <c r="M3" s="160"/>
      <c r="N3" s="160"/>
      <c r="O3" s="160"/>
      <c r="P3" s="160"/>
      <c r="Q3" s="160"/>
      <c r="R3" s="160"/>
      <c r="S3" s="160"/>
      <c r="AB3" s="119"/>
      <c r="AC3" s="119"/>
      <c r="AD3" s="119"/>
      <c r="BC3" s="119"/>
      <c r="BF3" s="935"/>
    </row>
    <row r="4" spans="1:58" s="1152" customFormat="1" ht="12" hidden="1" customHeight="1" x14ac:dyDescent="0.15">
      <c r="A4" s="973"/>
      <c r="B4" s="659"/>
      <c r="E4" s="659"/>
      <c r="G4" s="160"/>
      <c r="H4" s="160"/>
      <c r="I4" s="160"/>
      <c r="J4" s="160"/>
      <c r="K4" s="160"/>
      <c r="L4" s="160"/>
      <c r="M4" s="160"/>
      <c r="N4" s="160"/>
      <c r="O4" s="160"/>
      <c r="P4" s="160"/>
      <c r="Q4" s="160"/>
      <c r="R4" s="160"/>
      <c r="S4" s="160"/>
      <c r="AB4" s="119"/>
      <c r="AC4" s="119"/>
      <c r="AD4" s="119"/>
      <c r="BC4" s="119"/>
      <c r="BF4" s="935"/>
    </row>
    <row r="5" spans="1:58" s="772" customFormat="1" ht="12" hidden="1" customHeight="1" x14ac:dyDescent="0.15">
      <c r="A5" s="981"/>
      <c r="B5" s="659"/>
      <c r="C5" s="659"/>
      <c r="D5" s="659"/>
      <c r="E5" s="668" t="s">
        <v>16</v>
      </c>
      <c r="G5" s="777"/>
      <c r="H5" s="777"/>
      <c r="I5" s="777"/>
      <c r="J5" s="777"/>
      <c r="K5" s="777"/>
      <c r="L5" s="777"/>
      <c r="M5" s="777"/>
      <c r="N5" s="777"/>
      <c r="O5" s="777"/>
      <c r="P5" s="777"/>
      <c r="Q5" s="777"/>
      <c r="R5" s="777"/>
      <c r="S5" s="777"/>
      <c r="AA5" s="668">
        <v>3</v>
      </c>
      <c r="AB5" s="674">
        <v>9.1300000000000008</v>
      </c>
      <c r="AC5" s="674">
        <v>61.25</v>
      </c>
      <c r="AD5" s="674">
        <v>10.38</v>
      </c>
      <c r="AE5" s="668">
        <v>13.13</v>
      </c>
      <c r="AF5" s="668">
        <v>13.13</v>
      </c>
      <c r="AG5" s="668">
        <v>13.13</v>
      </c>
      <c r="AH5" s="668">
        <v>13.13</v>
      </c>
      <c r="AI5" s="668">
        <v>13.13</v>
      </c>
      <c r="AJ5" s="668">
        <v>13.13</v>
      </c>
      <c r="AK5" s="668">
        <v>13.13</v>
      </c>
      <c r="AL5" s="668">
        <v>13.13</v>
      </c>
      <c r="AM5" s="668">
        <v>13.13</v>
      </c>
      <c r="AN5" s="668">
        <v>13.13</v>
      </c>
      <c r="AO5" s="668">
        <v>13.13</v>
      </c>
      <c r="AP5" s="668">
        <v>13.13</v>
      </c>
      <c r="AQ5" s="668">
        <v>13.13</v>
      </c>
      <c r="AR5" s="668">
        <v>13.13</v>
      </c>
      <c r="AS5" s="668">
        <v>13.13</v>
      </c>
      <c r="AT5" s="668">
        <v>13.13</v>
      </c>
      <c r="AU5" s="668">
        <v>13.13</v>
      </c>
      <c r="AV5" s="668">
        <v>13.13</v>
      </c>
      <c r="AW5" s="668">
        <v>13.13</v>
      </c>
      <c r="AX5" s="668">
        <v>13.13</v>
      </c>
      <c r="AY5" s="668">
        <v>13.13</v>
      </c>
      <c r="AZ5" s="668">
        <v>13.13</v>
      </c>
      <c r="BA5" s="668">
        <v>13.13</v>
      </c>
      <c r="BB5" s="668">
        <v>13.13</v>
      </c>
      <c r="BC5" s="674">
        <v>20.13</v>
      </c>
      <c r="BD5" s="668">
        <v>3</v>
      </c>
      <c r="BF5" s="982"/>
    </row>
    <row r="6" spans="1:58" s="1152" customFormat="1" ht="12" hidden="1" customHeight="1" x14ac:dyDescent="0.15">
      <c r="A6" s="973"/>
      <c r="B6" s="659"/>
      <c r="E6" s="668"/>
      <c r="G6" s="160"/>
      <c r="H6" s="160"/>
      <c r="I6" s="160"/>
      <c r="J6" s="160"/>
      <c r="K6" s="160"/>
      <c r="L6" s="160"/>
      <c r="M6" s="160"/>
      <c r="N6" s="160"/>
      <c r="O6" s="160"/>
      <c r="P6" s="160"/>
      <c r="Q6" s="160"/>
      <c r="R6" s="160"/>
      <c r="S6" s="160"/>
      <c r="AB6" s="119"/>
      <c r="AC6" s="119"/>
      <c r="AD6" s="119"/>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C6" s="119"/>
      <c r="BF6" s="935"/>
    </row>
    <row r="7" spans="1:58" ht="12" hidden="1" customHeight="1" x14ac:dyDescent="0.15">
      <c r="F7" s="160"/>
      <c r="T7" s="160"/>
      <c r="U7" s="160"/>
      <c r="V7" s="160"/>
      <c r="W7" s="160"/>
      <c r="X7" s="160"/>
      <c r="Y7" s="160"/>
      <c r="Z7" s="160"/>
      <c r="AE7" s="160" t="str" cm="1">
        <f t="array" ref="AE7">AE26</f>
        <v>Принято органом регулирования</v>
      </c>
      <c r="AF7" s="160" t="str" cm="1">
        <f t="array" ref="AF7">AF26</f>
        <v>Факт по данным организации</v>
      </c>
      <c r="AG7" s="160" t="str" cm="1">
        <f t="array" ref="AG7">AG26</f>
        <v>Факт, принятый органом регулирования</v>
      </c>
      <c r="AH7" s="160" t="str" cm="1">
        <f t="array" ref="AH7">AH26</f>
        <v>Принято органом регулирования</v>
      </c>
      <c r="AI7" s="160" t="str" cm="1">
        <f t="array" ref="AI7">AI26</f>
        <v>Предложение организации</v>
      </c>
      <c r="AJ7" s="160" t="str" cm="1">
        <f t="array" ref="AJ7">AJ26</f>
        <v>Предложение организации</v>
      </c>
      <c r="AK7" s="160" t="str" cm="1">
        <f t="array" ref="AK7">AK26</f>
        <v>Предложение организации</v>
      </c>
      <c r="AL7" s="160" t="str" cm="1">
        <f t="array" ref="AL7">AL26</f>
        <v>Предложение организации</v>
      </c>
      <c r="AM7" s="160" t="str" cm="1">
        <f t="array" ref="AM7">AM26</f>
        <v>Предложение организации</v>
      </c>
      <c r="AN7" s="160" t="str" cm="1">
        <f t="array" ref="AN7">AN26</f>
        <v>Предложение организации</v>
      </c>
      <c r="AO7" s="160" t="str" cm="1">
        <f t="array" ref="AO7">AO26</f>
        <v>Предложение организации</v>
      </c>
      <c r="AP7" s="160" t="str" cm="1">
        <f t="array" ref="AP7">AP26</f>
        <v>Предложение организации</v>
      </c>
      <c r="AQ7" s="160" t="str" cm="1">
        <f t="array" ref="AQ7">AQ26</f>
        <v>Предложение организации</v>
      </c>
      <c r="AR7" s="160" t="str" cm="1">
        <f t="array" ref="AR7">AR26</f>
        <v>Предложение организации</v>
      </c>
      <c r="AS7" s="160" t="str" cm="1">
        <f t="array" ref="AS7">AS26</f>
        <v>Принято органом регулирования</v>
      </c>
      <c r="AT7" s="160" t="str" cm="1">
        <f t="array" ref="AT7">AT26</f>
        <v>Принято органом регулирования</v>
      </c>
      <c r="AU7" s="160" t="str" cm="1">
        <f t="array" ref="AU7">AU26</f>
        <v>Принято органом регулирования</v>
      </c>
      <c r="AV7" s="160" t="str" cm="1">
        <f t="array" ref="AV7">AV26</f>
        <v>Принято органом регулирования</v>
      </c>
      <c r="AW7" s="160" t="str" cm="1">
        <f t="array" ref="AW7">AW26</f>
        <v>Принято органом регулирования</v>
      </c>
      <c r="AX7" s="160" t="str" cm="1">
        <f t="array" ref="AX7">AX26</f>
        <v>Принято органом регулирования</v>
      </c>
      <c r="AY7" s="160" t="str" cm="1">
        <f t="array" ref="AY7">AY26</f>
        <v>Принято органом регулирования</v>
      </c>
      <c r="AZ7" s="160" t="str" cm="1">
        <f t="array" ref="AZ7">AZ26</f>
        <v>Принято органом регулирования</v>
      </c>
      <c r="BA7" s="160" t="str" cm="1">
        <f t="array" ref="BA7">BA26</f>
        <v>Принято органом регулирования</v>
      </c>
      <c r="BB7" s="160" t="str" cm="1">
        <f t="array" ref="BB7">BB26</f>
        <v>Принято органом регулирования</v>
      </c>
    </row>
    <row r="8" spans="1:58" ht="12" hidden="1" customHeight="1" x14ac:dyDescent="0.15">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58" s="1003" customFormat="1" ht="12" hidden="1" customHeight="1" x14ac:dyDescent="0.15">
      <c r="A9" s="948" t="s">
        <v>461</v>
      </c>
      <c r="B9" s="941"/>
      <c r="E9" s="941"/>
      <c r="AE9" s="949">
        <f>god-2</f>
        <v>2024</v>
      </c>
      <c r="AF9" s="949">
        <f>god-2</f>
        <v>2024</v>
      </c>
      <c r="AG9" s="949">
        <f>god-2</f>
        <v>2024</v>
      </c>
      <c r="AH9" s="949">
        <f>god-1</f>
        <v>2025</v>
      </c>
      <c r="AI9" s="949" cm="1">
        <f t="array" ref="AI9">god</f>
        <v>2026</v>
      </c>
      <c r="AJ9" s="949">
        <f>god+1</f>
        <v>2027</v>
      </c>
      <c r="AK9" s="949">
        <f>god+2</f>
        <v>2028</v>
      </c>
      <c r="AL9" s="949">
        <f>god+3</f>
        <v>2029</v>
      </c>
      <c r="AM9" s="949">
        <f>god+4</f>
        <v>2030</v>
      </c>
      <c r="AN9" s="949">
        <f>god+5</f>
        <v>2031</v>
      </c>
      <c r="AO9" s="949">
        <f>god+6</f>
        <v>2032</v>
      </c>
      <c r="AP9" s="949">
        <f>god+7</f>
        <v>2033</v>
      </c>
      <c r="AQ9" s="949">
        <f>god+8</f>
        <v>2034</v>
      </c>
      <c r="AR9" s="949">
        <f>god+9</f>
        <v>2035</v>
      </c>
      <c r="AS9" s="949" cm="1">
        <f t="array" ref="AS9">god</f>
        <v>2026</v>
      </c>
      <c r="AT9" s="949">
        <f>god+1</f>
        <v>2027</v>
      </c>
      <c r="AU9" s="949">
        <f>god+2</f>
        <v>2028</v>
      </c>
      <c r="AV9" s="949">
        <f>god+3</f>
        <v>2029</v>
      </c>
      <c r="AW9" s="949">
        <f>god+4</f>
        <v>2030</v>
      </c>
      <c r="AX9" s="949">
        <f>god+5</f>
        <v>2031</v>
      </c>
      <c r="AY9" s="949">
        <f>god+6</f>
        <v>2032</v>
      </c>
      <c r="AZ9" s="949">
        <f>god+7</f>
        <v>2033</v>
      </c>
      <c r="BA9" s="949">
        <f>god+8</f>
        <v>2034</v>
      </c>
      <c r="BB9" s="949">
        <f>god+9</f>
        <v>2035</v>
      </c>
      <c r="BF9" s="948"/>
    </row>
    <row r="10" spans="1:58" s="1003" customFormat="1" ht="12" hidden="1" customHeight="1" x14ac:dyDescent="0.15">
      <c r="A10" s="948" t="s">
        <v>462</v>
      </c>
      <c r="B10" s="941"/>
      <c r="E10" s="941"/>
      <c r="AE10" s="949" t="str" cm="1">
        <f t="array" ref="AE10">AE26</f>
        <v>Принято органом регулирования</v>
      </c>
      <c r="AF10" s="949" t="str" cm="1">
        <f t="array" ref="AF10">AF26</f>
        <v>Факт по данным организации</v>
      </c>
      <c r="AG10" s="949" t="str" cm="1">
        <f t="array" ref="AG10">AG26</f>
        <v>Факт, принятый органом регулирования</v>
      </c>
      <c r="AH10" s="949" t="str" cm="1">
        <f t="array" ref="AH10">AH26</f>
        <v>Принято органом регулирования</v>
      </c>
      <c r="AI10" s="949" t="str" cm="1">
        <f t="array" ref="AI10">AI26</f>
        <v>Предложение организации</v>
      </c>
      <c r="AJ10" s="949" t="str" cm="1">
        <f t="array" ref="AJ10">AJ26</f>
        <v>Предложение организации</v>
      </c>
      <c r="AK10" s="949" t="str" cm="1">
        <f t="array" ref="AK10">AK26</f>
        <v>Предложение организации</v>
      </c>
      <c r="AL10" s="949" t="str" cm="1">
        <f t="array" ref="AL10">AL26</f>
        <v>Предложение организации</v>
      </c>
      <c r="AM10" s="949" t="str" cm="1">
        <f t="array" ref="AM10">AM26</f>
        <v>Предложение организации</v>
      </c>
      <c r="AN10" s="949" t="str" cm="1">
        <f t="array" ref="AN10">AN26</f>
        <v>Предложение организации</v>
      </c>
      <c r="AO10" s="949" t="str" cm="1">
        <f t="array" ref="AO10">AO26</f>
        <v>Предложение организации</v>
      </c>
      <c r="AP10" s="949" t="str" cm="1">
        <f t="array" ref="AP10">AP26</f>
        <v>Предложение организации</v>
      </c>
      <c r="AQ10" s="949" t="str" cm="1">
        <f t="array" ref="AQ10">AQ26</f>
        <v>Предложение организации</v>
      </c>
      <c r="AR10" s="949" t="str" cm="1">
        <f t="array" ref="AR10">AR26</f>
        <v>Предложение организации</v>
      </c>
      <c r="AS10" s="949" t="str" cm="1">
        <f t="array" ref="AS10">AS26</f>
        <v>Принято органом регулирования</v>
      </c>
      <c r="AT10" s="949" t="str" cm="1">
        <f t="array" ref="AT10">AT26</f>
        <v>Принято органом регулирования</v>
      </c>
      <c r="AU10" s="949" t="str" cm="1">
        <f t="array" ref="AU10">AU26</f>
        <v>Принято органом регулирования</v>
      </c>
      <c r="AV10" s="949" t="str" cm="1">
        <f t="array" ref="AV10">AV26</f>
        <v>Принято органом регулирования</v>
      </c>
      <c r="AW10" s="949" t="str" cm="1">
        <f t="array" ref="AW10">AW26</f>
        <v>Принято органом регулирования</v>
      </c>
      <c r="AX10" s="949" t="str" cm="1">
        <f t="array" ref="AX10">AX26</f>
        <v>Принято органом регулирования</v>
      </c>
      <c r="AY10" s="949" t="str" cm="1">
        <f t="array" ref="AY10">AY26</f>
        <v>Принято органом регулирования</v>
      </c>
      <c r="AZ10" s="949" t="str" cm="1">
        <f t="array" ref="AZ10">AZ26</f>
        <v>Принято органом регулирования</v>
      </c>
      <c r="BA10" s="949" t="str" cm="1">
        <f t="array" ref="BA10">BA26</f>
        <v>Принято органом регулирования</v>
      </c>
      <c r="BB10" s="949" t="str" cm="1">
        <f t="array" ref="BB10">BB26</f>
        <v>Принято органом регулирования</v>
      </c>
      <c r="BF10" s="948"/>
    </row>
    <row r="11" spans="1:58" s="1003" customFormat="1" ht="12" hidden="1" customHeight="1" x14ac:dyDescent="0.15">
      <c r="A11" s="948" t="s">
        <v>463</v>
      </c>
      <c r="B11" s="941"/>
      <c r="E11" s="941"/>
      <c r="G11" s="957"/>
      <c r="H11" s="957"/>
      <c r="I11" s="957"/>
      <c r="J11" s="957"/>
      <c r="K11" s="957"/>
      <c r="L11" s="957"/>
      <c r="M11" s="957"/>
      <c r="N11" s="957"/>
      <c r="O11" s="957"/>
      <c r="P11" s="957"/>
      <c r="Q11" s="957"/>
      <c r="R11" s="957"/>
      <c r="S11" s="957"/>
      <c r="AB11" s="951"/>
      <c r="AC11" s="951"/>
      <c r="AD11" s="951"/>
      <c r="BC11" s="951" t="str" cm="1">
        <f t="array" ref="BC11">BC25</f>
        <v>Ссылка на правовую норму (основание для принятия показателя в расчет тарифа)</v>
      </c>
      <c r="BF11" s="948"/>
    </row>
    <row r="12" spans="1:58" s="1152" customFormat="1" ht="12" hidden="1" customHeight="1" x14ac:dyDescent="0.15">
      <c r="A12" s="973"/>
      <c r="B12" s="659"/>
      <c r="E12" s="668"/>
      <c r="G12" s="160"/>
      <c r="H12" s="160"/>
      <c r="I12" s="160"/>
      <c r="J12" s="160"/>
      <c r="K12" s="160"/>
      <c r="L12" s="160"/>
      <c r="M12" s="160"/>
      <c r="N12" s="160"/>
      <c r="O12" s="160"/>
      <c r="P12" s="160"/>
      <c r="Q12" s="160"/>
      <c r="R12" s="160"/>
      <c r="S12" s="160"/>
      <c r="AB12" s="119"/>
      <c r="AC12" s="119"/>
      <c r="AD12" s="119"/>
      <c r="BC12" s="119"/>
      <c r="BF12" s="935"/>
    </row>
    <row r="13" spans="1:58" s="1152" customFormat="1" ht="12" hidden="1" customHeight="1" x14ac:dyDescent="0.15">
      <c r="A13" s="973"/>
      <c r="B13" s="659"/>
      <c r="E13" s="668"/>
      <c r="G13" s="160"/>
      <c r="H13" s="160"/>
      <c r="I13" s="160"/>
      <c r="J13" s="160"/>
      <c r="K13" s="160"/>
      <c r="L13" s="160"/>
      <c r="M13" s="160"/>
      <c r="N13" s="160"/>
      <c r="O13" s="160"/>
      <c r="P13" s="160"/>
      <c r="Q13" s="160"/>
      <c r="R13" s="160"/>
      <c r="S13" s="160"/>
      <c r="AB13" s="119"/>
      <c r="AC13" s="119"/>
      <c r="AD13" s="119"/>
      <c r="BC13" s="119"/>
      <c r="BF13" s="935"/>
    </row>
    <row r="14" spans="1:58" s="1152" customFormat="1" ht="12" hidden="1" customHeight="1" x14ac:dyDescent="0.15">
      <c r="A14" s="973"/>
      <c r="B14" s="659"/>
      <c r="E14" s="668"/>
      <c r="G14" s="160"/>
      <c r="H14" s="160"/>
      <c r="I14" s="160"/>
      <c r="J14" s="160"/>
      <c r="K14" s="160"/>
      <c r="L14" s="160"/>
      <c r="M14" s="160"/>
      <c r="N14" s="160"/>
      <c r="O14" s="160"/>
      <c r="P14" s="160"/>
      <c r="Q14" s="160"/>
      <c r="R14" s="160"/>
      <c r="S14" s="160"/>
      <c r="AB14" s="119"/>
      <c r="AC14" s="119"/>
      <c r="BC14" s="119"/>
      <c r="BF14" s="935"/>
    </row>
    <row r="15" spans="1:58" s="1152" customFormat="1" ht="12" hidden="1" customHeight="1" x14ac:dyDescent="0.15">
      <c r="A15" s="973"/>
      <c r="B15" s="659"/>
      <c r="E15" s="668"/>
      <c r="G15" s="160"/>
      <c r="H15" s="160"/>
      <c r="I15" s="160"/>
      <c r="J15" s="160"/>
      <c r="K15" s="160"/>
      <c r="L15" s="160"/>
      <c r="M15" s="160"/>
      <c r="N15" s="160"/>
      <c r="O15" s="160"/>
      <c r="P15" s="160"/>
      <c r="Q15" s="160"/>
      <c r="R15" s="160"/>
      <c r="S15" s="160"/>
      <c r="AB15" s="119"/>
      <c r="AC15" s="119"/>
      <c r="AD15" s="119"/>
      <c r="BC15" s="119"/>
      <c r="BF15" s="935"/>
    </row>
    <row r="16" spans="1:58" s="1152" customFormat="1" ht="12" hidden="1" customHeight="1" x14ac:dyDescent="0.15">
      <c r="A16" s="973"/>
      <c r="B16" s="659"/>
      <c r="E16" s="668"/>
      <c r="G16" s="160"/>
      <c r="H16" s="160"/>
      <c r="I16" s="160"/>
      <c r="J16" s="160"/>
      <c r="K16" s="160"/>
      <c r="L16" s="160"/>
      <c r="M16" s="160"/>
      <c r="N16" s="160"/>
      <c r="O16" s="160"/>
      <c r="P16" s="160"/>
      <c r="Q16" s="160"/>
      <c r="R16" s="160"/>
      <c r="S16" s="160"/>
      <c r="AB16" s="119"/>
      <c r="AC16" s="119"/>
      <c r="AD16" s="119"/>
      <c r="BC16" s="119"/>
      <c r="BF16" s="935"/>
    </row>
    <row r="17" spans="1:58" s="1152" customFormat="1" ht="12" hidden="1" customHeight="1" x14ac:dyDescent="0.15">
      <c r="A17" s="973"/>
      <c r="B17" s="659"/>
      <c r="E17" s="668"/>
      <c r="G17" s="160"/>
      <c r="H17" s="160"/>
      <c r="I17" s="160"/>
      <c r="J17" s="160"/>
      <c r="K17" s="160"/>
      <c r="L17" s="160"/>
      <c r="M17" s="160"/>
      <c r="N17" s="160"/>
      <c r="O17" s="160"/>
      <c r="P17" s="160"/>
      <c r="Q17" s="160"/>
      <c r="R17" s="160"/>
      <c r="S17" s="160"/>
      <c r="AB17" s="119"/>
      <c r="AC17" s="119"/>
      <c r="AD17" s="119"/>
      <c r="BC17" s="119"/>
      <c r="BF17" s="935"/>
    </row>
    <row r="18" spans="1:58" s="1152" customFormat="1" ht="12" hidden="1" customHeight="1" x14ac:dyDescent="0.15">
      <c r="A18" s="973"/>
      <c r="B18" s="659"/>
      <c r="E18" s="668"/>
      <c r="G18" s="160"/>
      <c r="H18" s="160"/>
      <c r="I18" s="160"/>
      <c r="J18" s="160"/>
      <c r="K18" s="160"/>
      <c r="L18" s="160"/>
      <c r="M18" s="160"/>
      <c r="N18" s="160"/>
      <c r="O18" s="160"/>
      <c r="P18" s="160"/>
      <c r="Q18" s="160"/>
      <c r="R18" s="160"/>
      <c r="S18" s="160"/>
      <c r="AB18" s="119"/>
      <c r="AC18" s="119"/>
      <c r="AD18" s="119"/>
      <c r="BC18" s="119"/>
      <c r="BF18" s="935"/>
    </row>
    <row r="19" spans="1:58" s="1152" customFormat="1" ht="12" hidden="1" customHeight="1" x14ac:dyDescent="0.15">
      <c r="A19" s="973"/>
      <c r="B19" s="659"/>
      <c r="E19" s="668"/>
      <c r="G19" s="160"/>
      <c r="H19" s="160"/>
      <c r="I19" s="160"/>
      <c r="J19" s="160"/>
      <c r="K19" s="160"/>
      <c r="L19" s="160"/>
      <c r="M19" s="160"/>
      <c r="N19" s="160"/>
      <c r="O19" s="160"/>
      <c r="P19" s="160"/>
      <c r="Q19" s="160"/>
      <c r="R19" s="160"/>
      <c r="S19" s="160"/>
      <c r="AB19" s="119"/>
      <c r="AC19" s="119"/>
      <c r="AD19" s="119"/>
      <c r="BC19" s="119"/>
      <c r="BF19" s="935"/>
    </row>
    <row r="20" spans="1:58" s="1152" customFormat="1" ht="12" hidden="1" customHeight="1" x14ac:dyDescent="0.15">
      <c r="A20" s="973"/>
      <c r="B20" s="659"/>
      <c r="E20" s="668"/>
      <c r="G20" s="160"/>
      <c r="H20" s="160"/>
      <c r="I20" s="160"/>
      <c r="J20" s="160"/>
      <c r="K20" s="160"/>
      <c r="L20" s="160"/>
      <c r="M20" s="160"/>
      <c r="N20" s="160"/>
      <c r="O20" s="160"/>
      <c r="P20" s="160"/>
      <c r="Q20" s="160"/>
      <c r="R20" s="160"/>
      <c r="S20" s="160"/>
      <c r="AB20" s="119"/>
      <c r="AC20" s="119"/>
      <c r="AD20" s="119"/>
      <c r="BC20" s="119"/>
      <c r="BF20" s="935"/>
    </row>
    <row r="21" spans="1:58" ht="14.65" customHeight="1" x14ac:dyDescent="0.15">
      <c r="E21" s="668">
        <v>15</v>
      </c>
      <c r="AA21" s="691"/>
      <c r="AC21" s="335" t="str" cm="1">
        <f t="array" ref="AC21">tpl_title</f>
        <v>Кемеровская область / 2026 / ООО ХК "СДС - Энерго" (ИНН:4250003450, КПП:420501001) / ДПР: 2024-2028</v>
      </c>
    </row>
    <row r="22" spans="1:58" s="804" customFormat="1" ht="19.5" customHeight="1" x14ac:dyDescent="0.15">
      <c r="A22" s="335"/>
      <c r="B22" s="659"/>
      <c r="C22" s="126"/>
      <c r="D22" s="126"/>
      <c r="E22" s="668">
        <v>20.100000000000001</v>
      </c>
      <c r="F22" s="126"/>
      <c r="T22" s="126"/>
      <c r="U22" s="126"/>
      <c r="V22" s="126"/>
      <c r="W22" s="126"/>
      <c r="X22" s="126"/>
      <c r="Y22" s="126"/>
      <c r="Z22" s="126"/>
      <c r="AB22" s="324" t="s">
        <v>33</v>
      </c>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F22" s="983"/>
    </row>
    <row r="23" spans="1:58" ht="11.1" customHeight="1" x14ac:dyDescent="0.15">
      <c r="E23" s="668">
        <v>11.3</v>
      </c>
    </row>
    <row r="24" spans="1:58" s="804" customFormat="1" ht="14.65" customHeight="1" x14ac:dyDescent="0.15">
      <c r="A24" s="335"/>
      <c r="B24" s="659"/>
      <c r="C24" s="126"/>
      <c r="D24" s="126"/>
      <c r="E24" s="668">
        <v>15</v>
      </c>
      <c r="F24" s="126"/>
      <c r="T24" s="126"/>
      <c r="U24" s="126"/>
      <c r="V24" s="126"/>
      <c r="W24" s="126"/>
      <c r="X24" s="126"/>
      <c r="Y24" s="126"/>
      <c r="Z24" s="126"/>
      <c r="AB24" s="1495" t="s">
        <v>617</v>
      </c>
      <c r="AC24" s="1495"/>
      <c r="AD24" s="1495"/>
      <c r="AE24" s="1495"/>
      <c r="AF24" s="1495"/>
      <c r="AG24" s="1495"/>
      <c r="AH24" s="1495"/>
      <c r="AI24" s="1495"/>
      <c r="AJ24" s="1495"/>
      <c r="AK24" s="1495"/>
      <c r="AL24" s="1495"/>
      <c r="AM24" s="1495"/>
      <c r="AN24" s="1495"/>
      <c r="AO24" s="1495"/>
      <c r="AP24" s="1495"/>
      <c r="AQ24" s="1495"/>
      <c r="AR24" s="1495"/>
      <c r="AS24" s="1495"/>
      <c r="AT24" s="1495"/>
      <c r="AU24" s="1495"/>
      <c r="AV24" s="1495"/>
      <c r="AW24" s="1495"/>
      <c r="AX24" s="1495"/>
      <c r="AY24" s="1495"/>
      <c r="AZ24" s="1495"/>
      <c r="BA24" s="1495"/>
      <c r="BB24" s="1495"/>
      <c r="BC24" s="1495"/>
      <c r="BF24" s="983"/>
    </row>
    <row r="25" spans="1:58" s="162" customFormat="1" ht="14.65" customHeight="1" x14ac:dyDescent="0.15">
      <c r="A25" s="273"/>
      <c r="B25" s="663"/>
      <c r="C25" s="119"/>
      <c r="D25" s="119"/>
      <c r="E25" s="674">
        <v>15</v>
      </c>
      <c r="F25" s="119"/>
      <c r="T25" s="119"/>
      <c r="U25" s="119"/>
      <c r="V25" s="126"/>
      <c r="W25" s="119"/>
      <c r="X25" s="119"/>
      <c r="Y25" s="119"/>
      <c r="Z25" s="119"/>
      <c r="AB25" s="1497" t="s">
        <v>388</v>
      </c>
      <c r="AC25" s="1498" t="s">
        <v>464</v>
      </c>
      <c r="AD25" s="1490" t="s">
        <v>465</v>
      </c>
      <c r="AE25" s="342" t="str">
        <f>god-2&amp;" год"</f>
        <v>2024 год</v>
      </c>
      <c r="AF25" s="1136" t="str">
        <f>god-2&amp;" год"</f>
        <v>2024 год</v>
      </c>
      <c r="AG25" s="342" t="str">
        <f>god-2&amp;" год"</f>
        <v>2024 год</v>
      </c>
      <c r="AH25" s="122" t="str">
        <f>god-1&amp;" год"</f>
        <v>2025 год</v>
      </c>
      <c r="AI25" s="1131" t="str">
        <f>god&amp;" год"</f>
        <v>2026 год</v>
      </c>
      <c r="AJ25" s="1131" t="str">
        <f>god+1&amp;" год"</f>
        <v>2027 год</v>
      </c>
      <c r="AK25" s="1131" t="str">
        <f>god+2&amp;" год"</f>
        <v>2028 год</v>
      </c>
      <c r="AL25" s="1131" t="str">
        <f>god+3&amp;" год"</f>
        <v>2029 год</v>
      </c>
      <c r="AM25" s="1131" t="str">
        <f>god+4&amp;" год"</f>
        <v>2030 год</v>
      </c>
      <c r="AN25" s="1131" t="str">
        <f>god+5&amp;" год"</f>
        <v>2031 год</v>
      </c>
      <c r="AO25" s="1131" t="str">
        <f>god+6&amp;" год"</f>
        <v>2032 год</v>
      </c>
      <c r="AP25" s="1131" t="str">
        <f>god+7&amp;" год"</f>
        <v>2033 год</v>
      </c>
      <c r="AQ25" s="1131" t="str">
        <f>god+8&amp;" год"</f>
        <v>2034 год</v>
      </c>
      <c r="AR25" s="1131" t="str">
        <f>god+9&amp;" год"</f>
        <v>2035 год</v>
      </c>
      <c r="AS25" s="118" t="str">
        <f>god&amp;" год"</f>
        <v>2026 год</v>
      </c>
      <c r="AT25" s="118" t="str">
        <f>god+1&amp;" год"</f>
        <v>2027 год</v>
      </c>
      <c r="AU25" s="118" t="str">
        <f>god+2&amp;" год"</f>
        <v>2028 год</v>
      </c>
      <c r="AV25" s="118" t="str">
        <f>god+3&amp;" год"</f>
        <v>2029 год</v>
      </c>
      <c r="AW25" s="118" t="str">
        <f>god+4&amp;" год"</f>
        <v>2030 год</v>
      </c>
      <c r="AX25" s="118" t="str">
        <f>god+5&amp;" год"</f>
        <v>2031 год</v>
      </c>
      <c r="AY25" s="118" t="str">
        <f>god+6&amp;" год"</f>
        <v>2032 год</v>
      </c>
      <c r="AZ25" s="118" t="str">
        <f>god+7&amp;" год"</f>
        <v>2033 год</v>
      </c>
      <c r="BA25" s="118" t="str">
        <f>god+8&amp;" год"</f>
        <v>2034 год</v>
      </c>
      <c r="BB25" s="118" t="str">
        <f>god+9&amp;" год"</f>
        <v>2035 год</v>
      </c>
      <c r="BC25" s="1496" t="s">
        <v>618</v>
      </c>
      <c r="BF25" s="935"/>
    </row>
    <row r="26" spans="1:58" s="162" customFormat="1" ht="68.099999999999994" customHeight="1" x14ac:dyDescent="0.15">
      <c r="A26" s="273"/>
      <c r="B26" s="663"/>
      <c r="C26" s="119"/>
      <c r="D26" s="119"/>
      <c r="E26" s="674">
        <v>69.900000000000006</v>
      </c>
      <c r="F26" s="119"/>
      <c r="T26" s="119"/>
      <c r="U26" s="119"/>
      <c r="V26" s="126"/>
      <c r="W26" s="119"/>
      <c r="X26" s="119"/>
      <c r="Y26" s="119"/>
      <c r="Z26" s="119"/>
      <c r="AB26" s="1497"/>
      <c r="AC26" s="1499"/>
      <c r="AD26" s="1490"/>
      <c r="AE26" s="118" t="s">
        <v>404</v>
      </c>
      <c r="AF26" s="1131" t="s">
        <v>619</v>
      </c>
      <c r="AG26" s="118" t="s">
        <v>620</v>
      </c>
      <c r="AH26" s="118" t="s">
        <v>404</v>
      </c>
      <c r="AI26" s="1132" t="s">
        <v>405</v>
      </c>
      <c r="AJ26" s="1132" t="s">
        <v>405</v>
      </c>
      <c r="AK26" s="1132" t="s">
        <v>405</v>
      </c>
      <c r="AL26" s="1132" t="s">
        <v>405</v>
      </c>
      <c r="AM26" s="1132" t="s">
        <v>405</v>
      </c>
      <c r="AN26" s="1132" t="s">
        <v>405</v>
      </c>
      <c r="AO26" s="1132" t="s">
        <v>405</v>
      </c>
      <c r="AP26" s="1132" t="s">
        <v>405</v>
      </c>
      <c r="AQ26" s="1132" t="s">
        <v>405</v>
      </c>
      <c r="AR26" s="1132" t="s">
        <v>405</v>
      </c>
      <c r="AS26" s="343" t="s">
        <v>404</v>
      </c>
      <c r="AT26" s="343" t="s">
        <v>404</v>
      </c>
      <c r="AU26" s="343" t="s">
        <v>404</v>
      </c>
      <c r="AV26" s="343" t="s">
        <v>404</v>
      </c>
      <c r="AW26" s="343" t="s">
        <v>404</v>
      </c>
      <c r="AX26" s="343" t="s">
        <v>404</v>
      </c>
      <c r="AY26" s="343" t="s">
        <v>404</v>
      </c>
      <c r="AZ26" s="343" t="s">
        <v>404</v>
      </c>
      <c r="BA26" s="343" t="s">
        <v>404</v>
      </c>
      <c r="BB26" s="343" t="s">
        <v>404</v>
      </c>
      <c r="BC26" s="1496"/>
      <c r="BF26" s="935"/>
    </row>
    <row r="27" spans="1:58" s="162" customFormat="1" ht="69.75" hidden="1" customHeight="1" x14ac:dyDescent="0.15">
      <c r="A27" s="273"/>
      <c r="B27" s="663"/>
      <c r="C27" s="119"/>
      <c r="D27" s="119"/>
      <c r="E27" s="674">
        <v>0</v>
      </c>
      <c r="F27" s="119"/>
      <c r="T27" s="119"/>
      <c r="U27" s="119"/>
      <c r="V27" s="126"/>
      <c r="W27" s="119"/>
      <c r="X27" s="119"/>
      <c r="Y27" s="119"/>
      <c r="Z27" s="119"/>
      <c r="AB27" s="439"/>
      <c r="AC27" s="438"/>
      <c r="AD27" s="312"/>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F27" s="935"/>
    </row>
    <row r="28" spans="1:58" ht="11.1" hidden="1" customHeight="1" x14ac:dyDescent="0.15">
      <c r="E28" s="668">
        <v>11.4</v>
      </c>
      <c r="F28" s="769" cm="1">
        <f t="array" ref="F28">X28</f>
        <v>0</v>
      </c>
      <c r="G28" s="160" cm="1">
        <f t="array" ref="G28">INDEX('Общие сведения'!$AL$169:$AL$202,MATCH($F28,'Общие сведения'!$Z$169:$Z$202,0))</f>
        <v>0</v>
      </c>
      <c r="H28" s="160" cm="1">
        <f t="array" ref="H28">INDEX('Общие сведения'!$AK$169:$AK$202,MATCH($F28,'Общие сведения'!$Z$169:$Z$202,0))</f>
        <v>0</v>
      </c>
      <c r="T28" s="679" t="b">
        <f>AND(X28&gt;0,G28&lt;&gt;"передача тепловой энергии")</f>
        <v>0</v>
      </c>
      <c r="V28" s="123" t="s">
        <v>313</v>
      </c>
      <c r="X28" s="1485">
        <v>0</v>
      </c>
      <c r="Z28" s="1485"/>
      <c r="AB28" s="390" t="str" cm="1">
        <f t="array" ref="AB28">INDEX('Общие сведения'!$AG$169:$AG$202,MATCH($F28,'Общие сведения'!$Z$169:$Z$202,0))</f>
        <v xml:space="preserve">Тариф 0 (Теплоснабжение) - </v>
      </c>
      <c r="AC28" s="210"/>
      <c r="AD28" s="210"/>
      <c r="AE28" s="210"/>
      <c r="AF28" s="210"/>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row>
    <row r="29" spans="1:58" ht="16.7" hidden="1" customHeight="1" x14ac:dyDescent="0.15">
      <c r="E29" s="668">
        <v>17.100000000000001</v>
      </c>
      <c r="F29" s="769" cm="1">
        <f t="array" aca="1" ref="F29" ca="1">OFFSET(G29,-1,-1)</f>
        <v>0</v>
      </c>
      <c r="T29" s="679" t="b" cm="1">
        <f t="array" ref="T29">T28</f>
        <v>0</v>
      </c>
      <c r="X29" s="1485"/>
      <c r="Z29" s="1485"/>
      <c r="AB29" s="268" t="s">
        <v>339</v>
      </c>
      <c r="AC29" s="111" t="s">
        <v>621</v>
      </c>
      <c r="AD29" s="117" t="s">
        <v>622</v>
      </c>
      <c r="AE29" s="305">
        <f t="shared" ref="AE29:BB29" si="2">AE30+AE33+AE36</f>
        <v>0</v>
      </c>
      <c r="AF29" s="305">
        <f t="shared" si="2"/>
        <v>0</v>
      </c>
      <c r="AG29" s="305">
        <f t="shared" si="2"/>
        <v>0</v>
      </c>
      <c r="AH29" s="305">
        <f t="shared" si="2"/>
        <v>0</v>
      </c>
      <c r="AI29" s="305">
        <f t="shared" si="2"/>
        <v>0</v>
      </c>
      <c r="AJ29" s="305">
        <f t="shared" si="2"/>
        <v>0</v>
      </c>
      <c r="AK29" s="305">
        <f t="shared" si="2"/>
        <v>0</v>
      </c>
      <c r="AL29" s="305">
        <f t="shared" si="2"/>
        <v>0</v>
      </c>
      <c r="AM29" s="305">
        <f t="shared" si="2"/>
        <v>0</v>
      </c>
      <c r="AN29" s="305">
        <f t="shared" si="2"/>
        <v>0</v>
      </c>
      <c r="AO29" s="305">
        <f t="shared" si="2"/>
        <v>0</v>
      </c>
      <c r="AP29" s="305">
        <f t="shared" si="2"/>
        <v>0</v>
      </c>
      <c r="AQ29" s="305">
        <f t="shared" si="2"/>
        <v>0</v>
      </c>
      <c r="AR29" s="305">
        <f t="shared" si="2"/>
        <v>0</v>
      </c>
      <c r="AS29" s="305">
        <f t="shared" si="2"/>
        <v>0</v>
      </c>
      <c r="AT29" s="305">
        <f t="shared" si="2"/>
        <v>0</v>
      </c>
      <c r="AU29" s="305">
        <f t="shared" si="2"/>
        <v>0</v>
      </c>
      <c r="AV29" s="305">
        <f t="shared" si="2"/>
        <v>0</v>
      </c>
      <c r="AW29" s="305">
        <f t="shared" si="2"/>
        <v>0</v>
      </c>
      <c r="AX29" s="305">
        <f t="shared" si="2"/>
        <v>0</v>
      </c>
      <c r="AY29" s="305">
        <f t="shared" si="2"/>
        <v>0</v>
      </c>
      <c r="AZ29" s="305">
        <f t="shared" si="2"/>
        <v>0</v>
      </c>
      <c r="BA29" s="305">
        <f t="shared" si="2"/>
        <v>0</v>
      </c>
      <c r="BB29" s="305">
        <f t="shared" si="2"/>
        <v>0</v>
      </c>
      <c r="BC29" s="25"/>
      <c r="BF29" s="984" t="s">
        <v>623</v>
      </c>
    </row>
    <row r="30" spans="1:58" ht="16.7" hidden="1" customHeight="1" x14ac:dyDescent="0.15">
      <c r="E30" s="668">
        <v>17.100000000000001</v>
      </c>
      <c r="F30" s="769" cm="1">
        <f t="array" aca="1" ref="F30" ca="1">OFFSET(G30,-1,-1)</f>
        <v>0</v>
      </c>
      <c r="T30" s="679" t="b" cm="1">
        <f t="array" ref="T30">T29</f>
        <v>0</v>
      </c>
      <c r="X30" s="1485"/>
      <c r="Z30" s="1485"/>
      <c r="AB30" s="105" t="str">
        <f>AB29&amp;".1"</f>
        <v>1.1</v>
      </c>
      <c r="AC30" s="112" t="s">
        <v>624</v>
      </c>
      <c r="AD30" s="117" t="s">
        <v>622</v>
      </c>
      <c r="AE30" s="305">
        <f t="shared" ref="AE30:BB30" si="3">AE31+AE32</f>
        <v>0</v>
      </c>
      <c r="AF30" s="305">
        <f t="shared" si="3"/>
        <v>0</v>
      </c>
      <c r="AG30" s="305">
        <f t="shared" si="3"/>
        <v>0</v>
      </c>
      <c r="AH30" s="305">
        <f t="shared" si="3"/>
        <v>0</v>
      </c>
      <c r="AI30" s="305">
        <f t="shared" si="3"/>
        <v>0</v>
      </c>
      <c r="AJ30" s="305">
        <f t="shared" si="3"/>
        <v>0</v>
      </c>
      <c r="AK30" s="305">
        <f t="shared" si="3"/>
        <v>0</v>
      </c>
      <c r="AL30" s="305">
        <f t="shared" si="3"/>
        <v>0</v>
      </c>
      <c r="AM30" s="305">
        <f t="shared" si="3"/>
        <v>0</v>
      </c>
      <c r="AN30" s="305">
        <f t="shared" si="3"/>
        <v>0</v>
      </c>
      <c r="AO30" s="305">
        <f t="shared" si="3"/>
        <v>0</v>
      </c>
      <c r="AP30" s="305">
        <f t="shared" si="3"/>
        <v>0</v>
      </c>
      <c r="AQ30" s="305">
        <f t="shared" si="3"/>
        <v>0</v>
      </c>
      <c r="AR30" s="305">
        <f t="shared" si="3"/>
        <v>0</v>
      </c>
      <c r="AS30" s="305">
        <f t="shared" si="3"/>
        <v>0</v>
      </c>
      <c r="AT30" s="305">
        <f t="shared" si="3"/>
        <v>0</v>
      </c>
      <c r="AU30" s="305">
        <f t="shared" si="3"/>
        <v>0</v>
      </c>
      <c r="AV30" s="305">
        <f t="shared" si="3"/>
        <v>0</v>
      </c>
      <c r="AW30" s="305">
        <f t="shared" si="3"/>
        <v>0</v>
      </c>
      <c r="AX30" s="305">
        <f t="shared" si="3"/>
        <v>0</v>
      </c>
      <c r="AY30" s="305">
        <f t="shared" si="3"/>
        <v>0</v>
      </c>
      <c r="AZ30" s="305">
        <f t="shared" si="3"/>
        <v>0</v>
      </c>
      <c r="BA30" s="305">
        <f t="shared" si="3"/>
        <v>0</v>
      </c>
      <c r="BB30" s="305">
        <f t="shared" si="3"/>
        <v>0</v>
      </c>
      <c r="BC30" s="25"/>
      <c r="BF30" s="984" t="s">
        <v>625</v>
      </c>
    </row>
    <row r="31" spans="1:58" ht="16.7" hidden="1" customHeight="1" x14ac:dyDescent="0.15">
      <c r="E31" s="668">
        <v>17.100000000000001</v>
      </c>
      <c r="F31" s="769" cm="1">
        <f t="array" aca="1" ref="F31" ca="1">OFFSET(G31,-1,-1)</f>
        <v>0</v>
      </c>
      <c r="T31" s="679" t="b" cm="1">
        <f t="array" ref="T31">T30</f>
        <v>0</v>
      </c>
      <c r="X31" s="1485"/>
      <c r="Z31" s="1485"/>
      <c r="AB31" s="105" t="str">
        <f>AB30&amp;".1"</f>
        <v>1.1.1</v>
      </c>
      <c r="AC31" s="463" t="s">
        <v>626</v>
      </c>
      <c r="AD31" s="117" t="s">
        <v>622</v>
      </c>
      <c r="AE31" s="26"/>
      <c r="AF31" s="26"/>
      <c r="AG31" s="26"/>
      <c r="AH31" s="26"/>
      <c r="AI31" s="243"/>
      <c r="AJ31" s="1224"/>
      <c r="AK31" s="1224"/>
      <c r="AL31" s="26"/>
      <c r="AM31" s="26"/>
      <c r="AN31" s="26"/>
      <c r="AO31" s="26"/>
      <c r="AP31" s="26"/>
      <c r="AQ31" s="26"/>
      <c r="AR31" s="26"/>
      <c r="AS31" s="243"/>
      <c r="AT31" s="1224"/>
      <c r="AU31" s="1224"/>
      <c r="AV31" s="26"/>
      <c r="AW31" s="26"/>
      <c r="AX31" s="26"/>
      <c r="AY31" s="26"/>
      <c r="AZ31" s="26"/>
      <c r="BA31" s="26"/>
      <c r="BB31" s="26"/>
      <c r="BC31" s="25"/>
      <c r="BF31" s="984" t="s">
        <v>627</v>
      </c>
    </row>
    <row r="32" spans="1:58" ht="16.7" hidden="1" customHeight="1" x14ac:dyDescent="0.15">
      <c r="E32" s="668">
        <v>17.100000000000001</v>
      </c>
      <c r="F32" s="769" cm="1">
        <f t="array" aca="1" ref="F32" ca="1">OFFSET(G32,-1,-1)</f>
        <v>0</v>
      </c>
      <c r="T32" s="679" t="b" cm="1">
        <f t="array" ref="T32">T31</f>
        <v>0</v>
      </c>
      <c r="X32" s="1485"/>
      <c r="Z32" s="1485"/>
      <c r="AB32" s="105" t="str">
        <f>AB30&amp;".2"</f>
        <v>1.1.2</v>
      </c>
      <c r="AC32" s="463" t="s">
        <v>628</v>
      </c>
      <c r="AD32" s="117" t="s">
        <v>622</v>
      </c>
      <c r="AE32" s="26"/>
      <c r="AF32" s="26"/>
      <c r="AG32" s="26"/>
      <c r="AH32" s="26"/>
      <c r="AI32" s="243"/>
      <c r="AJ32" s="1224"/>
      <c r="AK32" s="1224"/>
      <c r="AL32" s="26"/>
      <c r="AM32" s="26"/>
      <c r="AN32" s="26"/>
      <c r="AO32" s="26"/>
      <c r="AP32" s="26"/>
      <c r="AQ32" s="26"/>
      <c r="AR32" s="26"/>
      <c r="AS32" s="243"/>
      <c r="AT32" s="1224"/>
      <c r="AU32" s="1224"/>
      <c r="AV32" s="26"/>
      <c r="AW32" s="26"/>
      <c r="AX32" s="26"/>
      <c r="AY32" s="26"/>
      <c r="AZ32" s="26"/>
      <c r="BA32" s="26"/>
      <c r="BB32" s="26"/>
      <c r="BC32" s="25"/>
      <c r="BF32" s="984" t="s">
        <v>629</v>
      </c>
    </row>
    <row r="33" spans="5:58" ht="16.7" hidden="1" customHeight="1" x14ac:dyDescent="0.15">
      <c r="E33" s="668">
        <v>17.100000000000001</v>
      </c>
      <c r="F33" s="769" cm="1">
        <f t="array" aca="1" ref="F33" ca="1">OFFSET(G33,-1,-1)</f>
        <v>0</v>
      </c>
      <c r="T33" s="679" t="b" cm="1">
        <f t="array" ref="T33">T32</f>
        <v>0</v>
      </c>
      <c r="X33" s="1485"/>
      <c r="Z33" s="1485"/>
      <c r="AB33" s="105" t="str">
        <f>AB29&amp;".2"</f>
        <v>1.2</v>
      </c>
      <c r="AC33" s="112" t="s">
        <v>630</v>
      </c>
      <c r="AD33" s="117" t="s">
        <v>622</v>
      </c>
      <c r="AE33" s="305">
        <f t="shared" ref="AE33:BB33" si="4">AE34+AE35</f>
        <v>0</v>
      </c>
      <c r="AF33" s="305">
        <f t="shared" si="4"/>
        <v>0</v>
      </c>
      <c r="AG33" s="305">
        <f t="shared" si="4"/>
        <v>0</v>
      </c>
      <c r="AH33" s="305">
        <f t="shared" si="4"/>
        <v>0</v>
      </c>
      <c r="AI33" s="305">
        <f t="shared" si="4"/>
        <v>0</v>
      </c>
      <c r="AJ33" s="305">
        <f t="shared" si="4"/>
        <v>0</v>
      </c>
      <c r="AK33" s="305">
        <f t="shared" si="4"/>
        <v>0</v>
      </c>
      <c r="AL33" s="305">
        <f t="shared" si="4"/>
        <v>0</v>
      </c>
      <c r="AM33" s="305">
        <f t="shared" si="4"/>
        <v>0</v>
      </c>
      <c r="AN33" s="305">
        <f t="shared" si="4"/>
        <v>0</v>
      </c>
      <c r="AO33" s="305">
        <f t="shared" si="4"/>
        <v>0</v>
      </c>
      <c r="AP33" s="305">
        <f t="shared" si="4"/>
        <v>0</v>
      </c>
      <c r="AQ33" s="305">
        <f t="shared" si="4"/>
        <v>0</v>
      </c>
      <c r="AR33" s="305">
        <f t="shared" si="4"/>
        <v>0</v>
      </c>
      <c r="AS33" s="305">
        <f t="shared" si="4"/>
        <v>0</v>
      </c>
      <c r="AT33" s="305">
        <f t="shared" si="4"/>
        <v>0</v>
      </c>
      <c r="AU33" s="305">
        <f t="shared" si="4"/>
        <v>0</v>
      </c>
      <c r="AV33" s="305">
        <f t="shared" si="4"/>
        <v>0</v>
      </c>
      <c r="AW33" s="305">
        <f t="shared" si="4"/>
        <v>0</v>
      </c>
      <c r="AX33" s="305">
        <f t="shared" si="4"/>
        <v>0</v>
      </c>
      <c r="AY33" s="305">
        <f t="shared" si="4"/>
        <v>0</v>
      </c>
      <c r="AZ33" s="305">
        <f t="shared" si="4"/>
        <v>0</v>
      </c>
      <c r="BA33" s="305">
        <f t="shared" si="4"/>
        <v>0</v>
      </c>
      <c r="BB33" s="305">
        <f t="shared" si="4"/>
        <v>0</v>
      </c>
      <c r="BC33" s="25"/>
      <c r="BF33" s="984" t="s">
        <v>631</v>
      </c>
    </row>
    <row r="34" spans="5:58" ht="16.7" hidden="1" customHeight="1" x14ac:dyDescent="0.15">
      <c r="E34" s="668">
        <v>17.100000000000001</v>
      </c>
      <c r="F34" s="769" cm="1">
        <f t="array" aca="1" ref="F34" ca="1">OFFSET(G34,-1,-1)</f>
        <v>0</v>
      </c>
      <c r="T34" s="679" t="b" cm="1">
        <f t="array" ref="T34">T33</f>
        <v>0</v>
      </c>
      <c r="X34" s="1485"/>
      <c r="Z34" s="1485"/>
      <c r="AB34" s="105" t="str">
        <f>AB33&amp;".1"</f>
        <v>1.2.1</v>
      </c>
      <c r="AC34" s="463" t="s">
        <v>626</v>
      </c>
      <c r="AD34" s="117" t="s">
        <v>622</v>
      </c>
      <c r="AE34" s="26"/>
      <c r="AF34" s="26"/>
      <c r="AG34" s="26"/>
      <c r="AH34" s="26"/>
      <c r="AI34" s="243"/>
      <c r="AJ34" s="1224"/>
      <c r="AK34" s="1224"/>
      <c r="AL34" s="26"/>
      <c r="AM34" s="26"/>
      <c r="AN34" s="26"/>
      <c r="AO34" s="26"/>
      <c r="AP34" s="26"/>
      <c r="AQ34" s="26"/>
      <c r="AR34" s="26"/>
      <c r="AS34" s="243"/>
      <c r="AT34" s="1224"/>
      <c r="AU34" s="1224"/>
      <c r="AV34" s="26"/>
      <c r="AW34" s="26"/>
      <c r="AX34" s="26"/>
      <c r="AY34" s="26"/>
      <c r="AZ34" s="26"/>
      <c r="BA34" s="26"/>
      <c r="BB34" s="26"/>
      <c r="BC34" s="25"/>
      <c r="BF34" s="984" t="s">
        <v>632</v>
      </c>
    </row>
    <row r="35" spans="5:58" ht="16.7" hidden="1" customHeight="1" x14ac:dyDescent="0.15">
      <c r="E35" s="668">
        <v>17.100000000000001</v>
      </c>
      <c r="F35" s="769" cm="1">
        <f t="array" aca="1" ref="F35" ca="1">OFFSET(G35,-1,-1)</f>
        <v>0</v>
      </c>
      <c r="T35" s="679" t="b" cm="1">
        <f t="array" ref="T35">T34</f>
        <v>0</v>
      </c>
      <c r="X35" s="1485"/>
      <c r="Z35" s="1485"/>
      <c r="AB35" s="105" t="str">
        <f>AB33&amp;".2"</f>
        <v>1.2.2</v>
      </c>
      <c r="AC35" s="463" t="s">
        <v>628</v>
      </c>
      <c r="AD35" s="117" t="s">
        <v>622</v>
      </c>
      <c r="AE35" s="26"/>
      <c r="AF35" s="26"/>
      <c r="AG35" s="26"/>
      <c r="AH35" s="26"/>
      <c r="AI35" s="243"/>
      <c r="AJ35" s="1224"/>
      <c r="AK35" s="1224"/>
      <c r="AL35" s="26"/>
      <c r="AM35" s="26"/>
      <c r="AN35" s="26"/>
      <c r="AO35" s="26"/>
      <c r="AP35" s="26"/>
      <c r="AQ35" s="26"/>
      <c r="AR35" s="26"/>
      <c r="AS35" s="243"/>
      <c r="AT35" s="1224"/>
      <c r="AU35" s="1224"/>
      <c r="AV35" s="26"/>
      <c r="AW35" s="26"/>
      <c r="AX35" s="26"/>
      <c r="AY35" s="26"/>
      <c r="AZ35" s="26"/>
      <c r="BA35" s="26"/>
      <c r="BB35" s="26"/>
      <c r="BC35" s="25"/>
      <c r="BF35" s="984" t="s">
        <v>633</v>
      </c>
    </row>
    <row r="36" spans="5:58" ht="16.7" hidden="1" customHeight="1" x14ac:dyDescent="0.15">
      <c r="E36" s="668">
        <v>17.100000000000001</v>
      </c>
      <c r="F36" s="769" cm="1">
        <f t="array" aca="1" ref="F36" ca="1">OFFSET(G36,-1,-1)</f>
        <v>0</v>
      </c>
      <c r="T36" s="679" t="b" cm="1">
        <f t="array" ref="T36">T35</f>
        <v>0</v>
      </c>
      <c r="X36" s="1485"/>
      <c r="Z36" s="1485"/>
      <c r="AB36" s="105" t="str">
        <f>AB29&amp;".3"</f>
        <v>1.3</v>
      </c>
      <c r="AC36" s="112" t="s">
        <v>634</v>
      </c>
      <c r="AD36" s="117" t="s">
        <v>622</v>
      </c>
      <c r="AE36" s="26"/>
      <c r="AF36" s="26"/>
      <c r="AG36" s="26"/>
      <c r="AH36" s="26"/>
      <c r="AI36" s="243"/>
      <c r="AJ36" s="1224"/>
      <c r="AK36" s="1224"/>
      <c r="AL36" s="26"/>
      <c r="AM36" s="26"/>
      <c r="AN36" s="26"/>
      <c r="AO36" s="26"/>
      <c r="AP36" s="26"/>
      <c r="AQ36" s="26"/>
      <c r="AR36" s="26"/>
      <c r="AS36" s="243"/>
      <c r="AT36" s="1224"/>
      <c r="AU36" s="1224"/>
      <c r="AV36" s="26"/>
      <c r="AW36" s="26"/>
      <c r="AX36" s="26"/>
      <c r="AY36" s="26"/>
      <c r="AZ36" s="26"/>
      <c r="BA36" s="26"/>
      <c r="BB36" s="26"/>
      <c r="BC36" s="25"/>
      <c r="BF36" s="984" t="s">
        <v>635</v>
      </c>
    </row>
    <row r="37" spans="5:58" ht="16.7" hidden="1" customHeight="1" x14ac:dyDescent="0.15">
      <c r="E37" s="668">
        <v>17.100000000000001</v>
      </c>
      <c r="F37" s="769" cm="1">
        <f t="array" aca="1" ref="F37" ca="1">OFFSET(G37,-1,-1)</f>
        <v>0</v>
      </c>
      <c r="T37" s="679" t="b" cm="1">
        <f t="array" ref="T37">T36</f>
        <v>0</v>
      </c>
      <c r="X37" s="1485"/>
      <c r="Z37" s="1485"/>
      <c r="AB37" s="121" t="s">
        <v>426</v>
      </c>
      <c r="AC37" s="717" t="s">
        <v>636</v>
      </c>
      <c r="AD37" s="117" t="s">
        <v>622</v>
      </c>
      <c r="AE37" s="305">
        <f t="shared" ref="AE37:BB37" si="5">AE38+AE41+AE44</f>
        <v>0</v>
      </c>
      <c r="AF37" s="305">
        <f t="shared" si="5"/>
        <v>0</v>
      </c>
      <c r="AG37" s="305">
        <f t="shared" si="5"/>
        <v>0</v>
      </c>
      <c r="AH37" s="305">
        <f t="shared" si="5"/>
        <v>0</v>
      </c>
      <c r="AI37" s="305">
        <f t="shared" si="5"/>
        <v>0</v>
      </c>
      <c r="AJ37" s="305">
        <f t="shared" si="5"/>
        <v>0</v>
      </c>
      <c r="AK37" s="305">
        <f t="shared" si="5"/>
        <v>0</v>
      </c>
      <c r="AL37" s="305">
        <f t="shared" si="5"/>
        <v>0</v>
      </c>
      <c r="AM37" s="305">
        <f t="shared" si="5"/>
        <v>0</v>
      </c>
      <c r="AN37" s="305">
        <f t="shared" si="5"/>
        <v>0</v>
      </c>
      <c r="AO37" s="305">
        <f t="shared" si="5"/>
        <v>0</v>
      </c>
      <c r="AP37" s="305">
        <f t="shared" si="5"/>
        <v>0</v>
      </c>
      <c r="AQ37" s="305">
        <f t="shared" si="5"/>
        <v>0</v>
      </c>
      <c r="AR37" s="305">
        <f t="shared" si="5"/>
        <v>0</v>
      </c>
      <c r="AS37" s="305">
        <f t="shared" si="5"/>
        <v>0</v>
      </c>
      <c r="AT37" s="305">
        <f t="shared" si="5"/>
        <v>0</v>
      </c>
      <c r="AU37" s="305">
        <f t="shared" si="5"/>
        <v>0</v>
      </c>
      <c r="AV37" s="305">
        <f t="shared" si="5"/>
        <v>0</v>
      </c>
      <c r="AW37" s="305">
        <f t="shared" si="5"/>
        <v>0</v>
      </c>
      <c r="AX37" s="305">
        <f t="shared" si="5"/>
        <v>0</v>
      </c>
      <c r="AY37" s="305">
        <f t="shared" si="5"/>
        <v>0</v>
      </c>
      <c r="AZ37" s="305">
        <f t="shared" si="5"/>
        <v>0</v>
      </c>
      <c r="BA37" s="305">
        <f t="shared" si="5"/>
        <v>0</v>
      </c>
      <c r="BB37" s="305">
        <f t="shared" si="5"/>
        <v>0</v>
      </c>
      <c r="BC37" s="25"/>
      <c r="BF37" s="984" t="s">
        <v>637</v>
      </c>
    </row>
    <row r="38" spans="5:58" ht="16.7" hidden="1" customHeight="1" x14ac:dyDescent="0.15">
      <c r="E38" s="668">
        <v>17.100000000000001</v>
      </c>
      <c r="F38" s="769" cm="1">
        <f t="array" aca="1" ref="F38" ca="1">OFFSET(G38,-1,-1)</f>
        <v>0</v>
      </c>
      <c r="T38" s="679" t="b" cm="1">
        <f t="array" ref="T38">T37</f>
        <v>0</v>
      </c>
      <c r="X38" s="1485"/>
      <c r="Z38" s="1485"/>
      <c r="AB38" s="105" t="str">
        <f>AB37&amp;".1"</f>
        <v>2.1</v>
      </c>
      <c r="AC38" s="112" t="s">
        <v>624</v>
      </c>
      <c r="AD38" s="117" t="s">
        <v>622</v>
      </c>
      <c r="AE38" s="305">
        <f t="shared" ref="AE38:BB38" si="6">AE39+AE40</f>
        <v>0</v>
      </c>
      <c r="AF38" s="305">
        <f t="shared" si="6"/>
        <v>0</v>
      </c>
      <c r="AG38" s="305">
        <f t="shared" si="6"/>
        <v>0</v>
      </c>
      <c r="AH38" s="305">
        <f t="shared" si="6"/>
        <v>0</v>
      </c>
      <c r="AI38" s="305">
        <f t="shared" si="6"/>
        <v>0</v>
      </c>
      <c r="AJ38" s="305">
        <f t="shared" si="6"/>
        <v>0</v>
      </c>
      <c r="AK38" s="305">
        <f t="shared" si="6"/>
        <v>0</v>
      </c>
      <c r="AL38" s="305">
        <f t="shared" si="6"/>
        <v>0</v>
      </c>
      <c r="AM38" s="305">
        <f t="shared" si="6"/>
        <v>0</v>
      </c>
      <c r="AN38" s="305">
        <f t="shared" si="6"/>
        <v>0</v>
      </c>
      <c r="AO38" s="305">
        <f t="shared" si="6"/>
        <v>0</v>
      </c>
      <c r="AP38" s="305">
        <f t="shared" si="6"/>
        <v>0</v>
      </c>
      <c r="AQ38" s="305">
        <f t="shared" si="6"/>
        <v>0</v>
      </c>
      <c r="AR38" s="305">
        <f t="shared" si="6"/>
        <v>0</v>
      </c>
      <c r="AS38" s="305">
        <f t="shared" si="6"/>
        <v>0</v>
      </c>
      <c r="AT38" s="305">
        <f t="shared" si="6"/>
        <v>0</v>
      </c>
      <c r="AU38" s="305">
        <f t="shared" si="6"/>
        <v>0</v>
      </c>
      <c r="AV38" s="305">
        <f t="shared" si="6"/>
        <v>0</v>
      </c>
      <c r="AW38" s="305">
        <f t="shared" si="6"/>
        <v>0</v>
      </c>
      <c r="AX38" s="305">
        <f t="shared" si="6"/>
        <v>0</v>
      </c>
      <c r="AY38" s="305">
        <f t="shared" si="6"/>
        <v>0</v>
      </c>
      <c r="AZ38" s="305">
        <f t="shared" si="6"/>
        <v>0</v>
      </c>
      <c r="BA38" s="305">
        <f t="shared" si="6"/>
        <v>0</v>
      </c>
      <c r="BB38" s="305">
        <f t="shared" si="6"/>
        <v>0</v>
      </c>
      <c r="BC38" s="25"/>
      <c r="BF38" s="984" t="s">
        <v>638</v>
      </c>
    </row>
    <row r="39" spans="5:58" ht="16.7" hidden="1" customHeight="1" x14ac:dyDescent="0.15">
      <c r="E39" s="668">
        <v>17.100000000000001</v>
      </c>
      <c r="F39" s="769" cm="1">
        <f t="array" aca="1" ref="F39" ca="1">OFFSET(G39,-1,-1)</f>
        <v>0</v>
      </c>
      <c r="T39" s="679" t="b" cm="1">
        <f t="array" ref="T39">T38</f>
        <v>0</v>
      </c>
      <c r="X39" s="1485"/>
      <c r="Z39" s="1485"/>
      <c r="AB39" s="105" t="str">
        <f>AB38&amp;".1"</f>
        <v>2.1.1</v>
      </c>
      <c r="AC39" s="463" t="s">
        <v>626</v>
      </c>
      <c r="AD39" s="117" t="s">
        <v>622</v>
      </c>
      <c r="AE39" s="26"/>
      <c r="AF39" s="26"/>
      <c r="AG39" s="26"/>
      <c r="AH39" s="26"/>
      <c r="AI39" s="243"/>
      <c r="AJ39" s="1224"/>
      <c r="AK39" s="1224"/>
      <c r="AL39" s="26"/>
      <c r="AM39" s="26"/>
      <c r="AN39" s="26"/>
      <c r="AO39" s="26"/>
      <c r="AP39" s="26"/>
      <c r="AQ39" s="26"/>
      <c r="AR39" s="26"/>
      <c r="AS39" s="243"/>
      <c r="AT39" s="1224"/>
      <c r="AU39" s="1224"/>
      <c r="AV39" s="26"/>
      <c r="AW39" s="26"/>
      <c r="AX39" s="26"/>
      <c r="AY39" s="26"/>
      <c r="AZ39" s="26"/>
      <c r="BA39" s="26"/>
      <c r="BB39" s="26"/>
      <c r="BC39" s="25"/>
      <c r="BF39" s="984" t="s">
        <v>639</v>
      </c>
    </row>
    <row r="40" spans="5:58" ht="16.7" hidden="1" customHeight="1" x14ac:dyDescent="0.15">
      <c r="E40" s="668">
        <v>17.100000000000001</v>
      </c>
      <c r="F40" s="769" cm="1">
        <f t="array" aca="1" ref="F40" ca="1">OFFSET(G40,-1,-1)</f>
        <v>0</v>
      </c>
      <c r="T40" s="679" t="b" cm="1">
        <f t="array" ref="T40">T39</f>
        <v>0</v>
      </c>
      <c r="X40" s="1485"/>
      <c r="Z40" s="1485"/>
      <c r="AB40" s="105" t="str">
        <f>AB38&amp;".2"</f>
        <v>2.1.2</v>
      </c>
      <c r="AC40" s="463" t="s">
        <v>628</v>
      </c>
      <c r="AD40" s="117" t="s">
        <v>622</v>
      </c>
      <c r="AE40" s="26"/>
      <c r="AF40" s="26"/>
      <c r="AG40" s="26"/>
      <c r="AH40" s="26"/>
      <c r="AI40" s="243"/>
      <c r="AJ40" s="1224"/>
      <c r="AK40" s="1224"/>
      <c r="AL40" s="26"/>
      <c r="AM40" s="26"/>
      <c r="AN40" s="26"/>
      <c r="AO40" s="26"/>
      <c r="AP40" s="26"/>
      <c r="AQ40" s="26"/>
      <c r="AR40" s="26"/>
      <c r="AS40" s="243"/>
      <c r="AT40" s="1224"/>
      <c r="AU40" s="1224"/>
      <c r="AV40" s="26"/>
      <c r="AW40" s="26"/>
      <c r="AX40" s="26"/>
      <c r="AY40" s="26"/>
      <c r="AZ40" s="26"/>
      <c r="BA40" s="26"/>
      <c r="BB40" s="26"/>
      <c r="BC40" s="25"/>
      <c r="BF40" s="984" t="s">
        <v>640</v>
      </c>
    </row>
    <row r="41" spans="5:58" ht="16.7" hidden="1" customHeight="1" x14ac:dyDescent="0.15">
      <c r="E41" s="668">
        <v>17.100000000000001</v>
      </c>
      <c r="F41" s="769" cm="1">
        <f t="array" aca="1" ref="F41" ca="1">OFFSET(G41,-1,-1)</f>
        <v>0</v>
      </c>
      <c r="T41" s="679" t="b" cm="1">
        <f t="array" ref="T41">T40</f>
        <v>0</v>
      </c>
      <c r="X41" s="1485"/>
      <c r="Z41" s="1485"/>
      <c r="AB41" s="105" t="str">
        <f>AB38&amp;".2"</f>
        <v>2.1.2</v>
      </c>
      <c r="AC41" s="112" t="s">
        <v>630</v>
      </c>
      <c r="AD41" s="117" t="s">
        <v>622</v>
      </c>
      <c r="AE41" s="305">
        <f t="shared" ref="AE41:BB41" si="7">AE42+AE43</f>
        <v>0</v>
      </c>
      <c r="AF41" s="305">
        <f t="shared" si="7"/>
        <v>0</v>
      </c>
      <c r="AG41" s="305">
        <f t="shared" si="7"/>
        <v>0</v>
      </c>
      <c r="AH41" s="305">
        <f t="shared" si="7"/>
        <v>0</v>
      </c>
      <c r="AI41" s="305">
        <f t="shared" si="7"/>
        <v>0</v>
      </c>
      <c r="AJ41" s="305">
        <f t="shared" si="7"/>
        <v>0</v>
      </c>
      <c r="AK41" s="305">
        <f t="shared" si="7"/>
        <v>0</v>
      </c>
      <c r="AL41" s="305">
        <f t="shared" si="7"/>
        <v>0</v>
      </c>
      <c r="AM41" s="305">
        <f t="shared" si="7"/>
        <v>0</v>
      </c>
      <c r="AN41" s="305">
        <f t="shared" si="7"/>
        <v>0</v>
      </c>
      <c r="AO41" s="305">
        <f t="shared" si="7"/>
        <v>0</v>
      </c>
      <c r="AP41" s="305">
        <f t="shared" si="7"/>
        <v>0</v>
      </c>
      <c r="AQ41" s="305">
        <f t="shared" si="7"/>
        <v>0</v>
      </c>
      <c r="AR41" s="305">
        <f t="shared" si="7"/>
        <v>0</v>
      </c>
      <c r="AS41" s="305">
        <f t="shared" si="7"/>
        <v>0</v>
      </c>
      <c r="AT41" s="305">
        <f t="shared" si="7"/>
        <v>0</v>
      </c>
      <c r="AU41" s="305">
        <f t="shared" si="7"/>
        <v>0</v>
      </c>
      <c r="AV41" s="305">
        <f t="shared" si="7"/>
        <v>0</v>
      </c>
      <c r="AW41" s="305">
        <f t="shared" si="7"/>
        <v>0</v>
      </c>
      <c r="AX41" s="305">
        <f t="shared" si="7"/>
        <v>0</v>
      </c>
      <c r="AY41" s="305">
        <f t="shared" si="7"/>
        <v>0</v>
      </c>
      <c r="AZ41" s="305">
        <f t="shared" si="7"/>
        <v>0</v>
      </c>
      <c r="BA41" s="305">
        <f t="shared" si="7"/>
        <v>0</v>
      </c>
      <c r="BB41" s="305">
        <f t="shared" si="7"/>
        <v>0</v>
      </c>
      <c r="BC41" s="25"/>
      <c r="BF41" s="984" t="s">
        <v>641</v>
      </c>
    </row>
    <row r="42" spans="5:58" ht="16.7" hidden="1" customHeight="1" x14ac:dyDescent="0.15">
      <c r="E42" s="668">
        <v>17.100000000000001</v>
      </c>
      <c r="F42" s="769" cm="1">
        <f t="array" aca="1" ref="F42" ca="1">OFFSET(G42,-1,-1)</f>
        <v>0</v>
      </c>
      <c r="T42" s="679" t="b" cm="1">
        <f t="array" ref="T42">T41</f>
        <v>0</v>
      </c>
      <c r="X42" s="1485"/>
      <c r="Z42" s="1485"/>
      <c r="AB42" s="105" t="str">
        <f>AB41&amp;".1"</f>
        <v>2.1.2.1</v>
      </c>
      <c r="AC42" s="463" t="s">
        <v>626</v>
      </c>
      <c r="AD42" s="117" t="s">
        <v>622</v>
      </c>
      <c r="AE42" s="26"/>
      <c r="AF42" s="26"/>
      <c r="AG42" s="26"/>
      <c r="AH42" s="26"/>
      <c r="AI42" s="243"/>
      <c r="AJ42" s="1224"/>
      <c r="AK42" s="1224"/>
      <c r="AL42" s="26"/>
      <c r="AM42" s="26"/>
      <c r="AN42" s="26"/>
      <c r="AO42" s="26"/>
      <c r="AP42" s="26"/>
      <c r="AQ42" s="26"/>
      <c r="AR42" s="26"/>
      <c r="AS42" s="243"/>
      <c r="AT42" s="1224"/>
      <c r="AU42" s="1224"/>
      <c r="AV42" s="26"/>
      <c r="AW42" s="26"/>
      <c r="AX42" s="26"/>
      <c r="AY42" s="26"/>
      <c r="AZ42" s="26"/>
      <c r="BA42" s="26"/>
      <c r="BB42" s="26"/>
      <c r="BC42" s="25"/>
      <c r="BF42" s="984" t="s">
        <v>642</v>
      </c>
    </row>
    <row r="43" spans="5:58" ht="16.7" hidden="1" customHeight="1" x14ac:dyDescent="0.15">
      <c r="E43" s="668">
        <v>17.100000000000001</v>
      </c>
      <c r="F43" s="769" cm="1">
        <f t="array" aca="1" ref="F43" ca="1">OFFSET(G43,-1,-1)</f>
        <v>0</v>
      </c>
      <c r="T43" s="679" t="b" cm="1">
        <f t="array" ref="T43">T42</f>
        <v>0</v>
      </c>
      <c r="X43" s="1485"/>
      <c r="Z43" s="1485"/>
      <c r="AB43" s="105" t="str">
        <f>AB41&amp;".2"</f>
        <v>2.1.2.2</v>
      </c>
      <c r="AC43" s="463" t="s">
        <v>628</v>
      </c>
      <c r="AD43" s="718" t="s">
        <v>622</v>
      </c>
      <c r="AE43" s="27"/>
      <c r="AF43" s="26"/>
      <c r="AG43" s="27"/>
      <c r="AH43" s="26"/>
      <c r="AI43" s="490"/>
      <c r="AJ43" s="1224"/>
      <c r="AK43" s="1225"/>
      <c r="AL43" s="26"/>
      <c r="AM43" s="27"/>
      <c r="AN43" s="26"/>
      <c r="AO43" s="27"/>
      <c r="AP43" s="26"/>
      <c r="AQ43" s="27"/>
      <c r="AR43" s="26"/>
      <c r="AS43" s="490"/>
      <c r="AT43" s="1224"/>
      <c r="AU43" s="1225"/>
      <c r="AV43" s="26"/>
      <c r="AW43" s="27"/>
      <c r="AX43" s="26"/>
      <c r="AY43" s="27"/>
      <c r="AZ43" s="26"/>
      <c r="BA43" s="27"/>
      <c r="BB43" s="26"/>
      <c r="BC43" s="25"/>
      <c r="BF43" s="984" t="s">
        <v>643</v>
      </c>
    </row>
    <row r="44" spans="5:58" ht="16.7" hidden="1" customHeight="1" x14ac:dyDescent="0.15">
      <c r="E44" s="668">
        <v>17.100000000000001</v>
      </c>
      <c r="F44" s="769" cm="1">
        <f t="array" aca="1" ref="F44" ca="1">OFFSET(G44,-1,-1)</f>
        <v>0</v>
      </c>
      <c r="T44" s="679" t="b" cm="1">
        <f t="array" ref="T44">T43</f>
        <v>0</v>
      </c>
      <c r="X44" s="1485"/>
      <c r="Z44" s="1485"/>
      <c r="AB44" s="105" t="str">
        <f>AB37&amp;".3"</f>
        <v>2.3</v>
      </c>
      <c r="AC44" s="601" t="s">
        <v>634</v>
      </c>
      <c r="AD44" s="117" t="s">
        <v>622</v>
      </c>
      <c r="AE44" s="26"/>
      <c r="AF44" s="28"/>
      <c r="AG44" s="26"/>
      <c r="AH44" s="28"/>
      <c r="AI44" s="243"/>
      <c r="AJ44" s="1226"/>
      <c r="AK44" s="1224"/>
      <c r="AL44" s="28"/>
      <c r="AM44" s="26"/>
      <c r="AN44" s="28"/>
      <c r="AO44" s="26"/>
      <c r="AP44" s="28"/>
      <c r="AQ44" s="26"/>
      <c r="AR44" s="28"/>
      <c r="AS44" s="243"/>
      <c r="AT44" s="1226"/>
      <c r="AU44" s="1224"/>
      <c r="AV44" s="28"/>
      <c r="AW44" s="26"/>
      <c r="AX44" s="28"/>
      <c r="AY44" s="26"/>
      <c r="AZ44" s="28"/>
      <c r="BA44" s="26"/>
      <c r="BB44" s="28"/>
      <c r="BC44" s="25"/>
      <c r="BF44" s="984" t="s">
        <v>644</v>
      </c>
    </row>
    <row r="45" spans="5:58" ht="29.25" hidden="1" customHeight="1" x14ac:dyDescent="0.15">
      <c r="E45" s="668">
        <v>30</v>
      </c>
      <c r="F45" s="769" cm="1">
        <f t="array" aca="1" ref="F45" ca="1">OFFSET(G45,-1,-1)</f>
        <v>0</v>
      </c>
      <c r="T45" s="679" t="b" cm="1">
        <f t="array" ref="T45">T44</f>
        <v>0</v>
      </c>
      <c r="X45" s="1485"/>
      <c r="Z45" s="1485"/>
      <c r="AB45" s="268" t="s">
        <v>431</v>
      </c>
      <c r="AC45" s="111" t="s">
        <v>645</v>
      </c>
      <c r="AD45" s="117" t="s">
        <v>622</v>
      </c>
      <c r="AE45" s="305">
        <f t="shared" ref="AE45:BB45" si="8">AE46+AE49+AE52</f>
        <v>0</v>
      </c>
      <c r="AF45" s="720">
        <f t="shared" si="8"/>
        <v>0</v>
      </c>
      <c r="AG45" s="305">
        <f t="shared" si="8"/>
        <v>0</v>
      </c>
      <c r="AH45" s="305">
        <f t="shared" si="8"/>
        <v>0</v>
      </c>
      <c r="AI45" s="305">
        <f t="shared" si="8"/>
        <v>0</v>
      </c>
      <c r="AJ45" s="305">
        <f t="shared" si="8"/>
        <v>0</v>
      </c>
      <c r="AK45" s="305">
        <f t="shared" si="8"/>
        <v>0</v>
      </c>
      <c r="AL45" s="305">
        <f t="shared" si="8"/>
        <v>0</v>
      </c>
      <c r="AM45" s="305">
        <f t="shared" si="8"/>
        <v>0</v>
      </c>
      <c r="AN45" s="305">
        <f t="shared" si="8"/>
        <v>0</v>
      </c>
      <c r="AO45" s="305">
        <f t="shared" si="8"/>
        <v>0</v>
      </c>
      <c r="AP45" s="305">
        <f t="shared" si="8"/>
        <v>0</v>
      </c>
      <c r="AQ45" s="305">
        <f t="shared" si="8"/>
        <v>0</v>
      </c>
      <c r="AR45" s="305">
        <f t="shared" si="8"/>
        <v>0</v>
      </c>
      <c r="AS45" s="305">
        <f t="shared" si="8"/>
        <v>0</v>
      </c>
      <c r="AT45" s="305">
        <f t="shared" si="8"/>
        <v>0</v>
      </c>
      <c r="AU45" s="305">
        <f t="shared" si="8"/>
        <v>0</v>
      </c>
      <c r="AV45" s="305">
        <f t="shared" si="8"/>
        <v>0</v>
      </c>
      <c r="AW45" s="305">
        <f t="shared" si="8"/>
        <v>0</v>
      </c>
      <c r="AX45" s="305">
        <f t="shared" si="8"/>
        <v>0</v>
      </c>
      <c r="AY45" s="305">
        <f t="shared" si="8"/>
        <v>0</v>
      </c>
      <c r="AZ45" s="305">
        <f t="shared" si="8"/>
        <v>0</v>
      </c>
      <c r="BA45" s="305">
        <f t="shared" si="8"/>
        <v>0</v>
      </c>
      <c r="BB45" s="305">
        <f t="shared" si="8"/>
        <v>0</v>
      </c>
      <c r="BC45" s="25"/>
      <c r="BF45" s="984" t="s">
        <v>646</v>
      </c>
    </row>
    <row r="46" spans="5:58" ht="16.7" hidden="1" customHeight="1" x14ac:dyDescent="0.15">
      <c r="E46" s="668">
        <v>17.100000000000001</v>
      </c>
      <c r="F46" s="769" cm="1">
        <f t="array" aca="1" ref="F46" ca="1">OFFSET(G46,-1,-1)</f>
        <v>0</v>
      </c>
      <c r="T46" s="679" t="b" cm="1">
        <f t="array" ref="T46">T45</f>
        <v>0</v>
      </c>
      <c r="X46" s="1485"/>
      <c r="Z46" s="1485"/>
      <c r="AB46" s="716" t="str">
        <f>AB45&amp;".1"</f>
        <v>3.1</v>
      </c>
      <c r="AC46" s="601" t="s">
        <v>624</v>
      </c>
      <c r="AD46" s="117" t="s">
        <v>622</v>
      </c>
      <c r="AE46" s="305">
        <f t="shared" ref="AE46:BB46" si="9">AE47+AE48</f>
        <v>0</v>
      </c>
      <c r="AF46" s="459">
        <f t="shared" si="9"/>
        <v>0</v>
      </c>
      <c r="AG46" s="459">
        <f t="shared" si="9"/>
        <v>0</v>
      </c>
      <c r="AH46" s="459">
        <f t="shared" si="9"/>
        <v>0</v>
      </c>
      <c r="AI46" s="459">
        <f t="shared" si="9"/>
        <v>0</v>
      </c>
      <c r="AJ46" s="459">
        <f t="shared" si="9"/>
        <v>0</v>
      </c>
      <c r="AK46" s="459">
        <f t="shared" si="9"/>
        <v>0</v>
      </c>
      <c r="AL46" s="459">
        <f t="shared" si="9"/>
        <v>0</v>
      </c>
      <c r="AM46" s="459">
        <f t="shared" si="9"/>
        <v>0</v>
      </c>
      <c r="AN46" s="459">
        <f t="shared" si="9"/>
        <v>0</v>
      </c>
      <c r="AO46" s="459">
        <f t="shared" si="9"/>
        <v>0</v>
      </c>
      <c r="AP46" s="459">
        <f t="shared" si="9"/>
        <v>0</v>
      </c>
      <c r="AQ46" s="459">
        <f t="shared" si="9"/>
        <v>0</v>
      </c>
      <c r="AR46" s="459">
        <f t="shared" si="9"/>
        <v>0</v>
      </c>
      <c r="AS46" s="459">
        <f t="shared" si="9"/>
        <v>0</v>
      </c>
      <c r="AT46" s="459">
        <f t="shared" si="9"/>
        <v>0</v>
      </c>
      <c r="AU46" s="459">
        <f t="shared" si="9"/>
        <v>0</v>
      </c>
      <c r="AV46" s="459">
        <f t="shared" si="9"/>
        <v>0</v>
      </c>
      <c r="AW46" s="459">
        <f t="shared" si="9"/>
        <v>0</v>
      </c>
      <c r="AX46" s="459">
        <f t="shared" si="9"/>
        <v>0</v>
      </c>
      <c r="AY46" s="459">
        <f t="shared" si="9"/>
        <v>0</v>
      </c>
      <c r="AZ46" s="459">
        <f t="shared" si="9"/>
        <v>0</v>
      </c>
      <c r="BA46" s="459">
        <f t="shared" si="9"/>
        <v>0</v>
      </c>
      <c r="BB46" s="459">
        <f t="shared" si="9"/>
        <v>0</v>
      </c>
      <c r="BC46" s="25"/>
      <c r="BF46" s="984" t="s">
        <v>647</v>
      </c>
    </row>
    <row r="47" spans="5:58" ht="16.7" hidden="1" customHeight="1" x14ac:dyDescent="0.15">
      <c r="E47" s="668">
        <v>17.100000000000001</v>
      </c>
      <c r="F47" s="769" cm="1">
        <f t="array" aca="1" ref="F47" ca="1">OFFSET(G47,-1,-1)</f>
        <v>0</v>
      </c>
      <c r="T47" s="679" t="b" cm="1">
        <f t="array" ref="T47">T46</f>
        <v>0</v>
      </c>
      <c r="X47" s="1485"/>
      <c r="Z47" s="1485"/>
      <c r="AB47" s="716" t="str">
        <f>AB46&amp;".1"</f>
        <v>3.1.1</v>
      </c>
      <c r="AC47" s="599" t="s">
        <v>626</v>
      </c>
      <c r="AD47" s="117" t="s">
        <v>622</v>
      </c>
      <c r="AE47" s="26">
        <f t="shared" ref="AE47:BB47" si="10">AE31-AE39</f>
        <v>0</v>
      </c>
      <c r="AF47" s="26">
        <f t="shared" si="10"/>
        <v>0</v>
      </c>
      <c r="AG47" s="26">
        <f t="shared" si="10"/>
        <v>0</v>
      </c>
      <c r="AH47" s="26">
        <f t="shared" si="10"/>
        <v>0</v>
      </c>
      <c r="AI47" s="243">
        <f t="shared" si="10"/>
        <v>0</v>
      </c>
      <c r="AJ47" s="1224">
        <f t="shared" si="10"/>
        <v>0</v>
      </c>
      <c r="AK47" s="1224">
        <f t="shared" si="10"/>
        <v>0</v>
      </c>
      <c r="AL47" s="26">
        <f t="shared" si="10"/>
        <v>0</v>
      </c>
      <c r="AM47" s="26">
        <f t="shared" si="10"/>
        <v>0</v>
      </c>
      <c r="AN47" s="26">
        <f t="shared" si="10"/>
        <v>0</v>
      </c>
      <c r="AO47" s="26">
        <f t="shared" si="10"/>
        <v>0</v>
      </c>
      <c r="AP47" s="26">
        <f t="shared" si="10"/>
        <v>0</v>
      </c>
      <c r="AQ47" s="26">
        <f t="shared" si="10"/>
        <v>0</v>
      </c>
      <c r="AR47" s="26">
        <f t="shared" si="10"/>
        <v>0</v>
      </c>
      <c r="AS47" s="243">
        <f t="shared" si="10"/>
        <v>0</v>
      </c>
      <c r="AT47" s="1224">
        <f t="shared" si="10"/>
        <v>0</v>
      </c>
      <c r="AU47" s="1224">
        <f t="shared" si="10"/>
        <v>0</v>
      </c>
      <c r="AV47" s="26">
        <f t="shared" si="10"/>
        <v>0</v>
      </c>
      <c r="AW47" s="26">
        <f t="shared" si="10"/>
        <v>0</v>
      </c>
      <c r="AX47" s="26">
        <f t="shared" si="10"/>
        <v>0</v>
      </c>
      <c r="AY47" s="26">
        <f t="shared" si="10"/>
        <v>0</v>
      </c>
      <c r="AZ47" s="26">
        <f t="shared" si="10"/>
        <v>0</v>
      </c>
      <c r="BA47" s="26">
        <f t="shared" si="10"/>
        <v>0</v>
      </c>
      <c r="BB47" s="26">
        <f t="shared" si="10"/>
        <v>0</v>
      </c>
      <c r="BC47" s="25"/>
      <c r="BF47" s="984" t="s">
        <v>648</v>
      </c>
    </row>
    <row r="48" spans="5:58" ht="16.7" hidden="1" customHeight="1" x14ac:dyDescent="0.15">
      <c r="E48" s="668">
        <v>17.100000000000001</v>
      </c>
      <c r="F48" s="769" cm="1">
        <f t="array" aca="1" ref="F48" ca="1">OFFSET(G48,-1,-1)</f>
        <v>0</v>
      </c>
      <c r="T48" s="679" t="b" cm="1">
        <f t="array" ref="T48">T47</f>
        <v>0</v>
      </c>
      <c r="X48" s="1485"/>
      <c r="Z48" s="1485"/>
      <c r="AB48" s="716" t="str">
        <f>AB46&amp;".2"</f>
        <v>3.1.2</v>
      </c>
      <c r="AC48" s="599" t="s">
        <v>628</v>
      </c>
      <c r="AD48" s="117" t="s">
        <v>622</v>
      </c>
      <c r="AE48" s="26">
        <f t="shared" ref="AE48:BB48" si="11">AE32-AE40</f>
        <v>0</v>
      </c>
      <c r="AF48" s="26">
        <f t="shared" si="11"/>
        <v>0</v>
      </c>
      <c r="AG48" s="26">
        <f t="shared" si="11"/>
        <v>0</v>
      </c>
      <c r="AH48" s="26">
        <f t="shared" si="11"/>
        <v>0</v>
      </c>
      <c r="AI48" s="243">
        <f t="shared" si="11"/>
        <v>0</v>
      </c>
      <c r="AJ48" s="1224">
        <f t="shared" si="11"/>
        <v>0</v>
      </c>
      <c r="AK48" s="1224">
        <f t="shared" si="11"/>
        <v>0</v>
      </c>
      <c r="AL48" s="26">
        <f t="shared" si="11"/>
        <v>0</v>
      </c>
      <c r="AM48" s="26">
        <f t="shared" si="11"/>
        <v>0</v>
      </c>
      <c r="AN48" s="26">
        <f t="shared" si="11"/>
        <v>0</v>
      </c>
      <c r="AO48" s="26">
        <f t="shared" si="11"/>
        <v>0</v>
      </c>
      <c r="AP48" s="26">
        <f t="shared" si="11"/>
        <v>0</v>
      </c>
      <c r="AQ48" s="26">
        <f t="shared" si="11"/>
        <v>0</v>
      </c>
      <c r="AR48" s="26">
        <f t="shared" si="11"/>
        <v>0</v>
      </c>
      <c r="AS48" s="243">
        <f t="shared" si="11"/>
        <v>0</v>
      </c>
      <c r="AT48" s="1224">
        <f t="shared" si="11"/>
        <v>0</v>
      </c>
      <c r="AU48" s="1224">
        <f t="shared" si="11"/>
        <v>0</v>
      </c>
      <c r="AV48" s="26">
        <f t="shared" si="11"/>
        <v>0</v>
      </c>
      <c r="AW48" s="26">
        <f t="shared" si="11"/>
        <v>0</v>
      </c>
      <c r="AX48" s="26">
        <f t="shared" si="11"/>
        <v>0</v>
      </c>
      <c r="AY48" s="26">
        <f t="shared" si="11"/>
        <v>0</v>
      </c>
      <c r="AZ48" s="26">
        <f t="shared" si="11"/>
        <v>0</v>
      </c>
      <c r="BA48" s="26">
        <f t="shared" si="11"/>
        <v>0</v>
      </c>
      <c r="BB48" s="26">
        <f t="shared" si="11"/>
        <v>0</v>
      </c>
      <c r="BC48" s="25"/>
      <c r="BF48" s="984" t="s">
        <v>649</v>
      </c>
    </row>
    <row r="49" spans="5:58" ht="16.7" hidden="1" customHeight="1" x14ac:dyDescent="0.15">
      <c r="E49" s="668">
        <v>17.100000000000001</v>
      </c>
      <c r="F49" s="769" cm="1">
        <f t="array" aca="1" ref="F49" ca="1">OFFSET(G49,-1,-1)</f>
        <v>0</v>
      </c>
      <c r="T49" s="679" t="b" cm="1">
        <f t="array" ref="T49">T48</f>
        <v>0</v>
      </c>
      <c r="X49" s="1485"/>
      <c r="Z49" s="1485"/>
      <c r="AB49" s="716" t="str">
        <f>AB45&amp;".2"</f>
        <v>3.2</v>
      </c>
      <c r="AC49" s="601" t="s">
        <v>630</v>
      </c>
      <c r="AD49" s="117" t="s">
        <v>622</v>
      </c>
      <c r="AE49" s="305">
        <f t="shared" ref="AE49:BB49" si="12">AE50+AE51</f>
        <v>0</v>
      </c>
      <c r="AF49" s="305">
        <f t="shared" si="12"/>
        <v>0</v>
      </c>
      <c r="AG49" s="305">
        <f t="shared" si="12"/>
        <v>0</v>
      </c>
      <c r="AH49" s="305">
        <f t="shared" si="12"/>
        <v>0</v>
      </c>
      <c r="AI49" s="305">
        <f t="shared" si="12"/>
        <v>0</v>
      </c>
      <c r="AJ49" s="305">
        <f t="shared" si="12"/>
        <v>0</v>
      </c>
      <c r="AK49" s="305">
        <f t="shared" si="12"/>
        <v>0</v>
      </c>
      <c r="AL49" s="305">
        <f t="shared" si="12"/>
        <v>0</v>
      </c>
      <c r="AM49" s="305">
        <f t="shared" si="12"/>
        <v>0</v>
      </c>
      <c r="AN49" s="305">
        <f t="shared" si="12"/>
        <v>0</v>
      </c>
      <c r="AO49" s="305">
        <f t="shared" si="12"/>
        <v>0</v>
      </c>
      <c r="AP49" s="305">
        <f t="shared" si="12"/>
        <v>0</v>
      </c>
      <c r="AQ49" s="305">
        <f t="shared" si="12"/>
        <v>0</v>
      </c>
      <c r="AR49" s="305">
        <f t="shared" si="12"/>
        <v>0</v>
      </c>
      <c r="AS49" s="305">
        <f t="shared" si="12"/>
        <v>0</v>
      </c>
      <c r="AT49" s="305">
        <f t="shared" si="12"/>
        <v>0</v>
      </c>
      <c r="AU49" s="305">
        <f t="shared" si="12"/>
        <v>0</v>
      </c>
      <c r="AV49" s="305">
        <f t="shared" si="12"/>
        <v>0</v>
      </c>
      <c r="AW49" s="305">
        <f t="shared" si="12"/>
        <v>0</v>
      </c>
      <c r="AX49" s="305">
        <f t="shared" si="12"/>
        <v>0</v>
      </c>
      <c r="AY49" s="305">
        <f t="shared" si="12"/>
        <v>0</v>
      </c>
      <c r="AZ49" s="305">
        <f t="shared" si="12"/>
        <v>0</v>
      </c>
      <c r="BA49" s="305">
        <f t="shared" si="12"/>
        <v>0</v>
      </c>
      <c r="BB49" s="305">
        <f t="shared" si="12"/>
        <v>0</v>
      </c>
      <c r="BC49" s="25"/>
      <c r="BF49" s="984" t="s">
        <v>650</v>
      </c>
    </row>
    <row r="50" spans="5:58" ht="16.7" hidden="1" customHeight="1" x14ac:dyDescent="0.15">
      <c r="E50" s="668">
        <v>17.100000000000001</v>
      </c>
      <c r="F50" s="769" cm="1">
        <f t="array" aca="1" ref="F50" ca="1">OFFSET(G50,-1,-1)</f>
        <v>0</v>
      </c>
      <c r="T50" s="679" t="b" cm="1">
        <f t="array" ref="T50">T49</f>
        <v>0</v>
      </c>
      <c r="X50" s="1485"/>
      <c r="Z50" s="1485"/>
      <c r="AB50" s="716" t="str">
        <f>AB49&amp;".1"</f>
        <v>3.2.1</v>
      </c>
      <c r="AC50" s="599" t="s">
        <v>626</v>
      </c>
      <c r="AD50" s="117" t="s">
        <v>622</v>
      </c>
      <c r="AE50" s="26">
        <f t="shared" ref="AE50:BB50" si="13">AE34-AE42</f>
        <v>0</v>
      </c>
      <c r="AF50" s="26">
        <f t="shared" si="13"/>
        <v>0</v>
      </c>
      <c r="AG50" s="26">
        <f t="shared" si="13"/>
        <v>0</v>
      </c>
      <c r="AH50" s="26">
        <f t="shared" si="13"/>
        <v>0</v>
      </c>
      <c r="AI50" s="243">
        <f t="shared" si="13"/>
        <v>0</v>
      </c>
      <c r="AJ50" s="1224">
        <f t="shared" si="13"/>
        <v>0</v>
      </c>
      <c r="AK50" s="1224">
        <f t="shared" si="13"/>
        <v>0</v>
      </c>
      <c r="AL50" s="26">
        <f t="shared" si="13"/>
        <v>0</v>
      </c>
      <c r="AM50" s="26">
        <f t="shared" si="13"/>
        <v>0</v>
      </c>
      <c r="AN50" s="26">
        <f t="shared" si="13"/>
        <v>0</v>
      </c>
      <c r="AO50" s="26">
        <f t="shared" si="13"/>
        <v>0</v>
      </c>
      <c r="AP50" s="26">
        <f t="shared" si="13"/>
        <v>0</v>
      </c>
      <c r="AQ50" s="26">
        <f t="shared" si="13"/>
        <v>0</v>
      </c>
      <c r="AR50" s="26">
        <f t="shared" si="13"/>
        <v>0</v>
      </c>
      <c r="AS50" s="243">
        <f t="shared" si="13"/>
        <v>0</v>
      </c>
      <c r="AT50" s="1224">
        <f t="shared" si="13"/>
        <v>0</v>
      </c>
      <c r="AU50" s="1224">
        <f t="shared" si="13"/>
        <v>0</v>
      </c>
      <c r="AV50" s="26">
        <f t="shared" si="13"/>
        <v>0</v>
      </c>
      <c r="AW50" s="26">
        <f t="shared" si="13"/>
        <v>0</v>
      </c>
      <c r="AX50" s="26">
        <f t="shared" si="13"/>
        <v>0</v>
      </c>
      <c r="AY50" s="26">
        <f t="shared" si="13"/>
        <v>0</v>
      </c>
      <c r="AZ50" s="26">
        <f t="shared" si="13"/>
        <v>0</v>
      </c>
      <c r="BA50" s="26">
        <f t="shared" si="13"/>
        <v>0</v>
      </c>
      <c r="BB50" s="26">
        <f t="shared" si="13"/>
        <v>0</v>
      </c>
      <c r="BC50" s="25"/>
      <c r="BF50" s="984" t="s">
        <v>651</v>
      </c>
    </row>
    <row r="51" spans="5:58" ht="16.7" hidden="1" customHeight="1" x14ac:dyDescent="0.15">
      <c r="E51" s="668">
        <v>17.100000000000001</v>
      </c>
      <c r="F51" s="769" cm="1">
        <f t="array" aca="1" ref="F51" ca="1">OFFSET(G51,-1,-1)</f>
        <v>0</v>
      </c>
      <c r="T51" s="679" t="b" cm="1">
        <f t="array" ref="T51">T50</f>
        <v>0</v>
      </c>
      <c r="X51" s="1485"/>
      <c r="Z51" s="1485"/>
      <c r="AB51" s="716" t="str">
        <f>AB49&amp;".2"</f>
        <v>3.2.2</v>
      </c>
      <c r="AC51" s="463" t="s">
        <v>628</v>
      </c>
      <c r="AD51" s="719" t="s">
        <v>622</v>
      </c>
      <c r="AE51" s="26">
        <f t="shared" ref="AE51:BB51" si="14">AE35-AE43</f>
        <v>0</v>
      </c>
      <c r="AF51" s="26">
        <f t="shared" si="14"/>
        <v>0</v>
      </c>
      <c r="AG51" s="26">
        <f t="shared" si="14"/>
        <v>0</v>
      </c>
      <c r="AH51" s="26">
        <f t="shared" si="14"/>
        <v>0</v>
      </c>
      <c r="AI51" s="243">
        <f t="shared" si="14"/>
        <v>0</v>
      </c>
      <c r="AJ51" s="1224">
        <f t="shared" si="14"/>
        <v>0</v>
      </c>
      <c r="AK51" s="1224">
        <f t="shared" si="14"/>
        <v>0</v>
      </c>
      <c r="AL51" s="26">
        <f t="shared" si="14"/>
        <v>0</v>
      </c>
      <c r="AM51" s="26">
        <f t="shared" si="14"/>
        <v>0</v>
      </c>
      <c r="AN51" s="26">
        <f t="shared" si="14"/>
        <v>0</v>
      </c>
      <c r="AO51" s="26">
        <f t="shared" si="14"/>
        <v>0</v>
      </c>
      <c r="AP51" s="26">
        <f t="shared" si="14"/>
        <v>0</v>
      </c>
      <c r="AQ51" s="26">
        <f t="shared" si="14"/>
        <v>0</v>
      </c>
      <c r="AR51" s="26">
        <f t="shared" si="14"/>
        <v>0</v>
      </c>
      <c r="AS51" s="243">
        <f t="shared" si="14"/>
        <v>0</v>
      </c>
      <c r="AT51" s="1224">
        <f t="shared" si="14"/>
        <v>0</v>
      </c>
      <c r="AU51" s="1224">
        <f t="shared" si="14"/>
        <v>0</v>
      </c>
      <c r="AV51" s="26">
        <f t="shared" si="14"/>
        <v>0</v>
      </c>
      <c r="AW51" s="26">
        <f t="shared" si="14"/>
        <v>0</v>
      </c>
      <c r="AX51" s="26">
        <f t="shared" si="14"/>
        <v>0</v>
      </c>
      <c r="AY51" s="26">
        <f t="shared" si="14"/>
        <v>0</v>
      </c>
      <c r="AZ51" s="26">
        <f t="shared" si="14"/>
        <v>0</v>
      </c>
      <c r="BA51" s="26">
        <f t="shared" si="14"/>
        <v>0</v>
      </c>
      <c r="BB51" s="26">
        <f t="shared" si="14"/>
        <v>0</v>
      </c>
      <c r="BC51" s="25"/>
      <c r="BF51" s="984" t="s">
        <v>652</v>
      </c>
    </row>
    <row r="52" spans="5:58" ht="16.7" hidden="1" customHeight="1" x14ac:dyDescent="0.15">
      <c r="E52" s="668">
        <v>17.100000000000001</v>
      </c>
      <c r="F52" s="769" cm="1">
        <f t="array" aca="1" ref="F52" ca="1">OFFSET(G52,-1,-1)</f>
        <v>0</v>
      </c>
      <c r="T52" s="679" t="b" cm="1">
        <f t="array" ref="T52">T51</f>
        <v>0</v>
      </c>
      <c r="X52" s="1485"/>
      <c r="Z52" s="1485"/>
      <c r="AB52" s="716" t="str">
        <f>AB45&amp;".3"</f>
        <v>3.3</v>
      </c>
      <c r="AC52" s="461" t="s">
        <v>634</v>
      </c>
      <c r="AD52" s="118" t="s">
        <v>622</v>
      </c>
      <c r="AE52" s="26"/>
      <c r="AF52" s="26"/>
      <c r="AG52" s="26"/>
      <c r="AH52" s="26"/>
      <c r="AI52" s="243"/>
      <c r="AJ52" s="1224"/>
      <c r="AK52" s="1224"/>
      <c r="AL52" s="26"/>
      <c r="AM52" s="26"/>
      <c r="AN52" s="26"/>
      <c r="AO52" s="26"/>
      <c r="AP52" s="26"/>
      <c r="AQ52" s="26"/>
      <c r="AR52" s="26"/>
      <c r="AS52" s="243"/>
      <c r="AT52" s="1224"/>
      <c r="AU52" s="1224"/>
      <c r="AV52" s="26"/>
      <c r="AW52" s="26"/>
      <c r="AX52" s="26"/>
      <c r="AY52" s="26"/>
      <c r="AZ52" s="26"/>
      <c r="BA52" s="26"/>
      <c r="BB52" s="26"/>
      <c r="BC52" s="25"/>
      <c r="BF52" s="984" t="s">
        <v>653</v>
      </c>
    </row>
    <row r="53" spans="5:58" ht="16.7" hidden="1" customHeight="1" x14ac:dyDescent="0.15">
      <c r="E53" s="668">
        <v>17.100000000000001</v>
      </c>
      <c r="F53" s="769" cm="1">
        <f t="array" aca="1" ref="F53" ca="1">OFFSET(G53,-1,-1)</f>
        <v>0</v>
      </c>
      <c r="T53" s="679" t="b" cm="1">
        <f t="array" ref="T53">T52</f>
        <v>0</v>
      </c>
      <c r="X53" s="1485"/>
      <c r="Z53" s="1485"/>
      <c r="AB53" s="467" t="s">
        <v>437</v>
      </c>
      <c r="AC53" s="468" t="s">
        <v>654</v>
      </c>
      <c r="AD53" s="118" t="s">
        <v>622</v>
      </c>
      <c r="AE53" s="440">
        <f t="shared" ref="AE53:BB53" si="15">AE54+AE55</f>
        <v>0</v>
      </c>
      <c r="AF53" s="440">
        <f t="shared" si="15"/>
        <v>0</v>
      </c>
      <c r="AG53" s="440">
        <f t="shared" si="15"/>
        <v>0</v>
      </c>
      <c r="AH53" s="440">
        <f t="shared" si="15"/>
        <v>0</v>
      </c>
      <c r="AI53" s="440">
        <f t="shared" si="15"/>
        <v>0</v>
      </c>
      <c r="AJ53" s="440">
        <f t="shared" si="15"/>
        <v>0</v>
      </c>
      <c r="AK53" s="440">
        <f t="shared" si="15"/>
        <v>0</v>
      </c>
      <c r="AL53" s="440">
        <f t="shared" si="15"/>
        <v>0</v>
      </c>
      <c r="AM53" s="440">
        <f t="shared" si="15"/>
        <v>0</v>
      </c>
      <c r="AN53" s="440">
        <f t="shared" si="15"/>
        <v>0</v>
      </c>
      <c r="AO53" s="440">
        <f t="shared" si="15"/>
        <v>0</v>
      </c>
      <c r="AP53" s="440">
        <f t="shared" si="15"/>
        <v>0</v>
      </c>
      <c r="AQ53" s="440">
        <f t="shared" si="15"/>
        <v>0</v>
      </c>
      <c r="AR53" s="440">
        <f t="shared" si="15"/>
        <v>0</v>
      </c>
      <c r="AS53" s="440">
        <f t="shared" si="15"/>
        <v>0</v>
      </c>
      <c r="AT53" s="440">
        <f t="shared" si="15"/>
        <v>0</v>
      </c>
      <c r="AU53" s="440">
        <f t="shared" si="15"/>
        <v>0</v>
      </c>
      <c r="AV53" s="440">
        <f t="shared" si="15"/>
        <v>0</v>
      </c>
      <c r="AW53" s="440">
        <f t="shared" si="15"/>
        <v>0</v>
      </c>
      <c r="AX53" s="440">
        <f t="shared" si="15"/>
        <v>0</v>
      </c>
      <c r="AY53" s="440">
        <f t="shared" si="15"/>
        <v>0</v>
      </c>
      <c r="AZ53" s="440">
        <f t="shared" si="15"/>
        <v>0</v>
      </c>
      <c r="BA53" s="440">
        <f t="shared" si="15"/>
        <v>0</v>
      </c>
      <c r="BB53" s="440">
        <f t="shared" si="15"/>
        <v>0</v>
      </c>
      <c r="BC53" s="25"/>
      <c r="BF53" s="984" t="s">
        <v>655</v>
      </c>
    </row>
    <row r="54" spans="5:58" ht="16.7" hidden="1" customHeight="1" x14ac:dyDescent="0.15">
      <c r="E54" s="668">
        <v>17.100000000000001</v>
      </c>
      <c r="F54" s="769" cm="1">
        <f t="array" aca="1" ref="F54" ca="1">OFFSET(G54,-1,-1)</f>
        <v>0</v>
      </c>
      <c r="T54" s="679" t="b" cm="1">
        <f t="array" ref="T54">T53</f>
        <v>0</v>
      </c>
      <c r="X54" s="1485"/>
      <c r="Z54" s="1485"/>
      <c r="AB54" s="716" t="str">
        <f>AB53&amp;".1"</f>
        <v>4.1</v>
      </c>
      <c r="AC54" s="461" t="s">
        <v>626</v>
      </c>
      <c r="AD54" s="118" t="s">
        <v>622</v>
      </c>
      <c r="AE54" s="29"/>
      <c r="AF54" s="29"/>
      <c r="AG54" s="29"/>
      <c r="AH54" s="29"/>
      <c r="AI54" s="408"/>
      <c r="AJ54" s="1227"/>
      <c r="AK54" s="1227"/>
      <c r="AL54" s="29"/>
      <c r="AM54" s="29"/>
      <c r="AN54" s="29"/>
      <c r="AO54" s="29"/>
      <c r="AP54" s="29"/>
      <c r="AQ54" s="29"/>
      <c r="AR54" s="29"/>
      <c r="AS54" s="408"/>
      <c r="AT54" s="1227"/>
      <c r="AU54" s="1227"/>
      <c r="AV54" s="29"/>
      <c r="AW54" s="29"/>
      <c r="AX54" s="29"/>
      <c r="AY54" s="29"/>
      <c r="AZ54" s="29"/>
      <c r="BA54" s="29"/>
      <c r="BB54" s="29"/>
      <c r="BC54" s="25"/>
      <c r="BF54" s="984" t="s">
        <v>656</v>
      </c>
    </row>
    <row r="55" spans="5:58" ht="16.7" hidden="1" customHeight="1" x14ac:dyDescent="0.15">
      <c r="E55" s="668">
        <v>17.100000000000001</v>
      </c>
      <c r="F55" s="769" cm="1">
        <f t="array" aca="1" ref="F55" ca="1">OFFSET(G55,-1,-1)</f>
        <v>0</v>
      </c>
      <c r="T55" s="679" t="b" cm="1">
        <f t="array" ref="T55">T54</f>
        <v>0</v>
      </c>
      <c r="X55" s="1485"/>
      <c r="Z55" s="1485"/>
      <c r="AB55" s="716" t="str">
        <f>AB53&amp;".2"</f>
        <v>4.2</v>
      </c>
      <c r="AC55" s="461" t="s">
        <v>628</v>
      </c>
      <c r="AD55" s="118" t="s">
        <v>622</v>
      </c>
      <c r="AE55" s="30"/>
      <c r="AF55" s="30"/>
      <c r="AG55" s="30"/>
      <c r="AH55" s="30"/>
      <c r="AI55" s="466"/>
      <c r="AJ55" s="1228"/>
      <c r="AK55" s="1228"/>
      <c r="AL55" s="30"/>
      <c r="AM55" s="30"/>
      <c r="AN55" s="30"/>
      <c r="AO55" s="30"/>
      <c r="AP55" s="30"/>
      <c r="AQ55" s="30"/>
      <c r="AR55" s="30"/>
      <c r="AS55" s="466"/>
      <c r="AT55" s="1228"/>
      <c r="AU55" s="1228"/>
      <c r="AV55" s="30"/>
      <c r="AW55" s="30"/>
      <c r="AX55" s="30"/>
      <c r="AY55" s="30"/>
      <c r="AZ55" s="30"/>
      <c r="BA55" s="30"/>
      <c r="BB55" s="30"/>
      <c r="BC55" s="20"/>
      <c r="BF55" s="984" t="s">
        <v>657</v>
      </c>
    </row>
    <row r="56" spans="5:58" ht="16.7" hidden="1" customHeight="1" x14ac:dyDescent="0.15">
      <c r="E56" s="668">
        <v>17.100000000000001</v>
      </c>
      <c r="F56" s="769" cm="1">
        <f t="array" aca="1" ref="F56" ca="1">OFFSET(G56,-1,-1)</f>
        <v>0</v>
      </c>
      <c r="T56" s="679" t="b" cm="1">
        <f t="array" ref="T56">T55</f>
        <v>0</v>
      </c>
      <c r="X56" s="1485"/>
      <c r="Z56" s="1485"/>
      <c r="AB56" s="721" t="s">
        <v>441</v>
      </c>
      <c r="AC56" s="441" t="s">
        <v>658</v>
      </c>
      <c r="AD56" s="343" t="s">
        <v>622</v>
      </c>
      <c r="AE56" s="26"/>
      <c r="AF56" s="26"/>
      <c r="AG56" s="26"/>
      <c r="AH56" s="26"/>
      <c r="AI56" s="243"/>
      <c r="AJ56" s="1224"/>
      <c r="AK56" s="1224"/>
      <c r="AL56" s="26"/>
      <c r="AM56" s="26"/>
      <c r="AN56" s="26"/>
      <c r="AO56" s="26"/>
      <c r="AP56" s="26"/>
      <c r="AQ56" s="26"/>
      <c r="AR56" s="26"/>
      <c r="AS56" s="243"/>
      <c r="AT56" s="1224"/>
      <c r="AU56" s="1224"/>
      <c r="AV56" s="26"/>
      <c r="AW56" s="26"/>
      <c r="AX56" s="26"/>
      <c r="AY56" s="26"/>
      <c r="AZ56" s="26"/>
      <c r="BA56" s="26"/>
      <c r="BB56" s="26"/>
      <c r="BC56" s="31"/>
      <c r="BF56" s="984" t="s">
        <v>659</v>
      </c>
    </row>
    <row r="57" spans="5:58" ht="16.7" hidden="1" customHeight="1" x14ac:dyDescent="0.15">
      <c r="E57" s="668">
        <v>17.100000000000001</v>
      </c>
      <c r="F57" s="769" cm="1">
        <f t="array" aca="1" ref="F57" ca="1">OFFSET(G57,-1,-1)</f>
        <v>0</v>
      </c>
      <c r="T57" s="679" t="b" cm="1">
        <f t="array" ref="T57">T56</f>
        <v>0</v>
      </c>
      <c r="X57" s="1485"/>
      <c r="Z57" s="1485"/>
      <c r="AB57" s="722" t="s">
        <v>445</v>
      </c>
      <c r="AC57" s="405" t="s">
        <v>660</v>
      </c>
      <c r="AD57" s="343" t="s">
        <v>622</v>
      </c>
      <c r="AE57" s="305">
        <f t="shared" ref="AE57:BB57" si="16">AE45-AE56</f>
        <v>0</v>
      </c>
      <c r="AF57" s="305">
        <f t="shared" si="16"/>
        <v>0</v>
      </c>
      <c r="AG57" s="305">
        <f t="shared" si="16"/>
        <v>0</v>
      </c>
      <c r="AH57" s="305">
        <f t="shared" si="16"/>
        <v>0</v>
      </c>
      <c r="AI57" s="305">
        <f t="shared" si="16"/>
        <v>0</v>
      </c>
      <c r="AJ57" s="305">
        <f t="shared" si="16"/>
        <v>0</v>
      </c>
      <c r="AK57" s="305">
        <f t="shared" si="16"/>
        <v>0</v>
      </c>
      <c r="AL57" s="305">
        <f t="shared" si="16"/>
        <v>0</v>
      </c>
      <c r="AM57" s="305">
        <f t="shared" si="16"/>
        <v>0</v>
      </c>
      <c r="AN57" s="305">
        <f t="shared" si="16"/>
        <v>0</v>
      </c>
      <c r="AO57" s="305">
        <f t="shared" si="16"/>
        <v>0</v>
      </c>
      <c r="AP57" s="305">
        <f t="shared" si="16"/>
        <v>0</v>
      </c>
      <c r="AQ57" s="305">
        <f t="shared" si="16"/>
        <v>0</v>
      </c>
      <c r="AR57" s="305">
        <f t="shared" si="16"/>
        <v>0</v>
      </c>
      <c r="AS57" s="305">
        <f t="shared" si="16"/>
        <v>0</v>
      </c>
      <c r="AT57" s="305">
        <f t="shared" si="16"/>
        <v>0</v>
      </c>
      <c r="AU57" s="305">
        <f t="shared" si="16"/>
        <v>0</v>
      </c>
      <c r="AV57" s="305">
        <f t="shared" si="16"/>
        <v>0</v>
      </c>
      <c r="AW57" s="305">
        <f t="shared" si="16"/>
        <v>0</v>
      </c>
      <c r="AX57" s="305">
        <f t="shared" si="16"/>
        <v>0</v>
      </c>
      <c r="AY57" s="305">
        <f t="shared" si="16"/>
        <v>0</v>
      </c>
      <c r="AZ57" s="305">
        <f t="shared" si="16"/>
        <v>0</v>
      </c>
      <c r="BA57" s="305">
        <f t="shared" si="16"/>
        <v>0</v>
      </c>
      <c r="BB57" s="305">
        <f t="shared" si="16"/>
        <v>0</v>
      </c>
      <c r="BC57" s="31"/>
      <c r="BF57" s="984" t="s">
        <v>661</v>
      </c>
    </row>
    <row r="58" spans="5:58" ht="16.7" hidden="1" customHeight="1" x14ac:dyDescent="0.15">
      <c r="E58" s="668">
        <v>17.100000000000001</v>
      </c>
      <c r="F58" s="769" cm="1">
        <f t="array" aca="1" ref="F58" ca="1">OFFSET(G58,-1,-1)</f>
        <v>0</v>
      </c>
      <c r="T58" s="679" t="b" cm="1">
        <f t="array" ref="T58">T57</f>
        <v>0</v>
      </c>
      <c r="X58" s="1485"/>
      <c r="Z58" s="1485"/>
      <c r="AB58" s="716" t="str">
        <f>AB57&amp;".1"</f>
        <v>6.1</v>
      </c>
      <c r="AC58" s="461" t="s">
        <v>626</v>
      </c>
      <c r="AD58" s="343" t="s">
        <v>622</v>
      </c>
      <c r="AE58" s="305">
        <f t="shared" ref="AE58:BB58" si="17">AE57-AE66</f>
        <v>0</v>
      </c>
      <c r="AF58" s="305">
        <f t="shared" si="17"/>
        <v>0</v>
      </c>
      <c r="AG58" s="305">
        <f t="shared" si="17"/>
        <v>0</v>
      </c>
      <c r="AH58" s="305">
        <f t="shared" si="17"/>
        <v>0</v>
      </c>
      <c r="AI58" s="305">
        <f t="shared" si="17"/>
        <v>0</v>
      </c>
      <c r="AJ58" s="305">
        <f t="shared" si="17"/>
        <v>0</v>
      </c>
      <c r="AK58" s="305">
        <f t="shared" si="17"/>
        <v>0</v>
      </c>
      <c r="AL58" s="305">
        <f t="shared" si="17"/>
        <v>0</v>
      </c>
      <c r="AM58" s="305">
        <f t="shared" si="17"/>
        <v>0</v>
      </c>
      <c r="AN58" s="305">
        <f t="shared" si="17"/>
        <v>0</v>
      </c>
      <c r="AO58" s="305">
        <f t="shared" si="17"/>
        <v>0</v>
      </c>
      <c r="AP58" s="305">
        <f t="shared" si="17"/>
        <v>0</v>
      </c>
      <c r="AQ58" s="305">
        <f t="shared" si="17"/>
        <v>0</v>
      </c>
      <c r="AR58" s="305">
        <f t="shared" si="17"/>
        <v>0</v>
      </c>
      <c r="AS58" s="305">
        <f t="shared" si="17"/>
        <v>0</v>
      </c>
      <c r="AT58" s="305">
        <f t="shared" si="17"/>
        <v>0</v>
      </c>
      <c r="AU58" s="305">
        <f t="shared" si="17"/>
        <v>0</v>
      </c>
      <c r="AV58" s="305">
        <f t="shared" si="17"/>
        <v>0</v>
      </c>
      <c r="AW58" s="305">
        <f t="shared" si="17"/>
        <v>0</v>
      </c>
      <c r="AX58" s="305">
        <f t="shared" si="17"/>
        <v>0</v>
      </c>
      <c r="AY58" s="305">
        <f t="shared" si="17"/>
        <v>0</v>
      </c>
      <c r="AZ58" s="305">
        <f t="shared" si="17"/>
        <v>0</v>
      </c>
      <c r="BA58" s="305">
        <f t="shared" si="17"/>
        <v>0</v>
      </c>
      <c r="BB58" s="305">
        <f t="shared" si="17"/>
        <v>0</v>
      </c>
      <c r="BC58" s="31"/>
      <c r="BF58" s="984" t="s">
        <v>662</v>
      </c>
    </row>
    <row r="59" spans="5:58" ht="16.7" hidden="1" customHeight="1" x14ac:dyDescent="0.15">
      <c r="E59" s="668">
        <v>17.100000000000001</v>
      </c>
      <c r="F59" s="769" cm="1">
        <f t="array" aca="1" ref="F59" ca="1">OFFSET(G59,-1,-1)</f>
        <v>0</v>
      </c>
      <c r="T59" s="679" t="b" cm="1">
        <f t="array" ref="T59">T58</f>
        <v>0</v>
      </c>
      <c r="X59" s="1485"/>
      <c r="Z59" s="1485"/>
      <c r="AB59" s="716" t="str">
        <f>AB58&amp;".1"</f>
        <v>6.1.1</v>
      </c>
      <c r="AC59" s="564" t="s">
        <v>663</v>
      </c>
      <c r="AD59" s="118" t="s">
        <v>622</v>
      </c>
      <c r="AE59" s="26"/>
      <c r="AF59" s="26"/>
      <c r="AG59" s="26"/>
      <c r="AH59" s="26"/>
      <c r="AI59" s="243"/>
      <c r="AJ59" s="1224"/>
      <c r="AK59" s="1224"/>
      <c r="AL59" s="26"/>
      <c r="AM59" s="26"/>
      <c r="AN59" s="26"/>
      <c r="AO59" s="26"/>
      <c r="AP59" s="26"/>
      <c r="AQ59" s="26"/>
      <c r="AR59" s="26"/>
      <c r="AS59" s="243"/>
      <c r="AT59" s="1224"/>
      <c r="AU59" s="1224"/>
      <c r="AV59" s="26"/>
      <c r="AW59" s="26"/>
      <c r="AX59" s="26"/>
      <c r="AY59" s="26"/>
      <c r="AZ59" s="26"/>
      <c r="BA59" s="26"/>
      <c r="BB59" s="26"/>
      <c r="BC59" s="31"/>
      <c r="BF59" s="984" t="s">
        <v>664</v>
      </c>
    </row>
    <row r="60" spans="5:58" ht="16.7" hidden="1" customHeight="1" x14ac:dyDescent="0.15">
      <c r="E60" s="668">
        <v>17.100000000000001</v>
      </c>
      <c r="F60" s="769" cm="1">
        <f t="array" aca="1" ref="F60" ca="1">OFFSET(G60,-1,-1)</f>
        <v>0</v>
      </c>
      <c r="T60" s="679" t="b" cm="1">
        <f t="array" ref="T60">T59</f>
        <v>0</v>
      </c>
      <c r="X60" s="1485"/>
      <c r="Z60" s="1485"/>
      <c r="AB60" s="716" t="str">
        <f>AB58&amp;".2"</f>
        <v>6.1.2</v>
      </c>
      <c r="AC60" s="565" t="s">
        <v>665</v>
      </c>
      <c r="AD60" s="118" t="s">
        <v>622</v>
      </c>
      <c r="AE60" s="26">
        <f t="shared" ref="AE60:BB60" si="18">SUM(AE61:AE64)</f>
        <v>0</v>
      </c>
      <c r="AF60" s="26">
        <f t="shared" si="18"/>
        <v>0</v>
      </c>
      <c r="AG60" s="26">
        <f t="shared" si="18"/>
        <v>0</v>
      </c>
      <c r="AH60" s="26">
        <f t="shared" si="18"/>
        <v>0</v>
      </c>
      <c r="AI60" s="243">
        <f t="shared" si="18"/>
        <v>0</v>
      </c>
      <c r="AJ60" s="1224">
        <f t="shared" si="18"/>
        <v>0</v>
      </c>
      <c r="AK60" s="1224">
        <f t="shared" si="18"/>
        <v>0</v>
      </c>
      <c r="AL60" s="26">
        <f t="shared" si="18"/>
        <v>0</v>
      </c>
      <c r="AM60" s="26">
        <f t="shared" si="18"/>
        <v>0</v>
      </c>
      <c r="AN60" s="26">
        <f t="shared" si="18"/>
        <v>0</v>
      </c>
      <c r="AO60" s="26">
        <f t="shared" si="18"/>
        <v>0</v>
      </c>
      <c r="AP60" s="26">
        <f t="shared" si="18"/>
        <v>0</v>
      </c>
      <c r="AQ60" s="26">
        <f t="shared" si="18"/>
        <v>0</v>
      </c>
      <c r="AR60" s="26">
        <f t="shared" si="18"/>
        <v>0</v>
      </c>
      <c r="AS60" s="243">
        <f t="shared" si="18"/>
        <v>0</v>
      </c>
      <c r="AT60" s="1224">
        <f t="shared" si="18"/>
        <v>0</v>
      </c>
      <c r="AU60" s="1224">
        <f t="shared" si="18"/>
        <v>0</v>
      </c>
      <c r="AV60" s="26">
        <f t="shared" si="18"/>
        <v>0</v>
      </c>
      <c r="AW60" s="26">
        <f t="shared" si="18"/>
        <v>0</v>
      </c>
      <c r="AX60" s="26">
        <f t="shared" si="18"/>
        <v>0</v>
      </c>
      <c r="AY60" s="26">
        <f t="shared" si="18"/>
        <v>0</v>
      </c>
      <c r="AZ60" s="26">
        <f t="shared" si="18"/>
        <v>0</v>
      </c>
      <c r="BA60" s="26">
        <f t="shared" si="18"/>
        <v>0</v>
      </c>
      <c r="BB60" s="26">
        <f t="shared" si="18"/>
        <v>0</v>
      </c>
      <c r="BC60" s="31"/>
      <c r="BF60" s="984" t="s">
        <v>666</v>
      </c>
    </row>
    <row r="61" spans="5:58" ht="16.7" hidden="1" customHeight="1" x14ac:dyDescent="0.15">
      <c r="E61" s="668">
        <v>17.100000000000001</v>
      </c>
      <c r="F61" s="769" cm="1">
        <f t="array" aca="1" ref="F61" ca="1">OFFSET(G61,-1,-1)</f>
        <v>0</v>
      </c>
      <c r="T61" s="679" t="b" cm="1">
        <f t="array" ref="T61">T60</f>
        <v>0</v>
      </c>
      <c r="X61" s="1485"/>
      <c r="Z61" s="1485"/>
      <c r="AB61" s="716" t="str">
        <f>AB60&amp;".1"</f>
        <v>6.1.2.1</v>
      </c>
      <c r="AC61" s="566" t="s">
        <v>667</v>
      </c>
      <c r="AD61" s="343" t="s">
        <v>622</v>
      </c>
      <c r="AE61" s="26"/>
      <c r="AF61" s="26"/>
      <c r="AG61" s="26"/>
      <c r="AH61" s="26"/>
      <c r="AI61" s="243"/>
      <c r="AJ61" s="1224"/>
      <c r="AK61" s="1224"/>
      <c r="AL61" s="26"/>
      <c r="AM61" s="26"/>
      <c r="AN61" s="26"/>
      <c r="AO61" s="26"/>
      <c r="AP61" s="26"/>
      <c r="AQ61" s="26"/>
      <c r="AR61" s="26"/>
      <c r="AS61" s="243"/>
      <c r="AT61" s="1224"/>
      <c r="AU61" s="1224"/>
      <c r="AV61" s="26"/>
      <c r="AW61" s="26"/>
      <c r="AX61" s="26"/>
      <c r="AY61" s="26"/>
      <c r="AZ61" s="26"/>
      <c r="BA61" s="26"/>
      <c r="BB61" s="26"/>
      <c r="BC61" s="31"/>
      <c r="BF61" s="984" t="s">
        <v>668</v>
      </c>
    </row>
    <row r="62" spans="5:58" ht="16.7" hidden="1" customHeight="1" x14ac:dyDescent="0.15">
      <c r="E62" s="668">
        <v>17.100000000000001</v>
      </c>
      <c r="F62" s="769" cm="1">
        <f t="array" aca="1" ref="F62" ca="1">OFFSET(G62,-1,-1)</f>
        <v>0</v>
      </c>
      <c r="T62" s="679" t="b" cm="1">
        <f t="array" ref="T62">T61</f>
        <v>0</v>
      </c>
      <c r="X62" s="1485"/>
      <c r="Z62" s="1485"/>
      <c r="AB62" s="716" t="str">
        <f>AB60&amp;".2"</f>
        <v>6.1.2.2</v>
      </c>
      <c r="AC62" s="567" t="s">
        <v>669</v>
      </c>
      <c r="AD62" s="118" t="s">
        <v>622</v>
      </c>
      <c r="AE62" s="26"/>
      <c r="AF62" s="26"/>
      <c r="AG62" s="26"/>
      <c r="AH62" s="26"/>
      <c r="AI62" s="243"/>
      <c r="AJ62" s="1224"/>
      <c r="AK62" s="1224"/>
      <c r="AL62" s="26"/>
      <c r="AM62" s="26"/>
      <c r="AN62" s="26"/>
      <c r="AO62" s="26"/>
      <c r="AP62" s="26"/>
      <c r="AQ62" s="26"/>
      <c r="AR62" s="26"/>
      <c r="AS62" s="243"/>
      <c r="AT62" s="1224"/>
      <c r="AU62" s="1224"/>
      <c r="AV62" s="26"/>
      <c r="AW62" s="26"/>
      <c r="AX62" s="26"/>
      <c r="AY62" s="26"/>
      <c r="AZ62" s="26"/>
      <c r="BA62" s="26"/>
      <c r="BB62" s="26"/>
      <c r="BC62" s="31"/>
      <c r="BF62" s="984" t="s">
        <v>670</v>
      </c>
    </row>
    <row r="63" spans="5:58" ht="16.7" hidden="1" customHeight="1" x14ac:dyDescent="0.15">
      <c r="E63" s="668">
        <v>17.100000000000001</v>
      </c>
      <c r="F63" s="769" cm="1">
        <f t="array" aca="1" ref="F63" ca="1">OFFSET(G63,-1,-1)</f>
        <v>0</v>
      </c>
      <c r="T63" s="679" t="b" cm="1">
        <f t="array" ref="T63">T62</f>
        <v>0</v>
      </c>
      <c r="X63" s="1485"/>
      <c r="Z63" s="1485"/>
      <c r="AB63" s="716" t="str">
        <f>AB60&amp;".3"</f>
        <v>6.1.2.3</v>
      </c>
      <c r="AC63" s="567" t="s">
        <v>671</v>
      </c>
      <c r="AD63" s="118" t="s">
        <v>622</v>
      </c>
      <c r="AE63" s="26"/>
      <c r="AF63" s="26"/>
      <c r="AG63" s="26"/>
      <c r="AH63" s="26"/>
      <c r="AI63" s="243"/>
      <c r="AJ63" s="1224"/>
      <c r="AK63" s="1224"/>
      <c r="AL63" s="26"/>
      <c r="AM63" s="26"/>
      <c r="AN63" s="26"/>
      <c r="AO63" s="26"/>
      <c r="AP63" s="26"/>
      <c r="AQ63" s="26"/>
      <c r="AR63" s="26"/>
      <c r="AS63" s="243"/>
      <c r="AT63" s="1224"/>
      <c r="AU63" s="1224"/>
      <c r="AV63" s="26"/>
      <c r="AW63" s="26"/>
      <c r="AX63" s="26"/>
      <c r="AY63" s="26"/>
      <c r="AZ63" s="26"/>
      <c r="BA63" s="26"/>
      <c r="BB63" s="26"/>
      <c r="BC63" s="31"/>
      <c r="BF63" s="984" t="s">
        <v>672</v>
      </c>
    </row>
    <row r="64" spans="5:58" ht="16.7" hidden="1" customHeight="1" x14ac:dyDescent="0.15">
      <c r="E64" s="668">
        <v>17.100000000000001</v>
      </c>
      <c r="F64" s="769" cm="1">
        <f t="array" aca="1" ref="F64" ca="1">OFFSET(G64,-1,-1)</f>
        <v>0</v>
      </c>
      <c r="T64" s="679" t="b" cm="1">
        <f t="array" ref="T64">T63</f>
        <v>0</v>
      </c>
      <c r="X64" s="1485"/>
      <c r="Z64" s="1485"/>
      <c r="AB64" s="716" t="str">
        <f>AB60&amp;".4"</f>
        <v>6.1.2.4</v>
      </c>
      <c r="AC64" s="567" t="s">
        <v>673</v>
      </c>
      <c r="AD64" s="343" t="s">
        <v>622</v>
      </c>
      <c r="AE64" s="26"/>
      <c r="AF64" s="26"/>
      <c r="AG64" s="26"/>
      <c r="AH64" s="26"/>
      <c r="AI64" s="243"/>
      <c r="AJ64" s="1224"/>
      <c r="AK64" s="1224"/>
      <c r="AL64" s="26"/>
      <c r="AM64" s="26"/>
      <c r="AN64" s="26"/>
      <c r="AO64" s="26"/>
      <c r="AP64" s="26"/>
      <c r="AQ64" s="26"/>
      <c r="AR64" s="26"/>
      <c r="AS64" s="243"/>
      <c r="AT64" s="1224"/>
      <c r="AU64" s="1224"/>
      <c r="AV64" s="26"/>
      <c r="AW64" s="26"/>
      <c r="AX64" s="26"/>
      <c r="AY64" s="26"/>
      <c r="AZ64" s="26"/>
      <c r="BA64" s="26"/>
      <c r="BB64" s="26"/>
      <c r="BC64" s="31"/>
      <c r="BF64" s="984" t="s">
        <v>674</v>
      </c>
    </row>
    <row r="65" spans="5:58" ht="16.7" hidden="1" customHeight="1" x14ac:dyDescent="0.15">
      <c r="E65" s="668">
        <v>17.100000000000001</v>
      </c>
      <c r="F65" s="769" cm="1">
        <f t="array" aca="1" ref="F65" ca="1">OFFSET(G65,-1,-1)</f>
        <v>0</v>
      </c>
      <c r="T65" s="679" t="b" cm="1">
        <f t="array" ref="T65">T64</f>
        <v>0</v>
      </c>
      <c r="X65" s="1485"/>
      <c r="Z65" s="1485"/>
      <c r="AB65" s="716" t="str">
        <f>AB58&amp;".3"</f>
        <v>6.1.3</v>
      </c>
      <c r="AC65" s="904" t="s">
        <v>675</v>
      </c>
      <c r="AD65" s="343" t="s">
        <v>622</v>
      </c>
      <c r="AE65" s="305">
        <f t="shared" ref="AE65:BB65" si="19">AE58-AE59-AE60</f>
        <v>0</v>
      </c>
      <c r="AF65" s="305">
        <f t="shared" si="19"/>
        <v>0</v>
      </c>
      <c r="AG65" s="305">
        <f t="shared" si="19"/>
        <v>0</v>
      </c>
      <c r="AH65" s="305">
        <f t="shared" si="19"/>
        <v>0</v>
      </c>
      <c r="AI65" s="305">
        <f t="shared" si="19"/>
        <v>0</v>
      </c>
      <c r="AJ65" s="305">
        <f t="shared" si="19"/>
        <v>0</v>
      </c>
      <c r="AK65" s="305">
        <f t="shared" si="19"/>
        <v>0</v>
      </c>
      <c r="AL65" s="305">
        <f t="shared" si="19"/>
        <v>0</v>
      </c>
      <c r="AM65" s="305">
        <f t="shared" si="19"/>
        <v>0</v>
      </c>
      <c r="AN65" s="305">
        <f t="shared" si="19"/>
        <v>0</v>
      </c>
      <c r="AO65" s="305">
        <f t="shared" si="19"/>
        <v>0</v>
      </c>
      <c r="AP65" s="305">
        <f t="shared" si="19"/>
        <v>0</v>
      </c>
      <c r="AQ65" s="305">
        <f t="shared" si="19"/>
        <v>0</v>
      </c>
      <c r="AR65" s="305">
        <f t="shared" si="19"/>
        <v>0</v>
      </c>
      <c r="AS65" s="305">
        <f t="shared" si="19"/>
        <v>0</v>
      </c>
      <c r="AT65" s="305">
        <f t="shared" si="19"/>
        <v>0</v>
      </c>
      <c r="AU65" s="305">
        <f t="shared" si="19"/>
        <v>0</v>
      </c>
      <c r="AV65" s="305">
        <f t="shared" si="19"/>
        <v>0</v>
      </c>
      <c r="AW65" s="305">
        <f t="shared" si="19"/>
        <v>0</v>
      </c>
      <c r="AX65" s="305">
        <f t="shared" si="19"/>
        <v>0</v>
      </c>
      <c r="AY65" s="305">
        <f t="shared" si="19"/>
        <v>0</v>
      </c>
      <c r="AZ65" s="305">
        <f t="shared" si="19"/>
        <v>0</v>
      </c>
      <c r="BA65" s="305">
        <f t="shared" si="19"/>
        <v>0</v>
      </c>
      <c r="BB65" s="305">
        <f t="shared" si="19"/>
        <v>0</v>
      </c>
      <c r="BC65" s="31"/>
      <c r="BF65" s="984" t="s">
        <v>676</v>
      </c>
    </row>
    <row r="66" spans="5:58" ht="16.7" hidden="1" customHeight="1" x14ac:dyDescent="0.15">
      <c r="E66" s="668">
        <v>17.100000000000001</v>
      </c>
      <c r="F66" s="769" cm="1">
        <f t="array" aca="1" ref="F66" ca="1">OFFSET(G66,-1,-1)</f>
        <v>0</v>
      </c>
      <c r="T66" s="679" t="b" cm="1">
        <f t="array" ref="T66">T65</f>
        <v>0</v>
      </c>
      <c r="X66" s="1485"/>
      <c r="Z66" s="1485"/>
      <c r="AB66" s="716" t="str">
        <f>AB57&amp;".2"</f>
        <v>6.2</v>
      </c>
      <c r="AC66" s="461" t="s">
        <v>628</v>
      </c>
      <c r="AD66" s="343" t="s">
        <v>622</v>
      </c>
      <c r="AE66" s="26"/>
      <c r="AF66" s="26"/>
      <c r="AG66" s="26"/>
      <c r="AH66" s="26"/>
      <c r="AI66" s="243"/>
      <c r="AJ66" s="1224"/>
      <c r="AK66" s="1224"/>
      <c r="AL66" s="26"/>
      <c r="AM66" s="26"/>
      <c r="AN66" s="26"/>
      <c r="AO66" s="26"/>
      <c r="AP66" s="26"/>
      <c r="AQ66" s="26"/>
      <c r="AR66" s="26"/>
      <c r="AS66" s="243"/>
      <c r="AT66" s="1224"/>
      <c r="AU66" s="1224"/>
      <c r="AV66" s="26"/>
      <c r="AW66" s="26"/>
      <c r="AX66" s="26"/>
      <c r="AY66" s="26"/>
      <c r="AZ66" s="26"/>
      <c r="BA66" s="26"/>
      <c r="BB66" s="26"/>
      <c r="BC66" s="31"/>
      <c r="BF66" s="984" t="s">
        <v>677</v>
      </c>
    </row>
    <row r="67" spans="5:58" ht="16.7" hidden="1" customHeight="1" x14ac:dyDescent="0.15">
      <c r="E67" s="668">
        <v>17.100000000000001</v>
      </c>
      <c r="F67" s="769" cm="1">
        <f t="array" aca="1" ref="F67" ca="1">OFFSET(G67,-1,-1)</f>
        <v>0</v>
      </c>
      <c r="T67" s="679" t="b" cm="1">
        <f t="array" ref="T67">T66</f>
        <v>0</v>
      </c>
      <c r="X67" s="1485"/>
      <c r="Z67" s="1485"/>
      <c r="AB67" s="467" t="s">
        <v>449</v>
      </c>
      <c r="AC67" s="468" t="s">
        <v>678</v>
      </c>
      <c r="AD67" s="343" t="s">
        <v>622</v>
      </c>
      <c r="AE67" s="305">
        <f t="shared" ref="AE67:BB67" si="20">SUM(AE68:AE69)</f>
        <v>0</v>
      </c>
      <c r="AF67" s="305">
        <f t="shared" si="20"/>
        <v>0</v>
      </c>
      <c r="AG67" s="305">
        <f t="shared" si="20"/>
        <v>0</v>
      </c>
      <c r="AH67" s="305">
        <f t="shared" si="20"/>
        <v>0</v>
      </c>
      <c r="AI67" s="305">
        <f t="shared" si="20"/>
        <v>0</v>
      </c>
      <c r="AJ67" s="305">
        <f t="shared" si="20"/>
        <v>0</v>
      </c>
      <c r="AK67" s="305">
        <f t="shared" si="20"/>
        <v>0</v>
      </c>
      <c r="AL67" s="305">
        <f t="shared" si="20"/>
        <v>0</v>
      </c>
      <c r="AM67" s="305">
        <f t="shared" si="20"/>
        <v>0</v>
      </c>
      <c r="AN67" s="305">
        <f t="shared" si="20"/>
        <v>0</v>
      </c>
      <c r="AO67" s="305">
        <f t="shared" si="20"/>
        <v>0</v>
      </c>
      <c r="AP67" s="305">
        <f t="shared" si="20"/>
        <v>0</v>
      </c>
      <c r="AQ67" s="305">
        <f t="shared" si="20"/>
        <v>0</v>
      </c>
      <c r="AR67" s="305">
        <f t="shared" si="20"/>
        <v>0</v>
      </c>
      <c r="AS67" s="305">
        <f t="shared" si="20"/>
        <v>0</v>
      </c>
      <c r="AT67" s="305">
        <f t="shared" si="20"/>
        <v>0</v>
      </c>
      <c r="AU67" s="305">
        <f t="shared" si="20"/>
        <v>0</v>
      </c>
      <c r="AV67" s="305">
        <f t="shared" si="20"/>
        <v>0</v>
      </c>
      <c r="AW67" s="305">
        <f t="shared" si="20"/>
        <v>0</v>
      </c>
      <c r="AX67" s="305">
        <f t="shared" si="20"/>
        <v>0</v>
      </c>
      <c r="AY67" s="305">
        <f t="shared" si="20"/>
        <v>0</v>
      </c>
      <c r="AZ67" s="305">
        <f t="shared" si="20"/>
        <v>0</v>
      </c>
      <c r="BA67" s="305">
        <f t="shared" si="20"/>
        <v>0</v>
      </c>
      <c r="BB67" s="305">
        <f t="shared" si="20"/>
        <v>0</v>
      </c>
      <c r="BC67" s="31"/>
      <c r="BF67" s="984" t="s">
        <v>679</v>
      </c>
    </row>
    <row r="68" spans="5:58" ht="16.7" hidden="1" customHeight="1" x14ac:dyDescent="0.15">
      <c r="E68" s="668">
        <v>17.100000000000001</v>
      </c>
      <c r="F68" s="769" cm="1">
        <f t="array" aca="1" ref="F68" ca="1">OFFSET(G68,-1,-1)</f>
        <v>0</v>
      </c>
      <c r="T68" s="679" t="b" cm="1">
        <f t="array" ref="T68">T67</f>
        <v>0</v>
      </c>
      <c r="X68" s="1485"/>
      <c r="Z68" s="1485"/>
      <c r="AB68" s="716" t="str">
        <f>AB67&amp;".1"</f>
        <v>7.1</v>
      </c>
      <c r="AC68" s="461" t="s">
        <v>626</v>
      </c>
      <c r="AD68" s="343" t="s">
        <v>622</v>
      </c>
      <c r="AE68" s="305">
        <f t="shared" ref="AE68:BB68" si="21">AE65+AE54</f>
        <v>0</v>
      </c>
      <c r="AF68" s="305">
        <f t="shared" si="21"/>
        <v>0</v>
      </c>
      <c r="AG68" s="305">
        <f t="shared" si="21"/>
        <v>0</v>
      </c>
      <c r="AH68" s="305">
        <f t="shared" si="21"/>
        <v>0</v>
      </c>
      <c r="AI68" s="305">
        <f t="shared" si="21"/>
        <v>0</v>
      </c>
      <c r="AJ68" s="305">
        <f t="shared" si="21"/>
        <v>0</v>
      </c>
      <c r="AK68" s="305">
        <f t="shared" si="21"/>
        <v>0</v>
      </c>
      <c r="AL68" s="305">
        <f t="shared" si="21"/>
        <v>0</v>
      </c>
      <c r="AM68" s="305">
        <f t="shared" si="21"/>
        <v>0</v>
      </c>
      <c r="AN68" s="305">
        <f t="shared" si="21"/>
        <v>0</v>
      </c>
      <c r="AO68" s="305">
        <f t="shared" si="21"/>
        <v>0</v>
      </c>
      <c r="AP68" s="305">
        <f t="shared" si="21"/>
        <v>0</v>
      </c>
      <c r="AQ68" s="305">
        <f t="shared" si="21"/>
        <v>0</v>
      </c>
      <c r="AR68" s="305">
        <f t="shared" si="21"/>
        <v>0</v>
      </c>
      <c r="AS68" s="305">
        <f t="shared" si="21"/>
        <v>0</v>
      </c>
      <c r="AT68" s="305">
        <f t="shared" si="21"/>
        <v>0</v>
      </c>
      <c r="AU68" s="305">
        <f t="shared" si="21"/>
        <v>0</v>
      </c>
      <c r="AV68" s="305">
        <f t="shared" si="21"/>
        <v>0</v>
      </c>
      <c r="AW68" s="305">
        <f t="shared" si="21"/>
        <v>0</v>
      </c>
      <c r="AX68" s="305">
        <f t="shared" si="21"/>
        <v>0</v>
      </c>
      <c r="AY68" s="305">
        <f t="shared" si="21"/>
        <v>0</v>
      </c>
      <c r="AZ68" s="305">
        <f t="shared" si="21"/>
        <v>0</v>
      </c>
      <c r="BA68" s="305">
        <f t="shared" si="21"/>
        <v>0</v>
      </c>
      <c r="BB68" s="305">
        <f t="shared" si="21"/>
        <v>0</v>
      </c>
      <c r="BC68" s="31"/>
      <c r="BF68" s="984" t="s">
        <v>680</v>
      </c>
    </row>
    <row r="69" spans="5:58" ht="16.7" hidden="1" customHeight="1" x14ac:dyDescent="0.15">
      <c r="E69" s="668">
        <v>17.100000000000001</v>
      </c>
      <c r="F69" s="769" cm="1">
        <f t="array" aca="1" ref="F69" ca="1">OFFSET(G69,-1,-1)</f>
        <v>0</v>
      </c>
      <c r="T69" s="679" t="b" cm="1">
        <f t="array" ref="T69">T68</f>
        <v>0</v>
      </c>
      <c r="X69" s="1485"/>
      <c r="Z69" s="1485"/>
      <c r="AB69" s="716" t="str">
        <f>AB67&amp;".2"</f>
        <v>7.2</v>
      </c>
      <c r="AC69" s="461" t="s">
        <v>628</v>
      </c>
      <c r="AD69" s="343" t="s">
        <v>622</v>
      </c>
      <c r="AE69" s="305">
        <f t="shared" ref="AE69:BB69" si="22">AE66+AE55</f>
        <v>0</v>
      </c>
      <c r="AF69" s="305">
        <f t="shared" si="22"/>
        <v>0</v>
      </c>
      <c r="AG69" s="305">
        <f t="shared" si="22"/>
        <v>0</v>
      </c>
      <c r="AH69" s="305">
        <f t="shared" si="22"/>
        <v>0</v>
      </c>
      <c r="AI69" s="305">
        <f t="shared" si="22"/>
        <v>0</v>
      </c>
      <c r="AJ69" s="305">
        <f t="shared" si="22"/>
        <v>0</v>
      </c>
      <c r="AK69" s="305">
        <f t="shared" si="22"/>
        <v>0</v>
      </c>
      <c r="AL69" s="305">
        <f t="shared" si="22"/>
        <v>0</v>
      </c>
      <c r="AM69" s="305">
        <f t="shared" si="22"/>
        <v>0</v>
      </c>
      <c r="AN69" s="305">
        <f t="shared" si="22"/>
        <v>0</v>
      </c>
      <c r="AO69" s="305">
        <f t="shared" si="22"/>
        <v>0</v>
      </c>
      <c r="AP69" s="305">
        <f t="shared" si="22"/>
        <v>0</v>
      </c>
      <c r="AQ69" s="305">
        <f t="shared" si="22"/>
        <v>0</v>
      </c>
      <c r="AR69" s="305">
        <f t="shared" si="22"/>
        <v>0</v>
      </c>
      <c r="AS69" s="305">
        <f t="shared" si="22"/>
        <v>0</v>
      </c>
      <c r="AT69" s="305">
        <f t="shared" si="22"/>
        <v>0</v>
      </c>
      <c r="AU69" s="305">
        <f t="shared" si="22"/>
        <v>0</v>
      </c>
      <c r="AV69" s="305">
        <f t="shared" si="22"/>
        <v>0</v>
      </c>
      <c r="AW69" s="305">
        <f t="shared" si="22"/>
        <v>0</v>
      </c>
      <c r="AX69" s="305">
        <f t="shared" si="22"/>
        <v>0</v>
      </c>
      <c r="AY69" s="305">
        <f t="shared" si="22"/>
        <v>0</v>
      </c>
      <c r="AZ69" s="305">
        <f t="shared" si="22"/>
        <v>0</v>
      </c>
      <c r="BA69" s="305">
        <f t="shared" si="22"/>
        <v>0</v>
      </c>
      <c r="BB69" s="305">
        <f t="shared" si="22"/>
        <v>0</v>
      </c>
      <c r="BC69" s="31"/>
      <c r="BF69" s="984" t="s">
        <v>681</v>
      </c>
    </row>
    <row r="70" spans="5:58" ht="33.6" hidden="1" customHeight="1" x14ac:dyDescent="0.15">
      <c r="E70" s="668">
        <v>34.5</v>
      </c>
      <c r="F70" s="769" cm="1">
        <f t="array" aca="1" ref="F70" ca="1">OFFSET(G70,-1,-1)</f>
        <v>0</v>
      </c>
      <c r="T70" s="679" t="b" cm="1">
        <f t="array" ref="T70">T69</f>
        <v>0</v>
      </c>
      <c r="X70" s="1485"/>
      <c r="Z70" s="1485"/>
      <c r="AB70" s="467" t="s">
        <v>455</v>
      </c>
      <c r="AC70" s="468" t="s">
        <v>682</v>
      </c>
      <c r="AD70" s="343" t="s">
        <v>622</v>
      </c>
      <c r="AE70" s="305">
        <f t="shared" ref="AE70:BB70" si="23">SUM(AE71,AE73)</f>
        <v>0</v>
      </c>
      <c r="AF70" s="305">
        <f t="shared" si="23"/>
        <v>0</v>
      </c>
      <c r="AG70" s="305">
        <f t="shared" si="23"/>
        <v>0</v>
      </c>
      <c r="AH70" s="305">
        <f t="shared" si="23"/>
        <v>0</v>
      </c>
      <c r="AI70" s="305">
        <f t="shared" si="23"/>
        <v>0</v>
      </c>
      <c r="AJ70" s="305">
        <f t="shared" si="23"/>
        <v>0</v>
      </c>
      <c r="AK70" s="305">
        <f t="shared" si="23"/>
        <v>0</v>
      </c>
      <c r="AL70" s="305">
        <f t="shared" si="23"/>
        <v>0</v>
      </c>
      <c r="AM70" s="305">
        <f t="shared" si="23"/>
        <v>0</v>
      </c>
      <c r="AN70" s="305">
        <f t="shared" si="23"/>
        <v>0</v>
      </c>
      <c r="AO70" s="305">
        <f t="shared" si="23"/>
        <v>0</v>
      </c>
      <c r="AP70" s="305">
        <f t="shared" si="23"/>
        <v>0</v>
      </c>
      <c r="AQ70" s="305">
        <f t="shared" si="23"/>
        <v>0</v>
      </c>
      <c r="AR70" s="305">
        <f t="shared" si="23"/>
        <v>0</v>
      </c>
      <c r="AS70" s="305">
        <f t="shared" si="23"/>
        <v>0</v>
      </c>
      <c r="AT70" s="305">
        <f t="shared" si="23"/>
        <v>0</v>
      </c>
      <c r="AU70" s="305">
        <f t="shared" si="23"/>
        <v>0</v>
      </c>
      <c r="AV70" s="305">
        <f t="shared" si="23"/>
        <v>0</v>
      </c>
      <c r="AW70" s="305">
        <f t="shared" si="23"/>
        <v>0</v>
      </c>
      <c r="AX70" s="305">
        <f t="shared" si="23"/>
        <v>0</v>
      </c>
      <c r="AY70" s="305">
        <f t="shared" si="23"/>
        <v>0</v>
      </c>
      <c r="AZ70" s="305">
        <f t="shared" si="23"/>
        <v>0</v>
      </c>
      <c r="BA70" s="305">
        <f t="shared" si="23"/>
        <v>0</v>
      </c>
      <c r="BB70" s="305">
        <f t="shared" si="23"/>
        <v>0</v>
      </c>
      <c r="BC70" s="31"/>
      <c r="BF70" s="984" t="s">
        <v>683</v>
      </c>
    </row>
    <row r="71" spans="5:58" ht="16.7" hidden="1" customHeight="1" x14ac:dyDescent="0.15">
      <c r="E71" s="668">
        <v>17.100000000000001</v>
      </c>
      <c r="F71" s="769" cm="1">
        <f t="array" aca="1" ref="F71" ca="1">OFFSET(G71,-1,-1)</f>
        <v>0</v>
      </c>
      <c r="T71" s="679" t="b" cm="1">
        <f t="array" ref="T71">T70</f>
        <v>0</v>
      </c>
      <c r="X71" s="1485"/>
      <c r="Z71" s="1485"/>
      <c r="AB71" s="716" t="str">
        <f>AB70&amp;".1"</f>
        <v>8.1</v>
      </c>
      <c r="AC71" s="461" t="s">
        <v>626</v>
      </c>
      <c r="AD71" s="343" t="s">
        <v>622</v>
      </c>
      <c r="AE71" s="26"/>
      <c r="AF71" s="26"/>
      <c r="AG71" s="26"/>
      <c r="AH71" s="26"/>
      <c r="AI71" s="243"/>
      <c r="AJ71" s="1224"/>
      <c r="AK71" s="1224"/>
      <c r="AL71" s="26"/>
      <c r="AM71" s="26"/>
      <c r="AN71" s="26"/>
      <c r="AO71" s="26"/>
      <c r="AP71" s="26"/>
      <c r="AQ71" s="26"/>
      <c r="AR71" s="26"/>
      <c r="AS71" s="243"/>
      <c r="AT71" s="1224"/>
      <c r="AU71" s="1224"/>
      <c r="AV71" s="26"/>
      <c r="AW71" s="26"/>
      <c r="AX71" s="26"/>
      <c r="AY71" s="26"/>
      <c r="AZ71" s="26"/>
      <c r="BA71" s="26"/>
      <c r="BB71" s="26"/>
      <c r="BC71" s="31"/>
      <c r="BF71" s="984" t="s">
        <v>684</v>
      </c>
    </row>
    <row r="72" spans="5:58" ht="16.7" hidden="1" customHeight="1" x14ac:dyDescent="0.15">
      <c r="E72" s="668">
        <v>17.100000000000001</v>
      </c>
      <c r="F72" s="769" cm="1">
        <f t="array" aca="1" ref="F72" ca="1">OFFSET(G72,-1,-1)</f>
        <v>0</v>
      </c>
      <c r="T72" s="679" t="b" cm="1">
        <f t="array" ref="T72">T71</f>
        <v>0</v>
      </c>
      <c r="X72" s="1485"/>
      <c r="Z72" s="1485"/>
      <c r="AB72" s="716" t="str">
        <f>AB71&amp;".1"</f>
        <v>8.1.1</v>
      </c>
      <c r="AC72" s="563" t="s">
        <v>685</v>
      </c>
      <c r="AD72" s="343" t="s">
        <v>521</v>
      </c>
      <c r="AE72" s="866">
        <f t="shared" ref="AE72:BB72" si="24">IFERROR(AE71/AE68,0)</f>
        <v>0</v>
      </c>
      <c r="AF72" s="866">
        <f t="shared" si="24"/>
        <v>0</v>
      </c>
      <c r="AG72" s="866">
        <f t="shared" si="24"/>
        <v>0</v>
      </c>
      <c r="AH72" s="866">
        <f t="shared" si="24"/>
        <v>0</v>
      </c>
      <c r="AI72" s="866">
        <f t="shared" si="24"/>
        <v>0</v>
      </c>
      <c r="AJ72" s="866">
        <f t="shared" si="24"/>
        <v>0</v>
      </c>
      <c r="AK72" s="866">
        <f t="shared" si="24"/>
        <v>0</v>
      </c>
      <c r="AL72" s="866">
        <f t="shared" si="24"/>
        <v>0</v>
      </c>
      <c r="AM72" s="866">
        <f t="shared" si="24"/>
        <v>0</v>
      </c>
      <c r="AN72" s="866">
        <f t="shared" si="24"/>
        <v>0</v>
      </c>
      <c r="AO72" s="866">
        <f t="shared" si="24"/>
        <v>0</v>
      </c>
      <c r="AP72" s="866">
        <f t="shared" si="24"/>
        <v>0</v>
      </c>
      <c r="AQ72" s="866">
        <f t="shared" si="24"/>
        <v>0</v>
      </c>
      <c r="AR72" s="866">
        <f t="shared" si="24"/>
        <v>0</v>
      </c>
      <c r="AS72" s="866">
        <f t="shared" si="24"/>
        <v>0</v>
      </c>
      <c r="AT72" s="866">
        <f t="shared" si="24"/>
        <v>0</v>
      </c>
      <c r="AU72" s="866">
        <f t="shared" si="24"/>
        <v>0</v>
      </c>
      <c r="AV72" s="866">
        <f t="shared" si="24"/>
        <v>0</v>
      </c>
      <c r="AW72" s="866">
        <f t="shared" si="24"/>
        <v>0</v>
      </c>
      <c r="AX72" s="866">
        <f t="shared" si="24"/>
        <v>0</v>
      </c>
      <c r="AY72" s="866">
        <f t="shared" si="24"/>
        <v>0</v>
      </c>
      <c r="AZ72" s="866">
        <f t="shared" si="24"/>
        <v>0</v>
      </c>
      <c r="BA72" s="866">
        <f t="shared" si="24"/>
        <v>0</v>
      </c>
      <c r="BB72" s="866">
        <f t="shared" si="24"/>
        <v>0</v>
      </c>
      <c r="BC72" s="31"/>
      <c r="BF72" s="984" t="s">
        <v>686</v>
      </c>
    </row>
    <row r="73" spans="5:58" ht="16.7" hidden="1" customHeight="1" x14ac:dyDescent="0.15">
      <c r="E73" s="668">
        <v>17.100000000000001</v>
      </c>
      <c r="F73" s="769" cm="1">
        <f t="array" aca="1" ref="F73" ca="1">OFFSET(G73,-1,-1)</f>
        <v>0</v>
      </c>
      <c r="T73" s="679" t="b" cm="1">
        <f t="array" ref="T73">T72</f>
        <v>0</v>
      </c>
      <c r="X73" s="1485"/>
      <c r="Z73" s="1485"/>
      <c r="AB73" s="716" t="str">
        <f>AB70&amp;".2"</f>
        <v>8.2</v>
      </c>
      <c r="AC73" s="461" t="s">
        <v>628</v>
      </c>
      <c r="AD73" s="343" t="s">
        <v>622</v>
      </c>
      <c r="AE73" s="26"/>
      <c r="AF73" s="26"/>
      <c r="AG73" s="26"/>
      <c r="AH73" s="26"/>
      <c r="AI73" s="243"/>
      <c r="AJ73" s="1224"/>
      <c r="AK73" s="1224"/>
      <c r="AL73" s="26"/>
      <c r="AM73" s="26"/>
      <c r="AN73" s="26"/>
      <c r="AO73" s="26"/>
      <c r="AP73" s="26"/>
      <c r="AQ73" s="26"/>
      <c r="AR73" s="26"/>
      <c r="AS73" s="243"/>
      <c r="AT73" s="1224"/>
      <c r="AU73" s="1224"/>
      <c r="AV73" s="26"/>
      <c r="AW73" s="26"/>
      <c r="AX73" s="26"/>
      <c r="AY73" s="26"/>
      <c r="AZ73" s="26"/>
      <c r="BA73" s="26"/>
      <c r="BB73" s="26"/>
      <c r="BC73" s="31"/>
      <c r="BF73" s="984" t="s">
        <v>687</v>
      </c>
    </row>
    <row r="74" spans="5:58" ht="16.7" hidden="1" customHeight="1" x14ac:dyDescent="0.15">
      <c r="E74" s="668">
        <v>17.100000000000001</v>
      </c>
      <c r="F74" s="769" cm="1">
        <f t="array" aca="1" ref="F74" ca="1">OFFSET(G74,-1,-1)</f>
        <v>0</v>
      </c>
      <c r="T74" s="679" t="b" cm="1">
        <f t="array" ref="T74">T73</f>
        <v>0</v>
      </c>
      <c r="X74" s="1485"/>
      <c r="Z74" s="1485"/>
      <c r="AB74" s="716" t="str">
        <f>AB73&amp;".1"</f>
        <v>8.2.1</v>
      </c>
      <c r="AC74" s="563" t="s">
        <v>685</v>
      </c>
      <c r="AD74" s="118" t="s">
        <v>521</v>
      </c>
      <c r="AE74" s="903">
        <f t="shared" ref="AE74:BB74" si="25">IFERROR(AE73/AE69,0)</f>
        <v>0</v>
      </c>
      <c r="AF74" s="903">
        <f t="shared" si="25"/>
        <v>0</v>
      </c>
      <c r="AG74" s="903">
        <f t="shared" si="25"/>
        <v>0</v>
      </c>
      <c r="AH74" s="903">
        <f t="shared" si="25"/>
        <v>0</v>
      </c>
      <c r="AI74" s="903">
        <f t="shared" si="25"/>
        <v>0</v>
      </c>
      <c r="AJ74" s="903">
        <f t="shared" si="25"/>
        <v>0</v>
      </c>
      <c r="AK74" s="903">
        <f t="shared" si="25"/>
        <v>0</v>
      </c>
      <c r="AL74" s="903">
        <f t="shared" si="25"/>
        <v>0</v>
      </c>
      <c r="AM74" s="903">
        <f t="shared" si="25"/>
        <v>0</v>
      </c>
      <c r="AN74" s="903">
        <f t="shared" si="25"/>
        <v>0</v>
      </c>
      <c r="AO74" s="903">
        <f t="shared" si="25"/>
        <v>0</v>
      </c>
      <c r="AP74" s="903">
        <f t="shared" si="25"/>
        <v>0</v>
      </c>
      <c r="AQ74" s="903">
        <f t="shared" si="25"/>
        <v>0</v>
      </c>
      <c r="AR74" s="903">
        <f t="shared" si="25"/>
        <v>0</v>
      </c>
      <c r="AS74" s="903">
        <f t="shared" si="25"/>
        <v>0</v>
      </c>
      <c r="AT74" s="903">
        <f t="shared" si="25"/>
        <v>0</v>
      </c>
      <c r="AU74" s="903">
        <f t="shared" si="25"/>
        <v>0</v>
      </c>
      <c r="AV74" s="903">
        <f t="shared" si="25"/>
        <v>0</v>
      </c>
      <c r="AW74" s="903">
        <f t="shared" si="25"/>
        <v>0</v>
      </c>
      <c r="AX74" s="903">
        <f t="shared" si="25"/>
        <v>0</v>
      </c>
      <c r="AY74" s="903">
        <f t="shared" si="25"/>
        <v>0</v>
      </c>
      <c r="AZ74" s="903">
        <f t="shared" si="25"/>
        <v>0</v>
      </c>
      <c r="BA74" s="903">
        <f t="shared" si="25"/>
        <v>0</v>
      </c>
      <c r="BB74" s="903">
        <f t="shared" si="25"/>
        <v>0</v>
      </c>
      <c r="BC74" s="32"/>
      <c r="BF74" s="984" t="s">
        <v>688</v>
      </c>
    </row>
    <row r="75" spans="5:58" ht="16.7" hidden="1" customHeight="1" x14ac:dyDescent="0.15">
      <c r="E75" s="668">
        <v>17.100000000000001</v>
      </c>
      <c r="F75" s="769" cm="1">
        <f t="array" aca="1" ref="F75" ca="1">OFFSET(G75,-1,-1)</f>
        <v>0</v>
      </c>
      <c r="T75" s="679" t="b" cm="1">
        <f t="array" ref="T75">T74</f>
        <v>0</v>
      </c>
      <c r="X75" s="1485"/>
      <c r="Z75" s="1485"/>
      <c r="AB75" s="406" t="s">
        <v>689</v>
      </c>
      <c r="AC75" s="405" t="s">
        <v>690</v>
      </c>
      <c r="AD75" s="118" t="s">
        <v>622</v>
      </c>
      <c r="AE75" s="440">
        <f t="shared" ref="AE75:BB75" si="26">AE67-AE70</f>
        <v>0</v>
      </c>
      <c r="AF75" s="440">
        <f t="shared" si="26"/>
        <v>0</v>
      </c>
      <c r="AG75" s="440">
        <f t="shared" si="26"/>
        <v>0</v>
      </c>
      <c r="AH75" s="440">
        <f t="shared" si="26"/>
        <v>0</v>
      </c>
      <c r="AI75" s="440">
        <f t="shared" si="26"/>
        <v>0</v>
      </c>
      <c r="AJ75" s="440">
        <f t="shared" si="26"/>
        <v>0</v>
      </c>
      <c r="AK75" s="440">
        <f t="shared" si="26"/>
        <v>0</v>
      </c>
      <c r="AL75" s="440">
        <f t="shared" si="26"/>
        <v>0</v>
      </c>
      <c r="AM75" s="440">
        <f t="shared" si="26"/>
        <v>0</v>
      </c>
      <c r="AN75" s="440">
        <f t="shared" si="26"/>
        <v>0</v>
      </c>
      <c r="AO75" s="440">
        <f t="shared" si="26"/>
        <v>0</v>
      </c>
      <c r="AP75" s="440">
        <f t="shared" si="26"/>
        <v>0</v>
      </c>
      <c r="AQ75" s="440">
        <f t="shared" si="26"/>
        <v>0</v>
      </c>
      <c r="AR75" s="440">
        <f t="shared" si="26"/>
        <v>0</v>
      </c>
      <c r="AS75" s="440">
        <f t="shared" si="26"/>
        <v>0</v>
      </c>
      <c r="AT75" s="440">
        <f t="shared" si="26"/>
        <v>0</v>
      </c>
      <c r="AU75" s="440">
        <f t="shared" si="26"/>
        <v>0</v>
      </c>
      <c r="AV75" s="440">
        <f t="shared" si="26"/>
        <v>0</v>
      </c>
      <c r="AW75" s="440">
        <f t="shared" si="26"/>
        <v>0</v>
      </c>
      <c r="AX75" s="440">
        <f t="shared" si="26"/>
        <v>0</v>
      </c>
      <c r="AY75" s="440">
        <f t="shared" si="26"/>
        <v>0</v>
      </c>
      <c r="AZ75" s="440">
        <f t="shared" si="26"/>
        <v>0</v>
      </c>
      <c r="BA75" s="440">
        <f t="shared" si="26"/>
        <v>0</v>
      </c>
      <c r="BB75" s="440">
        <f t="shared" si="26"/>
        <v>0</v>
      </c>
      <c r="BC75" s="25"/>
      <c r="BF75" s="984" t="s">
        <v>691</v>
      </c>
    </row>
    <row r="76" spans="5:58" ht="16.7" hidden="1" customHeight="1" x14ac:dyDescent="0.15">
      <c r="E76" s="668">
        <v>17.100000000000001</v>
      </c>
      <c r="F76" s="769" cm="1">
        <f t="array" aca="1" ref="F76" ca="1">OFFSET(G76,-1,-1)</f>
        <v>0</v>
      </c>
      <c r="T76" s="679" t="b" cm="1">
        <f t="array" ref="T76">T75</f>
        <v>0</v>
      </c>
      <c r="X76" s="1485"/>
      <c r="Z76" s="1485"/>
      <c r="AB76" s="716" t="str">
        <f>AB75&amp;".1"</f>
        <v>9.1</v>
      </c>
      <c r="AC76" s="461" t="s">
        <v>626</v>
      </c>
      <c r="AD76" s="118" t="s">
        <v>622</v>
      </c>
      <c r="AE76" s="440">
        <f>AE68-AE71</f>
        <v>0</v>
      </c>
      <c r="AF76" s="440">
        <f t="shared" ref="AF76:BB76" si="27">AF67-AF70</f>
        <v>0</v>
      </c>
      <c r="AG76" s="440">
        <f t="shared" si="27"/>
        <v>0</v>
      </c>
      <c r="AH76" s="440">
        <f t="shared" si="27"/>
        <v>0</v>
      </c>
      <c r="AI76" s="440">
        <f t="shared" si="27"/>
        <v>0</v>
      </c>
      <c r="AJ76" s="440">
        <f t="shared" si="27"/>
        <v>0</v>
      </c>
      <c r="AK76" s="440">
        <f t="shared" si="27"/>
        <v>0</v>
      </c>
      <c r="AL76" s="440">
        <f t="shared" si="27"/>
        <v>0</v>
      </c>
      <c r="AM76" s="440">
        <f t="shared" si="27"/>
        <v>0</v>
      </c>
      <c r="AN76" s="440">
        <f t="shared" si="27"/>
        <v>0</v>
      </c>
      <c r="AO76" s="440">
        <f t="shared" si="27"/>
        <v>0</v>
      </c>
      <c r="AP76" s="440">
        <f t="shared" si="27"/>
        <v>0</v>
      </c>
      <c r="AQ76" s="440">
        <f t="shared" si="27"/>
        <v>0</v>
      </c>
      <c r="AR76" s="440">
        <f t="shared" si="27"/>
        <v>0</v>
      </c>
      <c r="AS76" s="440">
        <f t="shared" si="27"/>
        <v>0</v>
      </c>
      <c r="AT76" s="440">
        <f t="shared" si="27"/>
        <v>0</v>
      </c>
      <c r="AU76" s="440">
        <f t="shared" si="27"/>
        <v>0</v>
      </c>
      <c r="AV76" s="440">
        <f t="shared" si="27"/>
        <v>0</v>
      </c>
      <c r="AW76" s="440">
        <f t="shared" si="27"/>
        <v>0</v>
      </c>
      <c r="AX76" s="440">
        <f t="shared" si="27"/>
        <v>0</v>
      </c>
      <c r="AY76" s="440">
        <f t="shared" si="27"/>
        <v>0</v>
      </c>
      <c r="AZ76" s="440">
        <f t="shared" si="27"/>
        <v>0</v>
      </c>
      <c r="BA76" s="440">
        <f t="shared" si="27"/>
        <v>0</v>
      </c>
      <c r="BB76" s="440">
        <f t="shared" si="27"/>
        <v>0</v>
      </c>
      <c r="BC76" s="25"/>
      <c r="BF76" s="984" t="s">
        <v>692</v>
      </c>
    </row>
    <row r="77" spans="5:58" ht="16.7" hidden="1" customHeight="1" x14ac:dyDescent="0.15">
      <c r="E77" s="668">
        <v>17.100000000000001</v>
      </c>
      <c r="F77" s="769" cm="1">
        <f t="array" aca="1" ref="F77" ca="1">OFFSET(G77,-1,-1)</f>
        <v>0</v>
      </c>
      <c r="T77" s="679" t="b" cm="1">
        <f t="array" ref="T77">T76</f>
        <v>0</v>
      </c>
      <c r="X77" s="1485"/>
      <c r="Z77" s="1485"/>
      <c r="AB77" s="716" t="str">
        <f>AB76&amp;".1"</f>
        <v>9.1.1</v>
      </c>
      <c r="AC77" s="564" t="s">
        <v>663</v>
      </c>
      <c r="AD77" s="118" t="s">
        <v>622</v>
      </c>
      <c r="AE77" s="29"/>
      <c r="AF77" s="29"/>
      <c r="AG77" s="29"/>
      <c r="AH77" s="29"/>
      <c r="AI77" s="408"/>
      <c r="AJ77" s="1227"/>
      <c r="AK77" s="1227"/>
      <c r="AL77" s="29"/>
      <c r="AM77" s="29"/>
      <c r="AN77" s="29"/>
      <c r="AO77" s="29"/>
      <c r="AP77" s="29"/>
      <c r="AQ77" s="29"/>
      <c r="AR77" s="29"/>
      <c r="AS77" s="408"/>
      <c r="AT77" s="1227"/>
      <c r="AU77" s="1227"/>
      <c r="AV77" s="29"/>
      <c r="AW77" s="29"/>
      <c r="AX77" s="29"/>
      <c r="AY77" s="29"/>
      <c r="AZ77" s="29"/>
      <c r="BA77" s="29"/>
      <c r="BB77" s="29"/>
      <c r="BC77" s="25"/>
      <c r="BF77" s="984" t="s">
        <v>693</v>
      </c>
    </row>
    <row r="78" spans="5:58" ht="16.7" hidden="1" customHeight="1" x14ac:dyDescent="0.15">
      <c r="E78" s="668">
        <v>17.100000000000001</v>
      </c>
      <c r="F78" s="769" cm="1">
        <f t="array" aca="1" ref="F78" ca="1">OFFSET(G78,-1,-1)</f>
        <v>0</v>
      </c>
      <c r="T78" s="679" t="b" cm="1">
        <f t="array" ref="T78">T77</f>
        <v>0</v>
      </c>
      <c r="X78" s="1485"/>
      <c r="Z78" s="1485"/>
      <c r="AB78" s="716" t="str">
        <f>AB76&amp;".2"</f>
        <v>9.1.2</v>
      </c>
      <c r="AC78" s="565" t="s">
        <v>665</v>
      </c>
      <c r="AD78" s="118" t="s">
        <v>622</v>
      </c>
      <c r="AE78" s="33">
        <f t="shared" ref="AE78:BB78" si="28">AE79+AE80+AE81+AE82</f>
        <v>0</v>
      </c>
      <c r="AF78" s="33">
        <f t="shared" si="28"/>
        <v>0</v>
      </c>
      <c r="AG78" s="33">
        <f t="shared" si="28"/>
        <v>0</v>
      </c>
      <c r="AH78" s="33">
        <f t="shared" si="28"/>
        <v>0</v>
      </c>
      <c r="AI78" s="923">
        <f t="shared" si="28"/>
        <v>0</v>
      </c>
      <c r="AJ78" s="1229">
        <f t="shared" si="28"/>
        <v>0</v>
      </c>
      <c r="AK78" s="1229">
        <f t="shared" si="28"/>
        <v>0</v>
      </c>
      <c r="AL78" s="33">
        <f t="shared" si="28"/>
        <v>0</v>
      </c>
      <c r="AM78" s="33">
        <f t="shared" si="28"/>
        <v>0</v>
      </c>
      <c r="AN78" s="33">
        <f t="shared" si="28"/>
        <v>0</v>
      </c>
      <c r="AO78" s="33">
        <f t="shared" si="28"/>
        <v>0</v>
      </c>
      <c r="AP78" s="33">
        <f t="shared" si="28"/>
        <v>0</v>
      </c>
      <c r="AQ78" s="33">
        <f t="shared" si="28"/>
        <v>0</v>
      </c>
      <c r="AR78" s="33">
        <f t="shared" si="28"/>
        <v>0</v>
      </c>
      <c r="AS78" s="923">
        <f t="shared" si="28"/>
        <v>0</v>
      </c>
      <c r="AT78" s="1229">
        <f t="shared" si="28"/>
        <v>0</v>
      </c>
      <c r="AU78" s="1229">
        <f t="shared" si="28"/>
        <v>0</v>
      </c>
      <c r="AV78" s="33">
        <f t="shared" si="28"/>
        <v>0</v>
      </c>
      <c r="AW78" s="33">
        <f t="shared" si="28"/>
        <v>0</v>
      </c>
      <c r="AX78" s="33">
        <f t="shared" si="28"/>
        <v>0</v>
      </c>
      <c r="AY78" s="33">
        <f t="shared" si="28"/>
        <v>0</v>
      </c>
      <c r="AZ78" s="33">
        <f t="shared" si="28"/>
        <v>0</v>
      </c>
      <c r="BA78" s="33">
        <f t="shared" si="28"/>
        <v>0</v>
      </c>
      <c r="BB78" s="33">
        <f t="shared" si="28"/>
        <v>0</v>
      </c>
      <c r="BC78" s="25"/>
      <c r="BF78" s="984" t="s">
        <v>694</v>
      </c>
    </row>
    <row r="79" spans="5:58" ht="16.7" hidden="1" customHeight="1" x14ac:dyDescent="0.15">
      <c r="E79" s="668">
        <v>17.100000000000001</v>
      </c>
      <c r="F79" s="769" cm="1">
        <f t="array" aca="1" ref="F79" ca="1">OFFSET(G79,-1,-1)</f>
        <v>0</v>
      </c>
      <c r="T79" s="679" t="b" cm="1">
        <f t="array" ref="T79">T78</f>
        <v>0</v>
      </c>
      <c r="X79" s="1485"/>
      <c r="Z79" s="1485"/>
      <c r="AB79" s="716" t="str">
        <f>AB78&amp;".1"</f>
        <v>9.1.2.1</v>
      </c>
      <c r="AC79" s="566" t="s">
        <v>667</v>
      </c>
      <c r="AD79" s="343" t="s">
        <v>622</v>
      </c>
      <c r="AE79" s="34"/>
      <c r="AF79" s="34"/>
      <c r="AG79" s="34"/>
      <c r="AH79" s="34"/>
      <c r="AI79" s="464"/>
      <c r="AJ79" s="1230"/>
      <c r="AK79" s="1230"/>
      <c r="AL79" s="34"/>
      <c r="AM79" s="34"/>
      <c r="AN79" s="34"/>
      <c r="AO79" s="34"/>
      <c r="AP79" s="34"/>
      <c r="AQ79" s="34"/>
      <c r="AR79" s="34"/>
      <c r="AS79" s="464"/>
      <c r="AT79" s="1230"/>
      <c r="AU79" s="1230"/>
      <c r="AV79" s="34"/>
      <c r="AW79" s="34"/>
      <c r="AX79" s="34"/>
      <c r="AY79" s="34"/>
      <c r="AZ79" s="34"/>
      <c r="BA79" s="34"/>
      <c r="BB79" s="34"/>
      <c r="BC79" s="25"/>
      <c r="BF79" s="984" t="s">
        <v>695</v>
      </c>
    </row>
    <row r="80" spans="5:58" ht="16.7" hidden="1" customHeight="1" x14ac:dyDescent="0.15">
      <c r="E80" s="668">
        <v>17.100000000000001</v>
      </c>
      <c r="F80" s="769" cm="1">
        <f t="array" aca="1" ref="F80" ca="1">OFFSET(G80,-1,-1)</f>
        <v>0</v>
      </c>
      <c r="T80" s="679" t="b" cm="1">
        <f t="array" ref="T80">T79</f>
        <v>0</v>
      </c>
      <c r="X80" s="1485"/>
      <c r="Z80" s="1485"/>
      <c r="AB80" s="716" t="str">
        <f>AB78&amp;".2"</f>
        <v>9.1.2.2</v>
      </c>
      <c r="AC80" s="567" t="s">
        <v>669</v>
      </c>
      <c r="AD80" s="118" t="s">
        <v>622</v>
      </c>
      <c r="AE80" s="29"/>
      <c r="AF80" s="29"/>
      <c r="AG80" s="29"/>
      <c r="AH80" s="29"/>
      <c r="AI80" s="408"/>
      <c r="AJ80" s="1227"/>
      <c r="AK80" s="1227"/>
      <c r="AL80" s="29"/>
      <c r="AM80" s="29"/>
      <c r="AN80" s="29"/>
      <c r="AO80" s="29"/>
      <c r="AP80" s="29"/>
      <c r="AQ80" s="29"/>
      <c r="AR80" s="29"/>
      <c r="AS80" s="408"/>
      <c r="AT80" s="1227"/>
      <c r="AU80" s="1227"/>
      <c r="AV80" s="29"/>
      <c r="AW80" s="29"/>
      <c r="AX80" s="29"/>
      <c r="AY80" s="29"/>
      <c r="AZ80" s="29"/>
      <c r="BA80" s="29"/>
      <c r="BB80" s="29"/>
      <c r="BC80" s="25"/>
      <c r="BF80" s="984" t="s">
        <v>696</v>
      </c>
    </row>
    <row r="81" spans="1:58" ht="16.7" hidden="1" customHeight="1" x14ac:dyDescent="0.15">
      <c r="E81" s="668">
        <v>17.100000000000001</v>
      </c>
      <c r="F81" s="769" cm="1">
        <f t="array" aca="1" ref="F81" ca="1">OFFSET(G81,-1,-1)</f>
        <v>0</v>
      </c>
      <c r="T81" s="679" t="b" cm="1">
        <f t="array" ref="T81">T80</f>
        <v>0</v>
      </c>
      <c r="X81" s="1485"/>
      <c r="Z81" s="1485"/>
      <c r="AB81" s="716" t="str">
        <f>AB78&amp;".3"</f>
        <v>9.1.2.3</v>
      </c>
      <c r="AC81" s="567" t="s">
        <v>671</v>
      </c>
      <c r="AD81" s="118" t="s">
        <v>622</v>
      </c>
      <c r="AE81" s="30"/>
      <c r="AF81" s="30"/>
      <c r="AG81" s="30"/>
      <c r="AH81" s="30"/>
      <c r="AI81" s="466"/>
      <c r="AJ81" s="1228"/>
      <c r="AK81" s="1228"/>
      <c r="AL81" s="30"/>
      <c r="AM81" s="30"/>
      <c r="AN81" s="30"/>
      <c r="AO81" s="30"/>
      <c r="AP81" s="30"/>
      <c r="AQ81" s="30"/>
      <c r="AR81" s="30"/>
      <c r="AS81" s="466"/>
      <c r="AT81" s="1228"/>
      <c r="AU81" s="1228"/>
      <c r="AV81" s="30"/>
      <c r="AW81" s="30"/>
      <c r="AX81" s="30"/>
      <c r="AY81" s="30"/>
      <c r="AZ81" s="30"/>
      <c r="BA81" s="30"/>
      <c r="BB81" s="30"/>
      <c r="BC81" s="25"/>
      <c r="BF81" s="984" t="s">
        <v>697</v>
      </c>
    </row>
    <row r="82" spans="1:58" ht="16.7" hidden="1" customHeight="1" x14ac:dyDescent="0.15">
      <c r="E82" s="668">
        <v>17.100000000000001</v>
      </c>
      <c r="F82" s="769" cm="1">
        <f t="array" aca="1" ref="F82" ca="1">OFFSET(G82,-1,-1)</f>
        <v>0</v>
      </c>
      <c r="T82" s="679" t="b" cm="1">
        <f t="array" ref="T82">T81</f>
        <v>0</v>
      </c>
      <c r="X82" s="1485"/>
      <c r="Z82" s="1485"/>
      <c r="AB82" s="716" t="str">
        <f>AB78&amp;".4"</f>
        <v>9.1.2.4</v>
      </c>
      <c r="AC82" s="567" t="s">
        <v>673</v>
      </c>
      <c r="AD82" s="343" t="s">
        <v>622</v>
      </c>
      <c r="AE82" s="26"/>
      <c r="AF82" s="28"/>
      <c r="AG82" s="26"/>
      <c r="AH82" s="26"/>
      <c r="AI82" s="243"/>
      <c r="AJ82" s="1224"/>
      <c r="AK82" s="1224"/>
      <c r="AL82" s="26"/>
      <c r="AM82" s="26"/>
      <c r="AN82" s="26"/>
      <c r="AO82" s="26"/>
      <c r="AP82" s="26"/>
      <c r="AQ82" s="26"/>
      <c r="AR82" s="26"/>
      <c r="AS82" s="243"/>
      <c r="AT82" s="1224"/>
      <c r="AU82" s="1224"/>
      <c r="AV82" s="26"/>
      <c r="AW82" s="26"/>
      <c r="AX82" s="26"/>
      <c r="AY82" s="26"/>
      <c r="AZ82" s="26"/>
      <c r="BA82" s="26"/>
      <c r="BB82" s="26"/>
      <c r="BC82" s="25"/>
      <c r="BF82" s="984" t="s">
        <v>698</v>
      </c>
    </row>
    <row r="83" spans="1:58" ht="16.7" hidden="1" customHeight="1" x14ac:dyDescent="0.15">
      <c r="E83" s="668">
        <v>17.100000000000001</v>
      </c>
      <c r="F83" s="769" cm="1">
        <f t="array" aca="1" ref="F83" ca="1">OFFSET(G83,-1,-1)</f>
        <v>0</v>
      </c>
      <c r="T83" s="679" t="b" cm="1">
        <f t="array" ref="T83">T82</f>
        <v>0</v>
      </c>
      <c r="X83" s="1485"/>
      <c r="Z83" s="1485"/>
      <c r="AB83" s="716" t="str">
        <f>AB75&amp;".2"</f>
        <v>9.2</v>
      </c>
      <c r="AC83" s="461" t="s">
        <v>628</v>
      </c>
      <c r="AD83" s="343" t="s">
        <v>622</v>
      </c>
      <c r="AE83" s="26">
        <f t="shared" ref="AE83:BB83" si="29">AE69-AE73</f>
        <v>0</v>
      </c>
      <c r="AF83" s="26">
        <f t="shared" si="29"/>
        <v>0</v>
      </c>
      <c r="AG83" s="26">
        <f t="shared" si="29"/>
        <v>0</v>
      </c>
      <c r="AH83" s="26">
        <f t="shared" si="29"/>
        <v>0</v>
      </c>
      <c r="AI83" s="243">
        <f t="shared" si="29"/>
        <v>0</v>
      </c>
      <c r="AJ83" s="1224">
        <f t="shared" si="29"/>
        <v>0</v>
      </c>
      <c r="AK83" s="1224">
        <f t="shared" si="29"/>
        <v>0</v>
      </c>
      <c r="AL83" s="26">
        <f t="shared" si="29"/>
        <v>0</v>
      </c>
      <c r="AM83" s="26">
        <f t="shared" si="29"/>
        <v>0</v>
      </c>
      <c r="AN83" s="26">
        <f t="shared" si="29"/>
        <v>0</v>
      </c>
      <c r="AO83" s="26">
        <f t="shared" si="29"/>
        <v>0</v>
      </c>
      <c r="AP83" s="26">
        <f t="shared" si="29"/>
        <v>0</v>
      </c>
      <c r="AQ83" s="26">
        <f t="shared" si="29"/>
        <v>0</v>
      </c>
      <c r="AR83" s="26">
        <f t="shared" si="29"/>
        <v>0</v>
      </c>
      <c r="AS83" s="243">
        <f t="shared" si="29"/>
        <v>0</v>
      </c>
      <c r="AT83" s="1224">
        <f t="shared" si="29"/>
        <v>0</v>
      </c>
      <c r="AU83" s="1224">
        <f t="shared" si="29"/>
        <v>0</v>
      </c>
      <c r="AV83" s="26">
        <f t="shared" si="29"/>
        <v>0</v>
      </c>
      <c r="AW83" s="26">
        <f t="shared" si="29"/>
        <v>0</v>
      </c>
      <c r="AX83" s="26">
        <f t="shared" si="29"/>
        <v>0</v>
      </c>
      <c r="AY83" s="26">
        <f t="shared" si="29"/>
        <v>0</v>
      </c>
      <c r="AZ83" s="26">
        <f t="shared" si="29"/>
        <v>0</v>
      </c>
      <c r="BA83" s="26">
        <f t="shared" si="29"/>
        <v>0</v>
      </c>
      <c r="BB83" s="26">
        <f t="shared" si="29"/>
        <v>0</v>
      </c>
      <c r="BC83" s="25"/>
      <c r="BF83" s="984" t="s">
        <v>699</v>
      </c>
    </row>
    <row r="84" spans="1:58" ht="16.7" hidden="1" customHeight="1" x14ac:dyDescent="0.15">
      <c r="E84" s="668">
        <v>17.100000000000001</v>
      </c>
      <c r="F84" s="769" cm="1">
        <f t="array" aca="1" ref="F84" ca="1">OFFSET(G84,-1,-1)</f>
        <v>0</v>
      </c>
      <c r="T84" s="679" t="b" cm="1">
        <f t="array" ref="T84">T83</f>
        <v>0</v>
      </c>
      <c r="X84" s="1485"/>
      <c r="Z84" s="1485"/>
      <c r="AB84" s="410" t="s">
        <v>700</v>
      </c>
      <c r="AC84" s="564" t="s">
        <v>663</v>
      </c>
      <c r="AD84" s="343" t="s">
        <v>622</v>
      </c>
      <c r="AE84" s="26"/>
      <c r="AF84" s="26"/>
      <c r="AG84" s="26"/>
      <c r="AH84" s="26"/>
      <c r="AI84" s="243"/>
      <c r="AJ84" s="1224"/>
      <c r="AK84" s="1224"/>
      <c r="AL84" s="26"/>
      <c r="AM84" s="26"/>
      <c r="AN84" s="26"/>
      <c r="AO84" s="26"/>
      <c r="AP84" s="26"/>
      <c r="AQ84" s="26"/>
      <c r="AR84" s="26"/>
      <c r="AS84" s="243"/>
      <c r="AT84" s="1224"/>
      <c r="AU84" s="1224"/>
      <c r="AV84" s="26"/>
      <c r="AW84" s="26"/>
      <c r="AX84" s="26"/>
      <c r="AY84" s="26"/>
      <c r="AZ84" s="26"/>
      <c r="BA84" s="26"/>
      <c r="BB84" s="26"/>
      <c r="BC84" s="25"/>
      <c r="BF84" s="984" t="s">
        <v>701</v>
      </c>
    </row>
    <row r="85" spans="1:58" ht="16.7" hidden="1" customHeight="1" x14ac:dyDescent="0.15">
      <c r="E85" s="668">
        <v>17.100000000000001</v>
      </c>
      <c r="F85" s="769" cm="1">
        <f t="array" aca="1" ref="F85" ca="1">OFFSET(G85,-1,-1)</f>
        <v>0</v>
      </c>
      <c r="T85" s="679" t="b" cm="1">
        <f t="array" ref="T85">T84</f>
        <v>0</v>
      </c>
      <c r="X85" s="1485"/>
      <c r="Z85" s="1485"/>
      <c r="AB85" s="411" t="s">
        <v>702</v>
      </c>
      <c r="AC85" s="565" t="s">
        <v>665</v>
      </c>
      <c r="AD85" s="118" t="s">
        <v>622</v>
      </c>
      <c r="AE85" s="569">
        <f t="shared" ref="AE85:BB85" si="30">SUM(AE86:AE89)</f>
        <v>0</v>
      </c>
      <c r="AF85" s="569">
        <f t="shared" si="30"/>
        <v>0</v>
      </c>
      <c r="AG85" s="569">
        <f t="shared" si="30"/>
        <v>0</v>
      </c>
      <c r="AH85" s="569">
        <f t="shared" si="30"/>
        <v>0</v>
      </c>
      <c r="AI85" s="569">
        <f t="shared" si="30"/>
        <v>0</v>
      </c>
      <c r="AJ85" s="569">
        <f t="shared" si="30"/>
        <v>0</v>
      </c>
      <c r="AK85" s="569">
        <f t="shared" si="30"/>
        <v>0</v>
      </c>
      <c r="AL85" s="569">
        <f t="shared" si="30"/>
        <v>0</v>
      </c>
      <c r="AM85" s="569">
        <f t="shared" si="30"/>
        <v>0</v>
      </c>
      <c r="AN85" s="569">
        <f t="shared" si="30"/>
        <v>0</v>
      </c>
      <c r="AO85" s="569">
        <f t="shared" si="30"/>
        <v>0</v>
      </c>
      <c r="AP85" s="569">
        <f t="shared" si="30"/>
        <v>0</v>
      </c>
      <c r="AQ85" s="569">
        <f t="shared" si="30"/>
        <v>0</v>
      </c>
      <c r="AR85" s="569">
        <f t="shared" si="30"/>
        <v>0</v>
      </c>
      <c r="AS85" s="569">
        <f t="shared" si="30"/>
        <v>0</v>
      </c>
      <c r="AT85" s="569">
        <f t="shared" si="30"/>
        <v>0</v>
      </c>
      <c r="AU85" s="569">
        <f t="shared" si="30"/>
        <v>0</v>
      </c>
      <c r="AV85" s="569">
        <f t="shared" si="30"/>
        <v>0</v>
      </c>
      <c r="AW85" s="569">
        <f t="shared" si="30"/>
        <v>0</v>
      </c>
      <c r="AX85" s="569">
        <f t="shared" si="30"/>
        <v>0</v>
      </c>
      <c r="AY85" s="569">
        <f t="shared" si="30"/>
        <v>0</v>
      </c>
      <c r="AZ85" s="569">
        <f t="shared" si="30"/>
        <v>0</v>
      </c>
      <c r="BA85" s="569">
        <f t="shared" si="30"/>
        <v>0</v>
      </c>
      <c r="BB85" s="569">
        <f t="shared" si="30"/>
        <v>0</v>
      </c>
      <c r="BC85" s="25"/>
      <c r="BF85" s="984" t="s">
        <v>703</v>
      </c>
    </row>
    <row r="86" spans="1:58" ht="16.7" hidden="1" customHeight="1" x14ac:dyDescent="0.15">
      <c r="E86" s="668">
        <v>17.100000000000001</v>
      </c>
      <c r="F86" s="769" cm="1">
        <f t="array" aca="1" ref="F86" ca="1">OFFSET(G86,-1,-1)</f>
        <v>0</v>
      </c>
      <c r="T86" s="679" t="b" cm="1">
        <f t="array" ref="T86">T85</f>
        <v>0</v>
      </c>
      <c r="X86" s="1485"/>
      <c r="Z86" s="1485"/>
      <c r="AB86" s="410" t="s">
        <v>704</v>
      </c>
      <c r="AC86" s="566" t="s">
        <v>667</v>
      </c>
      <c r="AD86" s="343" t="s">
        <v>622</v>
      </c>
      <c r="AE86" s="34"/>
      <c r="AF86" s="34"/>
      <c r="AG86" s="34"/>
      <c r="AH86" s="34"/>
      <c r="AI86" s="464"/>
      <c r="AJ86" s="1230"/>
      <c r="AK86" s="1230"/>
      <c r="AL86" s="34"/>
      <c r="AM86" s="34"/>
      <c r="AN86" s="34"/>
      <c r="AO86" s="34"/>
      <c r="AP86" s="34"/>
      <c r="AQ86" s="34"/>
      <c r="AR86" s="34"/>
      <c r="AS86" s="464"/>
      <c r="AT86" s="1230"/>
      <c r="AU86" s="1230"/>
      <c r="AV86" s="34"/>
      <c r="AW86" s="34"/>
      <c r="AX86" s="34"/>
      <c r="AY86" s="34"/>
      <c r="AZ86" s="34"/>
      <c r="BA86" s="34"/>
      <c r="BB86" s="34"/>
      <c r="BC86" s="25"/>
      <c r="BF86" s="984" t="s">
        <v>705</v>
      </c>
    </row>
    <row r="87" spans="1:58" ht="16.7" hidden="1" customHeight="1" x14ac:dyDescent="0.15">
      <c r="E87" s="668">
        <v>17.100000000000001</v>
      </c>
      <c r="F87" s="769" cm="1">
        <f t="array" aca="1" ref="F87" ca="1">OFFSET(G87,-1,-1)</f>
        <v>0</v>
      </c>
      <c r="T87" s="679" t="b" cm="1">
        <f t="array" ref="T87">T86</f>
        <v>0</v>
      </c>
      <c r="X87" s="1485"/>
      <c r="Z87" s="1485"/>
      <c r="AB87" s="410" t="s">
        <v>706</v>
      </c>
      <c r="AC87" s="567" t="s">
        <v>669</v>
      </c>
      <c r="AD87" s="118" t="s">
        <v>622</v>
      </c>
      <c r="AE87" s="30"/>
      <c r="AF87" s="30"/>
      <c r="AG87" s="30"/>
      <c r="AH87" s="30"/>
      <c r="AI87" s="466"/>
      <c r="AJ87" s="1228"/>
      <c r="AK87" s="1228"/>
      <c r="AL87" s="30"/>
      <c r="AM87" s="30"/>
      <c r="AN87" s="30"/>
      <c r="AO87" s="30"/>
      <c r="AP87" s="30"/>
      <c r="AQ87" s="30"/>
      <c r="AR87" s="30"/>
      <c r="AS87" s="466"/>
      <c r="AT87" s="1228"/>
      <c r="AU87" s="1228"/>
      <c r="AV87" s="30"/>
      <c r="AW87" s="30"/>
      <c r="AX87" s="30"/>
      <c r="AY87" s="30"/>
      <c r="AZ87" s="30"/>
      <c r="BA87" s="30"/>
      <c r="BB87" s="30"/>
      <c r="BC87" s="25"/>
      <c r="BF87" s="984" t="s">
        <v>707</v>
      </c>
    </row>
    <row r="88" spans="1:58" ht="16.7" hidden="1" customHeight="1" x14ac:dyDescent="0.15">
      <c r="E88" s="668">
        <v>17.100000000000001</v>
      </c>
      <c r="F88" s="769" cm="1">
        <f t="array" aca="1" ref="F88" ca="1">OFFSET(G88,-1,-1)</f>
        <v>0</v>
      </c>
      <c r="T88" s="679" t="b" cm="1">
        <f t="array" ref="T88">T87</f>
        <v>0</v>
      </c>
      <c r="X88" s="1485"/>
      <c r="Z88" s="1485"/>
      <c r="AB88" s="723" t="s">
        <v>708</v>
      </c>
      <c r="AC88" s="567" t="s">
        <v>671</v>
      </c>
      <c r="AD88" s="343" t="s">
        <v>622</v>
      </c>
      <c r="AE88" s="26"/>
      <c r="AF88" s="26"/>
      <c r="AG88" s="26"/>
      <c r="AH88" s="26"/>
      <c r="AI88" s="243"/>
      <c r="AJ88" s="1224"/>
      <c r="AK88" s="1224"/>
      <c r="AL88" s="26"/>
      <c r="AM88" s="26"/>
      <c r="AN88" s="26"/>
      <c r="AO88" s="26"/>
      <c r="AP88" s="26"/>
      <c r="AQ88" s="26"/>
      <c r="AR88" s="26"/>
      <c r="AS88" s="243"/>
      <c r="AT88" s="1224"/>
      <c r="AU88" s="1224"/>
      <c r="AV88" s="26"/>
      <c r="AW88" s="26"/>
      <c r="AX88" s="26"/>
      <c r="AY88" s="26"/>
      <c r="AZ88" s="26"/>
      <c r="BA88" s="26"/>
      <c r="BB88" s="26"/>
      <c r="BC88" s="25"/>
      <c r="BF88" s="984" t="s">
        <v>709</v>
      </c>
    </row>
    <row r="89" spans="1:58" ht="16.7" hidden="1" customHeight="1" x14ac:dyDescent="0.15">
      <c r="E89" s="668">
        <v>17.100000000000001</v>
      </c>
      <c r="F89" s="769" cm="1">
        <f t="array" aca="1" ref="F89" ca="1">OFFSET(G89,-1,-1)</f>
        <v>0</v>
      </c>
      <c r="T89" s="679" t="b" cm="1">
        <f t="array" ref="T89">T88</f>
        <v>0</v>
      </c>
      <c r="X89" s="1485"/>
      <c r="Z89" s="1485"/>
      <c r="AB89" s="724" t="s">
        <v>710</v>
      </c>
      <c r="AC89" s="567" t="s">
        <v>673</v>
      </c>
      <c r="AD89" s="343" t="s">
        <v>622</v>
      </c>
      <c r="AE89" s="26"/>
      <c r="AF89" s="26"/>
      <c r="AG89" s="26"/>
      <c r="AH89" s="26"/>
      <c r="AI89" s="243"/>
      <c r="AJ89" s="1224"/>
      <c r="AK89" s="1224"/>
      <c r="AL89" s="26"/>
      <c r="AM89" s="26"/>
      <c r="AN89" s="26"/>
      <c r="AO89" s="26"/>
      <c r="AP89" s="26"/>
      <c r="AQ89" s="26"/>
      <c r="AR89" s="26"/>
      <c r="AS89" s="243"/>
      <c r="AT89" s="1224"/>
      <c r="AU89" s="1224"/>
      <c r="AV89" s="26"/>
      <c r="AW89" s="26"/>
      <c r="AX89" s="26"/>
      <c r="AY89" s="26"/>
      <c r="AZ89" s="26"/>
      <c r="BA89" s="26"/>
      <c r="BB89" s="26"/>
      <c r="BC89" s="25"/>
      <c r="BF89" s="984" t="s">
        <v>711</v>
      </c>
    </row>
    <row r="90" spans="1:58" ht="24.95" hidden="1" customHeight="1" x14ac:dyDescent="0.15">
      <c r="E90" s="668">
        <v>25.5</v>
      </c>
      <c r="F90" s="769" cm="1">
        <f t="array" aca="1" ref="F90" ca="1">OFFSET(G90,-1,-1)</f>
        <v>0</v>
      </c>
      <c r="O90" s="612" t="s">
        <v>712</v>
      </c>
      <c r="T90" s="679" t="b">
        <f>AND(T89,H28="двухставочный")</f>
        <v>0</v>
      </c>
      <c r="X90" s="1485"/>
      <c r="Z90" s="1485"/>
      <c r="AB90" s="268" t="s">
        <v>713</v>
      </c>
      <c r="AC90" s="491" t="s">
        <v>714</v>
      </c>
      <c r="AD90" s="427" t="s">
        <v>715</v>
      </c>
      <c r="AE90" s="568">
        <f t="shared" ref="AE90:BB90" si="31">SUM(AE91:AE94)</f>
        <v>0</v>
      </c>
      <c r="AF90" s="305">
        <f t="shared" si="31"/>
        <v>0</v>
      </c>
      <c r="AG90" s="305">
        <f t="shared" si="31"/>
        <v>0</v>
      </c>
      <c r="AH90" s="305">
        <f t="shared" si="31"/>
        <v>0</v>
      </c>
      <c r="AI90" s="305">
        <f t="shared" si="31"/>
        <v>0</v>
      </c>
      <c r="AJ90" s="305">
        <f t="shared" si="31"/>
        <v>0</v>
      </c>
      <c r="AK90" s="305">
        <f t="shared" si="31"/>
        <v>0</v>
      </c>
      <c r="AL90" s="305">
        <f t="shared" si="31"/>
        <v>0</v>
      </c>
      <c r="AM90" s="305">
        <f t="shared" si="31"/>
        <v>0</v>
      </c>
      <c r="AN90" s="305">
        <f t="shared" si="31"/>
        <v>0</v>
      </c>
      <c r="AO90" s="305">
        <f t="shared" si="31"/>
        <v>0</v>
      </c>
      <c r="AP90" s="305">
        <f t="shared" si="31"/>
        <v>0</v>
      </c>
      <c r="AQ90" s="305">
        <f t="shared" si="31"/>
        <v>0</v>
      </c>
      <c r="AR90" s="305">
        <f t="shared" si="31"/>
        <v>0</v>
      </c>
      <c r="AS90" s="305">
        <f t="shared" si="31"/>
        <v>0</v>
      </c>
      <c r="AT90" s="305">
        <f t="shared" si="31"/>
        <v>0</v>
      </c>
      <c r="AU90" s="305">
        <f t="shared" si="31"/>
        <v>0</v>
      </c>
      <c r="AV90" s="305">
        <f t="shared" si="31"/>
        <v>0</v>
      </c>
      <c r="AW90" s="305">
        <f t="shared" si="31"/>
        <v>0</v>
      </c>
      <c r="AX90" s="305">
        <f t="shared" si="31"/>
        <v>0</v>
      </c>
      <c r="AY90" s="305">
        <f t="shared" si="31"/>
        <v>0</v>
      </c>
      <c r="AZ90" s="305">
        <f t="shared" si="31"/>
        <v>0</v>
      </c>
      <c r="BA90" s="305">
        <f t="shared" si="31"/>
        <v>0</v>
      </c>
      <c r="BB90" s="305">
        <f t="shared" si="31"/>
        <v>0</v>
      </c>
      <c r="BC90" s="25"/>
      <c r="BF90" s="984" t="s">
        <v>716</v>
      </c>
    </row>
    <row r="91" spans="1:58" ht="16.7" hidden="1" customHeight="1" x14ac:dyDescent="0.15">
      <c r="E91" s="668">
        <v>17.100000000000001</v>
      </c>
      <c r="F91" s="769" cm="1">
        <f t="array" aca="1" ref="F91" ca="1">OFFSET(G91,-1,-1)</f>
        <v>0</v>
      </c>
      <c r="O91" s="612" t="s">
        <v>712</v>
      </c>
      <c r="T91" s="679" t="b" cm="1">
        <f t="array" ref="T91">T90</f>
        <v>0</v>
      </c>
      <c r="X91" s="1485"/>
      <c r="Z91" s="1485"/>
      <c r="AB91" s="716" t="str">
        <f>AB90&amp;".1"</f>
        <v>10.1</v>
      </c>
      <c r="AC91" s="465" t="s">
        <v>667</v>
      </c>
      <c r="AD91" s="427" t="s">
        <v>715</v>
      </c>
      <c r="AE91" s="26"/>
      <c r="AF91" s="26"/>
      <c r="AG91" s="26"/>
      <c r="AH91" s="26"/>
      <c r="AI91" s="243"/>
      <c r="AJ91" s="1224"/>
      <c r="AK91" s="1224"/>
      <c r="AL91" s="26"/>
      <c r="AM91" s="26"/>
      <c r="AN91" s="26"/>
      <c r="AO91" s="26"/>
      <c r="AP91" s="26"/>
      <c r="AQ91" s="26"/>
      <c r="AR91" s="26"/>
      <c r="AS91" s="243"/>
      <c r="AT91" s="1224"/>
      <c r="AU91" s="1224"/>
      <c r="AV91" s="26"/>
      <c r="AW91" s="26"/>
      <c r="AX91" s="26"/>
      <c r="AY91" s="26"/>
      <c r="AZ91" s="26"/>
      <c r="BA91" s="26"/>
      <c r="BB91" s="35"/>
      <c r="BC91" s="25"/>
      <c r="BF91" s="984" t="s">
        <v>717</v>
      </c>
    </row>
    <row r="92" spans="1:58" ht="16.7" hidden="1" customHeight="1" x14ac:dyDescent="0.15">
      <c r="E92" s="668">
        <v>17.100000000000001</v>
      </c>
      <c r="F92" s="769" cm="1">
        <f t="array" aca="1" ref="F92" ca="1">OFFSET(G92,-1,-1)</f>
        <v>0</v>
      </c>
      <c r="O92" s="612" t="s">
        <v>712</v>
      </c>
      <c r="T92" s="679" t="b" cm="1">
        <f t="array" ref="T92">T91</f>
        <v>0</v>
      </c>
      <c r="X92" s="1485"/>
      <c r="Z92" s="1485"/>
      <c r="AB92" s="716" t="str">
        <f>AB90&amp;".2"</f>
        <v>10.2</v>
      </c>
      <c r="AC92" s="347" t="s">
        <v>669</v>
      </c>
      <c r="AD92" s="427" t="s">
        <v>715</v>
      </c>
      <c r="AE92" s="26"/>
      <c r="AF92" s="26"/>
      <c r="AG92" s="26"/>
      <c r="AH92" s="26"/>
      <c r="AI92" s="243"/>
      <c r="AJ92" s="1224"/>
      <c r="AK92" s="1224"/>
      <c r="AL92" s="26"/>
      <c r="AM92" s="26"/>
      <c r="AN92" s="26"/>
      <c r="AO92" s="26"/>
      <c r="AP92" s="26"/>
      <c r="AQ92" s="26"/>
      <c r="AR92" s="26"/>
      <c r="AS92" s="243"/>
      <c r="AT92" s="1224"/>
      <c r="AU92" s="1224"/>
      <c r="AV92" s="26"/>
      <c r="AW92" s="26"/>
      <c r="AX92" s="26"/>
      <c r="AY92" s="26"/>
      <c r="AZ92" s="26"/>
      <c r="BA92" s="26"/>
      <c r="BB92" s="35"/>
      <c r="BC92" s="25"/>
      <c r="BF92" s="984" t="s">
        <v>718</v>
      </c>
    </row>
    <row r="93" spans="1:58" ht="16.7" hidden="1" customHeight="1" x14ac:dyDescent="0.15">
      <c r="E93" s="668">
        <v>17.100000000000001</v>
      </c>
      <c r="F93" s="769" cm="1">
        <f t="array" aca="1" ref="F93" ca="1">OFFSET(G93,-1,-1)</f>
        <v>0</v>
      </c>
      <c r="O93" s="612" t="s">
        <v>712</v>
      </c>
      <c r="T93" s="679" t="b" cm="1">
        <f t="array" ref="T93">T92</f>
        <v>0</v>
      </c>
      <c r="X93" s="1485"/>
      <c r="Z93" s="1485"/>
      <c r="AB93" s="716" t="str">
        <f>AB90&amp;".3"</f>
        <v>10.3</v>
      </c>
      <c r="AC93" s="347" t="s">
        <v>671</v>
      </c>
      <c r="AD93" s="427" t="s">
        <v>715</v>
      </c>
      <c r="AE93" s="26"/>
      <c r="AF93" s="26"/>
      <c r="AG93" s="26"/>
      <c r="AH93" s="26"/>
      <c r="AI93" s="243"/>
      <c r="AJ93" s="1224"/>
      <c r="AK93" s="1224"/>
      <c r="AL93" s="26"/>
      <c r="AM93" s="26"/>
      <c r="AN93" s="26"/>
      <c r="AO93" s="26"/>
      <c r="AP93" s="26"/>
      <c r="AQ93" s="26"/>
      <c r="AR93" s="26"/>
      <c r="AS93" s="243"/>
      <c r="AT93" s="1224"/>
      <c r="AU93" s="1224"/>
      <c r="AV93" s="26"/>
      <c r="AW93" s="26"/>
      <c r="AX93" s="26"/>
      <c r="AY93" s="26"/>
      <c r="AZ93" s="26"/>
      <c r="BA93" s="26"/>
      <c r="BB93" s="35"/>
      <c r="BC93" s="25"/>
      <c r="BF93" s="984" t="s">
        <v>719</v>
      </c>
    </row>
    <row r="94" spans="1:58" ht="16.7" hidden="1" customHeight="1" x14ac:dyDescent="0.15">
      <c r="E94" s="668">
        <v>17.100000000000001</v>
      </c>
      <c r="F94" s="769" cm="1">
        <f t="array" aca="1" ref="F94" ca="1">OFFSET(G94,-1,-1)</f>
        <v>0</v>
      </c>
      <c r="O94" s="612" t="s">
        <v>712</v>
      </c>
      <c r="T94" s="679" t="b" cm="1">
        <f t="array" ref="T94">T93</f>
        <v>0</v>
      </c>
      <c r="X94" s="1485"/>
      <c r="Z94" s="1485"/>
      <c r="AB94" s="716" t="str">
        <f>AB90&amp;".4"</f>
        <v>10.4</v>
      </c>
      <c r="AC94" s="347" t="s">
        <v>673</v>
      </c>
      <c r="AD94" s="493" t="s">
        <v>715</v>
      </c>
      <c r="AE94" s="27"/>
      <c r="AF94" s="27"/>
      <c r="AG94" s="27"/>
      <c r="AH94" s="27"/>
      <c r="AI94" s="490"/>
      <c r="AJ94" s="1225"/>
      <c r="AK94" s="1225"/>
      <c r="AL94" s="27"/>
      <c r="AM94" s="27"/>
      <c r="AN94" s="27"/>
      <c r="AO94" s="27"/>
      <c r="AP94" s="27"/>
      <c r="AQ94" s="27"/>
      <c r="AR94" s="27"/>
      <c r="AS94" s="490"/>
      <c r="AT94" s="1225"/>
      <c r="AU94" s="1225"/>
      <c r="AV94" s="27"/>
      <c r="AW94" s="27"/>
      <c r="AX94" s="27"/>
      <c r="AY94" s="27"/>
      <c r="AZ94" s="27"/>
      <c r="BA94" s="27"/>
      <c r="BB94" s="36"/>
      <c r="BC94" s="20"/>
      <c r="BF94" s="984" t="s">
        <v>720</v>
      </c>
    </row>
    <row r="95" spans="1:58" ht="52.7" hidden="1" customHeight="1" x14ac:dyDescent="0.15">
      <c r="E95" s="668">
        <v>54</v>
      </c>
      <c r="F95" s="769" cm="1">
        <f t="array" aca="1" ref="F95" ca="1">OFFSET(G95,-1,-1)</f>
        <v>0</v>
      </c>
      <c r="O95" s="612" t="s">
        <v>712</v>
      </c>
      <c r="T95" s="679" t="b" cm="1">
        <f t="array" ref="T95">T94</f>
        <v>0</v>
      </c>
      <c r="X95" s="1485"/>
      <c r="Z95" s="1485"/>
      <c r="AB95" s="268" t="s">
        <v>721</v>
      </c>
      <c r="AC95" s="492" t="s">
        <v>722</v>
      </c>
      <c r="AD95" s="105"/>
      <c r="AE95" s="26"/>
      <c r="AF95" s="26"/>
      <c r="AG95" s="26"/>
      <c r="AH95" s="26"/>
      <c r="AI95" s="243"/>
      <c r="AJ95" s="1224"/>
      <c r="AK95" s="1224"/>
      <c r="AL95" s="26"/>
      <c r="AM95" s="26"/>
      <c r="AN95" s="26"/>
      <c r="AO95" s="26"/>
      <c r="AP95" s="26"/>
      <c r="AQ95" s="26"/>
      <c r="AR95" s="26"/>
      <c r="AS95" s="243"/>
      <c r="AT95" s="1224"/>
      <c r="AU95" s="1224"/>
      <c r="AV95" s="26"/>
      <c r="AW95" s="26"/>
      <c r="AX95" s="26"/>
      <c r="AY95" s="26"/>
      <c r="AZ95" s="26"/>
      <c r="BA95" s="26"/>
      <c r="BB95" s="26"/>
      <c r="BC95" s="31"/>
      <c r="BF95" s="984" t="s">
        <v>723</v>
      </c>
    </row>
    <row r="96" spans="1:58" s="1167" customFormat="1" ht="10.5" customHeight="1" x14ac:dyDescent="0.15">
      <c r="A96" s="973"/>
      <c r="B96" s="773"/>
      <c r="C96" s="1152"/>
      <c r="D96" s="1152"/>
      <c r="E96" s="668">
        <v>11.4</v>
      </c>
      <c r="F96" s="769" t="str" cm="1">
        <f t="array" ref="F96">X96</f>
        <v>1</v>
      </c>
      <c r="G96" s="160" t="str" cm="1">
        <f t="array" ref="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160" t="str" cm="1">
        <f t="array" ref="H96">INDEX('Общие сведения'!$AK$169:$AK$202,MATCH($F96,'Общие сведения'!$Z$169:$Z$202,0))</f>
        <v>одноставочный</v>
      </c>
      <c r="I96" s="417"/>
      <c r="J96" s="417"/>
      <c r="K96" s="417"/>
      <c r="L96" s="417"/>
      <c r="M96" s="417"/>
      <c r="N96" s="417"/>
      <c r="O96" s="417"/>
      <c r="P96" s="417"/>
      <c r="Q96" s="417"/>
      <c r="R96" s="417"/>
      <c r="S96" s="417"/>
      <c r="T96" s="679" t="b">
        <f>AND(X96&gt;0,G96&lt;&gt;"передача тепловой энергии")</f>
        <v>1</v>
      </c>
      <c r="U96" s="1152"/>
      <c r="V96" s="123" t="str" cm="1">
        <f t="array" ref="V96">'Сценарии (МСА)'!$AB$35</f>
        <v>Тариф 1 (Теплоснабжение) - Тариф на тепловую энергию (мощность), поставляемую потребителям (Не определено)</v>
      </c>
      <c r="W96" s="1152"/>
      <c r="X96" s="1485" t="s">
        <v>339</v>
      </c>
      <c r="Y96" s="1152"/>
      <c r="Z96" s="1485"/>
      <c r="AA96" s="417"/>
      <c r="AB96" s="390" t="str" cm="1">
        <f t="array" ref="AB96">IF(ISBLANK('Сценарии (МСА)'!$AB$35),"",'Сценарии (МСА)'!$AB$35)</f>
        <v>Тариф 1 (Теплоснабжение) - Тариф на тепловую энергию (мощность), поставляемую потребителям (Не определено)</v>
      </c>
      <c r="AC96" s="210"/>
      <c r="AD96" s="210"/>
      <c r="AE96" s="210"/>
      <c r="AF96" s="210"/>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417"/>
      <c r="BE96" s="417"/>
      <c r="BF96" s="935"/>
    </row>
    <row r="97" spans="1:58" s="1167" customFormat="1" ht="16.5" customHeight="1" x14ac:dyDescent="0.15">
      <c r="A97" s="973"/>
      <c r="B97" s="773"/>
      <c r="C97" s="1152"/>
      <c r="D97" s="1152"/>
      <c r="E97" s="668">
        <v>17.100000000000001</v>
      </c>
      <c r="F97" s="769" t="str" cm="1">
        <f t="array" aca="1" ref="F97" ca="1">OFFSET(G97,-1,-1)</f>
        <v>1</v>
      </c>
      <c r="G97" s="417"/>
      <c r="H97" s="417"/>
      <c r="I97" s="417"/>
      <c r="J97" s="417"/>
      <c r="K97" s="417"/>
      <c r="L97" s="417"/>
      <c r="M97" s="417"/>
      <c r="N97" s="417"/>
      <c r="O97" s="417"/>
      <c r="P97" s="417"/>
      <c r="Q97" s="417"/>
      <c r="R97" s="417"/>
      <c r="S97" s="417"/>
      <c r="T97" s="679" t="b" cm="1">
        <f t="array" ref="T97">T96</f>
        <v>1</v>
      </c>
      <c r="U97" s="1152"/>
      <c r="V97" s="1152"/>
      <c r="W97" s="1152"/>
      <c r="X97" s="1485"/>
      <c r="Y97" s="1152"/>
      <c r="Z97" s="1485"/>
      <c r="AA97" s="417"/>
      <c r="AB97" s="268" t="s">
        <v>339</v>
      </c>
      <c r="AC97" s="111" t="s">
        <v>621</v>
      </c>
      <c r="AD97" s="117" t="s">
        <v>622</v>
      </c>
      <c r="AE97" s="305">
        <f t="shared" ref="AE97:BB97" si="32">AE98+AE101+AE104</f>
        <v>79570</v>
      </c>
      <c r="AF97" s="305">
        <f t="shared" si="32"/>
        <v>78962.87</v>
      </c>
      <c r="AG97" s="305">
        <f t="shared" si="32"/>
        <v>78962.880000000005</v>
      </c>
      <c r="AH97" s="305">
        <f t="shared" si="32"/>
        <v>81165</v>
      </c>
      <c r="AI97" s="305">
        <f t="shared" si="32"/>
        <v>77277.039999999994</v>
      </c>
      <c r="AJ97" s="305">
        <f t="shared" si="32"/>
        <v>0</v>
      </c>
      <c r="AK97" s="305">
        <f t="shared" si="32"/>
        <v>0</v>
      </c>
      <c r="AL97" s="305">
        <f t="shared" si="32"/>
        <v>0</v>
      </c>
      <c r="AM97" s="305">
        <f t="shared" si="32"/>
        <v>0</v>
      </c>
      <c r="AN97" s="305">
        <f t="shared" si="32"/>
        <v>0</v>
      </c>
      <c r="AO97" s="305">
        <f t="shared" si="32"/>
        <v>0</v>
      </c>
      <c r="AP97" s="305">
        <f t="shared" si="32"/>
        <v>0</v>
      </c>
      <c r="AQ97" s="305">
        <f t="shared" si="32"/>
        <v>0</v>
      </c>
      <c r="AR97" s="305">
        <f t="shared" si="32"/>
        <v>0</v>
      </c>
      <c r="AS97" s="305">
        <f t="shared" si="32"/>
        <v>77269</v>
      </c>
      <c r="AT97" s="305">
        <f t="shared" si="32"/>
        <v>0</v>
      </c>
      <c r="AU97" s="305">
        <f t="shared" si="32"/>
        <v>0</v>
      </c>
      <c r="AV97" s="305">
        <f t="shared" si="32"/>
        <v>0</v>
      </c>
      <c r="AW97" s="305">
        <f t="shared" si="32"/>
        <v>0</v>
      </c>
      <c r="AX97" s="305">
        <f t="shared" si="32"/>
        <v>0</v>
      </c>
      <c r="AY97" s="305">
        <f t="shared" si="32"/>
        <v>0</v>
      </c>
      <c r="AZ97" s="305">
        <f t="shared" si="32"/>
        <v>0</v>
      </c>
      <c r="BA97" s="305">
        <f t="shared" si="32"/>
        <v>0</v>
      </c>
      <c r="BB97" s="305">
        <f t="shared" si="32"/>
        <v>0</v>
      </c>
      <c r="BC97" s="1231"/>
      <c r="BD97" s="417"/>
      <c r="BE97" s="417"/>
      <c r="BF97" s="984" t="s">
        <v>623</v>
      </c>
    </row>
    <row r="98" spans="1:58" s="1167" customFormat="1" ht="16.5" customHeight="1" x14ac:dyDescent="0.15">
      <c r="A98" s="973"/>
      <c r="B98" s="773"/>
      <c r="C98" s="1152"/>
      <c r="D98" s="1152"/>
      <c r="E98" s="668">
        <v>17.100000000000001</v>
      </c>
      <c r="F98" s="769" t="str" cm="1">
        <f t="array" aca="1" ref="F98" ca="1">OFFSET(G98,-1,-1)</f>
        <v>1</v>
      </c>
      <c r="G98" s="417"/>
      <c r="H98" s="417"/>
      <c r="I98" s="417"/>
      <c r="J98" s="417"/>
      <c r="K98" s="417"/>
      <c r="L98" s="417"/>
      <c r="M98" s="417"/>
      <c r="N98" s="417"/>
      <c r="O98" s="417"/>
      <c r="P98" s="417"/>
      <c r="Q98" s="417"/>
      <c r="R98" s="417"/>
      <c r="S98" s="417"/>
      <c r="T98" s="679" t="b" cm="1">
        <f t="array" ref="T98">T97</f>
        <v>1</v>
      </c>
      <c r="U98" s="1152"/>
      <c r="V98" s="1152"/>
      <c r="W98" s="1152"/>
      <c r="X98" s="1485"/>
      <c r="Y98" s="1152"/>
      <c r="Z98" s="1485"/>
      <c r="AA98" s="417"/>
      <c r="AB98" s="105" t="str">
        <f>AB97&amp;".1"</f>
        <v>1.1</v>
      </c>
      <c r="AC98" s="112" t="s">
        <v>624</v>
      </c>
      <c r="AD98" s="117" t="s">
        <v>622</v>
      </c>
      <c r="AE98" s="305">
        <f t="shared" ref="AE98:BB98" si="33">AE99+AE100</f>
        <v>0</v>
      </c>
      <c r="AF98" s="305">
        <f t="shared" si="33"/>
        <v>0</v>
      </c>
      <c r="AG98" s="305">
        <f t="shared" si="33"/>
        <v>0</v>
      </c>
      <c r="AH98" s="305">
        <f t="shared" si="33"/>
        <v>0</v>
      </c>
      <c r="AI98" s="305">
        <f t="shared" si="33"/>
        <v>0</v>
      </c>
      <c r="AJ98" s="305">
        <f t="shared" si="33"/>
        <v>0</v>
      </c>
      <c r="AK98" s="305">
        <f t="shared" si="33"/>
        <v>0</v>
      </c>
      <c r="AL98" s="305">
        <f t="shared" si="33"/>
        <v>0</v>
      </c>
      <c r="AM98" s="305">
        <f t="shared" si="33"/>
        <v>0</v>
      </c>
      <c r="AN98" s="305">
        <f t="shared" si="33"/>
        <v>0</v>
      </c>
      <c r="AO98" s="305">
        <f t="shared" si="33"/>
        <v>0</v>
      </c>
      <c r="AP98" s="305">
        <f t="shared" si="33"/>
        <v>0</v>
      </c>
      <c r="AQ98" s="305">
        <f t="shared" si="33"/>
        <v>0</v>
      </c>
      <c r="AR98" s="305">
        <f t="shared" si="33"/>
        <v>0</v>
      </c>
      <c r="AS98" s="305">
        <f t="shared" si="33"/>
        <v>0</v>
      </c>
      <c r="AT98" s="305">
        <f t="shared" si="33"/>
        <v>0</v>
      </c>
      <c r="AU98" s="305">
        <f t="shared" si="33"/>
        <v>0</v>
      </c>
      <c r="AV98" s="305">
        <f t="shared" si="33"/>
        <v>0</v>
      </c>
      <c r="AW98" s="305">
        <f t="shared" si="33"/>
        <v>0</v>
      </c>
      <c r="AX98" s="305">
        <f t="shared" si="33"/>
        <v>0</v>
      </c>
      <c r="AY98" s="305">
        <f t="shared" si="33"/>
        <v>0</v>
      </c>
      <c r="AZ98" s="305">
        <f t="shared" si="33"/>
        <v>0</v>
      </c>
      <c r="BA98" s="305">
        <f t="shared" si="33"/>
        <v>0</v>
      </c>
      <c r="BB98" s="305">
        <f t="shared" si="33"/>
        <v>0</v>
      </c>
      <c r="BC98" s="1231"/>
      <c r="BD98" s="417"/>
      <c r="BE98" s="417"/>
      <c r="BF98" s="984" t="s">
        <v>625</v>
      </c>
    </row>
    <row r="99" spans="1:58" s="1167" customFormat="1" ht="16.5" customHeight="1" x14ac:dyDescent="0.15">
      <c r="A99" s="973"/>
      <c r="B99" s="773"/>
      <c r="C99" s="1152"/>
      <c r="D99" s="1152"/>
      <c r="E99" s="668">
        <v>17.100000000000001</v>
      </c>
      <c r="F99" s="769" t="str" cm="1">
        <f t="array" aca="1" ref="F99" ca="1">OFFSET(G99,-1,-1)</f>
        <v>1</v>
      </c>
      <c r="G99" s="417"/>
      <c r="H99" s="417"/>
      <c r="I99" s="417"/>
      <c r="J99" s="417"/>
      <c r="K99" s="417"/>
      <c r="L99" s="417"/>
      <c r="M99" s="417"/>
      <c r="N99" s="417"/>
      <c r="O99" s="417"/>
      <c r="P99" s="417"/>
      <c r="Q99" s="417"/>
      <c r="R99" s="417"/>
      <c r="S99" s="417"/>
      <c r="T99" s="679" t="b" cm="1">
        <f t="array" ref="T99">T98</f>
        <v>1</v>
      </c>
      <c r="U99" s="1152"/>
      <c r="V99" s="1152"/>
      <c r="W99" s="1152"/>
      <c r="X99" s="1485"/>
      <c r="Y99" s="1152"/>
      <c r="Z99" s="1485"/>
      <c r="AA99" s="417"/>
      <c r="AB99" s="105" t="str">
        <f>AB98&amp;".1"</f>
        <v>1.1.1</v>
      </c>
      <c r="AC99" s="463" t="s">
        <v>626</v>
      </c>
      <c r="AD99" s="117" t="s">
        <v>622</v>
      </c>
      <c r="AE99" s="1232"/>
      <c r="AF99" s="1232"/>
      <c r="AG99" s="1232"/>
      <c r="AH99" s="1232"/>
      <c r="AI99" s="243"/>
      <c r="AJ99" s="1224"/>
      <c r="AK99" s="1224"/>
      <c r="AL99" s="1232"/>
      <c r="AM99" s="1232"/>
      <c r="AN99" s="1232"/>
      <c r="AO99" s="1232"/>
      <c r="AP99" s="1232"/>
      <c r="AQ99" s="1232"/>
      <c r="AR99" s="1232"/>
      <c r="AS99" s="243"/>
      <c r="AT99" s="1224"/>
      <c r="AU99" s="1224"/>
      <c r="AV99" s="1232"/>
      <c r="AW99" s="1232"/>
      <c r="AX99" s="1232"/>
      <c r="AY99" s="1232"/>
      <c r="AZ99" s="1232"/>
      <c r="BA99" s="1232"/>
      <c r="BB99" s="1232"/>
      <c r="BC99" s="1231"/>
      <c r="BD99" s="417"/>
      <c r="BE99" s="417"/>
      <c r="BF99" s="984" t="s">
        <v>627</v>
      </c>
    </row>
    <row r="100" spans="1:58" s="1167" customFormat="1" ht="16.5" customHeight="1" x14ac:dyDescent="0.15">
      <c r="A100" s="973"/>
      <c r="B100" s="773"/>
      <c r="C100" s="1152"/>
      <c r="D100" s="1152"/>
      <c r="E100" s="668">
        <v>17.100000000000001</v>
      </c>
      <c r="F100" s="769" t="str" cm="1">
        <f t="array" aca="1" ref="F100" ca="1">OFFSET(G100,-1,-1)</f>
        <v>1</v>
      </c>
      <c r="G100" s="417"/>
      <c r="H100" s="417"/>
      <c r="I100" s="417"/>
      <c r="J100" s="417"/>
      <c r="K100" s="417"/>
      <c r="L100" s="417"/>
      <c r="M100" s="417"/>
      <c r="N100" s="417"/>
      <c r="O100" s="417"/>
      <c r="P100" s="417"/>
      <c r="Q100" s="417"/>
      <c r="R100" s="417"/>
      <c r="S100" s="417"/>
      <c r="T100" s="679" t="b" cm="1">
        <f t="array" ref="T100">T99</f>
        <v>1</v>
      </c>
      <c r="U100" s="1152"/>
      <c r="V100" s="1152"/>
      <c r="W100" s="1152"/>
      <c r="X100" s="1485"/>
      <c r="Y100" s="1152"/>
      <c r="Z100" s="1485"/>
      <c r="AA100" s="417"/>
      <c r="AB100" s="105" t="str">
        <f>AB98&amp;".2"</f>
        <v>1.1.2</v>
      </c>
      <c r="AC100" s="463" t="s">
        <v>628</v>
      </c>
      <c r="AD100" s="117" t="s">
        <v>622</v>
      </c>
      <c r="AE100" s="1232"/>
      <c r="AF100" s="1232"/>
      <c r="AG100" s="1232"/>
      <c r="AH100" s="1232"/>
      <c r="AI100" s="243"/>
      <c r="AJ100" s="1224"/>
      <c r="AK100" s="1224"/>
      <c r="AL100" s="1232"/>
      <c r="AM100" s="1232"/>
      <c r="AN100" s="1232"/>
      <c r="AO100" s="1232"/>
      <c r="AP100" s="1232"/>
      <c r="AQ100" s="1232"/>
      <c r="AR100" s="1232"/>
      <c r="AS100" s="243"/>
      <c r="AT100" s="1224"/>
      <c r="AU100" s="1224"/>
      <c r="AV100" s="1232"/>
      <c r="AW100" s="1232"/>
      <c r="AX100" s="1232"/>
      <c r="AY100" s="1232"/>
      <c r="AZ100" s="1232"/>
      <c r="BA100" s="1232"/>
      <c r="BB100" s="1232"/>
      <c r="BC100" s="1231"/>
      <c r="BD100" s="417"/>
      <c r="BE100" s="417"/>
      <c r="BF100" s="984" t="s">
        <v>629</v>
      </c>
    </row>
    <row r="101" spans="1:58" s="1167" customFormat="1" ht="16.5" customHeight="1" x14ac:dyDescent="0.15">
      <c r="A101" s="973"/>
      <c r="B101" s="773"/>
      <c r="C101" s="1152"/>
      <c r="D101" s="1152"/>
      <c r="E101" s="668">
        <v>17.100000000000001</v>
      </c>
      <c r="F101" s="769" t="str" cm="1">
        <f t="array" aca="1" ref="F101" ca="1">OFFSET(G101,-1,-1)</f>
        <v>1</v>
      </c>
      <c r="G101" s="417"/>
      <c r="H101" s="417"/>
      <c r="I101" s="417"/>
      <c r="J101" s="417"/>
      <c r="K101" s="417"/>
      <c r="L101" s="417"/>
      <c r="M101" s="417"/>
      <c r="N101" s="417"/>
      <c r="O101" s="417"/>
      <c r="P101" s="417"/>
      <c r="Q101" s="417"/>
      <c r="R101" s="417"/>
      <c r="S101" s="417"/>
      <c r="T101" s="679" t="b" cm="1">
        <f t="array" ref="T101">T100</f>
        <v>1</v>
      </c>
      <c r="U101" s="1152"/>
      <c r="V101" s="1152"/>
      <c r="W101" s="1152"/>
      <c r="X101" s="1485"/>
      <c r="Y101" s="1152"/>
      <c r="Z101" s="1485"/>
      <c r="AA101" s="417"/>
      <c r="AB101" s="105" t="str">
        <f>AB97&amp;".2"</f>
        <v>1.2</v>
      </c>
      <c r="AC101" s="112" t="s">
        <v>630</v>
      </c>
      <c r="AD101" s="117" t="s">
        <v>622</v>
      </c>
      <c r="AE101" s="305">
        <f t="shared" ref="AE101:BB101" si="34">AE102+AE103</f>
        <v>79570</v>
      </c>
      <c r="AF101" s="305">
        <f t="shared" si="34"/>
        <v>78962.87</v>
      </c>
      <c r="AG101" s="305">
        <f t="shared" si="34"/>
        <v>78962.880000000005</v>
      </c>
      <c r="AH101" s="305">
        <f t="shared" si="34"/>
        <v>81165</v>
      </c>
      <c r="AI101" s="305">
        <f t="shared" si="34"/>
        <v>77277.039999999994</v>
      </c>
      <c r="AJ101" s="305">
        <f t="shared" si="34"/>
        <v>0</v>
      </c>
      <c r="AK101" s="305">
        <f t="shared" si="34"/>
        <v>0</v>
      </c>
      <c r="AL101" s="305">
        <f t="shared" si="34"/>
        <v>0</v>
      </c>
      <c r="AM101" s="305">
        <f t="shared" si="34"/>
        <v>0</v>
      </c>
      <c r="AN101" s="305">
        <f t="shared" si="34"/>
        <v>0</v>
      </c>
      <c r="AO101" s="305">
        <f t="shared" si="34"/>
        <v>0</v>
      </c>
      <c r="AP101" s="305">
        <f t="shared" si="34"/>
        <v>0</v>
      </c>
      <c r="AQ101" s="305">
        <f t="shared" si="34"/>
        <v>0</v>
      </c>
      <c r="AR101" s="305">
        <f t="shared" si="34"/>
        <v>0</v>
      </c>
      <c r="AS101" s="305">
        <f t="shared" si="34"/>
        <v>77269</v>
      </c>
      <c r="AT101" s="305">
        <f t="shared" si="34"/>
        <v>0</v>
      </c>
      <c r="AU101" s="305">
        <f t="shared" si="34"/>
        <v>0</v>
      </c>
      <c r="AV101" s="305">
        <f t="shared" si="34"/>
        <v>0</v>
      </c>
      <c r="AW101" s="305">
        <f t="shared" si="34"/>
        <v>0</v>
      </c>
      <c r="AX101" s="305">
        <f t="shared" si="34"/>
        <v>0</v>
      </c>
      <c r="AY101" s="305">
        <f t="shared" si="34"/>
        <v>0</v>
      </c>
      <c r="AZ101" s="305">
        <f t="shared" si="34"/>
        <v>0</v>
      </c>
      <c r="BA101" s="305">
        <f t="shared" si="34"/>
        <v>0</v>
      </c>
      <c r="BB101" s="305">
        <f t="shared" si="34"/>
        <v>0</v>
      </c>
      <c r="BC101" s="1231"/>
      <c r="BD101" s="417"/>
      <c r="BE101" s="417"/>
      <c r="BF101" s="984" t="s">
        <v>631</v>
      </c>
    </row>
    <row r="102" spans="1:58" s="1167" customFormat="1" ht="16.5" customHeight="1" x14ac:dyDescent="0.15">
      <c r="A102" s="973"/>
      <c r="B102" s="773"/>
      <c r="C102" s="1152"/>
      <c r="D102" s="1152"/>
      <c r="E102" s="668">
        <v>17.100000000000001</v>
      </c>
      <c r="F102" s="769" t="str" cm="1">
        <f t="array" aca="1" ref="F102" ca="1">OFFSET(G102,-1,-1)</f>
        <v>1</v>
      </c>
      <c r="G102" s="417"/>
      <c r="H102" s="417"/>
      <c r="I102" s="417"/>
      <c r="J102" s="417"/>
      <c r="K102" s="417"/>
      <c r="L102" s="417"/>
      <c r="M102" s="417"/>
      <c r="N102" s="417"/>
      <c r="O102" s="417"/>
      <c r="P102" s="417"/>
      <c r="Q102" s="417"/>
      <c r="R102" s="417"/>
      <c r="S102" s="417"/>
      <c r="T102" s="679" t="b" cm="1">
        <f t="array" ref="T102">T101</f>
        <v>1</v>
      </c>
      <c r="U102" s="1152"/>
      <c r="V102" s="1152"/>
      <c r="W102" s="1152"/>
      <c r="X102" s="1485"/>
      <c r="Y102" s="1152"/>
      <c r="Z102" s="1485"/>
      <c r="AA102" s="417"/>
      <c r="AB102" s="105" t="str">
        <f>AB101&amp;".1"</f>
        <v>1.2.1</v>
      </c>
      <c r="AC102" s="463" t="s">
        <v>626</v>
      </c>
      <c r="AD102" s="117" t="s">
        <v>622</v>
      </c>
      <c r="AE102" s="1232">
        <v>79570</v>
      </c>
      <c r="AF102" s="1232">
        <v>78962.87</v>
      </c>
      <c r="AG102" s="1232">
        <v>78962.880000000005</v>
      </c>
      <c r="AH102" s="1232">
        <v>81165</v>
      </c>
      <c r="AI102" s="243">
        <v>77277.039999999994</v>
      </c>
      <c r="AJ102" s="1224"/>
      <c r="AK102" s="1224"/>
      <c r="AL102" s="1232"/>
      <c r="AM102" s="1232"/>
      <c r="AN102" s="1232"/>
      <c r="AO102" s="1232"/>
      <c r="AP102" s="1232"/>
      <c r="AQ102" s="1232"/>
      <c r="AR102" s="1232"/>
      <c r="AS102" s="243">
        <v>77269</v>
      </c>
      <c r="AT102" s="1224"/>
      <c r="AU102" s="1224"/>
      <c r="AV102" s="1232"/>
      <c r="AW102" s="1232"/>
      <c r="AX102" s="1232"/>
      <c r="AY102" s="1232"/>
      <c r="AZ102" s="1232"/>
      <c r="BA102" s="1232"/>
      <c r="BB102" s="1232"/>
      <c r="BC102" s="1231"/>
      <c r="BD102" s="417"/>
      <c r="BE102" s="417"/>
      <c r="BF102" s="984" t="s">
        <v>632</v>
      </c>
    </row>
    <row r="103" spans="1:58" s="1167" customFormat="1" ht="16.5" customHeight="1" x14ac:dyDescent="0.15">
      <c r="A103" s="973"/>
      <c r="B103" s="773"/>
      <c r="C103" s="1152"/>
      <c r="D103" s="1152"/>
      <c r="E103" s="668">
        <v>17.100000000000001</v>
      </c>
      <c r="F103" s="769" t="str" cm="1">
        <f t="array" aca="1" ref="F103" ca="1">OFFSET(G103,-1,-1)</f>
        <v>1</v>
      </c>
      <c r="G103" s="417"/>
      <c r="H103" s="417"/>
      <c r="I103" s="417"/>
      <c r="J103" s="417"/>
      <c r="K103" s="417"/>
      <c r="L103" s="417"/>
      <c r="M103" s="417"/>
      <c r="N103" s="417"/>
      <c r="O103" s="417"/>
      <c r="P103" s="417"/>
      <c r="Q103" s="417"/>
      <c r="R103" s="417"/>
      <c r="S103" s="417"/>
      <c r="T103" s="679" t="b" cm="1">
        <f t="array" ref="T103">T102</f>
        <v>1</v>
      </c>
      <c r="U103" s="1152"/>
      <c r="V103" s="1152"/>
      <c r="W103" s="1152"/>
      <c r="X103" s="1485"/>
      <c r="Y103" s="1152"/>
      <c r="Z103" s="1485"/>
      <c r="AA103" s="417"/>
      <c r="AB103" s="105" t="str">
        <f>AB101&amp;".2"</f>
        <v>1.2.2</v>
      </c>
      <c r="AC103" s="463" t="s">
        <v>628</v>
      </c>
      <c r="AD103" s="117" t="s">
        <v>622</v>
      </c>
      <c r="AE103" s="1232"/>
      <c r="AF103" s="1232"/>
      <c r="AG103" s="1232"/>
      <c r="AH103" s="1232"/>
      <c r="AI103" s="243"/>
      <c r="AJ103" s="1224"/>
      <c r="AK103" s="1224"/>
      <c r="AL103" s="1232"/>
      <c r="AM103" s="1232"/>
      <c r="AN103" s="1232"/>
      <c r="AO103" s="1232"/>
      <c r="AP103" s="1232"/>
      <c r="AQ103" s="1232"/>
      <c r="AR103" s="1232"/>
      <c r="AS103" s="243"/>
      <c r="AT103" s="1224"/>
      <c r="AU103" s="1224"/>
      <c r="AV103" s="1232"/>
      <c r="AW103" s="1232"/>
      <c r="AX103" s="1232"/>
      <c r="AY103" s="1232"/>
      <c r="AZ103" s="1232"/>
      <c r="BA103" s="1232"/>
      <c r="BB103" s="1232"/>
      <c r="BC103" s="1231"/>
      <c r="BD103" s="417"/>
      <c r="BE103" s="417"/>
      <c r="BF103" s="984" t="s">
        <v>633</v>
      </c>
    </row>
    <row r="104" spans="1:58" s="1167" customFormat="1" ht="16.5" customHeight="1" x14ac:dyDescent="0.15">
      <c r="A104" s="973"/>
      <c r="B104" s="773"/>
      <c r="C104" s="1152"/>
      <c r="D104" s="1152"/>
      <c r="E104" s="668">
        <v>17.100000000000001</v>
      </c>
      <c r="F104" s="769" t="str" cm="1">
        <f t="array" aca="1" ref="F104" ca="1">OFFSET(G104,-1,-1)</f>
        <v>1</v>
      </c>
      <c r="G104" s="417"/>
      <c r="H104" s="417"/>
      <c r="I104" s="417"/>
      <c r="J104" s="417"/>
      <c r="K104" s="417"/>
      <c r="L104" s="417"/>
      <c r="M104" s="417"/>
      <c r="N104" s="417"/>
      <c r="O104" s="417"/>
      <c r="P104" s="417"/>
      <c r="Q104" s="417"/>
      <c r="R104" s="417"/>
      <c r="S104" s="417"/>
      <c r="T104" s="679" t="b" cm="1">
        <f t="array" ref="T104">T103</f>
        <v>1</v>
      </c>
      <c r="U104" s="1152"/>
      <c r="V104" s="1152"/>
      <c r="W104" s="1152"/>
      <c r="X104" s="1485"/>
      <c r="Y104" s="1152"/>
      <c r="Z104" s="1485"/>
      <c r="AA104" s="417"/>
      <c r="AB104" s="105" t="str">
        <f>AB97&amp;".3"</f>
        <v>1.3</v>
      </c>
      <c r="AC104" s="112" t="s">
        <v>634</v>
      </c>
      <c r="AD104" s="117" t="s">
        <v>622</v>
      </c>
      <c r="AE104" s="1232"/>
      <c r="AF104" s="1232"/>
      <c r="AG104" s="1232"/>
      <c r="AH104" s="1232"/>
      <c r="AI104" s="243"/>
      <c r="AJ104" s="1224"/>
      <c r="AK104" s="1224"/>
      <c r="AL104" s="1232"/>
      <c r="AM104" s="1232"/>
      <c r="AN104" s="1232"/>
      <c r="AO104" s="1232"/>
      <c r="AP104" s="1232"/>
      <c r="AQ104" s="1232"/>
      <c r="AR104" s="1232"/>
      <c r="AS104" s="243"/>
      <c r="AT104" s="1224"/>
      <c r="AU104" s="1224"/>
      <c r="AV104" s="1232"/>
      <c r="AW104" s="1232"/>
      <c r="AX104" s="1232"/>
      <c r="AY104" s="1232"/>
      <c r="AZ104" s="1232"/>
      <c r="BA104" s="1232"/>
      <c r="BB104" s="1232"/>
      <c r="BC104" s="1231"/>
      <c r="BD104" s="417"/>
      <c r="BE104" s="417"/>
      <c r="BF104" s="984" t="s">
        <v>635</v>
      </c>
    </row>
    <row r="105" spans="1:58" s="1167" customFormat="1" ht="16.5" customHeight="1" x14ac:dyDescent="0.15">
      <c r="A105" s="973"/>
      <c r="B105" s="773"/>
      <c r="C105" s="1152"/>
      <c r="D105" s="1152"/>
      <c r="E105" s="668">
        <v>17.100000000000001</v>
      </c>
      <c r="F105" s="769" t="str" cm="1">
        <f t="array" aca="1" ref="F105" ca="1">OFFSET(G105,-1,-1)</f>
        <v>1</v>
      </c>
      <c r="G105" s="417"/>
      <c r="H105" s="417"/>
      <c r="I105" s="417"/>
      <c r="J105" s="417"/>
      <c r="K105" s="417"/>
      <c r="L105" s="417"/>
      <c r="M105" s="417"/>
      <c r="N105" s="417"/>
      <c r="O105" s="417"/>
      <c r="P105" s="417"/>
      <c r="Q105" s="417"/>
      <c r="R105" s="417"/>
      <c r="S105" s="417"/>
      <c r="T105" s="679" t="b" cm="1">
        <f t="array" ref="T105">T104</f>
        <v>1</v>
      </c>
      <c r="U105" s="1152"/>
      <c r="V105" s="1152"/>
      <c r="W105" s="1152"/>
      <c r="X105" s="1485"/>
      <c r="Y105" s="1152"/>
      <c r="Z105" s="1485"/>
      <c r="AA105" s="417"/>
      <c r="AB105" s="121" t="s">
        <v>426</v>
      </c>
      <c r="AC105" s="717" t="s">
        <v>636</v>
      </c>
      <c r="AD105" s="117" t="s">
        <v>622</v>
      </c>
      <c r="AE105" s="305">
        <f t="shared" ref="AE105:BB105" si="35">AE106+AE109+AE112</f>
        <v>1074</v>
      </c>
      <c r="AF105" s="305">
        <f t="shared" si="35"/>
        <v>1343.78</v>
      </c>
      <c r="AG105" s="305">
        <f t="shared" si="35"/>
        <v>1343.78</v>
      </c>
      <c r="AH105" s="305">
        <f t="shared" si="35"/>
        <v>1096</v>
      </c>
      <c r="AI105" s="305">
        <f t="shared" si="35"/>
        <v>1074</v>
      </c>
      <c r="AJ105" s="305">
        <f t="shared" si="35"/>
        <v>0</v>
      </c>
      <c r="AK105" s="305">
        <f t="shared" si="35"/>
        <v>0</v>
      </c>
      <c r="AL105" s="305">
        <f t="shared" si="35"/>
        <v>0</v>
      </c>
      <c r="AM105" s="305">
        <f t="shared" si="35"/>
        <v>0</v>
      </c>
      <c r="AN105" s="305">
        <f t="shared" si="35"/>
        <v>0</v>
      </c>
      <c r="AO105" s="305">
        <f t="shared" si="35"/>
        <v>0</v>
      </c>
      <c r="AP105" s="305">
        <f t="shared" si="35"/>
        <v>0</v>
      </c>
      <c r="AQ105" s="305">
        <f t="shared" si="35"/>
        <v>0</v>
      </c>
      <c r="AR105" s="305">
        <f t="shared" si="35"/>
        <v>0</v>
      </c>
      <c r="AS105" s="305">
        <f t="shared" si="35"/>
        <v>1066</v>
      </c>
      <c r="AT105" s="305">
        <f t="shared" si="35"/>
        <v>0</v>
      </c>
      <c r="AU105" s="305">
        <f t="shared" si="35"/>
        <v>0</v>
      </c>
      <c r="AV105" s="305">
        <f t="shared" si="35"/>
        <v>0</v>
      </c>
      <c r="AW105" s="305">
        <f t="shared" si="35"/>
        <v>0</v>
      </c>
      <c r="AX105" s="305">
        <f t="shared" si="35"/>
        <v>0</v>
      </c>
      <c r="AY105" s="305">
        <f t="shared" si="35"/>
        <v>0</v>
      </c>
      <c r="AZ105" s="305">
        <f t="shared" si="35"/>
        <v>0</v>
      </c>
      <c r="BA105" s="305">
        <f t="shared" si="35"/>
        <v>0</v>
      </c>
      <c r="BB105" s="305">
        <f t="shared" si="35"/>
        <v>0</v>
      </c>
      <c r="BC105" s="1231"/>
      <c r="BD105" s="417"/>
      <c r="BE105" s="417"/>
      <c r="BF105" s="984" t="s">
        <v>637</v>
      </c>
    </row>
    <row r="106" spans="1:58" s="1167" customFormat="1" ht="16.5" customHeight="1" x14ac:dyDescent="0.15">
      <c r="A106" s="973"/>
      <c r="B106" s="773"/>
      <c r="C106" s="1152"/>
      <c r="D106" s="1152"/>
      <c r="E106" s="668">
        <v>17.100000000000001</v>
      </c>
      <c r="F106" s="769" t="str" cm="1">
        <f t="array" aca="1" ref="F106" ca="1">OFFSET(G106,-1,-1)</f>
        <v>1</v>
      </c>
      <c r="G106" s="417"/>
      <c r="H106" s="417"/>
      <c r="I106" s="417"/>
      <c r="J106" s="417"/>
      <c r="K106" s="417"/>
      <c r="L106" s="417"/>
      <c r="M106" s="417"/>
      <c r="N106" s="417"/>
      <c r="O106" s="417"/>
      <c r="P106" s="417"/>
      <c r="Q106" s="417"/>
      <c r="R106" s="417"/>
      <c r="S106" s="417"/>
      <c r="T106" s="679" t="b" cm="1">
        <f t="array" ref="T106">T105</f>
        <v>1</v>
      </c>
      <c r="U106" s="1152"/>
      <c r="V106" s="1152"/>
      <c r="W106" s="1152"/>
      <c r="X106" s="1485"/>
      <c r="Y106" s="1152"/>
      <c r="Z106" s="1485"/>
      <c r="AA106" s="417"/>
      <c r="AB106" s="105" t="str">
        <f>AB105&amp;".1"</f>
        <v>2.1</v>
      </c>
      <c r="AC106" s="112" t="s">
        <v>624</v>
      </c>
      <c r="AD106" s="117" t="s">
        <v>622</v>
      </c>
      <c r="AE106" s="305">
        <f t="shared" ref="AE106:BB106" si="36">AE107+AE108</f>
        <v>0</v>
      </c>
      <c r="AF106" s="305">
        <f t="shared" si="36"/>
        <v>0</v>
      </c>
      <c r="AG106" s="305">
        <f t="shared" si="36"/>
        <v>0</v>
      </c>
      <c r="AH106" s="305">
        <f t="shared" si="36"/>
        <v>0</v>
      </c>
      <c r="AI106" s="305">
        <f t="shared" si="36"/>
        <v>0</v>
      </c>
      <c r="AJ106" s="305">
        <f t="shared" si="36"/>
        <v>0</v>
      </c>
      <c r="AK106" s="305">
        <f t="shared" si="36"/>
        <v>0</v>
      </c>
      <c r="AL106" s="305">
        <f t="shared" si="36"/>
        <v>0</v>
      </c>
      <c r="AM106" s="305">
        <f t="shared" si="36"/>
        <v>0</v>
      </c>
      <c r="AN106" s="305">
        <f t="shared" si="36"/>
        <v>0</v>
      </c>
      <c r="AO106" s="305">
        <f t="shared" si="36"/>
        <v>0</v>
      </c>
      <c r="AP106" s="305">
        <f t="shared" si="36"/>
        <v>0</v>
      </c>
      <c r="AQ106" s="305">
        <f t="shared" si="36"/>
        <v>0</v>
      </c>
      <c r="AR106" s="305">
        <f t="shared" si="36"/>
        <v>0</v>
      </c>
      <c r="AS106" s="305">
        <f t="shared" si="36"/>
        <v>0</v>
      </c>
      <c r="AT106" s="305">
        <f t="shared" si="36"/>
        <v>0</v>
      </c>
      <c r="AU106" s="305">
        <f t="shared" si="36"/>
        <v>0</v>
      </c>
      <c r="AV106" s="305">
        <f t="shared" si="36"/>
        <v>0</v>
      </c>
      <c r="AW106" s="305">
        <f t="shared" si="36"/>
        <v>0</v>
      </c>
      <c r="AX106" s="305">
        <f t="shared" si="36"/>
        <v>0</v>
      </c>
      <c r="AY106" s="305">
        <f t="shared" si="36"/>
        <v>0</v>
      </c>
      <c r="AZ106" s="305">
        <f t="shared" si="36"/>
        <v>0</v>
      </c>
      <c r="BA106" s="305">
        <f t="shared" si="36"/>
        <v>0</v>
      </c>
      <c r="BB106" s="305">
        <f t="shared" si="36"/>
        <v>0</v>
      </c>
      <c r="BC106" s="1231"/>
      <c r="BD106" s="417"/>
      <c r="BE106" s="417"/>
      <c r="BF106" s="984" t="s">
        <v>638</v>
      </c>
    </row>
    <row r="107" spans="1:58" s="1167" customFormat="1" ht="16.5" customHeight="1" x14ac:dyDescent="0.15">
      <c r="A107" s="973"/>
      <c r="B107" s="773"/>
      <c r="C107" s="1152"/>
      <c r="D107" s="1152"/>
      <c r="E107" s="668">
        <v>17.100000000000001</v>
      </c>
      <c r="F107" s="769" t="str" cm="1">
        <f t="array" aca="1" ref="F107" ca="1">OFFSET(G107,-1,-1)</f>
        <v>1</v>
      </c>
      <c r="G107" s="417"/>
      <c r="H107" s="417"/>
      <c r="I107" s="417"/>
      <c r="J107" s="417"/>
      <c r="K107" s="417"/>
      <c r="L107" s="417"/>
      <c r="M107" s="417"/>
      <c r="N107" s="417"/>
      <c r="O107" s="417"/>
      <c r="P107" s="417"/>
      <c r="Q107" s="417"/>
      <c r="R107" s="417"/>
      <c r="S107" s="417"/>
      <c r="T107" s="679" t="b" cm="1">
        <f t="array" ref="T107">T106</f>
        <v>1</v>
      </c>
      <c r="U107" s="1152"/>
      <c r="V107" s="1152"/>
      <c r="W107" s="1152"/>
      <c r="X107" s="1485"/>
      <c r="Y107" s="1152"/>
      <c r="Z107" s="1485"/>
      <c r="AA107" s="417"/>
      <c r="AB107" s="105" t="str">
        <f>AB106&amp;".1"</f>
        <v>2.1.1</v>
      </c>
      <c r="AC107" s="463" t="s">
        <v>626</v>
      </c>
      <c r="AD107" s="117" t="s">
        <v>622</v>
      </c>
      <c r="AE107" s="1232"/>
      <c r="AF107" s="1232"/>
      <c r="AG107" s="1232"/>
      <c r="AH107" s="1232"/>
      <c r="AI107" s="243"/>
      <c r="AJ107" s="1224"/>
      <c r="AK107" s="1224"/>
      <c r="AL107" s="1232"/>
      <c r="AM107" s="1232"/>
      <c r="AN107" s="1232"/>
      <c r="AO107" s="1232"/>
      <c r="AP107" s="1232"/>
      <c r="AQ107" s="1232"/>
      <c r="AR107" s="1232"/>
      <c r="AS107" s="243"/>
      <c r="AT107" s="1224"/>
      <c r="AU107" s="1224"/>
      <c r="AV107" s="1232"/>
      <c r="AW107" s="1232"/>
      <c r="AX107" s="1232"/>
      <c r="AY107" s="1232"/>
      <c r="AZ107" s="1232"/>
      <c r="BA107" s="1232"/>
      <c r="BB107" s="1232"/>
      <c r="BC107" s="1231"/>
      <c r="BD107" s="417"/>
      <c r="BE107" s="417"/>
      <c r="BF107" s="984" t="s">
        <v>639</v>
      </c>
    </row>
    <row r="108" spans="1:58" s="1167" customFormat="1" ht="16.5" customHeight="1" x14ac:dyDescent="0.15">
      <c r="A108" s="973"/>
      <c r="B108" s="773"/>
      <c r="C108" s="1152"/>
      <c r="D108" s="1152"/>
      <c r="E108" s="668">
        <v>17.100000000000001</v>
      </c>
      <c r="F108" s="769" t="str" cm="1">
        <f t="array" aca="1" ref="F108" ca="1">OFFSET(G108,-1,-1)</f>
        <v>1</v>
      </c>
      <c r="G108" s="417"/>
      <c r="H108" s="417"/>
      <c r="I108" s="417"/>
      <c r="J108" s="417"/>
      <c r="K108" s="417"/>
      <c r="L108" s="417"/>
      <c r="M108" s="417"/>
      <c r="N108" s="417"/>
      <c r="O108" s="417"/>
      <c r="P108" s="417"/>
      <c r="Q108" s="417"/>
      <c r="R108" s="417"/>
      <c r="S108" s="417"/>
      <c r="T108" s="679" t="b" cm="1">
        <f t="array" ref="T108">T107</f>
        <v>1</v>
      </c>
      <c r="U108" s="1152"/>
      <c r="V108" s="1152"/>
      <c r="W108" s="1152"/>
      <c r="X108" s="1485"/>
      <c r="Y108" s="1152"/>
      <c r="Z108" s="1485"/>
      <c r="AA108" s="417"/>
      <c r="AB108" s="105" t="str">
        <f>AB106&amp;".2"</f>
        <v>2.1.2</v>
      </c>
      <c r="AC108" s="463" t="s">
        <v>628</v>
      </c>
      <c r="AD108" s="117" t="s">
        <v>622</v>
      </c>
      <c r="AE108" s="1232"/>
      <c r="AF108" s="1232"/>
      <c r="AG108" s="1232"/>
      <c r="AH108" s="1232"/>
      <c r="AI108" s="243"/>
      <c r="AJ108" s="1224"/>
      <c r="AK108" s="1224"/>
      <c r="AL108" s="1232"/>
      <c r="AM108" s="1232"/>
      <c r="AN108" s="1232"/>
      <c r="AO108" s="1232"/>
      <c r="AP108" s="1232"/>
      <c r="AQ108" s="1232"/>
      <c r="AR108" s="1232"/>
      <c r="AS108" s="243"/>
      <c r="AT108" s="1224"/>
      <c r="AU108" s="1224"/>
      <c r="AV108" s="1232"/>
      <c r="AW108" s="1232"/>
      <c r="AX108" s="1232"/>
      <c r="AY108" s="1232"/>
      <c r="AZ108" s="1232"/>
      <c r="BA108" s="1232"/>
      <c r="BB108" s="1232"/>
      <c r="BC108" s="1231"/>
      <c r="BD108" s="417"/>
      <c r="BE108" s="417"/>
      <c r="BF108" s="984" t="s">
        <v>640</v>
      </c>
    </row>
    <row r="109" spans="1:58" s="1167" customFormat="1" ht="16.5" customHeight="1" x14ac:dyDescent="0.15">
      <c r="A109" s="973"/>
      <c r="B109" s="773"/>
      <c r="C109" s="1152"/>
      <c r="D109" s="1152"/>
      <c r="E109" s="668">
        <v>17.100000000000001</v>
      </c>
      <c r="F109" s="769" t="str" cm="1">
        <f t="array" aca="1" ref="F109" ca="1">OFFSET(G109,-1,-1)</f>
        <v>1</v>
      </c>
      <c r="G109" s="417"/>
      <c r="H109" s="417"/>
      <c r="I109" s="417"/>
      <c r="J109" s="417"/>
      <c r="K109" s="417"/>
      <c r="L109" s="417"/>
      <c r="M109" s="417"/>
      <c r="N109" s="417"/>
      <c r="O109" s="417"/>
      <c r="P109" s="417"/>
      <c r="Q109" s="417"/>
      <c r="R109" s="417"/>
      <c r="S109" s="417"/>
      <c r="T109" s="679" t="b" cm="1">
        <f t="array" ref="T109">T108</f>
        <v>1</v>
      </c>
      <c r="U109" s="1152"/>
      <c r="V109" s="1152"/>
      <c r="W109" s="1152"/>
      <c r="X109" s="1485"/>
      <c r="Y109" s="1152"/>
      <c r="Z109" s="1485"/>
      <c r="AA109" s="417"/>
      <c r="AB109" s="105" t="str">
        <f>AB106&amp;".2"</f>
        <v>2.1.2</v>
      </c>
      <c r="AC109" s="112" t="s">
        <v>630</v>
      </c>
      <c r="AD109" s="117" t="s">
        <v>622</v>
      </c>
      <c r="AE109" s="305">
        <f t="shared" ref="AE109:BB109" si="37">AE110+AE111</f>
        <v>1074</v>
      </c>
      <c r="AF109" s="305">
        <f t="shared" si="37"/>
        <v>1343.78</v>
      </c>
      <c r="AG109" s="305">
        <f t="shared" si="37"/>
        <v>1343.78</v>
      </c>
      <c r="AH109" s="305">
        <f t="shared" si="37"/>
        <v>1096</v>
      </c>
      <c r="AI109" s="305">
        <f t="shared" si="37"/>
        <v>1074</v>
      </c>
      <c r="AJ109" s="305">
        <f t="shared" si="37"/>
        <v>0</v>
      </c>
      <c r="AK109" s="305">
        <f t="shared" si="37"/>
        <v>0</v>
      </c>
      <c r="AL109" s="305">
        <f t="shared" si="37"/>
        <v>0</v>
      </c>
      <c r="AM109" s="305">
        <f t="shared" si="37"/>
        <v>0</v>
      </c>
      <c r="AN109" s="305">
        <f t="shared" si="37"/>
        <v>0</v>
      </c>
      <c r="AO109" s="305">
        <f t="shared" si="37"/>
        <v>0</v>
      </c>
      <c r="AP109" s="305">
        <f t="shared" si="37"/>
        <v>0</v>
      </c>
      <c r="AQ109" s="305">
        <f t="shared" si="37"/>
        <v>0</v>
      </c>
      <c r="AR109" s="305">
        <f t="shared" si="37"/>
        <v>0</v>
      </c>
      <c r="AS109" s="305">
        <f t="shared" si="37"/>
        <v>1066</v>
      </c>
      <c r="AT109" s="305">
        <f t="shared" si="37"/>
        <v>0</v>
      </c>
      <c r="AU109" s="305">
        <f t="shared" si="37"/>
        <v>0</v>
      </c>
      <c r="AV109" s="305">
        <f t="shared" si="37"/>
        <v>0</v>
      </c>
      <c r="AW109" s="305">
        <f t="shared" si="37"/>
        <v>0</v>
      </c>
      <c r="AX109" s="305">
        <f t="shared" si="37"/>
        <v>0</v>
      </c>
      <c r="AY109" s="305">
        <f t="shared" si="37"/>
        <v>0</v>
      </c>
      <c r="AZ109" s="305">
        <f t="shared" si="37"/>
        <v>0</v>
      </c>
      <c r="BA109" s="305">
        <f t="shared" si="37"/>
        <v>0</v>
      </c>
      <c r="BB109" s="305">
        <f t="shared" si="37"/>
        <v>0</v>
      </c>
      <c r="BC109" s="1231"/>
      <c r="BD109" s="417"/>
      <c r="BE109" s="417"/>
      <c r="BF109" s="984" t="s">
        <v>641</v>
      </c>
    </row>
    <row r="110" spans="1:58" s="1167" customFormat="1" ht="16.5" customHeight="1" x14ac:dyDescent="0.15">
      <c r="A110" s="973"/>
      <c r="B110" s="773"/>
      <c r="C110" s="1152"/>
      <c r="D110" s="1152"/>
      <c r="E110" s="668">
        <v>17.100000000000001</v>
      </c>
      <c r="F110" s="769" t="str" cm="1">
        <f t="array" aca="1" ref="F110" ca="1">OFFSET(G110,-1,-1)</f>
        <v>1</v>
      </c>
      <c r="G110" s="417"/>
      <c r="H110" s="417"/>
      <c r="I110" s="417"/>
      <c r="J110" s="417"/>
      <c r="K110" s="417"/>
      <c r="L110" s="417"/>
      <c r="M110" s="417"/>
      <c r="N110" s="417"/>
      <c r="O110" s="417"/>
      <c r="P110" s="417"/>
      <c r="Q110" s="417"/>
      <c r="R110" s="417"/>
      <c r="S110" s="417"/>
      <c r="T110" s="679" t="b" cm="1">
        <f t="array" ref="T110">T109</f>
        <v>1</v>
      </c>
      <c r="U110" s="1152"/>
      <c r="V110" s="1152"/>
      <c r="W110" s="1152"/>
      <c r="X110" s="1485"/>
      <c r="Y110" s="1152"/>
      <c r="Z110" s="1485"/>
      <c r="AA110" s="417"/>
      <c r="AB110" s="105" t="str">
        <f>AB109&amp;".1"</f>
        <v>2.1.2.1</v>
      </c>
      <c r="AC110" s="463" t="s">
        <v>626</v>
      </c>
      <c r="AD110" s="117" t="s">
        <v>622</v>
      </c>
      <c r="AE110" s="1232">
        <v>1074</v>
      </c>
      <c r="AF110" s="1232">
        <v>1343.78</v>
      </c>
      <c r="AG110" s="1232">
        <v>1343.78</v>
      </c>
      <c r="AH110" s="1232">
        <v>1096</v>
      </c>
      <c r="AI110" s="243">
        <v>1074</v>
      </c>
      <c r="AJ110" s="1224"/>
      <c r="AK110" s="1224"/>
      <c r="AL110" s="1232"/>
      <c r="AM110" s="1232"/>
      <c r="AN110" s="1232"/>
      <c r="AO110" s="1232"/>
      <c r="AP110" s="1232"/>
      <c r="AQ110" s="1232"/>
      <c r="AR110" s="1232"/>
      <c r="AS110" s="243">
        <v>1066</v>
      </c>
      <c r="AT110" s="1224"/>
      <c r="AU110" s="1224"/>
      <c r="AV110" s="1232"/>
      <c r="AW110" s="1232"/>
      <c r="AX110" s="1232"/>
      <c r="AY110" s="1232"/>
      <c r="AZ110" s="1232"/>
      <c r="BA110" s="1232"/>
      <c r="BB110" s="1232"/>
      <c r="BC110" s="1231"/>
      <c r="BD110" s="417"/>
      <c r="BE110" s="417"/>
      <c r="BF110" s="984" t="s">
        <v>642</v>
      </c>
    </row>
    <row r="111" spans="1:58" s="1167" customFormat="1" ht="16.5" customHeight="1" x14ac:dyDescent="0.15">
      <c r="A111" s="973"/>
      <c r="B111" s="773"/>
      <c r="C111" s="1152"/>
      <c r="D111" s="1152"/>
      <c r="E111" s="668">
        <v>17.100000000000001</v>
      </c>
      <c r="F111" s="769" t="str" cm="1">
        <f t="array" aca="1" ref="F111" ca="1">OFFSET(G111,-1,-1)</f>
        <v>1</v>
      </c>
      <c r="G111" s="417"/>
      <c r="H111" s="417"/>
      <c r="I111" s="417"/>
      <c r="J111" s="417"/>
      <c r="K111" s="417"/>
      <c r="L111" s="417"/>
      <c r="M111" s="417"/>
      <c r="N111" s="417"/>
      <c r="O111" s="417"/>
      <c r="P111" s="417"/>
      <c r="Q111" s="417"/>
      <c r="R111" s="417"/>
      <c r="S111" s="417"/>
      <c r="T111" s="679" t="b" cm="1">
        <f t="array" ref="T111">T110</f>
        <v>1</v>
      </c>
      <c r="U111" s="1152"/>
      <c r="V111" s="1152"/>
      <c r="W111" s="1152"/>
      <c r="X111" s="1485"/>
      <c r="Y111" s="1152"/>
      <c r="Z111" s="1485"/>
      <c r="AA111" s="417"/>
      <c r="AB111" s="105" t="str">
        <f>AB109&amp;".2"</f>
        <v>2.1.2.2</v>
      </c>
      <c r="AC111" s="463" t="s">
        <v>628</v>
      </c>
      <c r="AD111" s="718" t="s">
        <v>622</v>
      </c>
      <c r="AE111" s="1233"/>
      <c r="AF111" s="1232"/>
      <c r="AG111" s="1233"/>
      <c r="AH111" s="1232"/>
      <c r="AI111" s="490"/>
      <c r="AJ111" s="1224"/>
      <c r="AK111" s="1225"/>
      <c r="AL111" s="1232"/>
      <c r="AM111" s="1233"/>
      <c r="AN111" s="1232"/>
      <c r="AO111" s="1233"/>
      <c r="AP111" s="1232"/>
      <c r="AQ111" s="1233"/>
      <c r="AR111" s="1232"/>
      <c r="AS111" s="490"/>
      <c r="AT111" s="1224"/>
      <c r="AU111" s="1225"/>
      <c r="AV111" s="1232"/>
      <c r="AW111" s="1233"/>
      <c r="AX111" s="1232"/>
      <c r="AY111" s="1233"/>
      <c r="AZ111" s="1232"/>
      <c r="BA111" s="1233"/>
      <c r="BB111" s="1232"/>
      <c r="BC111" s="1231"/>
      <c r="BD111" s="417"/>
      <c r="BE111" s="417"/>
      <c r="BF111" s="984" t="s">
        <v>643</v>
      </c>
    </row>
    <row r="112" spans="1:58" s="1167" customFormat="1" ht="16.5" customHeight="1" x14ac:dyDescent="0.15">
      <c r="A112" s="973"/>
      <c r="B112" s="773"/>
      <c r="C112" s="1152"/>
      <c r="D112" s="1152"/>
      <c r="E112" s="668">
        <v>17.100000000000001</v>
      </c>
      <c r="F112" s="769" t="str" cm="1">
        <f t="array" aca="1" ref="F112" ca="1">OFFSET(G112,-1,-1)</f>
        <v>1</v>
      </c>
      <c r="G112" s="417"/>
      <c r="H112" s="417"/>
      <c r="I112" s="417"/>
      <c r="J112" s="417"/>
      <c r="K112" s="417"/>
      <c r="L112" s="417"/>
      <c r="M112" s="417"/>
      <c r="N112" s="417"/>
      <c r="O112" s="417"/>
      <c r="P112" s="417"/>
      <c r="Q112" s="417"/>
      <c r="R112" s="417"/>
      <c r="S112" s="417"/>
      <c r="T112" s="679" t="b" cm="1">
        <f t="array" ref="T112">T111</f>
        <v>1</v>
      </c>
      <c r="U112" s="1152"/>
      <c r="V112" s="1152"/>
      <c r="W112" s="1152"/>
      <c r="X112" s="1485"/>
      <c r="Y112" s="1152"/>
      <c r="Z112" s="1485"/>
      <c r="AA112" s="417"/>
      <c r="AB112" s="105" t="str">
        <f>AB105&amp;".3"</f>
        <v>2.3</v>
      </c>
      <c r="AC112" s="601" t="s">
        <v>634</v>
      </c>
      <c r="AD112" s="117" t="s">
        <v>622</v>
      </c>
      <c r="AE112" s="1232"/>
      <c r="AF112" s="1234"/>
      <c r="AG112" s="1232"/>
      <c r="AH112" s="1234"/>
      <c r="AI112" s="243"/>
      <c r="AJ112" s="1226"/>
      <c r="AK112" s="1224"/>
      <c r="AL112" s="1234"/>
      <c r="AM112" s="1232"/>
      <c r="AN112" s="1234"/>
      <c r="AO112" s="1232"/>
      <c r="AP112" s="1234"/>
      <c r="AQ112" s="1232"/>
      <c r="AR112" s="1234"/>
      <c r="AS112" s="243"/>
      <c r="AT112" s="1226"/>
      <c r="AU112" s="1224"/>
      <c r="AV112" s="1234"/>
      <c r="AW112" s="1232"/>
      <c r="AX112" s="1234"/>
      <c r="AY112" s="1232"/>
      <c r="AZ112" s="1234"/>
      <c r="BA112" s="1232"/>
      <c r="BB112" s="1234"/>
      <c r="BC112" s="1231"/>
      <c r="BD112" s="417"/>
      <c r="BE112" s="417"/>
      <c r="BF112" s="984" t="s">
        <v>644</v>
      </c>
    </row>
    <row r="113" spans="1:58" s="1167" customFormat="1" ht="29.25" customHeight="1" x14ac:dyDescent="0.15">
      <c r="A113" s="973"/>
      <c r="B113" s="773"/>
      <c r="C113" s="1152"/>
      <c r="D113" s="1152"/>
      <c r="E113" s="668">
        <v>30</v>
      </c>
      <c r="F113" s="769" t="str" cm="1">
        <f t="array" aca="1" ref="F113" ca="1">OFFSET(G113,-1,-1)</f>
        <v>1</v>
      </c>
      <c r="G113" s="417"/>
      <c r="H113" s="417"/>
      <c r="I113" s="417"/>
      <c r="J113" s="417"/>
      <c r="K113" s="417"/>
      <c r="L113" s="417"/>
      <c r="M113" s="417"/>
      <c r="N113" s="417"/>
      <c r="O113" s="417"/>
      <c r="P113" s="417"/>
      <c r="Q113" s="417"/>
      <c r="R113" s="417"/>
      <c r="S113" s="417"/>
      <c r="T113" s="679" t="b" cm="1">
        <f t="array" ref="T113">T112</f>
        <v>1</v>
      </c>
      <c r="U113" s="1152"/>
      <c r="V113" s="1152"/>
      <c r="W113" s="1152"/>
      <c r="X113" s="1485"/>
      <c r="Y113" s="1152"/>
      <c r="Z113" s="1485"/>
      <c r="AA113" s="417"/>
      <c r="AB113" s="268" t="s">
        <v>431</v>
      </c>
      <c r="AC113" s="111" t="s">
        <v>645</v>
      </c>
      <c r="AD113" s="117" t="s">
        <v>622</v>
      </c>
      <c r="AE113" s="305">
        <f t="shared" ref="AE113:BB113" si="38">AE114+AE117+AE120</f>
        <v>78496</v>
      </c>
      <c r="AF113" s="720">
        <f t="shared" si="38"/>
        <v>77619.09</v>
      </c>
      <c r="AG113" s="305">
        <f t="shared" si="38"/>
        <v>77619.100000000006</v>
      </c>
      <c r="AH113" s="305">
        <f t="shared" si="38"/>
        <v>80069</v>
      </c>
      <c r="AI113" s="305">
        <f t="shared" si="38"/>
        <v>76203.039999999994</v>
      </c>
      <c r="AJ113" s="305">
        <f t="shared" si="38"/>
        <v>0</v>
      </c>
      <c r="AK113" s="305">
        <f t="shared" si="38"/>
        <v>0</v>
      </c>
      <c r="AL113" s="305">
        <f t="shared" si="38"/>
        <v>0</v>
      </c>
      <c r="AM113" s="305">
        <f t="shared" si="38"/>
        <v>0</v>
      </c>
      <c r="AN113" s="305">
        <f t="shared" si="38"/>
        <v>0</v>
      </c>
      <c r="AO113" s="305">
        <f t="shared" si="38"/>
        <v>0</v>
      </c>
      <c r="AP113" s="305">
        <f t="shared" si="38"/>
        <v>0</v>
      </c>
      <c r="AQ113" s="305">
        <f t="shared" si="38"/>
        <v>0</v>
      </c>
      <c r="AR113" s="305">
        <f t="shared" si="38"/>
        <v>0</v>
      </c>
      <c r="AS113" s="305">
        <f t="shared" si="38"/>
        <v>76203</v>
      </c>
      <c r="AT113" s="305">
        <f t="shared" si="38"/>
        <v>0</v>
      </c>
      <c r="AU113" s="305">
        <f t="shared" si="38"/>
        <v>0</v>
      </c>
      <c r="AV113" s="305">
        <f t="shared" si="38"/>
        <v>0</v>
      </c>
      <c r="AW113" s="305">
        <f t="shared" si="38"/>
        <v>0</v>
      </c>
      <c r="AX113" s="305">
        <f t="shared" si="38"/>
        <v>0</v>
      </c>
      <c r="AY113" s="305">
        <f t="shared" si="38"/>
        <v>0</v>
      </c>
      <c r="AZ113" s="305">
        <f t="shared" si="38"/>
        <v>0</v>
      </c>
      <c r="BA113" s="305">
        <f t="shared" si="38"/>
        <v>0</v>
      </c>
      <c r="BB113" s="305">
        <f t="shared" si="38"/>
        <v>0</v>
      </c>
      <c r="BC113" s="1231"/>
      <c r="BD113" s="417"/>
      <c r="BE113" s="417"/>
      <c r="BF113" s="984" t="s">
        <v>646</v>
      </c>
    </row>
    <row r="114" spans="1:58" s="1167" customFormat="1" ht="16.5" customHeight="1" x14ac:dyDescent="0.15">
      <c r="A114" s="973"/>
      <c r="B114" s="773"/>
      <c r="C114" s="1152"/>
      <c r="D114" s="1152"/>
      <c r="E114" s="668">
        <v>17.100000000000001</v>
      </c>
      <c r="F114" s="769" t="str" cm="1">
        <f t="array" aca="1" ref="F114" ca="1">OFFSET(G114,-1,-1)</f>
        <v>1</v>
      </c>
      <c r="G114" s="417"/>
      <c r="H114" s="417"/>
      <c r="I114" s="417"/>
      <c r="J114" s="417"/>
      <c r="K114" s="417"/>
      <c r="L114" s="417"/>
      <c r="M114" s="417"/>
      <c r="N114" s="417"/>
      <c r="O114" s="417"/>
      <c r="P114" s="417"/>
      <c r="Q114" s="417"/>
      <c r="R114" s="417"/>
      <c r="S114" s="417"/>
      <c r="T114" s="679" t="b" cm="1">
        <f t="array" ref="T114">T113</f>
        <v>1</v>
      </c>
      <c r="U114" s="1152"/>
      <c r="V114" s="1152"/>
      <c r="W114" s="1152"/>
      <c r="X114" s="1485"/>
      <c r="Y114" s="1152"/>
      <c r="Z114" s="1485"/>
      <c r="AA114" s="417"/>
      <c r="AB114" s="716" t="str">
        <f>AB113&amp;".1"</f>
        <v>3.1</v>
      </c>
      <c r="AC114" s="601" t="s">
        <v>624</v>
      </c>
      <c r="AD114" s="117" t="s">
        <v>622</v>
      </c>
      <c r="AE114" s="305">
        <f t="shared" ref="AE114:BB114" si="39">AE115+AE116</f>
        <v>0</v>
      </c>
      <c r="AF114" s="459">
        <f t="shared" si="39"/>
        <v>0</v>
      </c>
      <c r="AG114" s="459">
        <f t="shared" si="39"/>
        <v>0</v>
      </c>
      <c r="AH114" s="459">
        <f t="shared" si="39"/>
        <v>0</v>
      </c>
      <c r="AI114" s="459">
        <f t="shared" si="39"/>
        <v>0</v>
      </c>
      <c r="AJ114" s="459">
        <f t="shared" si="39"/>
        <v>0</v>
      </c>
      <c r="AK114" s="459">
        <f t="shared" si="39"/>
        <v>0</v>
      </c>
      <c r="AL114" s="459">
        <f t="shared" si="39"/>
        <v>0</v>
      </c>
      <c r="AM114" s="459">
        <f t="shared" si="39"/>
        <v>0</v>
      </c>
      <c r="AN114" s="459">
        <f t="shared" si="39"/>
        <v>0</v>
      </c>
      <c r="AO114" s="459">
        <f t="shared" si="39"/>
        <v>0</v>
      </c>
      <c r="AP114" s="459">
        <f t="shared" si="39"/>
        <v>0</v>
      </c>
      <c r="AQ114" s="459">
        <f t="shared" si="39"/>
        <v>0</v>
      </c>
      <c r="AR114" s="459">
        <f t="shared" si="39"/>
        <v>0</v>
      </c>
      <c r="AS114" s="459">
        <f t="shared" si="39"/>
        <v>0</v>
      </c>
      <c r="AT114" s="459">
        <f t="shared" si="39"/>
        <v>0</v>
      </c>
      <c r="AU114" s="459">
        <f t="shared" si="39"/>
        <v>0</v>
      </c>
      <c r="AV114" s="459">
        <f t="shared" si="39"/>
        <v>0</v>
      </c>
      <c r="AW114" s="459">
        <f t="shared" si="39"/>
        <v>0</v>
      </c>
      <c r="AX114" s="459">
        <f t="shared" si="39"/>
        <v>0</v>
      </c>
      <c r="AY114" s="459">
        <f t="shared" si="39"/>
        <v>0</v>
      </c>
      <c r="AZ114" s="459">
        <f t="shared" si="39"/>
        <v>0</v>
      </c>
      <c r="BA114" s="459">
        <f t="shared" si="39"/>
        <v>0</v>
      </c>
      <c r="BB114" s="459">
        <f t="shared" si="39"/>
        <v>0</v>
      </c>
      <c r="BC114" s="1231"/>
      <c r="BD114" s="417"/>
      <c r="BE114" s="417"/>
      <c r="BF114" s="984" t="s">
        <v>647</v>
      </c>
    </row>
    <row r="115" spans="1:58" s="1167" customFormat="1" ht="16.5" customHeight="1" x14ac:dyDescent="0.15">
      <c r="A115" s="973"/>
      <c r="B115" s="773"/>
      <c r="C115" s="1152"/>
      <c r="D115" s="1152"/>
      <c r="E115" s="668">
        <v>17.100000000000001</v>
      </c>
      <c r="F115" s="769" t="str" cm="1">
        <f t="array" aca="1" ref="F115" ca="1">OFFSET(G115,-1,-1)</f>
        <v>1</v>
      </c>
      <c r="G115" s="417"/>
      <c r="H115" s="417"/>
      <c r="I115" s="417"/>
      <c r="J115" s="417"/>
      <c r="K115" s="417"/>
      <c r="L115" s="417"/>
      <c r="M115" s="417"/>
      <c r="N115" s="417"/>
      <c r="O115" s="417"/>
      <c r="P115" s="417"/>
      <c r="Q115" s="417"/>
      <c r="R115" s="417"/>
      <c r="S115" s="417"/>
      <c r="T115" s="679" t="b" cm="1">
        <f t="array" ref="T115">T114</f>
        <v>1</v>
      </c>
      <c r="U115" s="1152"/>
      <c r="V115" s="1152"/>
      <c r="W115" s="1152"/>
      <c r="X115" s="1485"/>
      <c r="Y115" s="1152"/>
      <c r="Z115" s="1485"/>
      <c r="AA115" s="417"/>
      <c r="AB115" s="716" t="str">
        <f>AB114&amp;".1"</f>
        <v>3.1.1</v>
      </c>
      <c r="AC115" s="599" t="s">
        <v>626</v>
      </c>
      <c r="AD115" s="117" t="s">
        <v>622</v>
      </c>
      <c r="AE115" s="1232">
        <f t="shared" ref="AE115:BB115" si="40">AE99-AE107</f>
        <v>0</v>
      </c>
      <c r="AF115" s="1232">
        <f t="shared" si="40"/>
        <v>0</v>
      </c>
      <c r="AG115" s="1232">
        <f t="shared" si="40"/>
        <v>0</v>
      </c>
      <c r="AH115" s="1232">
        <f t="shared" si="40"/>
        <v>0</v>
      </c>
      <c r="AI115" s="243">
        <f t="shared" si="40"/>
        <v>0</v>
      </c>
      <c r="AJ115" s="1224">
        <f t="shared" si="40"/>
        <v>0</v>
      </c>
      <c r="AK115" s="1224">
        <f t="shared" si="40"/>
        <v>0</v>
      </c>
      <c r="AL115" s="1232">
        <f t="shared" si="40"/>
        <v>0</v>
      </c>
      <c r="AM115" s="1232">
        <f t="shared" si="40"/>
        <v>0</v>
      </c>
      <c r="AN115" s="1232">
        <f t="shared" si="40"/>
        <v>0</v>
      </c>
      <c r="AO115" s="1232">
        <f t="shared" si="40"/>
        <v>0</v>
      </c>
      <c r="AP115" s="1232">
        <f t="shared" si="40"/>
        <v>0</v>
      </c>
      <c r="AQ115" s="1232">
        <f t="shared" si="40"/>
        <v>0</v>
      </c>
      <c r="AR115" s="1232">
        <f t="shared" si="40"/>
        <v>0</v>
      </c>
      <c r="AS115" s="243">
        <f t="shared" si="40"/>
        <v>0</v>
      </c>
      <c r="AT115" s="1224">
        <f t="shared" si="40"/>
        <v>0</v>
      </c>
      <c r="AU115" s="1224">
        <f t="shared" si="40"/>
        <v>0</v>
      </c>
      <c r="AV115" s="1232">
        <f t="shared" si="40"/>
        <v>0</v>
      </c>
      <c r="AW115" s="1232">
        <f t="shared" si="40"/>
        <v>0</v>
      </c>
      <c r="AX115" s="1232">
        <f t="shared" si="40"/>
        <v>0</v>
      </c>
      <c r="AY115" s="1232">
        <f t="shared" si="40"/>
        <v>0</v>
      </c>
      <c r="AZ115" s="1232">
        <f t="shared" si="40"/>
        <v>0</v>
      </c>
      <c r="BA115" s="1232">
        <f t="shared" si="40"/>
        <v>0</v>
      </c>
      <c r="BB115" s="1232">
        <f t="shared" si="40"/>
        <v>0</v>
      </c>
      <c r="BC115" s="1231"/>
      <c r="BD115" s="417"/>
      <c r="BE115" s="417"/>
      <c r="BF115" s="984" t="s">
        <v>648</v>
      </c>
    </row>
    <row r="116" spans="1:58" s="1167" customFormat="1" ht="16.5" customHeight="1" x14ac:dyDescent="0.15">
      <c r="A116" s="973"/>
      <c r="B116" s="773"/>
      <c r="C116" s="1152"/>
      <c r="D116" s="1152"/>
      <c r="E116" s="668">
        <v>17.100000000000001</v>
      </c>
      <c r="F116" s="769" t="str" cm="1">
        <f t="array" aca="1" ref="F116" ca="1">OFFSET(G116,-1,-1)</f>
        <v>1</v>
      </c>
      <c r="G116" s="417"/>
      <c r="H116" s="417"/>
      <c r="I116" s="417"/>
      <c r="J116" s="417"/>
      <c r="K116" s="417"/>
      <c r="L116" s="417"/>
      <c r="M116" s="417"/>
      <c r="N116" s="417"/>
      <c r="O116" s="417"/>
      <c r="P116" s="417"/>
      <c r="Q116" s="417"/>
      <c r="R116" s="417"/>
      <c r="S116" s="417"/>
      <c r="T116" s="679" t="b" cm="1">
        <f t="array" ref="T116">T115</f>
        <v>1</v>
      </c>
      <c r="U116" s="1152"/>
      <c r="V116" s="1152"/>
      <c r="W116" s="1152"/>
      <c r="X116" s="1485"/>
      <c r="Y116" s="1152"/>
      <c r="Z116" s="1485"/>
      <c r="AA116" s="417"/>
      <c r="AB116" s="716" t="str">
        <f>AB114&amp;".2"</f>
        <v>3.1.2</v>
      </c>
      <c r="AC116" s="599" t="s">
        <v>628</v>
      </c>
      <c r="AD116" s="117" t="s">
        <v>622</v>
      </c>
      <c r="AE116" s="1232">
        <f t="shared" ref="AE116:BB116" si="41">AE100-AE108</f>
        <v>0</v>
      </c>
      <c r="AF116" s="1232">
        <f t="shared" si="41"/>
        <v>0</v>
      </c>
      <c r="AG116" s="1232">
        <f t="shared" si="41"/>
        <v>0</v>
      </c>
      <c r="AH116" s="1232">
        <f t="shared" si="41"/>
        <v>0</v>
      </c>
      <c r="AI116" s="243">
        <f t="shared" si="41"/>
        <v>0</v>
      </c>
      <c r="AJ116" s="1224">
        <f t="shared" si="41"/>
        <v>0</v>
      </c>
      <c r="AK116" s="1224">
        <f t="shared" si="41"/>
        <v>0</v>
      </c>
      <c r="AL116" s="1232">
        <f t="shared" si="41"/>
        <v>0</v>
      </c>
      <c r="AM116" s="1232">
        <f t="shared" si="41"/>
        <v>0</v>
      </c>
      <c r="AN116" s="1232">
        <f t="shared" si="41"/>
        <v>0</v>
      </c>
      <c r="AO116" s="1232">
        <f t="shared" si="41"/>
        <v>0</v>
      </c>
      <c r="AP116" s="1232">
        <f t="shared" si="41"/>
        <v>0</v>
      </c>
      <c r="AQ116" s="1232">
        <f t="shared" si="41"/>
        <v>0</v>
      </c>
      <c r="AR116" s="1232">
        <f t="shared" si="41"/>
        <v>0</v>
      </c>
      <c r="AS116" s="243">
        <f t="shared" si="41"/>
        <v>0</v>
      </c>
      <c r="AT116" s="1224">
        <f t="shared" si="41"/>
        <v>0</v>
      </c>
      <c r="AU116" s="1224">
        <f t="shared" si="41"/>
        <v>0</v>
      </c>
      <c r="AV116" s="1232">
        <f t="shared" si="41"/>
        <v>0</v>
      </c>
      <c r="AW116" s="1232">
        <f t="shared" si="41"/>
        <v>0</v>
      </c>
      <c r="AX116" s="1232">
        <f t="shared" si="41"/>
        <v>0</v>
      </c>
      <c r="AY116" s="1232">
        <f t="shared" si="41"/>
        <v>0</v>
      </c>
      <c r="AZ116" s="1232">
        <f t="shared" si="41"/>
        <v>0</v>
      </c>
      <c r="BA116" s="1232">
        <f t="shared" si="41"/>
        <v>0</v>
      </c>
      <c r="BB116" s="1232">
        <f t="shared" si="41"/>
        <v>0</v>
      </c>
      <c r="BC116" s="1231"/>
      <c r="BD116" s="417"/>
      <c r="BE116" s="417"/>
      <c r="BF116" s="984" t="s">
        <v>649</v>
      </c>
    </row>
    <row r="117" spans="1:58" s="1167" customFormat="1" ht="16.5" customHeight="1" x14ac:dyDescent="0.15">
      <c r="A117" s="973"/>
      <c r="B117" s="773"/>
      <c r="C117" s="1152"/>
      <c r="D117" s="1152"/>
      <c r="E117" s="668">
        <v>17.100000000000001</v>
      </c>
      <c r="F117" s="769" t="str" cm="1">
        <f t="array" aca="1" ref="F117" ca="1">OFFSET(G117,-1,-1)</f>
        <v>1</v>
      </c>
      <c r="G117" s="417"/>
      <c r="H117" s="417"/>
      <c r="I117" s="417"/>
      <c r="J117" s="417"/>
      <c r="K117" s="417"/>
      <c r="L117" s="417"/>
      <c r="M117" s="417"/>
      <c r="N117" s="417"/>
      <c r="O117" s="417"/>
      <c r="P117" s="417"/>
      <c r="Q117" s="417"/>
      <c r="R117" s="417"/>
      <c r="S117" s="417"/>
      <c r="T117" s="679" t="b" cm="1">
        <f t="array" ref="T117">T116</f>
        <v>1</v>
      </c>
      <c r="U117" s="1152"/>
      <c r="V117" s="1152"/>
      <c r="W117" s="1152"/>
      <c r="X117" s="1485"/>
      <c r="Y117" s="1152"/>
      <c r="Z117" s="1485"/>
      <c r="AA117" s="417"/>
      <c r="AB117" s="716" t="str">
        <f>AB113&amp;".2"</f>
        <v>3.2</v>
      </c>
      <c r="AC117" s="601" t="s">
        <v>630</v>
      </c>
      <c r="AD117" s="117" t="s">
        <v>622</v>
      </c>
      <c r="AE117" s="305">
        <f t="shared" ref="AE117:BB117" si="42">AE118+AE119</f>
        <v>78496</v>
      </c>
      <c r="AF117" s="305">
        <f t="shared" si="42"/>
        <v>77619.09</v>
      </c>
      <c r="AG117" s="305">
        <f t="shared" si="42"/>
        <v>77619.100000000006</v>
      </c>
      <c r="AH117" s="305">
        <f t="shared" si="42"/>
        <v>80069</v>
      </c>
      <c r="AI117" s="305">
        <f t="shared" si="42"/>
        <v>76203.039999999994</v>
      </c>
      <c r="AJ117" s="305">
        <f t="shared" si="42"/>
        <v>0</v>
      </c>
      <c r="AK117" s="305">
        <f t="shared" si="42"/>
        <v>0</v>
      </c>
      <c r="AL117" s="305">
        <f t="shared" si="42"/>
        <v>0</v>
      </c>
      <c r="AM117" s="305">
        <f t="shared" si="42"/>
        <v>0</v>
      </c>
      <c r="AN117" s="305">
        <f t="shared" si="42"/>
        <v>0</v>
      </c>
      <c r="AO117" s="305">
        <f t="shared" si="42"/>
        <v>0</v>
      </c>
      <c r="AP117" s="305">
        <f t="shared" si="42"/>
        <v>0</v>
      </c>
      <c r="AQ117" s="305">
        <f t="shared" si="42"/>
        <v>0</v>
      </c>
      <c r="AR117" s="305">
        <f t="shared" si="42"/>
        <v>0</v>
      </c>
      <c r="AS117" s="305">
        <f t="shared" si="42"/>
        <v>76203</v>
      </c>
      <c r="AT117" s="305">
        <f t="shared" si="42"/>
        <v>0</v>
      </c>
      <c r="AU117" s="305">
        <f t="shared" si="42"/>
        <v>0</v>
      </c>
      <c r="AV117" s="305">
        <f t="shared" si="42"/>
        <v>0</v>
      </c>
      <c r="AW117" s="305">
        <f t="shared" si="42"/>
        <v>0</v>
      </c>
      <c r="AX117" s="305">
        <f t="shared" si="42"/>
        <v>0</v>
      </c>
      <c r="AY117" s="305">
        <f t="shared" si="42"/>
        <v>0</v>
      </c>
      <c r="AZ117" s="305">
        <f t="shared" si="42"/>
        <v>0</v>
      </c>
      <c r="BA117" s="305">
        <f t="shared" si="42"/>
        <v>0</v>
      </c>
      <c r="BB117" s="305">
        <f t="shared" si="42"/>
        <v>0</v>
      </c>
      <c r="BC117" s="1231"/>
      <c r="BD117" s="417"/>
      <c r="BE117" s="417"/>
      <c r="BF117" s="984" t="s">
        <v>650</v>
      </c>
    </row>
    <row r="118" spans="1:58" s="1167" customFormat="1" ht="16.5" customHeight="1" x14ac:dyDescent="0.15">
      <c r="A118" s="973"/>
      <c r="B118" s="773"/>
      <c r="C118" s="1152"/>
      <c r="D118" s="1152"/>
      <c r="E118" s="668">
        <v>17.100000000000001</v>
      </c>
      <c r="F118" s="769" t="str" cm="1">
        <f t="array" aca="1" ref="F118" ca="1">OFFSET(G118,-1,-1)</f>
        <v>1</v>
      </c>
      <c r="G118" s="417"/>
      <c r="H118" s="417"/>
      <c r="I118" s="417"/>
      <c r="J118" s="417"/>
      <c r="K118" s="417"/>
      <c r="L118" s="417"/>
      <c r="M118" s="417"/>
      <c r="N118" s="417"/>
      <c r="O118" s="417"/>
      <c r="P118" s="417"/>
      <c r="Q118" s="417"/>
      <c r="R118" s="417"/>
      <c r="S118" s="417"/>
      <c r="T118" s="679" t="b" cm="1">
        <f t="array" ref="T118">T117</f>
        <v>1</v>
      </c>
      <c r="U118" s="1152"/>
      <c r="V118" s="1152"/>
      <c r="W118" s="1152"/>
      <c r="X118" s="1485"/>
      <c r="Y118" s="1152"/>
      <c r="Z118" s="1485"/>
      <c r="AA118" s="417"/>
      <c r="AB118" s="716" t="str">
        <f>AB117&amp;".1"</f>
        <v>3.2.1</v>
      </c>
      <c r="AC118" s="599" t="s">
        <v>626</v>
      </c>
      <c r="AD118" s="117" t="s">
        <v>622</v>
      </c>
      <c r="AE118" s="1232">
        <f t="shared" ref="AE118:BB118" si="43">AE102-AE110</f>
        <v>78496</v>
      </c>
      <c r="AF118" s="1232">
        <f t="shared" si="43"/>
        <v>77619.09</v>
      </c>
      <c r="AG118" s="1232">
        <f t="shared" si="43"/>
        <v>77619.100000000006</v>
      </c>
      <c r="AH118" s="1232">
        <f t="shared" si="43"/>
        <v>80069</v>
      </c>
      <c r="AI118" s="243">
        <f t="shared" si="43"/>
        <v>76203.039999999994</v>
      </c>
      <c r="AJ118" s="1224">
        <f t="shared" si="43"/>
        <v>0</v>
      </c>
      <c r="AK118" s="1224">
        <f t="shared" si="43"/>
        <v>0</v>
      </c>
      <c r="AL118" s="1232">
        <f t="shared" si="43"/>
        <v>0</v>
      </c>
      <c r="AM118" s="1232">
        <f t="shared" si="43"/>
        <v>0</v>
      </c>
      <c r="AN118" s="1232">
        <f t="shared" si="43"/>
        <v>0</v>
      </c>
      <c r="AO118" s="1232">
        <f t="shared" si="43"/>
        <v>0</v>
      </c>
      <c r="AP118" s="1232">
        <f t="shared" si="43"/>
        <v>0</v>
      </c>
      <c r="AQ118" s="1232">
        <f t="shared" si="43"/>
        <v>0</v>
      </c>
      <c r="AR118" s="1232">
        <f t="shared" si="43"/>
        <v>0</v>
      </c>
      <c r="AS118" s="243">
        <f t="shared" si="43"/>
        <v>76203</v>
      </c>
      <c r="AT118" s="1224">
        <f t="shared" si="43"/>
        <v>0</v>
      </c>
      <c r="AU118" s="1224">
        <f t="shared" si="43"/>
        <v>0</v>
      </c>
      <c r="AV118" s="1232">
        <f t="shared" si="43"/>
        <v>0</v>
      </c>
      <c r="AW118" s="1232">
        <f t="shared" si="43"/>
        <v>0</v>
      </c>
      <c r="AX118" s="1232">
        <f t="shared" si="43"/>
        <v>0</v>
      </c>
      <c r="AY118" s="1232">
        <f t="shared" si="43"/>
        <v>0</v>
      </c>
      <c r="AZ118" s="1232">
        <f t="shared" si="43"/>
        <v>0</v>
      </c>
      <c r="BA118" s="1232">
        <f t="shared" si="43"/>
        <v>0</v>
      </c>
      <c r="BB118" s="1232">
        <f t="shared" si="43"/>
        <v>0</v>
      </c>
      <c r="BC118" s="1231"/>
      <c r="BD118" s="417"/>
      <c r="BE118" s="417"/>
      <c r="BF118" s="984" t="s">
        <v>651</v>
      </c>
    </row>
    <row r="119" spans="1:58" s="1167" customFormat="1" ht="16.5" customHeight="1" x14ac:dyDescent="0.15">
      <c r="A119" s="973"/>
      <c r="B119" s="773"/>
      <c r="C119" s="1152"/>
      <c r="D119" s="1152"/>
      <c r="E119" s="668">
        <v>17.100000000000001</v>
      </c>
      <c r="F119" s="769" t="str" cm="1">
        <f t="array" aca="1" ref="F119" ca="1">OFFSET(G119,-1,-1)</f>
        <v>1</v>
      </c>
      <c r="G119" s="417"/>
      <c r="H119" s="417"/>
      <c r="I119" s="417"/>
      <c r="J119" s="417"/>
      <c r="K119" s="417"/>
      <c r="L119" s="417"/>
      <c r="M119" s="417"/>
      <c r="N119" s="417"/>
      <c r="O119" s="417"/>
      <c r="P119" s="417"/>
      <c r="Q119" s="417"/>
      <c r="R119" s="417"/>
      <c r="S119" s="417"/>
      <c r="T119" s="679" t="b" cm="1">
        <f t="array" ref="T119">T118</f>
        <v>1</v>
      </c>
      <c r="U119" s="1152"/>
      <c r="V119" s="1152"/>
      <c r="W119" s="1152"/>
      <c r="X119" s="1485"/>
      <c r="Y119" s="1152"/>
      <c r="Z119" s="1485"/>
      <c r="AA119" s="417"/>
      <c r="AB119" s="716" t="str">
        <f>AB117&amp;".2"</f>
        <v>3.2.2</v>
      </c>
      <c r="AC119" s="463" t="s">
        <v>628</v>
      </c>
      <c r="AD119" s="719" t="s">
        <v>622</v>
      </c>
      <c r="AE119" s="1232">
        <f t="shared" ref="AE119:BB119" si="44">AE103-AE111</f>
        <v>0</v>
      </c>
      <c r="AF119" s="1232">
        <f t="shared" si="44"/>
        <v>0</v>
      </c>
      <c r="AG119" s="1232">
        <f t="shared" si="44"/>
        <v>0</v>
      </c>
      <c r="AH119" s="1232">
        <f t="shared" si="44"/>
        <v>0</v>
      </c>
      <c r="AI119" s="243">
        <f t="shared" si="44"/>
        <v>0</v>
      </c>
      <c r="AJ119" s="1224">
        <f t="shared" si="44"/>
        <v>0</v>
      </c>
      <c r="AK119" s="1224">
        <f t="shared" si="44"/>
        <v>0</v>
      </c>
      <c r="AL119" s="1232">
        <f t="shared" si="44"/>
        <v>0</v>
      </c>
      <c r="AM119" s="1232">
        <f t="shared" si="44"/>
        <v>0</v>
      </c>
      <c r="AN119" s="1232">
        <f t="shared" si="44"/>
        <v>0</v>
      </c>
      <c r="AO119" s="1232">
        <f t="shared" si="44"/>
        <v>0</v>
      </c>
      <c r="AP119" s="1232">
        <f t="shared" si="44"/>
        <v>0</v>
      </c>
      <c r="AQ119" s="1232">
        <f t="shared" si="44"/>
        <v>0</v>
      </c>
      <c r="AR119" s="1232">
        <f t="shared" si="44"/>
        <v>0</v>
      </c>
      <c r="AS119" s="243">
        <f t="shared" si="44"/>
        <v>0</v>
      </c>
      <c r="AT119" s="1224">
        <f t="shared" si="44"/>
        <v>0</v>
      </c>
      <c r="AU119" s="1224">
        <f t="shared" si="44"/>
        <v>0</v>
      </c>
      <c r="AV119" s="1232">
        <f t="shared" si="44"/>
        <v>0</v>
      </c>
      <c r="AW119" s="1232">
        <f t="shared" si="44"/>
        <v>0</v>
      </c>
      <c r="AX119" s="1232">
        <f t="shared" si="44"/>
        <v>0</v>
      </c>
      <c r="AY119" s="1232">
        <f t="shared" si="44"/>
        <v>0</v>
      </c>
      <c r="AZ119" s="1232">
        <f t="shared" si="44"/>
        <v>0</v>
      </c>
      <c r="BA119" s="1232">
        <f t="shared" si="44"/>
        <v>0</v>
      </c>
      <c r="BB119" s="1232">
        <f t="shared" si="44"/>
        <v>0</v>
      </c>
      <c r="BC119" s="1231"/>
      <c r="BD119" s="417"/>
      <c r="BE119" s="417"/>
      <c r="BF119" s="984" t="s">
        <v>652</v>
      </c>
    </row>
    <row r="120" spans="1:58" s="1167" customFormat="1" ht="16.5" customHeight="1" x14ac:dyDescent="0.15">
      <c r="A120" s="973"/>
      <c r="B120" s="773"/>
      <c r="C120" s="1152"/>
      <c r="D120" s="1152"/>
      <c r="E120" s="668">
        <v>17.100000000000001</v>
      </c>
      <c r="F120" s="769" t="str" cm="1">
        <f t="array" aca="1" ref="F120" ca="1">OFFSET(G120,-1,-1)</f>
        <v>1</v>
      </c>
      <c r="G120" s="417"/>
      <c r="H120" s="417"/>
      <c r="I120" s="417"/>
      <c r="J120" s="417"/>
      <c r="K120" s="417"/>
      <c r="L120" s="417"/>
      <c r="M120" s="417"/>
      <c r="N120" s="417"/>
      <c r="O120" s="417"/>
      <c r="P120" s="417"/>
      <c r="Q120" s="417"/>
      <c r="R120" s="417"/>
      <c r="S120" s="417"/>
      <c r="T120" s="679" t="b" cm="1">
        <f t="array" ref="T120">T119</f>
        <v>1</v>
      </c>
      <c r="U120" s="1152"/>
      <c r="V120" s="1152"/>
      <c r="W120" s="1152"/>
      <c r="X120" s="1485"/>
      <c r="Y120" s="1152"/>
      <c r="Z120" s="1485"/>
      <c r="AA120" s="417"/>
      <c r="AB120" s="716" t="str">
        <f>AB113&amp;".3"</f>
        <v>3.3</v>
      </c>
      <c r="AC120" s="461" t="s">
        <v>634</v>
      </c>
      <c r="AD120" s="118" t="s">
        <v>622</v>
      </c>
      <c r="AE120" s="1232"/>
      <c r="AF120" s="1232"/>
      <c r="AG120" s="1232"/>
      <c r="AH120" s="1232"/>
      <c r="AI120" s="243"/>
      <c r="AJ120" s="1224"/>
      <c r="AK120" s="1224"/>
      <c r="AL120" s="1232"/>
      <c r="AM120" s="1232"/>
      <c r="AN120" s="1232"/>
      <c r="AO120" s="1232"/>
      <c r="AP120" s="1232"/>
      <c r="AQ120" s="1232"/>
      <c r="AR120" s="1232"/>
      <c r="AS120" s="243"/>
      <c r="AT120" s="1224"/>
      <c r="AU120" s="1224"/>
      <c r="AV120" s="1232"/>
      <c r="AW120" s="1232"/>
      <c r="AX120" s="1232"/>
      <c r="AY120" s="1232"/>
      <c r="AZ120" s="1232"/>
      <c r="BA120" s="1232"/>
      <c r="BB120" s="1232"/>
      <c r="BC120" s="1231"/>
      <c r="BD120" s="417"/>
      <c r="BE120" s="417"/>
      <c r="BF120" s="984" t="s">
        <v>653</v>
      </c>
    </row>
    <row r="121" spans="1:58" s="1167" customFormat="1" ht="16.5" customHeight="1" x14ac:dyDescent="0.15">
      <c r="A121" s="973"/>
      <c r="B121" s="773"/>
      <c r="C121" s="1152"/>
      <c r="D121" s="1152"/>
      <c r="E121" s="668">
        <v>17.100000000000001</v>
      </c>
      <c r="F121" s="769" t="str" cm="1">
        <f t="array" aca="1" ref="F121" ca="1">OFFSET(G121,-1,-1)</f>
        <v>1</v>
      </c>
      <c r="G121" s="417"/>
      <c r="H121" s="417"/>
      <c r="I121" s="417"/>
      <c r="J121" s="417"/>
      <c r="K121" s="417"/>
      <c r="L121" s="417"/>
      <c r="M121" s="417"/>
      <c r="N121" s="417"/>
      <c r="O121" s="417"/>
      <c r="P121" s="417"/>
      <c r="Q121" s="417"/>
      <c r="R121" s="417"/>
      <c r="S121" s="417"/>
      <c r="T121" s="679" t="b" cm="1">
        <f t="array" ref="T121">T120</f>
        <v>1</v>
      </c>
      <c r="U121" s="1152"/>
      <c r="V121" s="1152"/>
      <c r="W121" s="1152"/>
      <c r="X121" s="1485"/>
      <c r="Y121" s="1152"/>
      <c r="Z121" s="1485"/>
      <c r="AA121" s="417"/>
      <c r="AB121" s="467" t="s">
        <v>437</v>
      </c>
      <c r="AC121" s="468" t="s">
        <v>654</v>
      </c>
      <c r="AD121" s="118" t="s">
        <v>622</v>
      </c>
      <c r="AE121" s="440">
        <f t="shared" ref="AE121:BB121" si="45">AE122+AE123</f>
        <v>0</v>
      </c>
      <c r="AF121" s="440">
        <f t="shared" si="45"/>
        <v>0</v>
      </c>
      <c r="AG121" s="440">
        <f t="shared" si="45"/>
        <v>0</v>
      </c>
      <c r="AH121" s="440">
        <f t="shared" si="45"/>
        <v>0</v>
      </c>
      <c r="AI121" s="440">
        <f t="shared" si="45"/>
        <v>0</v>
      </c>
      <c r="AJ121" s="440">
        <f t="shared" si="45"/>
        <v>0</v>
      </c>
      <c r="AK121" s="440">
        <f t="shared" si="45"/>
        <v>0</v>
      </c>
      <c r="AL121" s="440">
        <f t="shared" si="45"/>
        <v>0</v>
      </c>
      <c r="AM121" s="440">
        <f t="shared" si="45"/>
        <v>0</v>
      </c>
      <c r="AN121" s="440">
        <f t="shared" si="45"/>
        <v>0</v>
      </c>
      <c r="AO121" s="440">
        <f t="shared" si="45"/>
        <v>0</v>
      </c>
      <c r="AP121" s="440">
        <f t="shared" si="45"/>
        <v>0</v>
      </c>
      <c r="AQ121" s="440">
        <f t="shared" si="45"/>
        <v>0</v>
      </c>
      <c r="AR121" s="440">
        <f t="shared" si="45"/>
        <v>0</v>
      </c>
      <c r="AS121" s="440">
        <f t="shared" si="45"/>
        <v>0</v>
      </c>
      <c r="AT121" s="440">
        <f t="shared" si="45"/>
        <v>0</v>
      </c>
      <c r="AU121" s="440">
        <f t="shared" si="45"/>
        <v>0</v>
      </c>
      <c r="AV121" s="440">
        <f t="shared" si="45"/>
        <v>0</v>
      </c>
      <c r="AW121" s="440">
        <f t="shared" si="45"/>
        <v>0</v>
      </c>
      <c r="AX121" s="440">
        <f t="shared" si="45"/>
        <v>0</v>
      </c>
      <c r="AY121" s="440">
        <f t="shared" si="45"/>
        <v>0</v>
      </c>
      <c r="AZ121" s="440">
        <f t="shared" si="45"/>
        <v>0</v>
      </c>
      <c r="BA121" s="440">
        <f t="shared" si="45"/>
        <v>0</v>
      </c>
      <c r="BB121" s="440">
        <f t="shared" si="45"/>
        <v>0</v>
      </c>
      <c r="BC121" s="1231"/>
      <c r="BD121" s="417"/>
      <c r="BE121" s="417"/>
      <c r="BF121" s="984" t="s">
        <v>655</v>
      </c>
    </row>
    <row r="122" spans="1:58" s="1167" customFormat="1" ht="16.5" customHeight="1" x14ac:dyDescent="0.15">
      <c r="A122" s="973"/>
      <c r="B122" s="773"/>
      <c r="C122" s="1152"/>
      <c r="D122" s="1152"/>
      <c r="E122" s="668">
        <v>17.100000000000001</v>
      </c>
      <c r="F122" s="769" t="str" cm="1">
        <f t="array" aca="1" ref="F122" ca="1">OFFSET(G122,-1,-1)</f>
        <v>1</v>
      </c>
      <c r="G122" s="417"/>
      <c r="H122" s="417"/>
      <c r="I122" s="417"/>
      <c r="J122" s="417"/>
      <c r="K122" s="417"/>
      <c r="L122" s="417"/>
      <c r="M122" s="417"/>
      <c r="N122" s="417"/>
      <c r="O122" s="417"/>
      <c r="P122" s="417"/>
      <c r="Q122" s="417"/>
      <c r="R122" s="417"/>
      <c r="S122" s="417"/>
      <c r="T122" s="679" t="b" cm="1">
        <f t="array" ref="T122">T121</f>
        <v>1</v>
      </c>
      <c r="U122" s="1152"/>
      <c r="V122" s="1152"/>
      <c r="W122" s="1152"/>
      <c r="X122" s="1485"/>
      <c r="Y122" s="1152"/>
      <c r="Z122" s="1485"/>
      <c r="AA122" s="417"/>
      <c r="AB122" s="716" t="str">
        <f>AB121&amp;".1"</f>
        <v>4.1</v>
      </c>
      <c r="AC122" s="461" t="s">
        <v>626</v>
      </c>
      <c r="AD122" s="118" t="s">
        <v>622</v>
      </c>
      <c r="AE122" s="1235"/>
      <c r="AF122" s="1235"/>
      <c r="AG122" s="1235"/>
      <c r="AH122" s="1235"/>
      <c r="AI122" s="408"/>
      <c r="AJ122" s="1227"/>
      <c r="AK122" s="1227"/>
      <c r="AL122" s="1235"/>
      <c r="AM122" s="1235"/>
      <c r="AN122" s="1235"/>
      <c r="AO122" s="1235"/>
      <c r="AP122" s="1235"/>
      <c r="AQ122" s="1235"/>
      <c r="AR122" s="1235"/>
      <c r="AS122" s="408"/>
      <c r="AT122" s="1227"/>
      <c r="AU122" s="1227"/>
      <c r="AV122" s="1235"/>
      <c r="AW122" s="1235"/>
      <c r="AX122" s="1235"/>
      <c r="AY122" s="1235"/>
      <c r="AZ122" s="1235"/>
      <c r="BA122" s="1235"/>
      <c r="BB122" s="1235"/>
      <c r="BC122" s="1231"/>
      <c r="BD122" s="417"/>
      <c r="BE122" s="417"/>
      <c r="BF122" s="984" t="s">
        <v>656</v>
      </c>
    </row>
    <row r="123" spans="1:58" s="1167" customFormat="1" ht="16.5" customHeight="1" x14ac:dyDescent="0.15">
      <c r="A123" s="973"/>
      <c r="B123" s="773"/>
      <c r="C123" s="1152"/>
      <c r="D123" s="1152"/>
      <c r="E123" s="668">
        <v>17.100000000000001</v>
      </c>
      <c r="F123" s="769" t="str" cm="1">
        <f t="array" aca="1" ref="F123" ca="1">OFFSET(G123,-1,-1)</f>
        <v>1</v>
      </c>
      <c r="G123" s="417"/>
      <c r="H123" s="417"/>
      <c r="I123" s="417"/>
      <c r="J123" s="417"/>
      <c r="K123" s="417"/>
      <c r="L123" s="417"/>
      <c r="M123" s="417"/>
      <c r="N123" s="417"/>
      <c r="O123" s="417"/>
      <c r="P123" s="417"/>
      <c r="Q123" s="417"/>
      <c r="R123" s="417"/>
      <c r="S123" s="417"/>
      <c r="T123" s="679" t="b" cm="1">
        <f t="array" ref="T123">T122</f>
        <v>1</v>
      </c>
      <c r="U123" s="1152"/>
      <c r="V123" s="1152"/>
      <c r="W123" s="1152"/>
      <c r="X123" s="1485"/>
      <c r="Y123" s="1152"/>
      <c r="Z123" s="1485"/>
      <c r="AA123" s="417"/>
      <c r="AB123" s="716" t="str">
        <f>AB121&amp;".2"</f>
        <v>4.2</v>
      </c>
      <c r="AC123" s="461" t="s">
        <v>628</v>
      </c>
      <c r="AD123" s="118" t="s">
        <v>622</v>
      </c>
      <c r="AE123" s="1236"/>
      <c r="AF123" s="1236"/>
      <c r="AG123" s="1236"/>
      <c r="AH123" s="1236"/>
      <c r="AI123" s="466"/>
      <c r="AJ123" s="1228"/>
      <c r="AK123" s="1228"/>
      <c r="AL123" s="1236"/>
      <c r="AM123" s="1236"/>
      <c r="AN123" s="1236"/>
      <c r="AO123" s="1236"/>
      <c r="AP123" s="1236"/>
      <c r="AQ123" s="1236"/>
      <c r="AR123" s="1236"/>
      <c r="AS123" s="466"/>
      <c r="AT123" s="1228"/>
      <c r="AU123" s="1228"/>
      <c r="AV123" s="1236"/>
      <c r="AW123" s="1236"/>
      <c r="AX123" s="1236"/>
      <c r="AY123" s="1236"/>
      <c r="AZ123" s="1236"/>
      <c r="BA123" s="1236"/>
      <c r="BB123" s="1236"/>
      <c r="BC123" s="1237"/>
      <c r="BD123" s="417"/>
      <c r="BE123" s="417"/>
      <c r="BF123" s="984" t="s">
        <v>657</v>
      </c>
    </row>
    <row r="124" spans="1:58" s="1167" customFormat="1" ht="16.5" customHeight="1" x14ac:dyDescent="0.15">
      <c r="A124" s="973"/>
      <c r="B124" s="773"/>
      <c r="C124" s="1152"/>
      <c r="D124" s="1152"/>
      <c r="E124" s="668">
        <v>17.100000000000001</v>
      </c>
      <c r="F124" s="769" t="str" cm="1">
        <f t="array" aca="1" ref="F124" ca="1">OFFSET(G124,-1,-1)</f>
        <v>1</v>
      </c>
      <c r="G124" s="417"/>
      <c r="H124" s="417"/>
      <c r="I124" s="417"/>
      <c r="J124" s="417"/>
      <c r="K124" s="417"/>
      <c r="L124" s="417"/>
      <c r="M124" s="417"/>
      <c r="N124" s="417"/>
      <c r="O124" s="417"/>
      <c r="P124" s="417"/>
      <c r="Q124" s="417"/>
      <c r="R124" s="417"/>
      <c r="S124" s="417"/>
      <c r="T124" s="679" t="b" cm="1">
        <f t="array" ref="T124">T123</f>
        <v>1</v>
      </c>
      <c r="U124" s="1152"/>
      <c r="V124" s="1152"/>
      <c r="W124" s="1152"/>
      <c r="X124" s="1485"/>
      <c r="Y124" s="1152"/>
      <c r="Z124" s="1485"/>
      <c r="AA124" s="417"/>
      <c r="AB124" s="721" t="s">
        <v>441</v>
      </c>
      <c r="AC124" s="441" t="s">
        <v>658</v>
      </c>
      <c r="AD124" s="343" t="s">
        <v>622</v>
      </c>
      <c r="AE124" s="1232"/>
      <c r="AF124" s="1232"/>
      <c r="AG124" s="1232"/>
      <c r="AH124" s="1232"/>
      <c r="AI124" s="243"/>
      <c r="AJ124" s="1224"/>
      <c r="AK124" s="1224"/>
      <c r="AL124" s="1232"/>
      <c r="AM124" s="1232"/>
      <c r="AN124" s="1232"/>
      <c r="AO124" s="1232"/>
      <c r="AP124" s="1232"/>
      <c r="AQ124" s="1232"/>
      <c r="AR124" s="1232"/>
      <c r="AS124" s="243"/>
      <c r="AT124" s="1224"/>
      <c r="AU124" s="1224"/>
      <c r="AV124" s="1232"/>
      <c r="AW124" s="1232"/>
      <c r="AX124" s="1232"/>
      <c r="AY124" s="1232"/>
      <c r="AZ124" s="1232"/>
      <c r="BA124" s="1232"/>
      <c r="BB124" s="1232"/>
      <c r="BC124" s="1238"/>
      <c r="BD124" s="417"/>
      <c r="BE124" s="417"/>
      <c r="BF124" s="984" t="s">
        <v>659</v>
      </c>
    </row>
    <row r="125" spans="1:58" s="1167" customFormat="1" ht="16.5" customHeight="1" x14ac:dyDescent="0.15">
      <c r="A125" s="973"/>
      <c r="B125" s="773"/>
      <c r="C125" s="1152"/>
      <c r="D125" s="1152"/>
      <c r="E125" s="668">
        <v>17.100000000000001</v>
      </c>
      <c r="F125" s="769" t="str" cm="1">
        <f t="array" aca="1" ref="F125" ca="1">OFFSET(G125,-1,-1)</f>
        <v>1</v>
      </c>
      <c r="G125" s="417"/>
      <c r="H125" s="417"/>
      <c r="I125" s="417"/>
      <c r="J125" s="417"/>
      <c r="K125" s="417"/>
      <c r="L125" s="417"/>
      <c r="M125" s="417"/>
      <c r="N125" s="417"/>
      <c r="O125" s="417"/>
      <c r="P125" s="417"/>
      <c r="Q125" s="417"/>
      <c r="R125" s="417"/>
      <c r="S125" s="417"/>
      <c r="T125" s="679" t="b" cm="1">
        <f t="array" ref="T125">T124</f>
        <v>1</v>
      </c>
      <c r="U125" s="1152"/>
      <c r="V125" s="1152"/>
      <c r="W125" s="1152"/>
      <c r="X125" s="1485"/>
      <c r="Y125" s="1152"/>
      <c r="Z125" s="1485"/>
      <c r="AA125" s="417"/>
      <c r="AB125" s="722" t="s">
        <v>445</v>
      </c>
      <c r="AC125" s="405" t="s">
        <v>660</v>
      </c>
      <c r="AD125" s="343" t="s">
        <v>622</v>
      </c>
      <c r="AE125" s="305">
        <f t="shared" ref="AE125:BB125" si="46">AE113-AE124</f>
        <v>78496</v>
      </c>
      <c r="AF125" s="305">
        <f t="shared" si="46"/>
        <v>77619.09</v>
      </c>
      <c r="AG125" s="305">
        <f t="shared" si="46"/>
        <v>77619.100000000006</v>
      </c>
      <c r="AH125" s="305">
        <f t="shared" si="46"/>
        <v>80069</v>
      </c>
      <c r="AI125" s="305">
        <f t="shared" si="46"/>
        <v>76203.039999999994</v>
      </c>
      <c r="AJ125" s="305">
        <f t="shared" si="46"/>
        <v>0</v>
      </c>
      <c r="AK125" s="305">
        <f t="shared" si="46"/>
        <v>0</v>
      </c>
      <c r="AL125" s="305">
        <f t="shared" si="46"/>
        <v>0</v>
      </c>
      <c r="AM125" s="305">
        <f t="shared" si="46"/>
        <v>0</v>
      </c>
      <c r="AN125" s="305">
        <f t="shared" si="46"/>
        <v>0</v>
      </c>
      <c r="AO125" s="305">
        <f t="shared" si="46"/>
        <v>0</v>
      </c>
      <c r="AP125" s="305">
        <f t="shared" si="46"/>
        <v>0</v>
      </c>
      <c r="AQ125" s="305">
        <f t="shared" si="46"/>
        <v>0</v>
      </c>
      <c r="AR125" s="305">
        <f t="shared" si="46"/>
        <v>0</v>
      </c>
      <c r="AS125" s="305">
        <f t="shared" si="46"/>
        <v>76203</v>
      </c>
      <c r="AT125" s="305">
        <f t="shared" si="46"/>
        <v>0</v>
      </c>
      <c r="AU125" s="305">
        <f t="shared" si="46"/>
        <v>0</v>
      </c>
      <c r="AV125" s="305">
        <f t="shared" si="46"/>
        <v>0</v>
      </c>
      <c r="AW125" s="305">
        <f t="shared" si="46"/>
        <v>0</v>
      </c>
      <c r="AX125" s="305">
        <f t="shared" si="46"/>
        <v>0</v>
      </c>
      <c r="AY125" s="305">
        <f t="shared" si="46"/>
        <v>0</v>
      </c>
      <c r="AZ125" s="305">
        <f t="shared" si="46"/>
        <v>0</v>
      </c>
      <c r="BA125" s="305">
        <f t="shared" si="46"/>
        <v>0</v>
      </c>
      <c r="BB125" s="305">
        <f t="shared" si="46"/>
        <v>0</v>
      </c>
      <c r="BC125" s="1238"/>
      <c r="BD125" s="417"/>
      <c r="BE125" s="417"/>
      <c r="BF125" s="984" t="s">
        <v>661</v>
      </c>
    </row>
    <row r="126" spans="1:58" s="1167" customFormat="1" ht="16.5" customHeight="1" x14ac:dyDescent="0.15">
      <c r="A126" s="973"/>
      <c r="B126" s="773"/>
      <c r="C126" s="1152"/>
      <c r="D126" s="1152"/>
      <c r="E126" s="668">
        <v>17.100000000000001</v>
      </c>
      <c r="F126" s="769" t="str" cm="1">
        <f t="array" aca="1" ref="F126" ca="1">OFFSET(G126,-1,-1)</f>
        <v>1</v>
      </c>
      <c r="G126" s="417"/>
      <c r="H126" s="417"/>
      <c r="I126" s="417"/>
      <c r="J126" s="417"/>
      <c r="K126" s="417"/>
      <c r="L126" s="417"/>
      <c r="M126" s="417"/>
      <c r="N126" s="417"/>
      <c r="O126" s="417"/>
      <c r="P126" s="417"/>
      <c r="Q126" s="417"/>
      <c r="R126" s="417"/>
      <c r="S126" s="417"/>
      <c r="T126" s="679" t="b" cm="1">
        <f t="array" ref="T126">T125</f>
        <v>1</v>
      </c>
      <c r="U126" s="1152"/>
      <c r="V126" s="1152"/>
      <c r="W126" s="1152"/>
      <c r="X126" s="1485"/>
      <c r="Y126" s="1152"/>
      <c r="Z126" s="1485"/>
      <c r="AA126" s="417"/>
      <c r="AB126" s="716" t="str">
        <f>AB125&amp;".1"</f>
        <v>6.1</v>
      </c>
      <c r="AC126" s="461" t="s">
        <v>626</v>
      </c>
      <c r="AD126" s="343" t="s">
        <v>622</v>
      </c>
      <c r="AE126" s="305">
        <f t="shared" ref="AE126:BB126" si="47">AE125-AE134</f>
        <v>78496</v>
      </c>
      <c r="AF126" s="305">
        <f t="shared" si="47"/>
        <v>77619.09</v>
      </c>
      <c r="AG126" s="305">
        <f t="shared" si="47"/>
        <v>77619.100000000006</v>
      </c>
      <c r="AH126" s="305">
        <f t="shared" si="47"/>
        <v>80069</v>
      </c>
      <c r="AI126" s="305">
        <f t="shared" si="47"/>
        <v>76203.039999999994</v>
      </c>
      <c r="AJ126" s="305">
        <f t="shared" si="47"/>
        <v>0</v>
      </c>
      <c r="AK126" s="305">
        <f t="shared" si="47"/>
        <v>0</v>
      </c>
      <c r="AL126" s="305">
        <f t="shared" si="47"/>
        <v>0</v>
      </c>
      <c r="AM126" s="305">
        <f t="shared" si="47"/>
        <v>0</v>
      </c>
      <c r="AN126" s="305">
        <f t="shared" si="47"/>
        <v>0</v>
      </c>
      <c r="AO126" s="305">
        <f t="shared" si="47"/>
        <v>0</v>
      </c>
      <c r="AP126" s="305">
        <f t="shared" si="47"/>
        <v>0</v>
      </c>
      <c r="AQ126" s="305">
        <f t="shared" si="47"/>
        <v>0</v>
      </c>
      <c r="AR126" s="305">
        <f t="shared" si="47"/>
        <v>0</v>
      </c>
      <c r="AS126" s="305">
        <f t="shared" si="47"/>
        <v>76203</v>
      </c>
      <c r="AT126" s="305">
        <f t="shared" si="47"/>
        <v>0</v>
      </c>
      <c r="AU126" s="305">
        <f t="shared" si="47"/>
        <v>0</v>
      </c>
      <c r="AV126" s="305">
        <f t="shared" si="47"/>
        <v>0</v>
      </c>
      <c r="AW126" s="305">
        <f t="shared" si="47"/>
        <v>0</v>
      </c>
      <c r="AX126" s="305">
        <f t="shared" si="47"/>
        <v>0</v>
      </c>
      <c r="AY126" s="305">
        <f t="shared" si="47"/>
        <v>0</v>
      </c>
      <c r="AZ126" s="305">
        <f t="shared" si="47"/>
        <v>0</v>
      </c>
      <c r="BA126" s="305">
        <f t="shared" si="47"/>
        <v>0</v>
      </c>
      <c r="BB126" s="305">
        <f t="shared" si="47"/>
        <v>0</v>
      </c>
      <c r="BC126" s="1238"/>
      <c r="BD126" s="417"/>
      <c r="BE126" s="417"/>
      <c r="BF126" s="984" t="s">
        <v>662</v>
      </c>
    </row>
    <row r="127" spans="1:58" s="1167" customFormat="1" ht="16.5" customHeight="1" x14ac:dyDescent="0.15">
      <c r="A127" s="973"/>
      <c r="B127" s="773"/>
      <c r="C127" s="1152"/>
      <c r="D127" s="1152"/>
      <c r="E127" s="668">
        <v>17.100000000000001</v>
      </c>
      <c r="F127" s="769" t="str" cm="1">
        <f t="array" aca="1" ref="F127" ca="1">OFFSET(G127,-1,-1)</f>
        <v>1</v>
      </c>
      <c r="G127" s="417"/>
      <c r="H127" s="417"/>
      <c r="I127" s="417"/>
      <c r="J127" s="417"/>
      <c r="K127" s="417"/>
      <c r="L127" s="417"/>
      <c r="M127" s="417"/>
      <c r="N127" s="417"/>
      <c r="O127" s="417"/>
      <c r="P127" s="417"/>
      <c r="Q127" s="417"/>
      <c r="R127" s="417"/>
      <c r="S127" s="417"/>
      <c r="T127" s="679" t="b" cm="1">
        <f t="array" ref="T127">T126</f>
        <v>1</v>
      </c>
      <c r="U127" s="1152"/>
      <c r="V127" s="1152"/>
      <c r="W127" s="1152"/>
      <c r="X127" s="1485"/>
      <c r="Y127" s="1152"/>
      <c r="Z127" s="1485"/>
      <c r="AA127" s="417"/>
      <c r="AB127" s="716" t="str">
        <f>AB126&amp;".1"</f>
        <v>6.1.1</v>
      </c>
      <c r="AC127" s="564" t="s">
        <v>663</v>
      </c>
      <c r="AD127" s="118" t="s">
        <v>622</v>
      </c>
      <c r="AE127" s="1232"/>
      <c r="AF127" s="1232"/>
      <c r="AG127" s="1232"/>
      <c r="AH127" s="1232"/>
      <c r="AI127" s="243"/>
      <c r="AJ127" s="1224"/>
      <c r="AK127" s="1224"/>
      <c r="AL127" s="1232"/>
      <c r="AM127" s="1232"/>
      <c r="AN127" s="1232"/>
      <c r="AO127" s="1232"/>
      <c r="AP127" s="1232"/>
      <c r="AQ127" s="1232"/>
      <c r="AR127" s="1232"/>
      <c r="AS127" s="243"/>
      <c r="AT127" s="1224"/>
      <c r="AU127" s="1224"/>
      <c r="AV127" s="1232"/>
      <c r="AW127" s="1232"/>
      <c r="AX127" s="1232"/>
      <c r="AY127" s="1232"/>
      <c r="AZ127" s="1232"/>
      <c r="BA127" s="1232"/>
      <c r="BB127" s="1232"/>
      <c r="BC127" s="1238"/>
      <c r="BD127" s="417"/>
      <c r="BE127" s="417"/>
      <c r="BF127" s="984" t="s">
        <v>664</v>
      </c>
    </row>
    <row r="128" spans="1:58" s="1167" customFormat="1" ht="16.5" customHeight="1" x14ac:dyDescent="0.15">
      <c r="A128" s="973"/>
      <c r="B128" s="773"/>
      <c r="C128" s="1152"/>
      <c r="D128" s="1152"/>
      <c r="E128" s="668">
        <v>17.100000000000001</v>
      </c>
      <c r="F128" s="769" t="str" cm="1">
        <f t="array" aca="1" ref="F128" ca="1">OFFSET(G128,-1,-1)</f>
        <v>1</v>
      </c>
      <c r="G128" s="417"/>
      <c r="H128" s="417"/>
      <c r="I128" s="417"/>
      <c r="J128" s="417"/>
      <c r="K128" s="417"/>
      <c r="L128" s="417"/>
      <c r="M128" s="417"/>
      <c r="N128" s="417"/>
      <c r="O128" s="417"/>
      <c r="P128" s="417"/>
      <c r="Q128" s="417"/>
      <c r="R128" s="417"/>
      <c r="S128" s="417"/>
      <c r="T128" s="679" t="b" cm="1">
        <f t="array" ref="T128">T127</f>
        <v>1</v>
      </c>
      <c r="U128" s="1152"/>
      <c r="V128" s="1152"/>
      <c r="W128" s="1152"/>
      <c r="X128" s="1485"/>
      <c r="Y128" s="1152"/>
      <c r="Z128" s="1485"/>
      <c r="AA128" s="417"/>
      <c r="AB128" s="716" t="str">
        <f>AB126&amp;".2"</f>
        <v>6.1.2</v>
      </c>
      <c r="AC128" s="565" t="s">
        <v>665</v>
      </c>
      <c r="AD128" s="118" t="s">
        <v>622</v>
      </c>
      <c r="AE128" s="1232">
        <f t="shared" ref="AE128:BB128" si="48">SUM(AE129:AE132)</f>
        <v>0</v>
      </c>
      <c r="AF128" s="1232">
        <f t="shared" si="48"/>
        <v>0</v>
      </c>
      <c r="AG128" s="1232">
        <f t="shared" si="48"/>
        <v>0</v>
      </c>
      <c r="AH128" s="1232">
        <f t="shared" si="48"/>
        <v>0</v>
      </c>
      <c r="AI128" s="243">
        <f t="shared" si="48"/>
        <v>0</v>
      </c>
      <c r="AJ128" s="1224">
        <f t="shared" si="48"/>
        <v>0</v>
      </c>
      <c r="AK128" s="1224">
        <f t="shared" si="48"/>
        <v>0</v>
      </c>
      <c r="AL128" s="1232">
        <f t="shared" si="48"/>
        <v>0</v>
      </c>
      <c r="AM128" s="1232">
        <f t="shared" si="48"/>
        <v>0</v>
      </c>
      <c r="AN128" s="1232">
        <f t="shared" si="48"/>
        <v>0</v>
      </c>
      <c r="AO128" s="1232">
        <f t="shared" si="48"/>
        <v>0</v>
      </c>
      <c r="AP128" s="1232">
        <f t="shared" si="48"/>
        <v>0</v>
      </c>
      <c r="AQ128" s="1232">
        <f t="shared" si="48"/>
        <v>0</v>
      </c>
      <c r="AR128" s="1232">
        <f t="shared" si="48"/>
        <v>0</v>
      </c>
      <c r="AS128" s="243">
        <f t="shared" si="48"/>
        <v>0</v>
      </c>
      <c r="AT128" s="1224">
        <f t="shared" si="48"/>
        <v>0</v>
      </c>
      <c r="AU128" s="1224">
        <f t="shared" si="48"/>
        <v>0</v>
      </c>
      <c r="AV128" s="1232">
        <f t="shared" si="48"/>
        <v>0</v>
      </c>
      <c r="AW128" s="1232">
        <f t="shared" si="48"/>
        <v>0</v>
      </c>
      <c r="AX128" s="1232">
        <f t="shared" si="48"/>
        <v>0</v>
      </c>
      <c r="AY128" s="1232">
        <f t="shared" si="48"/>
        <v>0</v>
      </c>
      <c r="AZ128" s="1232">
        <f t="shared" si="48"/>
        <v>0</v>
      </c>
      <c r="BA128" s="1232">
        <f t="shared" si="48"/>
        <v>0</v>
      </c>
      <c r="BB128" s="1232">
        <f t="shared" si="48"/>
        <v>0</v>
      </c>
      <c r="BC128" s="1238"/>
      <c r="BD128" s="417"/>
      <c r="BE128" s="417"/>
      <c r="BF128" s="984" t="s">
        <v>666</v>
      </c>
    </row>
    <row r="129" spans="1:58" s="1167" customFormat="1" ht="16.5" customHeight="1" x14ac:dyDescent="0.15">
      <c r="A129" s="973"/>
      <c r="B129" s="773"/>
      <c r="C129" s="1152"/>
      <c r="D129" s="1152"/>
      <c r="E129" s="668">
        <v>17.100000000000001</v>
      </c>
      <c r="F129" s="769" t="str" cm="1">
        <f t="array" aca="1" ref="F129" ca="1">OFFSET(G129,-1,-1)</f>
        <v>1</v>
      </c>
      <c r="G129" s="417"/>
      <c r="H129" s="417"/>
      <c r="I129" s="417"/>
      <c r="J129" s="417"/>
      <c r="K129" s="417"/>
      <c r="L129" s="417"/>
      <c r="M129" s="417"/>
      <c r="N129" s="417"/>
      <c r="O129" s="417"/>
      <c r="P129" s="417"/>
      <c r="Q129" s="417"/>
      <c r="R129" s="417"/>
      <c r="S129" s="417"/>
      <c r="T129" s="679" t="b" cm="1">
        <f t="array" ref="T129">T128</f>
        <v>1</v>
      </c>
      <c r="U129" s="1152"/>
      <c r="V129" s="1152"/>
      <c r="W129" s="1152"/>
      <c r="X129" s="1485"/>
      <c r="Y129" s="1152"/>
      <c r="Z129" s="1485"/>
      <c r="AA129" s="417"/>
      <c r="AB129" s="716" t="str">
        <f>AB128&amp;".1"</f>
        <v>6.1.2.1</v>
      </c>
      <c r="AC129" s="566" t="s">
        <v>667</v>
      </c>
      <c r="AD129" s="343" t="s">
        <v>622</v>
      </c>
      <c r="AE129" s="1232"/>
      <c r="AF129" s="1232"/>
      <c r="AG129" s="1232"/>
      <c r="AH129" s="1232"/>
      <c r="AI129" s="243"/>
      <c r="AJ129" s="1224"/>
      <c r="AK129" s="1224"/>
      <c r="AL129" s="1232"/>
      <c r="AM129" s="1232"/>
      <c r="AN129" s="1232"/>
      <c r="AO129" s="1232"/>
      <c r="AP129" s="1232"/>
      <c r="AQ129" s="1232"/>
      <c r="AR129" s="1232"/>
      <c r="AS129" s="243"/>
      <c r="AT129" s="1224"/>
      <c r="AU129" s="1224"/>
      <c r="AV129" s="1232"/>
      <c r="AW129" s="1232"/>
      <c r="AX129" s="1232"/>
      <c r="AY129" s="1232"/>
      <c r="AZ129" s="1232"/>
      <c r="BA129" s="1232"/>
      <c r="BB129" s="1232"/>
      <c r="BC129" s="1238"/>
      <c r="BD129" s="417"/>
      <c r="BE129" s="417"/>
      <c r="BF129" s="984" t="s">
        <v>668</v>
      </c>
    </row>
    <row r="130" spans="1:58" s="1167" customFormat="1" ht="16.5" customHeight="1" x14ac:dyDescent="0.15">
      <c r="A130" s="973"/>
      <c r="B130" s="773"/>
      <c r="C130" s="1152"/>
      <c r="D130" s="1152"/>
      <c r="E130" s="668">
        <v>17.100000000000001</v>
      </c>
      <c r="F130" s="769" t="str" cm="1">
        <f t="array" aca="1" ref="F130" ca="1">OFFSET(G130,-1,-1)</f>
        <v>1</v>
      </c>
      <c r="G130" s="417"/>
      <c r="H130" s="417"/>
      <c r="I130" s="417"/>
      <c r="J130" s="417"/>
      <c r="K130" s="417"/>
      <c r="L130" s="417"/>
      <c r="M130" s="417"/>
      <c r="N130" s="417"/>
      <c r="O130" s="417"/>
      <c r="P130" s="417"/>
      <c r="Q130" s="417"/>
      <c r="R130" s="417"/>
      <c r="S130" s="417"/>
      <c r="T130" s="679" t="b" cm="1">
        <f t="array" ref="T130">T129</f>
        <v>1</v>
      </c>
      <c r="U130" s="1152"/>
      <c r="V130" s="1152"/>
      <c r="W130" s="1152"/>
      <c r="X130" s="1485"/>
      <c r="Y130" s="1152"/>
      <c r="Z130" s="1485"/>
      <c r="AA130" s="417"/>
      <c r="AB130" s="716" t="str">
        <f>AB128&amp;".2"</f>
        <v>6.1.2.2</v>
      </c>
      <c r="AC130" s="567" t="s">
        <v>669</v>
      </c>
      <c r="AD130" s="118" t="s">
        <v>622</v>
      </c>
      <c r="AE130" s="1232"/>
      <c r="AF130" s="1232"/>
      <c r="AG130" s="1232"/>
      <c r="AH130" s="1232"/>
      <c r="AI130" s="243"/>
      <c r="AJ130" s="1224"/>
      <c r="AK130" s="1224"/>
      <c r="AL130" s="1232"/>
      <c r="AM130" s="1232"/>
      <c r="AN130" s="1232"/>
      <c r="AO130" s="1232"/>
      <c r="AP130" s="1232"/>
      <c r="AQ130" s="1232"/>
      <c r="AR130" s="1232"/>
      <c r="AS130" s="243"/>
      <c r="AT130" s="1224"/>
      <c r="AU130" s="1224"/>
      <c r="AV130" s="1232"/>
      <c r="AW130" s="1232"/>
      <c r="AX130" s="1232"/>
      <c r="AY130" s="1232"/>
      <c r="AZ130" s="1232"/>
      <c r="BA130" s="1232"/>
      <c r="BB130" s="1232"/>
      <c r="BC130" s="1238"/>
      <c r="BD130" s="417"/>
      <c r="BE130" s="417"/>
      <c r="BF130" s="984" t="s">
        <v>670</v>
      </c>
    </row>
    <row r="131" spans="1:58" s="1167" customFormat="1" ht="16.5" customHeight="1" x14ac:dyDescent="0.15">
      <c r="A131" s="973"/>
      <c r="B131" s="773"/>
      <c r="C131" s="1152"/>
      <c r="D131" s="1152"/>
      <c r="E131" s="668">
        <v>17.100000000000001</v>
      </c>
      <c r="F131" s="769" t="str" cm="1">
        <f t="array" aca="1" ref="F131" ca="1">OFFSET(G131,-1,-1)</f>
        <v>1</v>
      </c>
      <c r="G131" s="417"/>
      <c r="H131" s="417"/>
      <c r="I131" s="417"/>
      <c r="J131" s="417"/>
      <c r="K131" s="417"/>
      <c r="L131" s="417"/>
      <c r="M131" s="417"/>
      <c r="N131" s="417"/>
      <c r="O131" s="417"/>
      <c r="P131" s="417"/>
      <c r="Q131" s="417"/>
      <c r="R131" s="417"/>
      <c r="S131" s="417"/>
      <c r="T131" s="679" t="b" cm="1">
        <f t="array" ref="T131">T130</f>
        <v>1</v>
      </c>
      <c r="U131" s="1152"/>
      <c r="V131" s="1152"/>
      <c r="W131" s="1152"/>
      <c r="X131" s="1485"/>
      <c r="Y131" s="1152"/>
      <c r="Z131" s="1485"/>
      <c r="AA131" s="417"/>
      <c r="AB131" s="716" t="str">
        <f>AB128&amp;".3"</f>
        <v>6.1.2.3</v>
      </c>
      <c r="AC131" s="567" t="s">
        <v>671</v>
      </c>
      <c r="AD131" s="118" t="s">
        <v>622</v>
      </c>
      <c r="AE131" s="1232"/>
      <c r="AF131" s="1232"/>
      <c r="AG131" s="1232"/>
      <c r="AH131" s="1232"/>
      <c r="AI131" s="243"/>
      <c r="AJ131" s="1224"/>
      <c r="AK131" s="1224"/>
      <c r="AL131" s="1232"/>
      <c r="AM131" s="1232"/>
      <c r="AN131" s="1232"/>
      <c r="AO131" s="1232"/>
      <c r="AP131" s="1232"/>
      <c r="AQ131" s="1232"/>
      <c r="AR131" s="1232"/>
      <c r="AS131" s="243"/>
      <c r="AT131" s="1224"/>
      <c r="AU131" s="1224"/>
      <c r="AV131" s="1232"/>
      <c r="AW131" s="1232"/>
      <c r="AX131" s="1232"/>
      <c r="AY131" s="1232"/>
      <c r="AZ131" s="1232"/>
      <c r="BA131" s="1232"/>
      <c r="BB131" s="1232"/>
      <c r="BC131" s="1238"/>
      <c r="BD131" s="417"/>
      <c r="BE131" s="417"/>
      <c r="BF131" s="984" t="s">
        <v>672</v>
      </c>
    </row>
    <row r="132" spans="1:58" s="1167" customFormat="1" ht="16.5" customHeight="1" x14ac:dyDescent="0.15">
      <c r="A132" s="973"/>
      <c r="B132" s="773"/>
      <c r="C132" s="1152"/>
      <c r="D132" s="1152"/>
      <c r="E132" s="668">
        <v>17.100000000000001</v>
      </c>
      <c r="F132" s="769" t="str" cm="1">
        <f t="array" aca="1" ref="F132" ca="1">OFFSET(G132,-1,-1)</f>
        <v>1</v>
      </c>
      <c r="G132" s="417"/>
      <c r="H132" s="417"/>
      <c r="I132" s="417"/>
      <c r="J132" s="417"/>
      <c r="K132" s="417"/>
      <c r="L132" s="417"/>
      <c r="M132" s="417"/>
      <c r="N132" s="417"/>
      <c r="O132" s="417"/>
      <c r="P132" s="417"/>
      <c r="Q132" s="417"/>
      <c r="R132" s="417"/>
      <c r="S132" s="417"/>
      <c r="T132" s="679" t="b" cm="1">
        <f t="array" ref="T132">T131</f>
        <v>1</v>
      </c>
      <c r="U132" s="1152"/>
      <c r="V132" s="1152"/>
      <c r="W132" s="1152"/>
      <c r="X132" s="1485"/>
      <c r="Y132" s="1152"/>
      <c r="Z132" s="1485"/>
      <c r="AA132" s="417"/>
      <c r="AB132" s="716" t="str">
        <f>AB128&amp;".4"</f>
        <v>6.1.2.4</v>
      </c>
      <c r="AC132" s="567" t="s">
        <v>673</v>
      </c>
      <c r="AD132" s="343" t="s">
        <v>622</v>
      </c>
      <c r="AE132" s="1232"/>
      <c r="AF132" s="1232"/>
      <c r="AG132" s="1232"/>
      <c r="AH132" s="1232"/>
      <c r="AI132" s="243"/>
      <c r="AJ132" s="1224"/>
      <c r="AK132" s="1224"/>
      <c r="AL132" s="1232"/>
      <c r="AM132" s="1232"/>
      <c r="AN132" s="1232"/>
      <c r="AO132" s="1232"/>
      <c r="AP132" s="1232"/>
      <c r="AQ132" s="1232"/>
      <c r="AR132" s="1232"/>
      <c r="AS132" s="243"/>
      <c r="AT132" s="1224"/>
      <c r="AU132" s="1224"/>
      <c r="AV132" s="1232"/>
      <c r="AW132" s="1232"/>
      <c r="AX132" s="1232"/>
      <c r="AY132" s="1232"/>
      <c r="AZ132" s="1232"/>
      <c r="BA132" s="1232"/>
      <c r="BB132" s="1232"/>
      <c r="BC132" s="1238"/>
      <c r="BD132" s="417"/>
      <c r="BE132" s="417"/>
      <c r="BF132" s="984" t="s">
        <v>674</v>
      </c>
    </row>
    <row r="133" spans="1:58" s="1167" customFormat="1" ht="16.5" customHeight="1" x14ac:dyDescent="0.15">
      <c r="A133" s="973"/>
      <c r="B133" s="773"/>
      <c r="C133" s="1152"/>
      <c r="D133" s="1152"/>
      <c r="E133" s="668">
        <v>17.100000000000001</v>
      </c>
      <c r="F133" s="769" t="str" cm="1">
        <f t="array" aca="1" ref="F133" ca="1">OFFSET(G133,-1,-1)</f>
        <v>1</v>
      </c>
      <c r="G133" s="417"/>
      <c r="H133" s="417"/>
      <c r="I133" s="417"/>
      <c r="J133" s="417"/>
      <c r="K133" s="417"/>
      <c r="L133" s="417"/>
      <c r="M133" s="417"/>
      <c r="N133" s="417"/>
      <c r="O133" s="417"/>
      <c r="P133" s="417"/>
      <c r="Q133" s="417"/>
      <c r="R133" s="417"/>
      <c r="S133" s="417"/>
      <c r="T133" s="679" t="b" cm="1">
        <f t="array" ref="T133">T132</f>
        <v>1</v>
      </c>
      <c r="U133" s="1152"/>
      <c r="V133" s="1152"/>
      <c r="W133" s="1152"/>
      <c r="X133" s="1485"/>
      <c r="Y133" s="1152"/>
      <c r="Z133" s="1485"/>
      <c r="AA133" s="417"/>
      <c r="AB133" s="716" t="str">
        <f>AB126&amp;".3"</f>
        <v>6.1.3</v>
      </c>
      <c r="AC133" s="904" t="s">
        <v>675</v>
      </c>
      <c r="AD133" s="343" t="s">
        <v>622</v>
      </c>
      <c r="AE133" s="305">
        <f t="shared" ref="AE133:BB133" si="49">AE126-AE127-AE128</f>
        <v>78496</v>
      </c>
      <c r="AF133" s="305">
        <f t="shared" si="49"/>
        <v>77619.09</v>
      </c>
      <c r="AG133" s="305">
        <f t="shared" si="49"/>
        <v>77619.100000000006</v>
      </c>
      <c r="AH133" s="305">
        <f t="shared" si="49"/>
        <v>80069</v>
      </c>
      <c r="AI133" s="305">
        <f t="shared" si="49"/>
        <v>76203.039999999994</v>
      </c>
      <c r="AJ133" s="305">
        <f t="shared" si="49"/>
        <v>0</v>
      </c>
      <c r="AK133" s="305">
        <f t="shared" si="49"/>
        <v>0</v>
      </c>
      <c r="AL133" s="305">
        <f t="shared" si="49"/>
        <v>0</v>
      </c>
      <c r="AM133" s="305">
        <f t="shared" si="49"/>
        <v>0</v>
      </c>
      <c r="AN133" s="305">
        <f t="shared" si="49"/>
        <v>0</v>
      </c>
      <c r="AO133" s="305">
        <f t="shared" si="49"/>
        <v>0</v>
      </c>
      <c r="AP133" s="305">
        <f t="shared" si="49"/>
        <v>0</v>
      </c>
      <c r="AQ133" s="305">
        <f t="shared" si="49"/>
        <v>0</v>
      </c>
      <c r="AR133" s="305">
        <f t="shared" si="49"/>
        <v>0</v>
      </c>
      <c r="AS133" s="305">
        <f t="shared" si="49"/>
        <v>76203</v>
      </c>
      <c r="AT133" s="305">
        <f t="shared" si="49"/>
        <v>0</v>
      </c>
      <c r="AU133" s="305">
        <f t="shared" si="49"/>
        <v>0</v>
      </c>
      <c r="AV133" s="305">
        <f t="shared" si="49"/>
        <v>0</v>
      </c>
      <c r="AW133" s="305">
        <f t="shared" si="49"/>
        <v>0</v>
      </c>
      <c r="AX133" s="305">
        <f t="shared" si="49"/>
        <v>0</v>
      </c>
      <c r="AY133" s="305">
        <f t="shared" si="49"/>
        <v>0</v>
      </c>
      <c r="AZ133" s="305">
        <f t="shared" si="49"/>
        <v>0</v>
      </c>
      <c r="BA133" s="305">
        <f t="shared" si="49"/>
        <v>0</v>
      </c>
      <c r="BB133" s="305">
        <f t="shared" si="49"/>
        <v>0</v>
      </c>
      <c r="BC133" s="1238"/>
      <c r="BD133" s="417"/>
      <c r="BE133" s="417"/>
      <c r="BF133" s="984" t="s">
        <v>676</v>
      </c>
    </row>
    <row r="134" spans="1:58" s="1167" customFormat="1" ht="16.5" customHeight="1" x14ac:dyDescent="0.15">
      <c r="A134" s="973"/>
      <c r="B134" s="773"/>
      <c r="C134" s="1152"/>
      <c r="D134" s="1152"/>
      <c r="E134" s="668">
        <v>17.100000000000001</v>
      </c>
      <c r="F134" s="769" t="str" cm="1">
        <f t="array" aca="1" ref="F134" ca="1">OFFSET(G134,-1,-1)</f>
        <v>1</v>
      </c>
      <c r="G134" s="417"/>
      <c r="H134" s="417"/>
      <c r="I134" s="417"/>
      <c r="J134" s="417"/>
      <c r="K134" s="417"/>
      <c r="L134" s="417"/>
      <c r="M134" s="417"/>
      <c r="N134" s="417"/>
      <c r="O134" s="417"/>
      <c r="P134" s="417"/>
      <c r="Q134" s="417"/>
      <c r="R134" s="417"/>
      <c r="S134" s="417"/>
      <c r="T134" s="679" t="b" cm="1">
        <f t="array" ref="T134">T133</f>
        <v>1</v>
      </c>
      <c r="U134" s="1152"/>
      <c r="V134" s="1152"/>
      <c r="W134" s="1152"/>
      <c r="X134" s="1485"/>
      <c r="Y134" s="1152"/>
      <c r="Z134" s="1485"/>
      <c r="AA134" s="417"/>
      <c r="AB134" s="716" t="str">
        <f>AB125&amp;".2"</f>
        <v>6.2</v>
      </c>
      <c r="AC134" s="461" t="s">
        <v>628</v>
      </c>
      <c r="AD134" s="343" t="s">
        <v>622</v>
      </c>
      <c r="AE134" s="1232"/>
      <c r="AF134" s="1232"/>
      <c r="AG134" s="1232"/>
      <c r="AH134" s="1232"/>
      <c r="AI134" s="243"/>
      <c r="AJ134" s="1224"/>
      <c r="AK134" s="1224"/>
      <c r="AL134" s="1232"/>
      <c r="AM134" s="1232"/>
      <c r="AN134" s="1232"/>
      <c r="AO134" s="1232"/>
      <c r="AP134" s="1232"/>
      <c r="AQ134" s="1232"/>
      <c r="AR134" s="1232"/>
      <c r="AS134" s="243"/>
      <c r="AT134" s="1224"/>
      <c r="AU134" s="1224"/>
      <c r="AV134" s="1232"/>
      <c r="AW134" s="1232"/>
      <c r="AX134" s="1232"/>
      <c r="AY134" s="1232"/>
      <c r="AZ134" s="1232"/>
      <c r="BA134" s="1232"/>
      <c r="BB134" s="1232"/>
      <c r="BC134" s="1238"/>
      <c r="BD134" s="417"/>
      <c r="BE134" s="417"/>
      <c r="BF134" s="984" t="s">
        <v>677</v>
      </c>
    </row>
    <row r="135" spans="1:58" s="1167" customFormat="1" ht="16.5" customHeight="1" x14ac:dyDescent="0.15">
      <c r="A135" s="973"/>
      <c r="B135" s="773"/>
      <c r="C135" s="1152"/>
      <c r="D135" s="1152"/>
      <c r="E135" s="668">
        <v>17.100000000000001</v>
      </c>
      <c r="F135" s="769" t="str" cm="1">
        <f t="array" aca="1" ref="F135" ca="1">OFFSET(G135,-1,-1)</f>
        <v>1</v>
      </c>
      <c r="G135" s="417"/>
      <c r="H135" s="417"/>
      <c r="I135" s="417"/>
      <c r="J135" s="417"/>
      <c r="K135" s="417"/>
      <c r="L135" s="417"/>
      <c r="M135" s="417"/>
      <c r="N135" s="417"/>
      <c r="O135" s="417"/>
      <c r="P135" s="417"/>
      <c r="Q135" s="417"/>
      <c r="R135" s="417"/>
      <c r="S135" s="417"/>
      <c r="T135" s="679" t="b" cm="1">
        <f t="array" ref="T135">T134</f>
        <v>1</v>
      </c>
      <c r="U135" s="1152"/>
      <c r="V135" s="1152"/>
      <c r="W135" s="1152"/>
      <c r="X135" s="1485"/>
      <c r="Y135" s="1152"/>
      <c r="Z135" s="1485"/>
      <c r="AA135" s="417"/>
      <c r="AB135" s="467" t="s">
        <v>449</v>
      </c>
      <c r="AC135" s="468" t="s">
        <v>678</v>
      </c>
      <c r="AD135" s="343" t="s">
        <v>622</v>
      </c>
      <c r="AE135" s="305">
        <f t="shared" ref="AE135:BB135" si="50">SUM(AE136:AE137)</f>
        <v>78496</v>
      </c>
      <c r="AF135" s="305">
        <f t="shared" si="50"/>
        <v>77619.09</v>
      </c>
      <c r="AG135" s="305">
        <f t="shared" si="50"/>
        <v>77619.100000000006</v>
      </c>
      <c r="AH135" s="305">
        <f t="shared" si="50"/>
        <v>80069</v>
      </c>
      <c r="AI135" s="305">
        <f t="shared" si="50"/>
        <v>76203.039999999994</v>
      </c>
      <c r="AJ135" s="305">
        <f t="shared" si="50"/>
        <v>0</v>
      </c>
      <c r="AK135" s="305">
        <f t="shared" si="50"/>
        <v>0</v>
      </c>
      <c r="AL135" s="305">
        <f t="shared" si="50"/>
        <v>0</v>
      </c>
      <c r="AM135" s="305">
        <f t="shared" si="50"/>
        <v>0</v>
      </c>
      <c r="AN135" s="305">
        <f t="shared" si="50"/>
        <v>0</v>
      </c>
      <c r="AO135" s="305">
        <f t="shared" si="50"/>
        <v>0</v>
      </c>
      <c r="AP135" s="305">
        <f t="shared" si="50"/>
        <v>0</v>
      </c>
      <c r="AQ135" s="305">
        <f t="shared" si="50"/>
        <v>0</v>
      </c>
      <c r="AR135" s="305">
        <f t="shared" si="50"/>
        <v>0</v>
      </c>
      <c r="AS135" s="305">
        <f t="shared" si="50"/>
        <v>76203</v>
      </c>
      <c r="AT135" s="305">
        <f t="shared" si="50"/>
        <v>0</v>
      </c>
      <c r="AU135" s="305">
        <f t="shared" si="50"/>
        <v>0</v>
      </c>
      <c r="AV135" s="305">
        <f t="shared" si="50"/>
        <v>0</v>
      </c>
      <c r="AW135" s="305">
        <f t="shared" si="50"/>
        <v>0</v>
      </c>
      <c r="AX135" s="305">
        <f t="shared" si="50"/>
        <v>0</v>
      </c>
      <c r="AY135" s="305">
        <f t="shared" si="50"/>
        <v>0</v>
      </c>
      <c r="AZ135" s="305">
        <f t="shared" si="50"/>
        <v>0</v>
      </c>
      <c r="BA135" s="305">
        <f t="shared" si="50"/>
        <v>0</v>
      </c>
      <c r="BB135" s="305">
        <f t="shared" si="50"/>
        <v>0</v>
      </c>
      <c r="BC135" s="1238"/>
      <c r="BD135" s="417"/>
      <c r="BE135" s="417"/>
      <c r="BF135" s="984" t="s">
        <v>679</v>
      </c>
    </row>
    <row r="136" spans="1:58" s="1167" customFormat="1" ht="16.5" customHeight="1" x14ac:dyDescent="0.15">
      <c r="A136" s="973"/>
      <c r="B136" s="773"/>
      <c r="C136" s="1152"/>
      <c r="D136" s="1152"/>
      <c r="E136" s="668">
        <v>17.100000000000001</v>
      </c>
      <c r="F136" s="769" t="str" cm="1">
        <f t="array" aca="1" ref="F136" ca="1">OFFSET(G136,-1,-1)</f>
        <v>1</v>
      </c>
      <c r="G136" s="417"/>
      <c r="H136" s="417"/>
      <c r="I136" s="417"/>
      <c r="J136" s="417"/>
      <c r="K136" s="417"/>
      <c r="L136" s="417"/>
      <c r="M136" s="417"/>
      <c r="N136" s="417"/>
      <c r="O136" s="417"/>
      <c r="P136" s="417"/>
      <c r="Q136" s="417"/>
      <c r="R136" s="417"/>
      <c r="S136" s="417"/>
      <c r="T136" s="679" t="b" cm="1">
        <f t="array" ref="T136">T135</f>
        <v>1</v>
      </c>
      <c r="U136" s="1152"/>
      <c r="V136" s="1152"/>
      <c r="W136" s="1152"/>
      <c r="X136" s="1485"/>
      <c r="Y136" s="1152"/>
      <c r="Z136" s="1485"/>
      <c r="AA136" s="417"/>
      <c r="AB136" s="716" t="str">
        <f>AB135&amp;".1"</f>
        <v>7.1</v>
      </c>
      <c r="AC136" s="461" t="s">
        <v>626</v>
      </c>
      <c r="AD136" s="343" t="s">
        <v>622</v>
      </c>
      <c r="AE136" s="305">
        <f t="shared" ref="AE136:BB136" si="51">AE133+AE122</f>
        <v>78496</v>
      </c>
      <c r="AF136" s="305">
        <f t="shared" si="51"/>
        <v>77619.09</v>
      </c>
      <c r="AG136" s="305">
        <f t="shared" si="51"/>
        <v>77619.100000000006</v>
      </c>
      <c r="AH136" s="305">
        <f t="shared" si="51"/>
        <v>80069</v>
      </c>
      <c r="AI136" s="305">
        <f t="shared" si="51"/>
        <v>76203.039999999994</v>
      </c>
      <c r="AJ136" s="305">
        <f t="shared" si="51"/>
        <v>0</v>
      </c>
      <c r="AK136" s="305">
        <f t="shared" si="51"/>
        <v>0</v>
      </c>
      <c r="AL136" s="305">
        <f t="shared" si="51"/>
        <v>0</v>
      </c>
      <c r="AM136" s="305">
        <f t="shared" si="51"/>
        <v>0</v>
      </c>
      <c r="AN136" s="305">
        <f t="shared" si="51"/>
        <v>0</v>
      </c>
      <c r="AO136" s="305">
        <f t="shared" si="51"/>
        <v>0</v>
      </c>
      <c r="AP136" s="305">
        <f t="shared" si="51"/>
        <v>0</v>
      </c>
      <c r="AQ136" s="305">
        <f t="shared" si="51"/>
        <v>0</v>
      </c>
      <c r="AR136" s="305">
        <f t="shared" si="51"/>
        <v>0</v>
      </c>
      <c r="AS136" s="305">
        <f t="shared" si="51"/>
        <v>76203</v>
      </c>
      <c r="AT136" s="305">
        <f t="shared" si="51"/>
        <v>0</v>
      </c>
      <c r="AU136" s="305">
        <f t="shared" si="51"/>
        <v>0</v>
      </c>
      <c r="AV136" s="305">
        <f t="shared" si="51"/>
        <v>0</v>
      </c>
      <c r="AW136" s="305">
        <f t="shared" si="51"/>
        <v>0</v>
      </c>
      <c r="AX136" s="305">
        <f t="shared" si="51"/>
        <v>0</v>
      </c>
      <c r="AY136" s="305">
        <f t="shared" si="51"/>
        <v>0</v>
      </c>
      <c r="AZ136" s="305">
        <f t="shared" si="51"/>
        <v>0</v>
      </c>
      <c r="BA136" s="305">
        <f t="shared" si="51"/>
        <v>0</v>
      </c>
      <c r="BB136" s="305">
        <f t="shared" si="51"/>
        <v>0</v>
      </c>
      <c r="BC136" s="1238"/>
      <c r="BD136" s="417"/>
      <c r="BE136" s="417"/>
      <c r="BF136" s="984" t="s">
        <v>680</v>
      </c>
    </row>
    <row r="137" spans="1:58" s="1167" customFormat="1" ht="16.5" customHeight="1" x14ac:dyDescent="0.15">
      <c r="A137" s="973"/>
      <c r="B137" s="773"/>
      <c r="C137" s="1152"/>
      <c r="D137" s="1152"/>
      <c r="E137" s="668">
        <v>17.100000000000001</v>
      </c>
      <c r="F137" s="769" t="str" cm="1">
        <f t="array" aca="1" ref="F137" ca="1">OFFSET(G137,-1,-1)</f>
        <v>1</v>
      </c>
      <c r="G137" s="417"/>
      <c r="H137" s="417"/>
      <c r="I137" s="417"/>
      <c r="J137" s="417"/>
      <c r="K137" s="417"/>
      <c r="L137" s="417"/>
      <c r="M137" s="417"/>
      <c r="N137" s="417"/>
      <c r="O137" s="417"/>
      <c r="P137" s="417"/>
      <c r="Q137" s="417"/>
      <c r="R137" s="417"/>
      <c r="S137" s="417"/>
      <c r="T137" s="679" t="b" cm="1">
        <f t="array" ref="T137">T136</f>
        <v>1</v>
      </c>
      <c r="U137" s="1152"/>
      <c r="V137" s="1152"/>
      <c r="W137" s="1152"/>
      <c r="X137" s="1485"/>
      <c r="Y137" s="1152"/>
      <c r="Z137" s="1485"/>
      <c r="AA137" s="417"/>
      <c r="AB137" s="716" t="str">
        <f>AB135&amp;".2"</f>
        <v>7.2</v>
      </c>
      <c r="AC137" s="461" t="s">
        <v>628</v>
      </c>
      <c r="AD137" s="343" t="s">
        <v>622</v>
      </c>
      <c r="AE137" s="305">
        <f t="shared" ref="AE137:BB137" si="52">AE134+AE123</f>
        <v>0</v>
      </c>
      <c r="AF137" s="305">
        <f t="shared" si="52"/>
        <v>0</v>
      </c>
      <c r="AG137" s="305">
        <f t="shared" si="52"/>
        <v>0</v>
      </c>
      <c r="AH137" s="305">
        <f t="shared" si="52"/>
        <v>0</v>
      </c>
      <c r="AI137" s="305">
        <f t="shared" si="52"/>
        <v>0</v>
      </c>
      <c r="AJ137" s="305">
        <f t="shared" si="52"/>
        <v>0</v>
      </c>
      <c r="AK137" s="305">
        <f t="shared" si="52"/>
        <v>0</v>
      </c>
      <c r="AL137" s="305">
        <f t="shared" si="52"/>
        <v>0</v>
      </c>
      <c r="AM137" s="305">
        <f t="shared" si="52"/>
        <v>0</v>
      </c>
      <c r="AN137" s="305">
        <f t="shared" si="52"/>
        <v>0</v>
      </c>
      <c r="AO137" s="305">
        <f t="shared" si="52"/>
        <v>0</v>
      </c>
      <c r="AP137" s="305">
        <f t="shared" si="52"/>
        <v>0</v>
      </c>
      <c r="AQ137" s="305">
        <f t="shared" si="52"/>
        <v>0</v>
      </c>
      <c r="AR137" s="305">
        <f t="shared" si="52"/>
        <v>0</v>
      </c>
      <c r="AS137" s="305">
        <f t="shared" si="52"/>
        <v>0</v>
      </c>
      <c r="AT137" s="305">
        <f t="shared" si="52"/>
        <v>0</v>
      </c>
      <c r="AU137" s="305">
        <f t="shared" si="52"/>
        <v>0</v>
      </c>
      <c r="AV137" s="305">
        <f t="shared" si="52"/>
        <v>0</v>
      </c>
      <c r="AW137" s="305">
        <f t="shared" si="52"/>
        <v>0</v>
      </c>
      <c r="AX137" s="305">
        <f t="shared" si="52"/>
        <v>0</v>
      </c>
      <c r="AY137" s="305">
        <f t="shared" si="52"/>
        <v>0</v>
      </c>
      <c r="AZ137" s="305">
        <f t="shared" si="52"/>
        <v>0</v>
      </c>
      <c r="BA137" s="305">
        <f t="shared" si="52"/>
        <v>0</v>
      </c>
      <c r="BB137" s="305">
        <f t="shared" si="52"/>
        <v>0</v>
      </c>
      <c r="BC137" s="1238"/>
      <c r="BD137" s="417"/>
      <c r="BE137" s="417"/>
      <c r="BF137" s="984" t="s">
        <v>681</v>
      </c>
    </row>
    <row r="138" spans="1:58" s="1167" customFormat="1" ht="33" customHeight="1" x14ac:dyDescent="0.15">
      <c r="A138" s="973"/>
      <c r="B138" s="773"/>
      <c r="C138" s="1152"/>
      <c r="D138" s="1152"/>
      <c r="E138" s="668">
        <v>34.5</v>
      </c>
      <c r="F138" s="769" t="str" cm="1">
        <f t="array" aca="1" ref="F138" ca="1">OFFSET(G138,-1,-1)</f>
        <v>1</v>
      </c>
      <c r="G138" s="417"/>
      <c r="H138" s="417"/>
      <c r="I138" s="417"/>
      <c r="J138" s="417"/>
      <c r="K138" s="417"/>
      <c r="L138" s="417"/>
      <c r="M138" s="417"/>
      <c r="N138" s="417"/>
      <c r="O138" s="417"/>
      <c r="P138" s="417"/>
      <c r="Q138" s="417"/>
      <c r="R138" s="417"/>
      <c r="S138" s="417"/>
      <c r="T138" s="679" t="b" cm="1">
        <f t="array" ref="T138">T137</f>
        <v>1</v>
      </c>
      <c r="U138" s="1152"/>
      <c r="V138" s="1152"/>
      <c r="W138" s="1152"/>
      <c r="X138" s="1485"/>
      <c r="Y138" s="1152"/>
      <c r="Z138" s="1485"/>
      <c r="AA138" s="417"/>
      <c r="AB138" s="467" t="s">
        <v>455</v>
      </c>
      <c r="AC138" s="468" t="s">
        <v>682</v>
      </c>
      <c r="AD138" s="343" t="s">
        <v>622</v>
      </c>
      <c r="AE138" s="305">
        <f t="shared" ref="AE138:BB138" si="53">SUM(AE139,AE141)</f>
        <v>11094</v>
      </c>
      <c r="AF138" s="305">
        <f t="shared" si="53"/>
        <v>11094</v>
      </c>
      <c r="AG138" s="305">
        <f t="shared" si="53"/>
        <v>11094</v>
      </c>
      <c r="AH138" s="305">
        <f t="shared" si="53"/>
        <v>11094</v>
      </c>
      <c r="AI138" s="305">
        <f t="shared" si="53"/>
        <v>11094</v>
      </c>
      <c r="AJ138" s="305">
        <f t="shared" si="53"/>
        <v>0</v>
      </c>
      <c r="AK138" s="305">
        <f t="shared" si="53"/>
        <v>0</v>
      </c>
      <c r="AL138" s="305">
        <f t="shared" si="53"/>
        <v>0</v>
      </c>
      <c r="AM138" s="305">
        <f t="shared" si="53"/>
        <v>0</v>
      </c>
      <c r="AN138" s="305">
        <f t="shared" si="53"/>
        <v>0</v>
      </c>
      <c r="AO138" s="305">
        <f t="shared" si="53"/>
        <v>0</v>
      </c>
      <c r="AP138" s="305">
        <f t="shared" si="53"/>
        <v>0</v>
      </c>
      <c r="AQ138" s="305">
        <f t="shared" si="53"/>
        <v>0</v>
      </c>
      <c r="AR138" s="305">
        <f t="shared" si="53"/>
        <v>0</v>
      </c>
      <c r="AS138" s="305">
        <f t="shared" si="53"/>
        <v>11094</v>
      </c>
      <c r="AT138" s="305">
        <f t="shared" si="53"/>
        <v>0</v>
      </c>
      <c r="AU138" s="305">
        <f t="shared" si="53"/>
        <v>0</v>
      </c>
      <c r="AV138" s="305">
        <f t="shared" si="53"/>
        <v>0</v>
      </c>
      <c r="AW138" s="305">
        <f t="shared" si="53"/>
        <v>0</v>
      </c>
      <c r="AX138" s="305">
        <f t="shared" si="53"/>
        <v>0</v>
      </c>
      <c r="AY138" s="305">
        <f t="shared" si="53"/>
        <v>0</v>
      </c>
      <c r="AZ138" s="305">
        <f t="shared" si="53"/>
        <v>0</v>
      </c>
      <c r="BA138" s="305">
        <f t="shared" si="53"/>
        <v>0</v>
      </c>
      <c r="BB138" s="305">
        <f t="shared" si="53"/>
        <v>0</v>
      </c>
      <c r="BC138" s="1238"/>
      <c r="BD138" s="417"/>
      <c r="BE138" s="417"/>
      <c r="BF138" s="984" t="s">
        <v>683</v>
      </c>
    </row>
    <row r="139" spans="1:58" s="1167" customFormat="1" ht="16.5" customHeight="1" x14ac:dyDescent="0.15">
      <c r="A139" s="973"/>
      <c r="B139" s="773"/>
      <c r="C139" s="1152"/>
      <c r="D139" s="1152"/>
      <c r="E139" s="668">
        <v>17.100000000000001</v>
      </c>
      <c r="F139" s="769" t="str" cm="1">
        <f t="array" aca="1" ref="F139" ca="1">OFFSET(G139,-1,-1)</f>
        <v>1</v>
      </c>
      <c r="G139" s="417"/>
      <c r="H139" s="417"/>
      <c r="I139" s="417"/>
      <c r="J139" s="417"/>
      <c r="K139" s="417"/>
      <c r="L139" s="417"/>
      <c r="M139" s="417"/>
      <c r="N139" s="417"/>
      <c r="O139" s="417"/>
      <c r="P139" s="417"/>
      <c r="Q139" s="417"/>
      <c r="R139" s="417"/>
      <c r="S139" s="417"/>
      <c r="T139" s="679" t="b" cm="1">
        <f t="array" ref="T139">T138</f>
        <v>1</v>
      </c>
      <c r="U139" s="1152"/>
      <c r="V139" s="1152"/>
      <c r="W139" s="1152"/>
      <c r="X139" s="1485"/>
      <c r="Y139" s="1152"/>
      <c r="Z139" s="1485"/>
      <c r="AA139" s="417"/>
      <c r="AB139" s="716" t="str">
        <f>AB138&amp;".1"</f>
        <v>8.1</v>
      </c>
      <c r="AC139" s="461" t="s">
        <v>626</v>
      </c>
      <c r="AD139" s="343" t="s">
        <v>622</v>
      </c>
      <c r="AE139" s="1232">
        <v>11094</v>
      </c>
      <c r="AF139" s="1232">
        <v>11094</v>
      </c>
      <c r="AG139" s="1232">
        <v>11094</v>
      </c>
      <c r="AH139" s="1232">
        <v>11094</v>
      </c>
      <c r="AI139" s="243">
        <v>11094</v>
      </c>
      <c r="AJ139" s="1224"/>
      <c r="AK139" s="1224"/>
      <c r="AL139" s="1232"/>
      <c r="AM139" s="1232"/>
      <c r="AN139" s="1232"/>
      <c r="AO139" s="1232"/>
      <c r="AP139" s="1232"/>
      <c r="AQ139" s="1232"/>
      <c r="AR139" s="1232"/>
      <c r="AS139" s="243">
        <v>11094</v>
      </c>
      <c r="AT139" s="1224"/>
      <c r="AU139" s="1224"/>
      <c r="AV139" s="1232"/>
      <c r="AW139" s="1232"/>
      <c r="AX139" s="1232"/>
      <c r="AY139" s="1232"/>
      <c r="AZ139" s="1232"/>
      <c r="BA139" s="1232"/>
      <c r="BB139" s="1232"/>
      <c r="BC139" s="1238"/>
      <c r="BD139" s="417"/>
      <c r="BE139" s="417"/>
      <c r="BF139" s="984" t="s">
        <v>684</v>
      </c>
    </row>
    <row r="140" spans="1:58" s="1167" customFormat="1" ht="16.5" customHeight="1" x14ac:dyDescent="0.15">
      <c r="A140" s="973"/>
      <c r="B140" s="773"/>
      <c r="C140" s="1152"/>
      <c r="D140" s="1152"/>
      <c r="E140" s="668">
        <v>17.100000000000001</v>
      </c>
      <c r="F140" s="769" t="str" cm="1">
        <f t="array" aca="1" ref="F140" ca="1">OFFSET(G140,-1,-1)</f>
        <v>1</v>
      </c>
      <c r="G140" s="417"/>
      <c r="H140" s="417"/>
      <c r="I140" s="417"/>
      <c r="J140" s="417"/>
      <c r="K140" s="417"/>
      <c r="L140" s="417"/>
      <c r="M140" s="417"/>
      <c r="N140" s="417"/>
      <c r="O140" s="417"/>
      <c r="P140" s="417"/>
      <c r="Q140" s="417"/>
      <c r="R140" s="417"/>
      <c r="S140" s="417"/>
      <c r="T140" s="679" t="b" cm="1">
        <f t="array" ref="T140">T139</f>
        <v>1</v>
      </c>
      <c r="U140" s="1152"/>
      <c r="V140" s="1152"/>
      <c r="W140" s="1152"/>
      <c r="X140" s="1485"/>
      <c r="Y140" s="1152"/>
      <c r="Z140" s="1485"/>
      <c r="AA140" s="417"/>
      <c r="AB140" s="716" t="str">
        <f>AB139&amp;".1"</f>
        <v>8.1.1</v>
      </c>
      <c r="AC140" s="563" t="s">
        <v>685</v>
      </c>
      <c r="AD140" s="343" t="s">
        <v>521</v>
      </c>
      <c r="AE140" s="866">
        <f t="shared" ref="AE140:BB140" si="54">IFERROR(AE139/AE136,0)</f>
        <v>0.14133204239706482</v>
      </c>
      <c r="AF140" s="866">
        <f t="shared" si="54"/>
        <v>0.14292875631497357</v>
      </c>
      <c r="AG140" s="866">
        <f t="shared" si="54"/>
        <v>0.1429287379008517</v>
      </c>
      <c r="AH140" s="866">
        <f t="shared" si="54"/>
        <v>0.13855549588479937</v>
      </c>
      <c r="AI140" s="866">
        <f t="shared" si="54"/>
        <v>0.1455847430758668</v>
      </c>
      <c r="AJ140" s="866">
        <f t="shared" si="54"/>
        <v>0</v>
      </c>
      <c r="AK140" s="866">
        <f t="shared" si="54"/>
        <v>0</v>
      </c>
      <c r="AL140" s="866">
        <f t="shared" si="54"/>
        <v>0</v>
      </c>
      <c r="AM140" s="866">
        <f t="shared" si="54"/>
        <v>0</v>
      </c>
      <c r="AN140" s="866">
        <f t="shared" si="54"/>
        <v>0</v>
      </c>
      <c r="AO140" s="866">
        <f t="shared" si="54"/>
        <v>0</v>
      </c>
      <c r="AP140" s="866">
        <f t="shared" si="54"/>
        <v>0</v>
      </c>
      <c r="AQ140" s="866">
        <f t="shared" si="54"/>
        <v>0</v>
      </c>
      <c r="AR140" s="866">
        <f t="shared" si="54"/>
        <v>0</v>
      </c>
      <c r="AS140" s="866">
        <f t="shared" si="54"/>
        <v>0.14558481949529545</v>
      </c>
      <c r="AT140" s="866">
        <f t="shared" si="54"/>
        <v>0</v>
      </c>
      <c r="AU140" s="866">
        <f t="shared" si="54"/>
        <v>0</v>
      </c>
      <c r="AV140" s="866">
        <f t="shared" si="54"/>
        <v>0</v>
      </c>
      <c r="AW140" s="866">
        <f t="shared" si="54"/>
        <v>0</v>
      </c>
      <c r="AX140" s="866">
        <f t="shared" si="54"/>
        <v>0</v>
      </c>
      <c r="AY140" s="866">
        <f t="shared" si="54"/>
        <v>0</v>
      </c>
      <c r="AZ140" s="866">
        <f t="shared" si="54"/>
        <v>0</v>
      </c>
      <c r="BA140" s="866">
        <f t="shared" si="54"/>
        <v>0</v>
      </c>
      <c r="BB140" s="866">
        <f t="shared" si="54"/>
        <v>0</v>
      </c>
      <c r="BC140" s="1238"/>
      <c r="BD140" s="417"/>
      <c r="BE140" s="417"/>
      <c r="BF140" s="984" t="s">
        <v>686</v>
      </c>
    </row>
    <row r="141" spans="1:58" s="1167" customFormat="1" ht="16.5" customHeight="1" x14ac:dyDescent="0.15">
      <c r="A141" s="973"/>
      <c r="B141" s="773"/>
      <c r="C141" s="1152"/>
      <c r="D141" s="1152"/>
      <c r="E141" s="668">
        <v>17.100000000000001</v>
      </c>
      <c r="F141" s="769" t="str" cm="1">
        <f t="array" aca="1" ref="F141" ca="1">OFFSET(G141,-1,-1)</f>
        <v>1</v>
      </c>
      <c r="G141" s="417"/>
      <c r="H141" s="417"/>
      <c r="I141" s="417"/>
      <c r="J141" s="417"/>
      <c r="K141" s="417"/>
      <c r="L141" s="417"/>
      <c r="M141" s="417"/>
      <c r="N141" s="417"/>
      <c r="O141" s="417"/>
      <c r="P141" s="417"/>
      <c r="Q141" s="417"/>
      <c r="R141" s="417"/>
      <c r="S141" s="417"/>
      <c r="T141" s="679" t="b" cm="1">
        <f t="array" ref="T141">T140</f>
        <v>1</v>
      </c>
      <c r="U141" s="1152"/>
      <c r="V141" s="1152"/>
      <c r="W141" s="1152"/>
      <c r="X141" s="1485"/>
      <c r="Y141" s="1152"/>
      <c r="Z141" s="1485"/>
      <c r="AA141" s="417"/>
      <c r="AB141" s="716" t="str">
        <f>AB138&amp;".2"</f>
        <v>8.2</v>
      </c>
      <c r="AC141" s="461" t="s">
        <v>628</v>
      </c>
      <c r="AD141" s="343" t="s">
        <v>622</v>
      </c>
      <c r="AE141" s="1232"/>
      <c r="AF141" s="1232"/>
      <c r="AG141" s="1232"/>
      <c r="AH141" s="1232"/>
      <c r="AI141" s="243"/>
      <c r="AJ141" s="1224"/>
      <c r="AK141" s="1224"/>
      <c r="AL141" s="1232"/>
      <c r="AM141" s="1232"/>
      <c r="AN141" s="1232"/>
      <c r="AO141" s="1232"/>
      <c r="AP141" s="1232"/>
      <c r="AQ141" s="1232"/>
      <c r="AR141" s="1232"/>
      <c r="AS141" s="243"/>
      <c r="AT141" s="1224"/>
      <c r="AU141" s="1224"/>
      <c r="AV141" s="1232"/>
      <c r="AW141" s="1232"/>
      <c r="AX141" s="1232"/>
      <c r="AY141" s="1232"/>
      <c r="AZ141" s="1232"/>
      <c r="BA141" s="1232"/>
      <c r="BB141" s="1232"/>
      <c r="BC141" s="1238"/>
      <c r="BD141" s="417"/>
      <c r="BE141" s="417"/>
      <c r="BF141" s="984" t="s">
        <v>687</v>
      </c>
    </row>
    <row r="142" spans="1:58" s="1167" customFormat="1" ht="16.5" customHeight="1" x14ac:dyDescent="0.15">
      <c r="A142" s="973"/>
      <c r="B142" s="773"/>
      <c r="C142" s="1152"/>
      <c r="D142" s="1152"/>
      <c r="E142" s="668">
        <v>17.100000000000001</v>
      </c>
      <c r="F142" s="769" t="str" cm="1">
        <f t="array" aca="1" ref="F142" ca="1">OFFSET(G142,-1,-1)</f>
        <v>1</v>
      </c>
      <c r="G142" s="417"/>
      <c r="H142" s="417"/>
      <c r="I142" s="417"/>
      <c r="J142" s="417"/>
      <c r="K142" s="417"/>
      <c r="L142" s="417"/>
      <c r="M142" s="417"/>
      <c r="N142" s="417"/>
      <c r="O142" s="417"/>
      <c r="P142" s="417"/>
      <c r="Q142" s="417"/>
      <c r="R142" s="417"/>
      <c r="S142" s="417"/>
      <c r="T142" s="679" t="b" cm="1">
        <f t="array" ref="T142">T141</f>
        <v>1</v>
      </c>
      <c r="U142" s="1152"/>
      <c r="V142" s="1152"/>
      <c r="W142" s="1152"/>
      <c r="X142" s="1485"/>
      <c r="Y142" s="1152"/>
      <c r="Z142" s="1485"/>
      <c r="AA142" s="417"/>
      <c r="AB142" s="716" t="str">
        <f>AB141&amp;".1"</f>
        <v>8.2.1</v>
      </c>
      <c r="AC142" s="563" t="s">
        <v>685</v>
      </c>
      <c r="AD142" s="118" t="s">
        <v>521</v>
      </c>
      <c r="AE142" s="903">
        <f t="shared" ref="AE142:BB142" si="55">IFERROR(AE141/AE137,0)</f>
        <v>0</v>
      </c>
      <c r="AF142" s="903">
        <f t="shared" si="55"/>
        <v>0</v>
      </c>
      <c r="AG142" s="903">
        <f t="shared" si="55"/>
        <v>0</v>
      </c>
      <c r="AH142" s="903">
        <f t="shared" si="55"/>
        <v>0</v>
      </c>
      <c r="AI142" s="903">
        <f t="shared" si="55"/>
        <v>0</v>
      </c>
      <c r="AJ142" s="903">
        <f t="shared" si="55"/>
        <v>0</v>
      </c>
      <c r="AK142" s="903">
        <f t="shared" si="55"/>
        <v>0</v>
      </c>
      <c r="AL142" s="903">
        <f t="shared" si="55"/>
        <v>0</v>
      </c>
      <c r="AM142" s="903">
        <f t="shared" si="55"/>
        <v>0</v>
      </c>
      <c r="AN142" s="903">
        <f t="shared" si="55"/>
        <v>0</v>
      </c>
      <c r="AO142" s="903">
        <f t="shared" si="55"/>
        <v>0</v>
      </c>
      <c r="AP142" s="903">
        <f t="shared" si="55"/>
        <v>0</v>
      </c>
      <c r="AQ142" s="903">
        <f t="shared" si="55"/>
        <v>0</v>
      </c>
      <c r="AR142" s="903">
        <f t="shared" si="55"/>
        <v>0</v>
      </c>
      <c r="AS142" s="903">
        <f t="shared" si="55"/>
        <v>0</v>
      </c>
      <c r="AT142" s="903">
        <f t="shared" si="55"/>
        <v>0</v>
      </c>
      <c r="AU142" s="903">
        <f t="shared" si="55"/>
        <v>0</v>
      </c>
      <c r="AV142" s="903">
        <f t="shared" si="55"/>
        <v>0</v>
      </c>
      <c r="AW142" s="903">
        <f t="shared" si="55"/>
        <v>0</v>
      </c>
      <c r="AX142" s="903">
        <f t="shared" si="55"/>
        <v>0</v>
      </c>
      <c r="AY142" s="903">
        <f t="shared" si="55"/>
        <v>0</v>
      </c>
      <c r="AZ142" s="903">
        <f t="shared" si="55"/>
        <v>0</v>
      </c>
      <c r="BA142" s="903">
        <f t="shared" si="55"/>
        <v>0</v>
      </c>
      <c r="BB142" s="903">
        <f t="shared" si="55"/>
        <v>0</v>
      </c>
      <c r="BC142" s="1239"/>
      <c r="BD142" s="417"/>
      <c r="BE142" s="417"/>
      <c r="BF142" s="984" t="s">
        <v>688</v>
      </c>
    </row>
    <row r="143" spans="1:58" s="1167" customFormat="1" ht="16.5" customHeight="1" x14ac:dyDescent="0.15">
      <c r="A143" s="973"/>
      <c r="B143" s="773"/>
      <c r="C143" s="1152"/>
      <c r="D143" s="1152"/>
      <c r="E143" s="668">
        <v>17.100000000000001</v>
      </c>
      <c r="F143" s="769" t="str" cm="1">
        <f t="array" aca="1" ref="F143" ca="1">OFFSET(G143,-1,-1)</f>
        <v>1</v>
      </c>
      <c r="G143" s="417"/>
      <c r="H143" s="417"/>
      <c r="I143" s="417"/>
      <c r="J143" s="417"/>
      <c r="K143" s="417"/>
      <c r="L143" s="417"/>
      <c r="M143" s="417"/>
      <c r="N143" s="417"/>
      <c r="O143" s="417"/>
      <c r="P143" s="417"/>
      <c r="Q143" s="417"/>
      <c r="R143" s="417"/>
      <c r="S143" s="417"/>
      <c r="T143" s="679" t="b" cm="1">
        <f t="array" ref="T143">T142</f>
        <v>1</v>
      </c>
      <c r="U143" s="1152"/>
      <c r="V143" s="1152"/>
      <c r="W143" s="1152"/>
      <c r="X143" s="1485"/>
      <c r="Y143" s="1152"/>
      <c r="Z143" s="1485"/>
      <c r="AA143" s="417"/>
      <c r="AB143" s="406" t="s">
        <v>689</v>
      </c>
      <c r="AC143" s="405" t="s">
        <v>690</v>
      </c>
      <c r="AD143" s="118" t="s">
        <v>622</v>
      </c>
      <c r="AE143" s="440">
        <f t="shared" ref="AE143:BB143" si="56">AE135-AE138</f>
        <v>67402</v>
      </c>
      <c r="AF143" s="440">
        <f t="shared" si="56"/>
        <v>66525.09</v>
      </c>
      <c r="AG143" s="440">
        <f t="shared" si="56"/>
        <v>66525.100000000006</v>
      </c>
      <c r="AH143" s="440">
        <f t="shared" si="56"/>
        <v>68975</v>
      </c>
      <c r="AI143" s="440">
        <f t="shared" si="56"/>
        <v>65109.039999999994</v>
      </c>
      <c r="AJ143" s="440">
        <f t="shared" si="56"/>
        <v>0</v>
      </c>
      <c r="AK143" s="440">
        <f t="shared" si="56"/>
        <v>0</v>
      </c>
      <c r="AL143" s="440">
        <f t="shared" si="56"/>
        <v>0</v>
      </c>
      <c r="AM143" s="440">
        <f t="shared" si="56"/>
        <v>0</v>
      </c>
      <c r="AN143" s="440">
        <f t="shared" si="56"/>
        <v>0</v>
      </c>
      <c r="AO143" s="440">
        <f t="shared" si="56"/>
        <v>0</v>
      </c>
      <c r="AP143" s="440">
        <f t="shared" si="56"/>
        <v>0</v>
      </c>
      <c r="AQ143" s="440">
        <f t="shared" si="56"/>
        <v>0</v>
      </c>
      <c r="AR143" s="440">
        <f t="shared" si="56"/>
        <v>0</v>
      </c>
      <c r="AS143" s="440">
        <f t="shared" si="56"/>
        <v>65109</v>
      </c>
      <c r="AT143" s="440">
        <f t="shared" si="56"/>
        <v>0</v>
      </c>
      <c r="AU143" s="440">
        <f t="shared" si="56"/>
        <v>0</v>
      </c>
      <c r="AV143" s="440">
        <f t="shared" si="56"/>
        <v>0</v>
      </c>
      <c r="AW143" s="440">
        <f t="shared" si="56"/>
        <v>0</v>
      </c>
      <c r="AX143" s="440">
        <f t="shared" si="56"/>
        <v>0</v>
      </c>
      <c r="AY143" s="440">
        <f t="shared" si="56"/>
        <v>0</v>
      </c>
      <c r="AZ143" s="440">
        <f t="shared" si="56"/>
        <v>0</v>
      </c>
      <c r="BA143" s="440">
        <f t="shared" si="56"/>
        <v>0</v>
      </c>
      <c r="BB143" s="440">
        <f t="shared" si="56"/>
        <v>0</v>
      </c>
      <c r="BC143" s="1231"/>
      <c r="BD143" s="417"/>
      <c r="BE143" s="417"/>
      <c r="BF143" s="984" t="s">
        <v>691</v>
      </c>
    </row>
    <row r="144" spans="1:58" s="1167" customFormat="1" ht="16.5" customHeight="1" x14ac:dyDescent="0.15">
      <c r="A144" s="973"/>
      <c r="B144" s="773"/>
      <c r="C144" s="1152"/>
      <c r="D144" s="1152"/>
      <c r="E144" s="668">
        <v>17.100000000000001</v>
      </c>
      <c r="F144" s="769" t="str" cm="1">
        <f t="array" aca="1" ref="F144" ca="1">OFFSET(G144,-1,-1)</f>
        <v>1</v>
      </c>
      <c r="G144" s="417"/>
      <c r="H144" s="417"/>
      <c r="I144" s="417"/>
      <c r="J144" s="417"/>
      <c r="K144" s="417"/>
      <c r="L144" s="417"/>
      <c r="M144" s="417"/>
      <c r="N144" s="417"/>
      <c r="O144" s="417"/>
      <c r="P144" s="417"/>
      <c r="Q144" s="417"/>
      <c r="R144" s="417"/>
      <c r="S144" s="417"/>
      <c r="T144" s="679" t="b" cm="1">
        <f t="array" ref="T144">T143</f>
        <v>1</v>
      </c>
      <c r="U144" s="1152"/>
      <c r="V144" s="1152"/>
      <c r="W144" s="1152"/>
      <c r="X144" s="1485"/>
      <c r="Y144" s="1152"/>
      <c r="Z144" s="1485"/>
      <c r="AA144" s="417"/>
      <c r="AB144" s="716" t="str">
        <f>AB143&amp;".1"</f>
        <v>9.1</v>
      </c>
      <c r="AC144" s="461" t="s">
        <v>626</v>
      </c>
      <c r="AD144" s="118" t="s">
        <v>622</v>
      </c>
      <c r="AE144" s="440">
        <f>AE136-AE139</f>
        <v>67402</v>
      </c>
      <c r="AF144" s="440">
        <f t="shared" ref="AF144:BB144" si="57">AF135-AF138</f>
        <v>66525.09</v>
      </c>
      <c r="AG144" s="440">
        <f t="shared" si="57"/>
        <v>66525.100000000006</v>
      </c>
      <c r="AH144" s="440">
        <f t="shared" si="57"/>
        <v>68975</v>
      </c>
      <c r="AI144" s="440">
        <f t="shared" si="57"/>
        <v>65109.039999999994</v>
      </c>
      <c r="AJ144" s="440">
        <f t="shared" si="57"/>
        <v>0</v>
      </c>
      <c r="AK144" s="440">
        <f t="shared" si="57"/>
        <v>0</v>
      </c>
      <c r="AL144" s="440">
        <f t="shared" si="57"/>
        <v>0</v>
      </c>
      <c r="AM144" s="440">
        <f t="shared" si="57"/>
        <v>0</v>
      </c>
      <c r="AN144" s="440">
        <f t="shared" si="57"/>
        <v>0</v>
      </c>
      <c r="AO144" s="440">
        <f t="shared" si="57"/>
        <v>0</v>
      </c>
      <c r="AP144" s="440">
        <f t="shared" si="57"/>
        <v>0</v>
      </c>
      <c r="AQ144" s="440">
        <f t="shared" si="57"/>
        <v>0</v>
      </c>
      <c r="AR144" s="440">
        <f t="shared" si="57"/>
        <v>0</v>
      </c>
      <c r="AS144" s="440">
        <f t="shared" si="57"/>
        <v>65109</v>
      </c>
      <c r="AT144" s="440">
        <f t="shared" si="57"/>
        <v>0</v>
      </c>
      <c r="AU144" s="440">
        <f t="shared" si="57"/>
        <v>0</v>
      </c>
      <c r="AV144" s="440">
        <f t="shared" si="57"/>
        <v>0</v>
      </c>
      <c r="AW144" s="440">
        <f t="shared" si="57"/>
        <v>0</v>
      </c>
      <c r="AX144" s="440">
        <f t="shared" si="57"/>
        <v>0</v>
      </c>
      <c r="AY144" s="440">
        <f t="shared" si="57"/>
        <v>0</v>
      </c>
      <c r="AZ144" s="440">
        <f t="shared" si="57"/>
        <v>0</v>
      </c>
      <c r="BA144" s="440">
        <f t="shared" si="57"/>
        <v>0</v>
      </c>
      <c r="BB144" s="440">
        <f t="shared" si="57"/>
        <v>0</v>
      </c>
      <c r="BC144" s="1231"/>
      <c r="BD144" s="417"/>
      <c r="BE144" s="417"/>
      <c r="BF144" s="984" t="s">
        <v>692</v>
      </c>
    </row>
    <row r="145" spans="1:58" s="1167" customFormat="1" ht="16.5" customHeight="1" x14ac:dyDescent="0.15">
      <c r="A145" s="973"/>
      <c r="B145" s="773"/>
      <c r="C145" s="1152"/>
      <c r="D145" s="1152"/>
      <c r="E145" s="668">
        <v>17.100000000000001</v>
      </c>
      <c r="F145" s="769" t="str" cm="1">
        <f t="array" aca="1" ref="F145" ca="1">OFFSET(G145,-1,-1)</f>
        <v>1</v>
      </c>
      <c r="G145" s="417"/>
      <c r="H145" s="417"/>
      <c r="I145" s="417"/>
      <c r="J145" s="417"/>
      <c r="K145" s="417"/>
      <c r="L145" s="417"/>
      <c r="M145" s="417"/>
      <c r="N145" s="417"/>
      <c r="O145" s="417"/>
      <c r="P145" s="417"/>
      <c r="Q145" s="417"/>
      <c r="R145" s="417"/>
      <c r="S145" s="417"/>
      <c r="T145" s="679" t="b" cm="1">
        <f t="array" ref="T145">T144</f>
        <v>1</v>
      </c>
      <c r="U145" s="1152"/>
      <c r="V145" s="1152"/>
      <c r="W145" s="1152"/>
      <c r="X145" s="1485"/>
      <c r="Y145" s="1152"/>
      <c r="Z145" s="1485"/>
      <c r="AA145" s="417"/>
      <c r="AB145" s="716" t="str">
        <f>AB144&amp;".1"</f>
        <v>9.1.1</v>
      </c>
      <c r="AC145" s="564" t="s">
        <v>663</v>
      </c>
      <c r="AD145" s="118" t="s">
        <v>622</v>
      </c>
      <c r="AE145" s="1235"/>
      <c r="AF145" s="1235"/>
      <c r="AG145" s="1235"/>
      <c r="AH145" s="1235"/>
      <c r="AI145" s="408"/>
      <c r="AJ145" s="1227"/>
      <c r="AK145" s="1227"/>
      <c r="AL145" s="1235"/>
      <c r="AM145" s="1235"/>
      <c r="AN145" s="1235"/>
      <c r="AO145" s="1235"/>
      <c r="AP145" s="1235"/>
      <c r="AQ145" s="1235"/>
      <c r="AR145" s="1235"/>
      <c r="AS145" s="408"/>
      <c r="AT145" s="1227"/>
      <c r="AU145" s="1227"/>
      <c r="AV145" s="1235"/>
      <c r="AW145" s="1235"/>
      <c r="AX145" s="1235"/>
      <c r="AY145" s="1235"/>
      <c r="AZ145" s="1235"/>
      <c r="BA145" s="1235"/>
      <c r="BB145" s="1235"/>
      <c r="BC145" s="1231"/>
      <c r="BD145" s="417"/>
      <c r="BE145" s="417"/>
      <c r="BF145" s="984" t="s">
        <v>693</v>
      </c>
    </row>
    <row r="146" spans="1:58" s="1167" customFormat="1" ht="16.5" customHeight="1" x14ac:dyDescent="0.15">
      <c r="A146" s="973"/>
      <c r="B146" s="773"/>
      <c r="C146" s="1152"/>
      <c r="D146" s="1152"/>
      <c r="E146" s="668">
        <v>17.100000000000001</v>
      </c>
      <c r="F146" s="769" t="str" cm="1">
        <f t="array" aca="1" ref="F146" ca="1">OFFSET(G146,-1,-1)</f>
        <v>1</v>
      </c>
      <c r="G146" s="417"/>
      <c r="H146" s="417"/>
      <c r="I146" s="417"/>
      <c r="J146" s="417"/>
      <c r="K146" s="417"/>
      <c r="L146" s="417"/>
      <c r="M146" s="417"/>
      <c r="N146" s="417"/>
      <c r="O146" s="417"/>
      <c r="P146" s="417"/>
      <c r="Q146" s="417"/>
      <c r="R146" s="417"/>
      <c r="S146" s="417"/>
      <c r="T146" s="679" t="b" cm="1">
        <f t="array" ref="T146">T145</f>
        <v>1</v>
      </c>
      <c r="U146" s="1152"/>
      <c r="V146" s="1152"/>
      <c r="W146" s="1152"/>
      <c r="X146" s="1485"/>
      <c r="Y146" s="1152"/>
      <c r="Z146" s="1485"/>
      <c r="AA146" s="417"/>
      <c r="AB146" s="716" t="str">
        <f>AB144&amp;".2"</f>
        <v>9.1.2</v>
      </c>
      <c r="AC146" s="565" t="s">
        <v>665</v>
      </c>
      <c r="AD146" s="118" t="s">
        <v>622</v>
      </c>
      <c r="AE146" s="1240">
        <f t="shared" ref="AE146:BB146" si="58">AE147+AE148+AE149+AE150</f>
        <v>67402</v>
      </c>
      <c r="AF146" s="1240">
        <f t="shared" si="58"/>
        <v>66525.09</v>
      </c>
      <c r="AG146" s="1240">
        <f t="shared" si="58"/>
        <v>66525.100000000006</v>
      </c>
      <c r="AH146" s="1240">
        <f t="shared" si="58"/>
        <v>68975</v>
      </c>
      <c r="AI146" s="923">
        <f t="shared" si="58"/>
        <v>65109.03</v>
      </c>
      <c r="AJ146" s="1229">
        <f t="shared" si="58"/>
        <v>0</v>
      </c>
      <c r="AK146" s="1229">
        <f t="shared" si="58"/>
        <v>0</v>
      </c>
      <c r="AL146" s="1240">
        <f t="shared" si="58"/>
        <v>0</v>
      </c>
      <c r="AM146" s="1240">
        <f t="shared" si="58"/>
        <v>0</v>
      </c>
      <c r="AN146" s="1240">
        <f t="shared" si="58"/>
        <v>0</v>
      </c>
      <c r="AO146" s="1240">
        <f t="shared" si="58"/>
        <v>0</v>
      </c>
      <c r="AP146" s="1240">
        <f t="shared" si="58"/>
        <v>0</v>
      </c>
      <c r="AQ146" s="1240">
        <f t="shared" si="58"/>
        <v>0</v>
      </c>
      <c r="AR146" s="1240">
        <f t="shared" si="58"/>
        <v>0</v>
      </c>
      <c r="AS146" s="923">
        <f t="shared" si="58"/>
        <v>65109</v>
      </c>
      <c r="AT146" s="1229">
        <f t="shared" si="58"/>
        <v>0</v>
      </c>
      <c r="AU146" s="1229">
        <f t="shared" si="58"/>
        <v>0</v>
      </c>
      <c r="AV146" s="1240">
        <f t="shared" si="58"/>
        <v>0</v>
      </c>
      <c r="AW146" s="1240">
        <f t="shared" si="58"/>
        <v>0</v>
      </c>
      <c r="AX146" s="1240">
        <f t="shared" si="58"/>
        <v>0</v>
      </c>
      <c r="AY146" s="1240">
        <f t="shared" si="58"/>
        <v>0</v>
      </c>
      <c r="AZ146" s="1240">
        <f t="shared" si="58"/>
        <v>0</v>
      </c>
      <c r="BA146" s="1240">
        <f t="shared" si="58"/>
        <v>0</v>
      </c>
      <c r="BB146" s="1240">
        <f t="shared" si="58"/>
        <v>0</v>
      </c>
      <c r="BC146" s="1231"/>
      <c r="BD146" s="417"/>
      <c r="BE146" s="417"/>
      <c r="BF146" s="984" t="s">
        <v>694</v>
      </c>
    </row>
    <row r="147" spans="1:58" s="1167" customFormat="1" ht="16.5" customHeight="1" x14ac:dyDescent="0.15">
      <c r="A147" s="973"/>
      <c r="B147" s="773"/>
      <c r="C147" s="1152"/>
      <c r="D147" s="1152"/>
      <c r="E147" s="668">
        <v>17.100000000000001</v>
      </c>
      <c r="F147" s="769" t="str" cm="1">
        <f t="array" aca="1" ref="F147" ca="1">OFFSET(G147,-1,-1)</f>
        <v>1</v>
      </c>
      <c r="G147" s="417"/>
      <c r="H147" s="417"/>
      <c r="I147" s="417"/>
      <c r="J147" s="417"/>
      <c r="K147" s="417"/>
      <c r="L147" s="417"/>
      <c r="M147" s="417"/>
      <c r="N147" s="417"/>
      <c r="O147" s="417"/>
      <c r="P147" s="417"/>
      <c r="Q147" s="417"/>
      <c r="R147" s="417"/>
      <c r="S147" s="417"/>
      <c r="T147" s="679" t="b" cm="1">
        <f t="array" ref="T147">T146</f>
        <v>1</v>
      </c>
      <c r="U147" s="1152"/>
      <c r="V147" s="1152"/>
      <c r="W147" s="1152"/>
      <c r="X147" s="1485"/>
      <c r="Y147" s="1152"/>
      <c r="Z147" s="1485"/>
      <c r="AA147" s="417"/>
      <c r="AB147" s="716" t="str">
        <f>AB146&amp;".1"</f>
        <v>9.1.2.1</v>
      </c>
      <c r="AC147" s="566" t="s">
        <v>667</v>
      </c>
      <c r="AD147" s="343" t="s">
        <v>622</v>
      </c>
      <c r="AE147" s="1241"/>
      <c r="AF147" s="1241"/>
      <c r="AG147" s="1241"/>
      <c r="AH147" s="1241"/>
      <c r="AI147" s="464"/>
      <c r="AJ147" s="1230"/>
      <c r="AK147" s="1230"/>
      <c r="AL147" s="1241"/>
      <c r="AM147" s="1241"/>
      <c r="AN147" s="1241"/>
      <c r="AO147" s="1241"/>
      <c r="AP147" s="1241"/>
      <c r="AQ147" s="1241"/>
      <c r="AR147" s="1241"/>
      <c r="AS147" s="464"/>
      <c r="AT147" s="1230"/>
      <c r="AU147" s="1230"/>
      <c r="AV147" s="1241"/>
      <c r="AW147" s="1241"/>
      <c r="AX147" s="1241"/>
      <c r="AY147" s="1241"/>
      <c r="AZ147" s="1241"/>
      <c r="BA147" s="1241"/>
      <c r="BB147" s="1241"/>
      <c r="BC147" s="1231"/>
      <c r="BD147" s="417"/>
      <c r="BE147" s="417"/>
      <c r="BF147" s="984" t="s">
        <v>695</v>
      </c>
    </row>
    <row r="148" spans="1:58" s="1167" customFormat="1" ht="16.5" customHeight="1" x14ac:dyDescent="0.15">
      <c r="A148" s="973"/>
      <c r="B148" s="773"/>
      <c r="C148" s="1152"/>
      <c r="D148" s="1152"/>
      <c r="E148" s="668">
        <v>17.100000000000001</v>
      </c>
      <c r="F148" s="769" t="str" cm="1">
        <f t="array" aca="1" ref="F148" ca="1">OFFSET(G148,-1,-1)</f>
        <v>1</v>
      </c>
      <c r="G148" s="417"/>
      <c r="H148" s="417"/>
      <c r="I148" s="417"/>
      <c r="J148" s="417"/>
      <c r="K148" s="417"/>
      <c r="L148" s="417"/>
      <c r="M148" s="417"/>
      <c r="N148" s="417"/>
      <c r="O148" s="417"/>
      <c r="P148" s="417"/>
      <c r="Q148" s="417"/>
      <c r="R148" s="417"/>
      <c r="S148" s="417"/>
      <c r="T148" s="679" t="b" cm="1">
        <f t="array" ref="T148">T147</f>
        <v>1</v>
      </c>
      <c r="U148" s="1152"/>
      <c r="V148" s="1152"/>
      <c r="W148" s="1152"/>
      <c r="X148" s="1485"/>
      <c r="Y148" s="1152"/>
      <c r="Z148" s="1485"/>
      <c r="AA148" s="417"/>
      <c r="AB148" s="716" t="str">
        <f>AB146&amp;".2"</f>
        <v>9.1.2.2</v>
      </c>
      <c r="AC148" s="567" t="s">
        <v>669</v>
      </c>
      <c r="AD148" s="118" t="s">
        <v>622</v>
      </c>
      <c r="AE148" s="1235">
        <v>4279</v>
      </c>
      <c r="AF148" s="1235">
        <v>4250.93</v>
      </c>
      <c r="AG148" s="1235">
        <v>4250.9399999999996</v>
      </c>
      <c r="AH148" s="1235">
        <v>4752</v>
      </c>
      <c r="AI148" s="408">
        <v>3749.04</v>
      </c>
      <c r="AJ148" s="1227"/>
      <c r="AK148" s="1227"/>
      <c r="AL148" s="1235"/>
      <c r="AM148" s="1235"/>
      <c r="AN148" s="1235"/>
      <c r="AO148" s="1235"/>
      <c r="AP148" s="1235"/>
      <c r="AQ148" s="1235"/>
      <c r="AR148" s="1235"/>
      <c r="AS148" s="408">
        <v>3811</v>
      </c>
      <c r="AT148" s="1227"/>
      <c r="AU148" s="1227"/>
      <c r="AV148" s="1235"/>
      <c r="AW148" s="1235"/>
      <c r="AX148" s="1235"/>
      <c r="AY148" s="1235"/>
      <c r="AZ148" s="1235"/>
      <c r="BA148" s="1235"/>
      <c r="BB148" s="1235"/>
      <c r="BC148" s="1231"/>
      <c r="BD148" s="417"/>
      <c r="BE148" s="417"/>
      <c r="BF148" s="984" t="s">
        <v>696</v>
      </c>
    </row>
    <row r="149" spans="1:58" s="1167" customFormat="1" ht="16.5" customHeight="1" x14ac:dyDescent="0.15">
      <c r="A149" s="973"/>
      <c r="B149" s="773"/>
      <c r="C149" s="1152"/>
      <c r="D149" s="1152"/>
      <c r="E149" s="668">
        <v>17.100000000000001</v>
      </c>
      <c r="F149" s="769" t="str" cm="1">
        <f t="array" aca="1" ref="F149" ca="1">OFFSET(G149,-1,-1)</f>
        <v>1</v>
      </c>
      <c r="G149" s="417"/>
      <c r="H149" s="417"/>
      <c r="I149" s="417"/>
      <c r="J149" s="417"/>
      <c r="K149" s="417"/>
      <c r="L149" s="417"/>
      <c r="M149" s="417"/>
      <c r="N149" s="417"/>
      <c r="O149" s="417"/>
      <c r="P149" s="417"/>
      <c r="Q149" s="417"/>
      <c r="R149" s="417"/>
      <c r="S149" s="417"/>
      <c r="T149" s="679" t="b" cm="1">
        <f t="array" ref="T149">T148</f>
        <v>1</v>
      </c>
      <c r="U149" s="1152"/>
      <c r="V149" s="1152"/>
      <c r="W149" s="1152"/>
      <c r="X149" s="1485"/>
      <c r="Y149" s="1152"/>
      <c r="Z149" s="1485"/>
      <c r="AA149" s="417"/>
      <c r="AB149" s="716" t="str">
        <f>AB146&amp;".3"</f>
        <v>9.1.2.3</v>
      </c>
      <c r="AC149" s="567" t="s">
        <v>671</v>
      </c>
      <c r="AD149" s="118" t="s">
        <v>622</v>
      </c>
      <c r="AE149" s="1236">
        <v>55681</v>
      </c>
      <c r="AF149" s="1236">
        <v>55190.86</v>
      </c>
      <c r="AG149" s="1236">
        <v>55190.86</v>
      </c>
      <c r="AH149" s="1236">
        <v>55047</v>
      </c>
      <c r="AI149" s="466">
        <v>54620.97</v>
      </c>
      <c r="AJ149" s="1228"/>
      <c r="AK149" s="1228"/>
      <c r="AL149" s="1236"/>
      <c r="AM149" s="1236"/>
      <c r="AN149" s="1236"/>
      <c r="AO149" s="1236"/>
      <c r="AP149" s="1236"/>
      <c r="AQ149" s="1236"/>
      <c r="AR149" s="1236"/>
      <c r="AS149" s="466">
        <v>54948</v>
      </c>
      <c r="AT149" s="1228"/>
      <c r="AU149" s="1228"/>
      <c r="AV149" s="1236"/>
      <c r="AW149" s="1236"/>
      <c r="AX149" s="1236"/>
      <c r="AY149" s="1236"/>
      <c r="AZ149" s="1236"/>
      <c r="BA149" s="1236"/>
      <c r="BB149" s="1236"/>
      <c r="BC149" s="1231"/>
      <c r="BD149" s="417"/>
      <c r="BE149" s="417"/>
      <c r="BF149" s="984" t="s">
        <v>697</v>
      </c>
    </row>
    <row r="150" spans="1:58" s="1167" customFormat="1" ht="16.5" customHeight="1" x14ac:dyDescent="0.15">
      <c r="A150" s="973"/>
      <c r="B150" s="773"/>
      <c r="C150" s="1152"/>
      <c r="D150" s="1152"/>
      <c r="E150" s="668">
        <v>17.100000000000001</v>
      </c>
      <c r="F150" s="769" t="str" cm="1">
        <f t="array" aca="1" ref="F150" ca="1">OFFSET(G150,-1,-1)</f>
        <v>1</v>
      </c>
      <c r="G150" s="417"/>
      <c r="H150" s="417"/>
      <c r="I150" s="417"/>
      <c r="J150" s="417"/>
      <c r="K150" s="417"/>
      <c r="L150" s="417"/>
      <c r="M150" s="417"/>
      <c r="N150" s="417"/>
      <c r="O150" s="417"/>
      <c r="P150" s="417"/>
      <c r="Q150" s="417"/>
      <c r="R150" s="417"/>
      <c r="S150" s="417"/>
      <c r="T150" s="679" t="b" cm="1">
        <f t="array" ref="T150">T149</f>
        <v>1</v>
      </c>
      <c r="U150" s="1152"/>
      <c r="V150" s="1152"/>
      <c r="W150" s="1152"/>
      <c r="X150" s="1485"/>
      <c r="Y150" s="1152"/>
      <c r="Z150" s="1485"/>
      <c r="AA150" s="417"/>
      <c r="AB150" s="716" t="str">
        <f>AB146&amp;".4"</f>
        <v>9.1.2.4</v>
      </c>
      <c r="AC150" s="567" t="s">
        <v>673</v>
      </c>
      <c r="AD150" s="343" t="s">
        <v>622</v>
      </c>
      <c r="AE150" s="1232">
        <v>7442</v>
      </c>
      <c r="AF150" s="1234">
        <v>7083.3</v>
      </c>
      <c r="AG150" s="1232">
        <v>7083.3</v>
      </c>
      <c r="AH150" s="1232">
        <v>9176</v>
      </c>
      <c r="AI150" s="243">
        <v>6739.02</v>
      </c>
      <c r="AJ150" s="1224"/>
      <c r="AK150" s="1224"/>
      <c r="AL150" s="1232"/>
      <c r="AM150" s="1232"/>
      <c r="AN150" s="1232"/>
      <c r="AO150" s="1232"/>
      <c r="AP150" s="1232"/>
      <c r="AQ150" s="1232"/>
      <c r="AR150" s="1232"/>
      <c r="AS150" s="243">
        <v>6350</v>
      </c>
      <c r="AT150" s="1224"/>
      <c r="AU150" s="1224"/>
      <c r="AV150" s="1232"/>
      <c r="AW150" s="1232"/>
      <c r="AX150" s="1232"/>
      <c r="AY150" s="1232"/>
      <c r="AZ150" s="1232"/>
      <c r="BA150" s="1232"/>
      <c r="BB150" s="1232"/>
      <c r="BC150" s="1231"/>
      <c r="BD150" s="417"/>
      <c r="BE150" s="417"/>
      <c r="BF150" s="984" t="s">
        <v>698</v>
      </c>
    </row>
    <row r="151" spans="1:58" s="1167" customFormat="1" ht="16.5" customHeight="1" x14ac:dyDescent="0.15">
      <c r="A151" s="973"/>
      <c r="B151" s="773"/>
      <c r="C151" s="1152"/>
      <c r="D151" s="1152"/>
      <c r="E151" s="668">
        <v>17.100000000000001</v>
      </c>
      <c r="F151" s="769" t="str" cm="1">
        <f t="array" aca="1" ref="F151" ca="1">OFFSET(G151,-1,-1)</f>
        <v>1</v>
      </c>
      <c r="G151" s="417"/>
      <c r="H151" s="417"/>
      <c r="I151" s="417"/>
      <c r="J151" s="417"/>
      <c r="K151" s="417"/>
      <c r="L151" s="417"/>
      <c r="M151" s="417"/>
      <c r="N151" s="417"/>
      <c r="O151" s="417"/>
      <c r="P151" s="417"/>
      <c r="Q151" s="417"/>
      <c r="R151" s="417"/>
      <c r="S151" s="417"/>
      <c r="T151" s="679" t="b" cm="1">
        <f t="array" ref="T151">T150</f>
        <v>1</v>
      </c>
      <c r="U151" s="1152"/>
      <c r="V151" s="1152"/>
      <c r="W151" s="1152"/>
      <c r="X151" s="1485"/>
      <c r="Y151" s="1152"/>
      <c r="Z151" s="1485"/>
      <c r="AA151" s="417"/>
      <c r="AB151" s="716" t="str">
        <f>AB143&amp;".2"</f>
        <v>9.2</v>
      </c>
      <c r="AC151" s="461" t="s">
        <v>628</v>
      </c>
      <c r="AD151" s="343" t="s">
        <v>622</v>
      </c>
      <c r="AE151" s="1232">
        <f t="shared" ref="AE151:BB151" si="59">AE137-AE141</f>
        <v>0</v>
      </c>
      <c r="AF151" s="1232">
        <f t="shared" si="59"/>
        <v>0</v>
      </c>
      <c r="AG151" s="1232">
        <f t="shared" si="59"/>
        <v>0</v>
      </c>
      <c r="AH151" s="1232">
        <f t="shared" si="59"/>
        <v>0</v>
      </c>
      <c r="AI151" s="243">
        <f t="shared" si="59"/>
        <v>0</v>
      </c>
      <c r="AJ151" s="1224">
        <f t="shared" si="59"/>
        <v>0</v>
      </c>
      <c r="AK151" s="1224">
        <f t="shared" si="59"/>
        <v>0</v>
      </c>
      <c r="AL151" s="1232">
        <f t="shared" si="59"/>
        <v>0</v>
      </c>
      <c r="AM151" s="1232">
        <f t="shared" si="59"/>
        <v>0</v>
      </c>
      <c r="AN151" s="1232">
        <f t="shared" si="59"/>
        <v>0</v>
      </c>
      <c r="AO151" s="1232">
        <f t="shared" si="59"/>
        <v>0</v>
      </c>
      <c r="AP151" s="1232">
        <f t="shared" si="59"/>
        <v>0</v>
      </c>
      <c r="AQ151" s="1232">
        <f t="shared" si="59"/>
        <v>0</v>
      </c>
      <c r="AR151" s="1232">
        <f t="shared" si="59"/>
        <v>0</v>
      </c>
      <c r="AS151" s="243">
        <f t="shared" si="59"/>
        <v>0</v>
      </c>
      <c r="AT151" s="1224">
        <f t="shared" si="59"/>
        <v>0</v>
      </c>
      <c r="AU151" s="1224">
        <f t="shared" si="59"/>
        <v>0</v>
      </c>
      <c r="AV151" s="1232">
        <f t="shared" si="59"/>
        <v>0</v>
      </c>
      <c r="AW151" s="1232">
        <f t="shared" si="59"/>
        <v>0</v>
      </c>
      <c r="AX151" s="1232">
        <f t="shared" si="59"/>
        <v>0</v>
      </c>
      <c r="AY151" s="1232">
        <f t="shared" si="59"/>
        <v>0</v>
      </c>
      <c r="AZ151" s="1232">
        <f t="shared" si="59"/>
        <v>0</v>
      </c>
      <c r="BA151" s="1232">
        <f t="shared" si="59"/>
        <v>0</v>
      </c>
      <c r="BB151" s="1232">
        <f t="shared" si="59"/>
        <v>0</v>
      </c>
      <c r="BC151" s="1231"/>
      <c r="BD151" s="417"/>
      <c r="BE151" s="417"/>
      <c r="BF151" s="984" t="s">
        <v>699</v>
      </c>
    </row>
    <row r="152" spans="1:58" s="1167" customFormat="1" ht="16.5" customHeight="1" x14ac:dyDescent="0.15">
      <c r="A152" s="973"/>
      <c r="B152" s="773"/>
      <c r="C152" s="1152"/>
      <c r="D152" s="1152"/>
      <c r="E152" s="668">
        <v>17.100000000000001</v>
      </c>
      <c r="F152" s="769" t="str" cm="1">
        <f t="array" aca="1" ref="F152" ca="1">OFFSET(G152,-1,-1)</f>
        <v>1</v>
      </c>
      <c r="G152" s="417"/>
      <c r="H152" s="417"/>
      <c r="I152" s="417"/>
      <c r="J152" s="417"/>
      <c r="K152" s="417"/>
      <c r="L152" s="417"/>
      <c r="M152" s="417"/>
      <c r="N152" s="417"/>
      <c r="O152" s="417"/>
      <c r="P152" s="417"/>
      <c r="Q152" s="417"/>
      <c r="R152" s="417"/>
      <c r="S152" s="417"/>
      <c r="T152" s="679" t="b" cm="1">
        <f t="array" ref="T152">T151</f>
        <v>1</v>
      </c>
      <c r="U152" s="1152"/>
      <c r="V152" s="1152"/>
      <c r="W152" s="1152"/>
      <c r="X152" s="1485"/>
      <c r="Y152" s="1152"/>
      <c r="Z152" s="1485"/>
      <c r="AA152" s="417"/>
      <c r="AB152" s="410" t="s">
        <v>700</v>
      </c>
      <c r="AC152" s="564" t="s">
        <v>663</v>
      </c>
      <c r="AD152" s="343" t="s">
        <v>622</v>
      </c>
      <c r="AE152" s="1232"/>
      <c r="AF152" s="1232"/>
      <c r="AG152" s="1232"/>
      <c r="AH152" s="1232"/>
      <c r="AI152" s="243"/>
      <c r="AJ152" s="1224"/>
      <c r="AK152" s="1224"/>
      <c r="AL152" s="1232"/>
      <c r="AM152" s="1232"/>
      <c r="AN152" s="1232"/>
      <c r="AO152" s="1232"/>
      <c r="AP152" s="1232"/>
      <c r="AQ152" s="1232"/>
      <c r="AR152" s="1232"/>
      <c r="AS152" s="243"/>
      <c r="AT152" s="1224"/>
      <c r="AU152" s="1224"/>
      <c r="AV152" s="1232"/>
      <c r="AW152" s="1232"/>
      <c r="AX152" s="1232"/>
      <c r="AY152" s="1232"/>
      <c r="AZ152" s="1232"/>
      <c r="BA152" s="1232"/>
      <c r="BB152" s="1232"/>
      <c r="BC152" s="1231"/>
      <c r="BD152" s="417"/>
      <c r="BE152" s="417"/>
      <c r="BF152" s="984" t="s">
        <v>701</v>
      </c>
    </row>
    <row r="153" spans="1:58" s="1167" customFormat="1" ht="16.5" customHeight="1" x14ac:dyDescent="0.15">
      <c r="A153" s="973"/>
      <c r="B153" s="773"/>
      <c r="C153" s="1152"/>
      <c r="D153" s="1152"/>
      <c r="E153" s="668">
        <v>17.100000000000001</v>
      </c>
      <c r="F153" s="769" t="str" cm="1">
        <f t="array" aca="1" ref="F153" ca="1">OFFSET(G153,-1,-1)</f>
        <v>1</v>
      </c>
      <c r="G153" s="417"/>
      <c r="H153" s="417"/>
      <c r="I153" s="417"/>
      <c r="J153" s="417"/>
      <c r="K153" s="417"/>
      <c r="L153" s="417"/>
      <c r="M153" s="417"/>
      <c r="N153" s="417"/>
      <c r="O153" s="417"/>
      <c r="P153" s="417"/>
      <c r="Q153" s="417"/>
      <c r="R153" s="417"/>
      <c r="S153" s="417"/>
      <c r="T153" s="679" t="b" cm="1">
        <f t="array" ref="T153">T152</f>
        <v>1</v>
      </c>
      <c r="U153" s="1152"/>
      <c r="V153" s="1152"/>
      <c r="W153" s="1152"/>
      <c r="X153" s="1485"/>
      <c r="Y153" s="1152"/>
      <c r="Z153" s="1485"/>
      <c r="AA153" s="417"/>
      <c r="AB153" s="411" t="s">
        <v>702</v>
      </c>
      <c r="AC153" s="565" t="s">
        <v>665</v>
      </c>
      <c r="AD153" s="118" t="s">
        <v>622</v>
      </c>
      <c r="AE153" s="569">
        <f t="shared" ref="AE153:BB153" si="60">SUM(AE154:AE157)</f>
        <v>0</v>
      </c>
      <c r="AF153" s="569">
        <f t="shared" si="60"/>
        <v>0</v>
      </c>
      <c r="AG153" s="569">
        <f t="shared" si="60"/>
        <v>0</v>
      </c>
      <c r="AH153" s="569">
        <f t="shared" si="60"/>
        <v>0</v>
      </c>
      <c r="AI153" s="569">
        <f t="shared" si="60"/>
        <v>0</v>
      </c>
      <c r="AJ153" s="569">
        <f t="shared" si="60"/>
        <v>0</v>
      </c>
      <c r="AK153" s="569">
        <f t="shared" si="60"/>
        <v>0</v>
      </c>
      <c r="AL153" s="569">
        <f t="shared" si="60"/>
        <v>0</v>
      </c>
      <c r="AM153" s="569">
        <f t="shared" si="60"/>
        <v>0</v>
      </c>
      <c r="AN153" s="569">
        <f t="shared" si="60"/>
        <v>0</v>
      </c>
      <c r="AO153" s="569">
        <f t="shared" si="60"/>
        <v>0</v>
      </c>
      <c r="AP153" s="569">
        <f t="shared" si="60"/>
        <v>0</v>
      </c>
      <c r="AQ153" s="569">
        <f t="shared" si="60"/>
        <v>0</v>
      </c>
      <c r="AR153" s="569">
        <f t="shared" si="60"/>
        <v>0</v>
      </c>
      <c r="AS153" s="569">
        <f t="shared" si="60"/>
        <v>0</v>
      </c>
      <c r="AT153" s="569">
        <f t="shared" si="60"/>
        <v>0</v>
      </c>
      <c r="AU153" s="569">
        <f t="shared" si="60"/>
        <v>0</v>
      </c>
      <c r="AV153" s="569">
        <f t="shared" si="60"/>
        <v>0</v>
      </c>
      <c r="AW153" s="569">
        <f t="shared" si="60"/>
        <v>0</v>
      </c>
      <c r="AX153" s="569">
        <f t="shared" si="60"/>
        <v>0</v>
      </c>
      <c r="AY153" s="569">
        <f t="shared" si="60"/>
        <v>0</v>
      </c>
      <c r="AZ153" s="569">
        <f t="shared" si="60"/>
        <v>0</v>
      </c>
      <c r="BA153" s="569">
        <f t="shared" si="60"/>
        <v>0</v>
      </c>
      <c r="BB153" s="569">
        <f t="shared" si="60"/>
        <v>0</v>
      </c>
      <c r="BC153" s="1231"/>
      <c r="BD153" s="417"/>
      <c r="BE153" s="417"/>
      <c r="BF153" s="984" t="s">
        <v>703</v>
      </c>
    </row>
    <row r="154" spans="1:58" s="1167" customFormat="1" ht="16.5" customHeight="1" x14ac:dyDescent="0.15">
      <c r="A154" s="973"/>
      <c r="B154" s="773"/>
      <c r="C154" s="1152"/>
      <c r="D154" s="1152"/>
      <c r="E154" s="668">
        <v>17.100000000000001</v>
      </c>
      <c r="F154" s="769" t="str" cm="1">
        <f t="array" aca="1" ref="F154" ca="1">OFFSET(G154,-1,-1)</f>
        <v>1</v>
      </c>
      <c r="G154" s="417"/>
      <c r="H154" s="417"/>
      <c r="I154" s="417"/>
      <c r="J154" s="417"/>
      <c r="K154" s="417"/>
      <c r="L154" s="417"/>
      <c r="M154" s="417"/>
      <c r="N154" s="417"/>
      <c r="O154" s="417"/>
      <c r="P154" s="417"/>
      <c r="Q154" s="417"/>
      <c r="R154" s="417"/>
      <c r="S154" s="417"/>
      <c r="T154" s="679" t="b" cm="1">
        <f t="array" ref="T154">T153</f>
        <v>1</v>
      </c>
      <c r="U154" s="1152"/>
      <c r="V154" s="1152"/>
      <c r="W154" s="1152"/>
      <c r="X154" s="1485"/>
      <c r="Y154" s="1152"/>
      <c r="Z154" s="1485"/>
      <c r="AA154" s="417"/>
      <c r="AB154" s="410" t="s">
        <v>704</v>
      </c>
      <c r="AC154" s="566" t="s">
        <v>667</v>
      </c>
      <c r="AD154" s="343" t="s">
        <v>622</v>
      </c>
      <c r="AE154" s="1241"/>
      <c r="AF154" s="1241"/>
      <c r="AG154" s="1241"/>
      <c r="AH154" s="1241"/>
      <c r="AI154" s="464"/>
      <c r="AJ154" s="1230"/>
      <c r="AK154" s="1230"/>
      <c r="AL154" s="1241"/>
      <c r="AM154" s="1241"/>
      <c r="AN154" s="1241"/>
      <c r="AO154" s="1241"/>
      <c r="AP154" s="1241"/>
      <c r="AQ154" s="1241"/>
      <c r="AR154" s="1241"/>
      <c r="AS154" s="464"/>
      <c r="AT154" s="1230"/>
      <c r="AU154" s="1230"/>
      <c r="AV154" s="1241"/>
      <c r="AW154" s="1241"/>
      <c r="AX154" s="1241"/>
      <c r="AY154" s="1241"/>
      <c r="AZ154" s="1241"/>
      <c r="BA154" s="1241"/>
      <c r="BB154" s="1241"/>
      <c r="BC154" s="1231"/>
      <c r="BD154" s="417"/>
      <c r="BE154" s="417"/>
      <c r="BF154" s="984" t="s">
        <v>705</v>
      </c>
    </row>
    <row r="155" spans="1:58" s="1167" customFormat="1" ht="16.5" customHeight="1" x14ac:dyDescent="0.15">
      <c r="A155" s="973"/>
      <c r="B155" s="773"/>
      <c r="C155" s="1152"/>
      <c r="D155" s="1152"/>
      <c r="E155" s="668">
        <v>17.100000000000001</v>
      </c>
      <c r="F155" s="769" t="str" cm="1">
        <f t="array" aca="1" ref="F155" ca="1">OFFSET(G155,-1,-1)</f>
        <v>1</v>
      </c>
      <c r="G155" s="417"/>
      <c r="H155" s="417"/>
      <c r="I155" s="417"/>
      <c r="J155" s="417"/>
      <c r="K155" s="417"/>
      <c r="L155" s="417"/>
      <c r="M155" s="417"/>
      <c r="N155" s="417"/>
      <c r="O155" s="417"/>
      <c r="P155" s="417"/>
      <c r="Q155" s="417"/>
      <c r="R155" s="417"/>
      <c r="S155" s="417"/>
      <c r="T155" s="679" t="b" cm="1">
        <f t="array" ref="T155">T154</f>
        <v>1</v>
      </c>
      <c r="U155" s="1152"/>
      <c r="V155" s="1152"/>
      <c r="W155" s="1152"/>
      <c r="X155" s="1485"/>
      <c r="Y155" s="1152"/>
      <c r="Z155" s="1485"/>
      <c r="AA155" s="417"/>
      <c r="AB155" s="410" t="s">
        <v>706</v>
      </c>
      <c r="AC155" s="567" t="s">
        <v>669</v>
      </c>
      <c r="AD155" s="118" t="s">
        <v>622</v>
      </c>
      <c r="AE155" s="1236"/>
      <c r="AF155" s="1236"/>
      <c r="AG155" s="1236"/>
      <c r="AH155" s="1236"/>
      <c r="AI155" s="466"/>
      <c r="AJ155" s="1228"/>
      <c r="AK155" s="1228"/>
      <c r="AL155" s="1236"/>
      <c r="AM155" s="1236"/>
      <c r="AN155" s="1236"/>
      <c r="AO155" s="1236"/>
      <c r="AP155" s="1236"/>
      <c r="AQ155" s="1236"/>
      <c r="AR155" s="1236"/>
      <c r="AS155" s="466"/>
      <c r="AT155" s="1228"/>
      <c r="AU155" s="1228"/>
      <c r="AV155" s="1236"/>
      <c r="AW155" s="1236"/>
      <c r="AX155" s="1236"/>
      <c r="AY155" s="1236"/>
      <c r="AZ155" s="1236"/>
      <c r="BA155" s="1236"/>
      <c r="BB155" s="1236"/>
      <c r="BC155" s="1231"/>
      <c r="BD155" s="417"/>
      <c r="BE155" s="417"/>
      <c r="BF155" s="984" t="s">
        <v>707</v>
      </c>
    </row>
    <row r="156" spans="1:58" s="1167" customFormat="1" ht="16.5" customHeight="1" x14ac:dyDescent="0.15">
      <c r="A156" s="973"/>
      <c r="B156" s="773"/>
      <c r="C156" s="1152"/>
      <c r="D156" s="1152"/>
      <c r="E156" s="668">
        <v>17.100000000000001</v>
      </c>
      <c r="F156" s="769" t="str" cm="1">
        <f t="array" aca="1" ref="F156" ca="1">OFFSET(G156,-1,-1)</f>
        <v>1</v>
      </c>
      <c r="G156" s="417"/>
      <c r="H156" s="417"/>
      <c r="I156" s="417"/>
      <c r="J156" s="417"/>
      <c r="K156" s="417"/>
      <c r="L156" s="417"/>
      <c r="M156" s="417"/>
      <c r="N156" s="417"/>
      <c r="O156" s="417"/>
      <c r="P156" s="417"/>
      <c r="Q156" s="417"/>
      <c r="R156" s="417"/>
      <c r="S156" s="417"/>
      <c r="T156" s="679" t="b" cm="1">
        <f t="array" ref="T156">T155</f>
        <v>1</v>
      </c>
      <c r="U156" s="1152"/>
      <c r="V156" s="1152"/>
      <c r="W156" s="1152"/>
      <c r="X156" s="1485"/>
      <c r="Y156" s="1152"/>
      <c r="Z156" s="1485"/>
      <c r="AA156" s="417"/>
      <c r="AB156" s="723" t="s">
        <v>708</v>
      </c>
      <c r="AC156" s="567" t="s">
        <v>671</v>
      </c>
      <c r="AD156" s="343" t="s">
        <v>622</v>
      </c>
      <c r="AE156" s="1232"/>
      <c r="AF156" s="1232"/>
      <c r="AG156" s="1232"/>
      <c r="AH156" s="1232"/>
      <c r="AI156" s="243"/>
      <c r="AJ156" s="1224"/>
      <c r="AK156" s="1224"/>
      <c r="AL156" s="1232"/>
      <c r="AM156" s="1232"/>
      <c r="AN156" s="1232"/>
      <c r="AO156" s="1232"/>
      <c r="AP156" s="1232"/>
      <c r="AQ156" s="1232"/>
      <c r="AR156" s="1232"/>
      <c r="AS156" s="243"/>
      <c r="AT156" s="1224"/>
      <c r="AU156" s="1224"/>
      <c r="AV156" s="1232"/>
      <c r="AW156" s="1232"/>
      <c r="AX156" s="1232"/>
      <c r="AY156" s="1232"/>
      <c r="AZ156" s="1232"/>
      <c r="BA156" s="1232"/>
      <c r="BB156" s="1232"/>
      <c r="BC156" s="1231"/>
      <c r="BD156" s="417"/>
      <c r="BE156" s="417"/>
      <c r="BF156" s="984" t="s">
        <v>709</v>
      </c>
    </row>
    <row r="157" spans="1:58" s="1167" customFormat="1" ht="16.5" customHeight="1" x14ac:dyDescent="0.15">
      <c r="A157" s="973"/>
      <c r="B157" s="773"/>
      <c r="C157" s="1152"/>
      <c r="D157" s="1152"/>
      <c r="E157" s="668">
        <v>17.100000000000001</v>
      </c>
      <c r="F157" s="769" t="str" cm="1">
        <f t="array" aca="1" ref="F157" ca="1">OFFSET(G157,-1,-1)</f>
        <v>1</v>
      </c>
      <c r="G157" s="417"/>
      <c r="H157" s="417"/>
      <c r="I157" s="417"/>
      <c r="J157" s="417"/>
      <c r="K157" s="417"/>
      <c r="L157" s="417"/>
      <c r="M157" s="417"/>
      <c r="N157" s="417"/>
      <c r="O157" s="417"/>
      <c r="P157" s="417"/>
      <c r="Q157" s="417"/>
      <c r="R157" s="417"/>
      <c r="S157" s="417"/>
      <c r="T157" s="679" t="b" cm="1">
        <f t="array" ref="T157">T156</f>
        <v>1</v>
      </c>
      <c r="U157" s="1152"/>
      <c r="V157" s="1152"/>
      <c r="W157" s="1152"/>
      <c r="X157" s="1485"/>
      <c r="Y157" s="1152"/>
      <c r="Z157" s="1485"/>
      <c r="AA157" s="417"/>
      <c r="AB157" s="724" t="s">
        <v>710</v>
      </c>
      <c r="AC157" s="567" t="s">
        <v>673</v>
      </c>
      <c r="AD157" s="343" t="s">
        <v>622</v>
      </c>
      <c r="AE157" s="1232"/>
      <c r="AF157" s="1232"/>
      <c r="AG157" s="1232"/>
      <c r="AH157" s="1232"/>
      <c r="AI157" s="243"/>
      <c r="AJ157" s="1224"/>
      <c r="AK157" s="1224"/>
      <c r="AL157" s="1232"/>
      <c r="AM157" s="1232"/>
      <c r="AN157" s="1232"/>
      <c r="AO157" s="1232"/>
      <c r="AP157" s="1232"/>
      <c r="AQ157" s="1232"/>
      <c r="AR157" s="1232"/>
      <c r="AS157" s="243"/>
      <c r="AT157" s="1224"/>
      <c r="AU157" s="1224"/>
      <c r="AV157" s="1232"/>
      <c r="AW157" s="1232"/>
      <c r="AX157" s="1232"/>
      <c r="AY157" s="1232"/>
      <c r="AZ157" s="1232"/>
      <c r="BA157" s="1232"/>
      <c r="BB157" s="1232"/>
      <c r="BC157" s="1231"/>
      <c r="BD157" s="417"/>
      <c r="BE157" s="417"/>
      <c r="BF157" s="984" t="s">
        <v>711</v>
      </c>
    </row>
    <row r="158" spans="1:58" s="1167" customFormat="1" ht="24.75" hidden="1" customHeight="1" x14ac:dyDescent="0.15">
      <c r="A158" s="973"/>
      <c r="B158" s="773"/>
      <c r="C158" s="1152"/>
      <c r="D158" s="1152"/>
      <c r="E158" s="668">
        <v>25.5</v>
      </c>
      <c r="F158" s="769" t="str" cm="1">
        <f t="array" aca="1" ref="F158" ca="1">OFFSET(G158,-1,-1)</f>
        <v>1</v>
      </c>
      <c r="G158" s="417"/>
      <c r="H158" s="417"/>
      <c r="I158" s="417"/>
      <c r="J158" s="417"/>
      <c r="K158" s="417"/>
      <c r="L158" s="417"/>
      <c r="M158" s="417"/>
      <c r="N158" s="417"/>
      <c r="O158" s="612" t="s">
        <v>712</v>
      </c>
      <c r="P158" s="417"/>
      <c r="Q158" s="417"/>
      <c r="R158" s="417"/>
      <c r="S158" s="417"/>
      <c r="T158" s="679" t="b">
        <f>AND(T157,H96="двухставочный")</f>
        <v>0</v>
      </c>
      <c r="U158" s="1152"/>
      <c r="V158" s="1152"/>
      <c r="W158" s="1152"/>
      <c r="X158" s="1485"/>
      <c r="Y158" s="1152"/>
      <c r="Z158" s="1485"/>
      <c r="AA158" s="417"/>
      <c r="AB158" s="268" t="s">
        <v>713</v>
      </c>
      <c r="AC158" s="491" t="s">
        <v>714</v>
      </c>
      <c r="AD158" s="427" t="s">
        <v>715</v>
      </c>
      <c r="AE158" s="568">
        <f t="shared" ref="AE158:BB158" si="61">SUM(AE159:AE162)</f>
        <v>0</v>
      </c>
      <c r="AF158" s="305">
        <f t="shared" si="61"/>
        <v>0</v>
      </c>
      <c r="AG158" s="305">
        <f t="shared" si="61"/>
        <v>0</v>
      </c>
      <c r="AH158" s="305">
        <f t="shared" si="61"/>
        <v>0</v>
      </c>
      <c r="AI158" s="305">
        <f t="shared" si="61"/>
        <v>0</v>
      </c>
      <c r="AJ158" s="305">
        <f t="shared" si="61"/>
        <v>0</v>
      </c>
      <c r="AK158" s="305">
        <f t="shared" si="61"/>
        <v>0</v>
      </c>
      <c r="AL158" s="305">
        <f t="shared" si="61"/>
        <v>0</v>
      </c>
      <c r="AM158" s="305">
        <f t="shared" si="61"/>
        <v>0</v>
      </c>
      <c r="AN158" s="305">
        <f t="shared" si="61"/>
        <v>0</v>
      </c>
      <c r="AO158" s="305">
        <f t="shared" si="61"/>
        <v>0</v>
      </c>
      <c r="AP158" s="305">
        <f t="shared" si="61"/>
        <v>0</v>
      </c>
      <c r="AQ158" s="305">
        <f t="shared" si="61"/>
        <v>0</v>
      </c>
      <c r="AR158" s="305">
        <f t="shared" si="61"/>
        <v>0</v>
      </c>
      <c r="AS158" s="305">
        <f t="shared" si="61"/>
        <v>0</v>
      </c>
      <c r="AT158" s="305">
        <f t="shared" si="61"/>
        <v>0</v>
      </c>
      <c r="AU158" s="305">
        <f t="shared" si="61"/>
        <v>0</v>
      </c>
      <c r="AV158" s="305">
        <f t="shared" si="61"/>
        <v>0</v>
      </c>
      <c r="AW158" s="305">
        <f t="shared" si="61"/>
        <v>0</v>
      </c>
      <c r="AX158" s="305">
        <f t="shared" si="61"/>
        <v>0</v>
      </c>
      <c r="AY158" s="305">
        <f t="shared" si="61"/>
        <v>0</v>
      </c>
      <c r="AZ158" s="305">
        <f t="shared" si="61"/>
        <v>0</v>
      </c>
      <c r="BA158" s="305">
        <f t="shared" si="61"/>
        <v>0</v>
      </c>
      <c r="BB158" s="305">
        <f t="shared" si="61"/>
        <v>0</v>
      </c>
      <c r="BC158" s="25"/>
      <c r="BD158" s="417"/>
      <c r="BE158" s="417"/>
      <c r="BF158" s="984" t="s">
        <v>716</v>
      </c>
    </row>
    <row r="159" spans="1:58" s="1167" customFormat="1" ht="16.5" hidden="1" customHeight="1" x14ac:dyDescent="0.15">
      <c r="A159" s="973"/>
      <c r="B159" s="773"/>
      <c r="C159" s="1152"/>
      <c r="D159" s="1152"/>
      <c r="E159" s="668">
        <v>17.100000000000001</v>
      </c>
      <c r="F159" s="769" t="str" cm="1">
        <f t="array" aca="1" ref="F159" ca="1">OFFSET(G159,-1,-1)</f>
        <v>1</v>
      </c>
      <c r="G159" s="417"/>
      <c r="H159" s="417"/>
      <c r="I159" s="417"/>
      <c r="J159" s="417"/>
      <c r="K159" s="417"/>
      <c r="L159" s="417"/>
      <c r="M159" s="417"/>
      <c r="N159" s="417"/>
      <c r="O159" s="612" t="s">
        <v>712</v>
      </c>
      <c r="P159" s="417"/>
      <c r="Q159" s="417"/>
      <c r="R159" s="417"/>
      <c r="S159" s="417"/>
      <c r="T159" s="679" t="b" cm="1">
        <f t="array" ref="T159">T158</f>
        <v>0</v>
      </c>
      <c r="U159" s="1152"/>
      <c r="V159" s="1152"/>
      <c r="W159" s="1152"/>
      <c r="X159" s="1485"/>
      <c r="Y159" s="1152"/>
      <c r="Z159" s="1485"/>
      <c r="AA159" s="417"/>
      <c r="AB159" s="716" t="str">
        <f>AB158&amp;".1"</f>
        <v>10.1</v>
      </c>
      <c r="AC159" s="465" t="s">
        <v>667</v>
      </c>
      <c r="AD159" s="427" t="s">
        <v>715</v>
      </c>
      <c r="AE159" s="26"/>
      <c r="AF159" s="26"/>
      <c r="AG159" s="26"/>
      <c r="AH159" s="26"/>
      <c r="AI159" s="243"/>
      <c r="AJ159" s="1224"/>
      <c r="AK159" s="1224"/>
      <c r="AL159" s="26"/>
      <c r="AM159" s="26"/>
      <c r="AN159" s="26"/>
      <c r="AO159" s="26"/>
      <c r="AP159" s="26"/>
      <c r="AQ159" s="26"/>
      <c r="AR159" s="26"/>
      <c r="AS159" s="243"/>
      <c r="AT159" s="1224"/>
      <c r="AU159" s="1224"/>
      <c r="AV159" s="26"/>
      <c r="AW159" s="26"/>
      <c r="AX159" s="26"/>
      <c r="AY159" s="26"/>
      <c r="AZ159" s="26"/>
      <c r="BA159" s="26"/>
      <c r="BB159" s="35"/>
      <c r="BC159" s="25"/>
      <c r="BD159" s="417"/>
      <c r="BE159" s="417"/>
      <c r="BF159" s="984" t="s">
        <v>717</v>
      </c>
    </row>
    <row r="160" spans="1:58" s="1167" customFormat="1" ht="16.5" hidden="1" customHeight="1" x14ac:dyDescent="0.15">
      <c r="A160" s="973"/>
      <c r="B160" s="773"/>
      <c r="C160" s="1152"/>
      <c r="D160" s="1152"/>
      <c r="E160" s="668">
        <v>17.100000000000001</v>
      </c>
      <c r="F160" s="769" t="str" cm="1">
        <f t="array" aca="1" ref="F160" ca="1">OFFSET(G160,-1,-1)</f>
        <v>1</v>
      </c>
      <c r="G160" s="417"/>
      <c r="H160" s="417"/>
      <c r="I160" s="417"/>
      <c r="J160" s="417"/>
      <c r="K160" s="417"/>
      <c r="L160" s="417"/>
      <c r="M160" s="417"/>
      <c r="N160" s="417"/>
      <c r="O160" s="612" t="s">
        <v>712</v>
      </c>
      <c r="P160" s="417"/>
      <c r="Q160" s="417"/>
      <c r="R160" s="417"/>
      <c r="S160" s="417"/>
      <c r="T160" s="679" t="b" cm="1">
        <f t="array" ref="T160">T159</f>
        <v>0</v>
      </c>
      <c r="U160" s="1152"/>
      <c r="V160" s="1152"/>
      <c r="W160" s="1152"/>
      <c r="X160" s="1485"/>
      <c r="Y160" s="1152"/>
      <c r="Z160" s="1485"/>
      <c r="AA160" s="417"/>
      <c r="AB160" s="716" t="str">
        <f>AB158&amp;".2"</f>
        <v>10.2</v>
      </c>
      <c r="AC160" s="347" t="s">
        <v>669</v>
      </c>
      <c r="AD160" s="427" t="s">
        <v>715</v>
      </c>
      <c r="AE160" s="26"/>
      <c r="AF160" s="26"/>
      <c r="AG160" s="26"/>
      <c r="AH160" s="26"/>
      <c r="AI160" s="243"/>
      <c r="AJ160" s="1224"/>
      <c r="AK160" s="1224"/>
      <c r="AL160" s="26"/>
      <c r="AM160" s="26"/>
      <c r="AN160" s="26"/>
      <c r="AO160" s="26"/>
      <c r="AP160" s="26"/>
      <c r="AQ160" s="26"/>
      <c r="AR160" s="26"/>
      <c r="AS160" s="243"/>
      <c r="AT160" s="1224"/>
      <c r="AU160" s="1224"/>
      <c r="AV160" s="26"/>
      <c r="AW160" s="26"/>
      <c r="AX160" s="26"/>
      <c r="AY160" s="26"/>
      <c r="AZ160" s="26"/>
      <c r="BA160" s="26"/>
      <c r="BB160" s="35"/>
      <c r="BC160" s="25"/>
      <c r="BD160" s="417"/>
      <c r="BE160" s="417"/>
      <c r="BF160" s="984" t="s">
        <v>718</v>
      </c>
    </row>
    <row r="161" spans="1:58" s="1167" customFormat="1" ht="16.5" hidden="1" customHeight="1" x14ac:dyDescent="0.15">
      <c r="A161" s="973"/>
      <c r="B161" s="773"/>
      <c r="C161" s="1152"/>
      <c r="D161" s="1152"/>
      <c r="E161" s="668">
        <v>17.100000000000001</v>
      </c>
      <c r="F161" s="769" t="str" cm="1">
        <f t="array" aca="1" ref="F161" ca="1">OFFSET(G161,-1,-1)</f>
        <v>1</v>
      </c>
      <c r="G161" s="417"/>
      <c r="H161" s="417"/>
      <c r="I161" s="417"/>
      <c r="J161" s="417"/>
      <c r="K161" s="417"/>
      <c r="L161" s="417"/>
      <c r="M161" s="417"/>
      <c r="N161" s="417"/>
      <c r="O161" s="612" t="s">
        <v>712</v>
      </c>
      <c r="P161" s="417"/>
      <c r="Q161" s="417"/>
      <c r="R161" s="417"/>
      <c r="S161" s="417"/>
      <c r="T161" s="679" t="b" cm="1">
        <f t="array" ref="T161">T160</f>
        <v>0</v>
      </c>
      <c r="U161" s="1152"/>
      <c r="V161" s="1152"/>
      <c r="W161" s="1152"/>
      <c r="X161" s="1485"/>
      <c r="Y161" s="1152"/>
      <c r="Z161" s="1485"/>
      <c r="AA161" s="417"/>
      <c r="AB161" s="716" t="str">
        <f>AB158&amp;".3"</f>
        <v>10.3</v>
      </c>
      <c r="AC161" s="347" t="s">
        <v>671</v>
      </c>
      <c r="AD161" s="427" t="s">
        <v>715</v>
      </c>
      <c r="AE161" s="26"/>
      <c r="AF161" s="26"/>
      <c r="AG161" s="26"/>
      <c r="AH161" s="26"/>
      <c r="AI161" s="243"/>
      <c r="AJ161" s="1224"/>
      <c r="AK161" s="1224"/>
      <c r="AL161" s="26"/>
      <c r="AM161" s="26"/>
      <c r="AN161" s="26"/>
      <c r="AO161" s="26"/>
      <c r="AP161" s="26"/>
      <c r="AQ161" s="26"/>
      <c r="AR161" s="26"/>
      <c r="AS161" s="243"/>
      <c r="AT161" s="1224"/>
      <c r="AU161" s="1224"/>
      <c r="AV161" s="26"/>
      <c r="AW161" s="26"/>
      <c r="AX161" s="26"/>
      <c r="AY161" s="26"/>
      <c r="AZ161" s="26"/>
      <c r="BA161" s="26"/>
      <c r="BB161" s="35"/>
      <c r="BC161" s="25"/>
      <c r="BD161" s="417"/>
      <c r="BE161" s="417"/>
      <c r="BF161" s="984" t="s">
        <v>719</v>
      </c>
    </row>
    <row r="162" spans="1:58" s="1167" customFormat="1" ht="16.5" hidden="1" customHeight="1" x14ac:dyDescent="0.15">
      <c r="A162" s="973"/>
      <c r="B162" s="773"/>
      <c r="C162" s="1152"/>
      <c r="D162" s="1152"/>
      <c r="E162" s="668">
        <v>17.100000000000001</v>
      </c>
      <c r="F162" s="769" t="str" cm="1">
        <f t="array" aca="1" ref="F162" ca="1">OFFSET(G162,-1,-1)</f>
        <v>1</v>
      </c>
      <c r="G162" s="417"/>
      <c r="H162" s="417"/>
      <c r="I162" s="417"/>
      <c r="J162" s="417"/>
      <c r="K162" s="417"/>
      <c r="L162" s="417"/>
      <c r="M162" s="417"/>
      <c r="N162" s="417"/>
      <c r="O162" s="612" t="s">
        <v>712</v>
      </c>
      <c r="P162" s="417"/>
      <c r="Q162" s="417"/>
      <c r="R162" s="417"/>
      <c r="S162" s="417"/>
      <c r="T162" s="679" t="b" cm="1">
        <f t="array" ref="T162">T161</f>
        <v>0</v>
      </c>
      <c r="U162" s="1152"/>
      <c r="V162" s="1152"/>
      <c r="W162" s="1152"/>
      <c r="X162" s="1485"/>
      <c r="Y162" s="1152"/>
      <c r="Z162" s="1485"/>
      <c r="AA162" s="417"/>
      <c r="AB162" s="716" t="str">
        <f>AB158&amp;".4"</f>
        <v>10.4</v>
      </c>
      <c r="AC162" s="347" t="s">
        <v>673</v>
      </c>
      <c r="AD162" s="493" t="s">
        <v>715</v>
      </c>
      <c r="AE162" s="27"/>
      <c r="AF162" s="27"/>
      <c r="AG162" s="27"/>
      <c r="AH162" s="27"/>
      <c r="AI162" s="490"/>
      <c r="AJ162" s="1225"/>
      <c r="AK162" s="1225"/>
      <c r="AL162" s="27"/>
      <c r="AM162" s="27"/>
      <c r="AN162" s="27"/>
      <c r="AO162" s="27"/>
      <c r="AP162" s="27"/>
      <c r="AQ162" s="27"/>
      <c r="AR162" s="27"/>
      <c r="AS162" s="490"/>
      <c r="AT162" s="1225"/>
      <c r="AU162" s="1225"/>
      <c r="AV162" s="27"/>
      <c r="AW162" s="27"/>
      <c r="AX162" s="27"/>
      <c r="AY162" s="27"/>
      <c r="AZ162" s="27"/>
      <c r="BA162" s="27"/>
      <c r="BB162" s="36"/>
      <c r="BC162" s="20"/>
      <c r="BD162" s="417"/>
      <c r="BE162" s="417"/>
      <c r="BF162" s="984" t="s">
        <v>720</v>
      </c>
    </row>
    <row r="163" spans="1:58" s="1167" customFormat="1" ht="52.5" hidden="1" customHeight="1" x14ac:dyDescent="0.15">
      <c r="A163" s="973"/>
      <c r="B163" s="773"/>
      <c r="C163" s="1152"/>
      <c r="D163" s="1152"/>
      <c r="E163" s="668">
        <v>54</v>
      </c>
      <c r="F163" s="769" t="str" cm="1">
        <f t="array" aca="1" ref="F163" ca="1">OFFSET(G163,-1,-1)</f>
        <v>1</v>
      </c>
      <c r="G163" s="417"/>
      <c r="H163" s="417"/>
      <c r="I163" s="417"/>
      <c r="J163" s="417"/>
      <c r="K163" s="417"/>
      <c r="L163" s="417"/>
      <c r="M163" s="417"/>
      <c r="N163" s="417"/>
      <c r="O163" s="612" t="s">
        <v>712</v>
      </c>
      <c r="P163" s="417"/>
      <c r="Q163" s="417"/>
      <c r="R163" s="417"/>
      <c r="S163" s="417"/>
      <c r="T163" s="679" t="b" cm="1">
        <f t="array" ref="T163">T162</f>
        <v>0</v>
      </c>
      <c r="U163" s="1152"/>
      <c r="V163" s="1152"/>
      <c r="W163" s="1152"/>
      <c r="X163" s="1485"/>
      <c r="Y163" s="1152"/>
      <c r="Z163" s="1485"/>
      <c r="AA163" s="417"/>
      <c r="AB163" s="268" t="s">
        <v>721</v>
      </c>
      <c r="AC163" s="492" t="s">
        <v>722</v>
      </c>
      <c r="AD163" s="105"/>
      <c r="AE163" s="26"/>
      <c r="AF163" s="26"/>
      <c r="AG163" s="26"/>
      <c r="AH163" s="26"/>
      <c r="AI163" s="243"/>
      <c r="AJ163" s="1224"/>
      <c r="AK163" s="1224"/>
      <c r="AL163" s="26"/>
      <c r="AM163" s="26"/>
      <c r="AN163" s="26"/>
      <c r="AO163" s="26"/>
      <c r="AP163" s="26"/>
      <c r="AQ163" s="26"/>
      <c r="AR163" s="26"/>
      <c r="AS163" s="243"/>
      <c r="AT163" s="1224"/>
      <c r="AU163" s="1224"/>
      <c r="AV163" s="26"/>
      <c r="AW163" s="26"/>
      <c r="AX163" s="26"/>
      <c r="AY163" s="26"/>
      <c r="AZ163" s="26"/>
      <c r="BA163" s="26"/>
      <c r="BB163" s="26"/>
      <c r="BC163" s="31"/>
      <c r="BD163" s="417"/>
      <c r="BE163" s="417"/>
      <c r="BF163" s="984" t="s">
        <v>723</v>
      </c>
    </row>
    <row r="164" spans="1:58" ht="11.1" customHeight="1" x14ac:dyDescent="0.15">
      <c r="E164" s="668">
        <v>11.4</v>
      </c>
      <c r="U164" s="123" t="s">
        <v>239</v>
      </c>
      <c r="V164" s="119" t="s">
        <v>724</v>
      </c>
    </row>
    <row r="165" spans="1:58" ht="11.25" hidden="1" customHeight="1" x14ac:dyDescent="0.15">
      <c r="E165" s="668">
        <v>0</v>
      </c>
      <c r="V165" s="126"/>
    </row>
    <row r="166" spans="1:58" ht="14.65" customHeight="1" x14ac:dyDescent="0.15">
      <c r="E166" s="668">
        <v>15</v>
      </c>
      <c r="V166" s="126"/>
      <c r="AB166" s="1502" t="s">
        <v>725</v>
      </c>
      <c r="AC166" s="1502"/>
      <c r="AD166" s="1502"/>
      <c r="AE166" s="1503"/>
      <c r="AF166" s="1503"/>
      <c r="AG166" s="1503"/>
      <c r="AH166" s="1503"/>
      <c r="AI166" s="1503"/>
      <c r="AJ166" s="1503"/>
      <c r="AK166" s="1503"/>
      <c r="AL166" s="1503"/>
      <c r="AM166" s="1503"/>
      <c r="AN166" s="1503"/>
      <c r="AO166" s="1503"/>
      <c r="AP166" s="1503"/>
      <c r="AQ166" s="1503"/>
      <c r="AR166" s="1503"/>
      <c r="AS166" s="1503"/>
      <c r="AT166" s="1503"/>
      <c r="AU166" s="1503"/>
      <c r="AV166" s="1503"/>
      <c r="AW166" s="1503"/>
      <c r="AX166" s="1503"/>
      <c r="AY166" s="1503"/>
      <c r="AZ166" s="1503"/>
      <c r="BA166" s="1503"/>
      <c r="BB166" s="1503"/>
      <c r="BC166" s="1503"/>
    </row>
    <row r="167" spans="1:58" ht="14.65" customHeight="1" x14ac:dyDescent="0.15">
      <c r="E167" s="668">
        <v>15</v>
      </c>
      <c r="V167" s="126"/>
      <c r="AA167" s="768"/>
      <c r="AB167" s="1504"/>
      <c r="AC167" s="1505"/>
      <c r="AD167" s="1505"/>
      <c r="AE167" s="1505"/>
      <c r="AF167" s="1505"/>
      <c r="AG167" s="1505"/>
      <c r="AH167" s="1505"/>
      <c r="AI167" s="1505"/>
      <c r="AJ167" s="1506"/>
      <c r="AK167" s="1506"/>
      <c r="AL167" s="1506"/>
      <c r="AM167" s="1506"/>
      <c r="AN167" s="1506"/>
      <c r="AO167" s="1506"/>
      <c r="AP167" s="1506"/>
      <c r="AQ167" s="1506"/>
      <c r="AR167" s="1506"/>
      <c r="AS167" s="1505"/>
      <c r="AT167" s="1506"/>
      <c r="AU167" s="1506"/>
      <c r="AV167" s="1506"/>
      <c r="AW167" s="1506"/>
      <c r="AX167" s="1506"/>
      <c r="AY167" s="1506"/>
      <c r="AZ167" s="1506"/>
      <c r="BA167" s="1506"/>
      <c r="BB167" s="1506"/>
      <c r="BC167" s="1507"/>
    </row>
    <row r="168" spans="1:58" ht="14.65" hidden="1" customHeight="1" x14ac:dyDescent="0.15">
      <c r="E168" s="668">
        <v>15</v>
      </c>
      <c r="T168" s="123" t="b">
        <f>ROW(W168)&gt;ROW(W$168)</f>
        <v>0</v>
      </c>
      <c r="V168" s="126"/>
      <c r="W168" s="123" t="s">
        <v>237</v>
      </c>
      <c r="AA168" s="764" t="s">
        <v>218</v>
      </c>
      <c r="AB168" s="1508"/>
      <c r="AC168" s="1506"/>
      <c r="AD168" s="1506"/>
      <c r="AE168" s="1506"/>
      <c r="AF168" s="1506"/>
      <c r="AG168" s="1506"/>
      <c r="AH168" s="1506"/>
      <c r="AI168" s="1505"/>
      <c r="AJ168" s="1506"/>
      <c r="AK168" s="1506"/>
      <c r="AL168" s="1506"/>
      <c r="AM168" s="1506"/>
      <c r="AN168" s="1506"/>
      <c r="AO168" s="1506"/>
      <c r="AP168" s="1506"/>
      <c r="AQ168" s="1506"/>
      <c r="AR168" s="1506"/>
      <c r="AS168" s="1505"/>
      <c r="AT168" s="1506"/>
      <c r="AU168" s="1506"/>
      <c r="AV168" s="1506"/>
      <c r="AW168" s="1506"/>
      <c r="AX168" s="1506"/>
      <c r="AY168" s="1506"/>
      <c r="AZ168" s="1506"/>
      <c r="BA168" s="1506"/>
      <c r="BB168" s="1506"/>
      <c r="BC168" s="1509"/>
    </row>
    <row r="169" spans="1:58" ht="14.65" customHeight="1" x14ac:dyDescent="0.15">
      <c r="E169" s="668">
        <v>15</v>
      </c>
      <c r="W169" s="119" t="s">
        <v>238</v>
      </c>
      <c r="AB169" s="1500" t="s">
        <v>726</v>
      </c>
      <c r="AC169" s="1501"/>
      <c r="AD169" s="317"/>
      <c r="AE169" s="318"/>
      <c r="AF169" s="318"/>
      <c r="AG169" s="318"/>
      <c r="AH169" s="318"/>
      <c r="AI169" s="318"/>
      <c r="AJ169" s="318"/>
      <c r="AK169" s="318"/>
      <c r="AL169" s="318"/>
      <c r="AM169" s="318"/>
      <c r="AN169" s="318"/>
      <c r="AO169" s="318"/>
      <c r="AP169" s="318"/>
      <c r="AQ169" s="318"/>
      <c r="AR169" s="318"/>
      <c r="AS169" s="318"/>
      <c r="AT169" s="318"/>
      <c r="AU169" s="318"/>
      <c r="AV169" s="318"/>
      <c r="AW169" s="318"/>
      <c r="AX169" s="318"/>
      <c r="AY169" s="318"/>
      <c r="AZ169" s="318"/>
      <c r="BA169" s="318"/>
      <c r="BB169" s="318"/>
      <c r="BC169" s="290"/>
    </row>
    <row r="170" spans="1:58" ht="11.25" customHeight="1" x14ac:dyDescent="0.15">
      <c r="BD170" s="160"/>
    </row>
  </sheetData>
  <sheetProtection formatColumns="0" formatRows="0" insertRows="0" deleteColumns="0" deleteRows="0" sort="0" autoFilter="0"/>
  <mergeCells count="13">
    <mergeCell ref="X28:X95"/>
    <mergeCell ref="Z28:Z95"/>
    <mergeCell ref="AB169:AC169"/>
    <mergeCell ref="AB166:BC166"/>
    <mergeCell ref="AB167:BC167"/>
    <mergeCell ref="AB168:BC168"/>
    <mergeCell ref="X96:X163"/>
    <mergeCell ref="Z96:Z163"/>
    <mergeCell ref="AB24:BC24"/>
    <mergeCell ref="AD25:AD26"/>
    <mergeCell ref="BC25:BC26"/>
    <mergeCell ref="AB25:AB26"/>
    <mergeCell ref="AC25:AC26"/>
  </mergeCells>
  <dataValidations count="2">
    <dataValidation allowBlank="1" showInputMessage="1" showErrorMessage="1" sqref="AC90 AC95 AC158 AC163" xr:uid="{00000000-0002-0000-0900-000000000000}"/>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xr:uid="{00000000-0002-0000-0900-000001000000}">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2D426-4A69-05E8-54B8-BC1F8C6B55D8}">
  <sheetPr>
    <tabColor theme="6" tint="0.39997558519241921"/>
    <outlinePr summaryBelow="0" summaryRight="0"/>
  </sheetPr>
  <dimension ref="A1:BF48"/>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6.28515625" style="973" hidden="1" customWidth="1"/>
    <col min="2" max="2" width="8.5703125" style="773" hidden="1" customWidth="1"/>
    <col min="3" max="4" width="3.5703125" style="1152" hidden="1" customWidth="1"/>
    <col min="5" max="5" width="8.42578125" style="772" hidden="1" customWidth="1"/>
    <col min="6" max="6" width="6.42578125" style="1152" hidden="1" customWidth="1"/>
    <col min="7" max="19" width="3.5703125" style="417"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17" customWidth="1"/>
    <col min="28" max="28" width="9.140625" style="162" customWidth="1"/>
    <col min="29" max="29" width="60.140625" style="162" customWidth="1"/>
    <col min="30" max="30" width="10.42578125" style="162" customWidth="1"/>
    <col min="31" max="35" width="13.140625" style="417" customWidth="1"/>
    <col min="36" max="44" width="13.140625" style="417" hidden="1" customWidth="1"/>
    <col min="45" max="45" width="13.140625" style="417" customWidth="1"/>
    <col min="46" max="54" width="13.140625" style="417" hidden="1" customWidth="1"/>
    <col min="55" max="55" width="20.140625" style="162" customWidth="1"/>
    <col min="56" max="56" width="3" style="417" customWidth="1"/>
    <col min="57" max="57" width="9.140625" style="417" hidden="1"/>
    <col min="58" max="58" width="9.140625" style="1006" hidden="1"/>
  </cols>
  <sheetData>
    <row r="1" spans="1:58" s="1152" customFormat="1" ht="12" hidden="1" customHeight="1" x14ac:dyDescent="0.15">
      <c r="A1" s="973" t="b">
        <f>OR(T27:T42)</f>
        <v>0</v>
      </c>
      <c r="B1" s="659"/>
      <c r="E1" s="659"/>
      <c r="F1" s="690" t="s">
        <v>83</v>
      </c>
      <c r="G1" s="160"/>
      <c r="H1" s="160"/>
      <c r="I1" s="160"/>
      <c r="J1" s="160"/>
      <c r="K1" s="160"/>
      <c r="L1" s="160"/>
      <c r="M1" s="160"/>
      <c r="N1" s="160"/>
      <c r="O1" s="160"/>
      <c r="P1" s="160"/>
      <c r="Q1" s="160"/>
      <c r="R1" s="160"/>
      <c r="S1" s="160"/>
      <c r="T1" s="679" t="s">
        <v>86</v>
      </c>
      <c r="U1" s="679" t="s">
        <v>91</v>
      </c>
      <c r="V1" s="679" t="s">
        <v>87</v>
      </c>
      <c r="W1" s="679" t="s">
        <v>88</v>
      </c>
      <c r="X1" s="679" t="s">
        <v>89</v>
      </c>
      <c r="Y1" s="690" t="s">
        <v>374</v>
      </c>
      <c r="Z1" s="679" t="s">
        <v>93</v>
      </c>
      <c r="AA1" s="690" t="s">
        <v>90</v>
      </c>
      <c r="AB1" s="690" t="s">
        <v>92</v>
      </c>
      <c r="AC1" s="119"/>
      <c r="AD1" s="119"/>
      <c r="BC1" s="119"/>
      <c r="BF1" s="957" t="s">
        <v>375</v>
      </c>
    </row>
    <row r="2" spans="1:58" s="773" customFormat="1" ht="12" hidden="1" customHeight="1" x14ac:dyDescent="0.15">
      <c r="A2" s="981"/>
      <c r="B2" s="758" t="s">
        <v>15</v>
      </c>
      <c r="G2" s="776"/>
      <c r="H2" s="776"/>
      <c r="I2" s="776"/>
      <c r="J2" s="776"/>
      <c r="K2" s="776"/>
      <c r="L2" s="776"/>
      <c r="M2" s="776"/>
      <c r="N2" s="776"/>
      <c r="O2" s="776"/>
      <c r="P2" s="776"/>
      <c r="Q2" s="776"/>
      <c r="R2" s="776"/>
      <c r="S2" s="776"/>
      <c r="AB2" s="663"/>
      <c r="AC2" s="663"/>
      <c r="AD2" s="663"/>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63"/>
      <c r="BF2" s="986"/>
    </row>
    <row r="3" spans="1:58" s="1152" customFormat="1" ht="12" hidden="1" customHeight="1" x14ac:dyDescent="0.15">
      <c r="A3" s="973"/>
      <c r="B3" s="659"/>
      <c r="E3" s="659"/>
      <c r="G3" s="160"/>
      <c r="H3" s="160"/>
      <c r="I3" s="160"/>
      <c r="J3" s="160"/>
      <c r="K3" s="160"/>
      <c r="L3" s="160"/>
      <c r="M3" s="160"/>
      <c r="N3" s="160"/>
      <c r="O3" s="160"/>
      <c r="P3" s="160"/>
      <c r="Q3" s="160"/>
      <c r="R3" s="160"/>
      <c r="S3" s="160"/>
      <c r="AB3" s="119"/>
      <c r="AC3" s="119"/>
      <c r="AD3" s="119"/>
      <c r="BC3" s="119"/>
      <c r="BF3" s="957"/>
    </row>
    <row r="4" spans="1:58" s="1152" customFormat="1" ht="12" hidden="1" customHeight="1" x14ac:dyDescent="0.15">
      <c r="A4" s="973"/>
      <c r="B4" s="659"/>
      <c r="E4" s="659"/>
      <c r="G4" s="160"/>
      <c r="H4" s="160"/>
      <c r="I4" s="160"/>
      <c r="J4" s="160"/>
      <c r="K4" s="160"/>
      <c r="L4" s="160"/>
      <c r="M4" s="160"/>
      <c r="N4" s="160"/>
      <c r="O4" s="160"/>
      <c r="P4" s="160"/>
      <c r="Q4" s="160"/>
      <c r="R4" s="160"/>
      <c r="S4" s="160"/>
      <c r="AB4" s="119"/>
      <c r="AC4" s="119"/>
      <c r="AD4" s="119"/>
      <c r="BC4" s="119"/>
      <c r="BF4" s="957"/>
    </row>
    <row r="5" spans="1:58" s="772" customFormat="1" ht="12" hidden="1" customHeight="1" x14ac:dyDescent="0.15">
      <c r="A5" s="981"/>
      <c r="B5" s="659"/>
      <c r="C5" s="659"/>
      <c r="D5" s="659"/>
      <c r="E5" s="668" t="s">
        <v>16</v>
      </c>
      <c r="G5" s="777"/>
      <c r="H5" s="777"/>
      <c r="I5" s="777"/>
      <c r="J5" s="777"/>
      <c r="K5" s="777"/>
      <c r="L5" s="777"/>
      <c r="M5" s="777"/>
      <c r="N5" s="777"/>
      <c r="O5" s="777"/>
      <c r="P5" s="777"/>
      <c r="Q5" s="777"/>
      <c r="R5" s="777"/>
      <c r="S5" s="777"/>
      <c r="AA5" s="668">
        <v>3</v>
      </c>
      <c r="AB5" s="674">
        <v>9.1300000000000008</v>
      </c>
      <c r="AC5" s="674">
        <v>60.13</v>
      </c>
      <c r="AD5" s="674">
        <v>10.38</v>
      </c>
      <c r="AE5" s="668">
        <v>13.13</v>
      </c>
      <c r="AF5" s="668">
        <v>13.13</v>
      </c>
      <c r="AG5" s="668">
        <v>13.13</v>
      </c>
      <c r="AH5" s="668">
        <v>13.13</v>
      </c>
      <c r="AI5" s="668">
        <v>13.13</v>
      </c>
      <c r="AJ5" s="668">
        <v>13.13</v>
      </c>
      <c r="AK5" s="668">
        <v>13.13</v>
      </c>
      <c r="AL5" s="668">
        <v>13.13</v>
      </c>
      <c r="AM5" s="668">
        <v>13.13</v>
      </c>
      <c r="AN5" s="668">
        <v>13.13</v>
      </c>
      <c r="AO5" s="668">
        <v>13.13</v>
      </c>
      <c r="AP5" s="668">
        <v>13.13</v>
      </c>
      <c r="AQ5" s="668">
        <v>13.13</v>
      </c>
      <c r="AR5" s="668">
        <v>13.13</v>
      </c>
      <c r="AS5" s="668">
        <v>13.13</v>
      </c>
      <c r="AT5" s="668">
        <v>13.13</v>
      </c>
      <c r="AU5" s="668">
        <v>13.13</v>
      </c>
      <c r="AV5" s="668">
        <v>13.13</v>
      </c>
      <c r="AW5" s="668">
        <v>13.13</v>
      </c>
      <c r="AX5" s="668">
        <v>13.13</v>
      </c>
      <c r="AY5" s="668">
        <v>13.13</v>
      </c>
      <c r="AZ5" s="668">
        <v>13.13</v>
      </c>
      <c r="BA5" s="668">
        <v>13.13</v>
      </c>
      <c r="BB5" s="668">
        <v>13.13</v>
      </c>
      <c r="BC5" s="674">
        <v>20.13</v>
      </c>
      <c r="BD5" s="668">
        <v>3</v>
      </c>
      <c r="BF5" s="986"/>
    </row>
    <row r="6" spans="1:58" s="1152" customFormat="1" ht="12" hidden="1" customHeight="1" x14ac:dyDescent="0.15">
      <c r="A6" s="973"/>
      <c r="B6" s="659"/>
      <c r="E6" s="668"/>
      <c r="G6" s="160"/>
      <c r="H6" s="160"/>
      <c r="I6" s="160"/>
      <c r="J6" s="160"/>
      <c r="K6" s="160"/>
      <c r="L6" s="160"/>
      <c r="M6" s="160"/>
      <c r="N6" s="160"/>
      <c r="O6" s="160"/>
      <c r="P6" s="160"/>
      <c r="Q6" s="160"/>
      <c r="R6" s="160"/>
      <c r="S6" s="160"/>
      <c r="AB6" s="119"/>
      <c r="AC6" s="119"/>
      <c r="AD6" s="119"/>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C6" s="119"/>
      <c r="BF6" s="957"/>
    </row>
    <row r="7" spans="1:58" ht="12" hidden="1" customHeight="1" x14ac:dyDescent="0.15">
      <c r="F7" s="160"/>
      <c r="T7" s="160"/>
      <c r="U7" s="160"/>
      <c r="V7" s="160"/>
      <c r="W7" s="160"/>
      <c r="X7" s="160"/>
      <c r="Y7" s="160"/>
      <c r="Z7" s="160"/>
      <c r="AE7" s="160" t="str" cm="1">
        <f t="array" ref="AE7">AE26</f>
        <v>Принято органом регулирования</v>
      </c>
      <c r="AF7" s="160" t="str" cm="1">
        <f t="array" ref="AF7">AF26</f>
        <v>Факт по данным организации</v>
      </c>
      <c r="AG7" s="160" t="str" cm="1">
        <f t="array" ref="AG7">AG26</f>
        <v>Факт, принятый органом регулирования</v>
      </c>
      <c r="AH7" s="160" t="str" cm="1">
        <f t="array" ref="AH7">AH26</f>
        <v>Принято органом регулирования</v>
      </c>
      <c r="AI7" s="160" t="str" cm="1">
        <f t="array" ref="AI7">AI26</f>
        <v>Предложение организации</v>
      </c>
      <c r="AJ7" s="160" t="str" cm="1">
        <f t="array" ref="AJ7">AJ26</f>
        <v>Предложение организации</v>
      </c>
      <c r="AK7" s="160" t="str" cm="1">
        <f t="array" ref="AK7">AK26</f>
        <v>Предложение организации</v>
      </c>
      <c r="AL7" s="160" t="str" cm="1">
        <f t="array" ref="AL7">AL26</f>
        <v>Предложение организации</v>
      </c>
      <c r="AM7" s="160" t="str" cm="1">
        <f t="array" ref="AM7">AM26</f>
        <v>Предложение организации</v>
      </c>
      <c r="AN7" s="160" t="str" cm="1">
        <f t="array" ref="AN7">AN26</f>
        <v>Предложение организации</v>
      </c>
      <c r="AO7" s="160" t="str" cm="1">
        <f t="array" ref="AO7">AO26</f>
        <v>Предложение организации</v>
      </c>
      <c r="AP7" s="160" t="str" cm="1">
        <f t="array" ref="AP7">AP26</f>
        <v>Предложение организации</v>
      </c>
      <c r="AQ7" s="160" t="str" cm="1">
        <f t="array" ref="AQ7">AQ26</f>
        <v>Предложение организации</v>
      </c>
      <c r="AR7" s="160" t="str" cm="1">
        <f t="array" ref="AR7">AR26</f>
        <v>Предложение организации</v>
      </c>
      <c r="AS7" s="160" t="str" cm="1">
        <f t="array" ref="AS7">AS26</f>
        <v>Принято органом регулирования</v>
      </c>
      <c r="AT7" s="160" t="str" cm="1">
        <f t="array" ref="AT7">AT26</f>
        <v>Принято органом регулирования</v>
      </c>
      <c r="AU7" s="160" t="str" cm="1">
        <f t="array" ref="AU7">AU26</f>
        <v>Принято органом регулирования</v>
      </c>
      <c r="AV7" s="160" t="str" cm="1">
        <f t="array" ref="AV7">AV26</f>
        <v>Принято органом регулирования</v>
      </c>
      <c r="AW7" s="160" t="str" cm="1">
        <f t="array" ref="AW7">AW26</f>
        <v>Принято органом регулирования</v>
      </c>
      <c r="AX7" s="160" t="str" cm="1">
        <f t="array" ref="AX7">AX26</f>
        <v>Принято органом регулирования</v>
      </c>
      <c r="AY7" s="160" t="str" cm="1">
        <f t="array" ref="AY7">AY26</f>
        <v>Принято органом регулирования</v>
      </c>
      <c r="AZ7" s="160" t="str" cm="1">
        <f t="array" ref="AZ7">AZ26</f>
        <v>Принято органом регулирования</v>
      </c>
      <c r="BA7" s="160" t="str" cm="1">
        <f t="array" ref="BA7">BA26</f>
        <v>Принято органом регулирования</v>
      </c>
      <c r="BB7" s="160" t="str" cm="1">
        <f t="array" ref="BB7">BB26</f>
        <v>Принято органом регулирования</v>
      </c>
    </row>
    <row r="8" spans="1:58" ht="12" hidden="1" customHeight="1" x14ac:dyDescent="0.15">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58" s="1003" customFormat="1" ht="12" hidden="1" customHeight="1" x14ac:dyDescent="0.15">
      <c r="A9" s="948" t="s">
        <v>461</v>
      </c>
      <c r="B9" s="941"/>
      <c r="E9" s="941"/>
      <c r="AE9" s="949">
        <f>god-2</f>
        <v>2024</v>
      </c>
      <c r="AF9" s="949">
        <f>god-2</f>
        <v>2024</v>
      </c>
      <c r="AG9" s="949">
        <f>god-2</f>
        <v>2024</v>
      </c>
      <c r="AH9" s="949">
        <f>god-1</f>
        <v>2025</v>
      </c>
      <c r="AI9" s="949" cm="1">
        <f t="array" ref="AI9">god</f>
        <v>2026</v>
      </c>
      <c r="AJ9" s="949">
        <f>god+1</f>
        <v>2027</v>
      </c>
      <c r="AK9" s="949">
        <f>god+2</f>
        <v>2028</v>
      </c>
      <c r="AL9" s="949">
        <f>god+3</f>
        <v>2029</v>
      </c>
      <c r="AM9" s="949">
        <f>god+4</f>
        <v>2030</v>
      </c>
      <c r="AN9" s="949">
        <f>god+5</f>
        <v>2031</v>
      </c>
      <c r="AO9" s="949">
        <f>god+6</f>
        <v>2032</v>
      </c>
      <c r="AP9" s="949">
        <f>god+7</f>
        <v>2033</v>
      </c>
      <c r="AQ9" s="949">
        <f>god+8</f>
        <v>2034</v>
      </c>
      <c r="AR9" s="949">
        <f>god+9</f>
        <v>2035</v>
      </c>
      <c r="AS9" s="949" cm="1">
        <f t="array" ref="AS9">god</f>
        <v>2026</v>
      </c>
      <c r="AT9" s="949">
        <f>god+1</f>
        <v>2027</v>
      </c>
      <c r="AU9" s="949">
        <f>god+2</f>
        <v>2028</v>
      </c>
      <c r="AV9" s="949">
        <f>god+3</f>
        <v>2029</v>
      </c>
      <c r="AW9" s="949">
        <f>god+4</f>
        <v>2030</v>
      </c>
      <c r="AX9" s="949">
        <f>god+5</f>
        <v>2031</v>
      </c>
      <c r="AY9" s="949">
        <f>god+6</f>
        <v>2032</v>
      </c>
      <c r="AZ9" s="949">
        <f>god+7</f>
        <v>2033</v>
      </c>
      <c r="BA9" s="949">
        <f>god+8</f>
        <v>2034</v>
      </c>
      <c r="BB9" s="949">
        <f>god+9</f>
        <v>2035</v>
      </c>
      <c r="BF9" s="957"/>
    </row>
    <row r="10" spans="1:58" s="1003" customFormat="1" ht="12" hidden="1" customHeight="1" x14ac:dyDescent="0.15">
      <c r="A10" s="948" t="s">
        <v>462</v>
      </c>
      <c r="B10" s="941"/>
      <c r="E10" s="941"/>
      <c r="AE10" s="949" t="str" cm="1">
        <f t="array" ref="AE10">AE26</f>
        <v>Принято органом регулирования</v>
      </c>
      <c r="AF10" s="949" t="str" cm="1">
        <f t="array" ref="AF10">AF26</f>
        <v>Факт по данным организации</v>
      </c>
      <c r="AG10" s="949" t="str" cm="1">
        <f t="array" ref="AG10">AG26</f>
        <v>Факт, принятый органом регулирования</v>
      </c>
      <c r="AH10" s="949" t="str" cm="1">
        <f t="array" ref="AH10">AH26</f>
        <v>Принято органом регулирования</v>
      </c>
      <c r="AI10" s="949" t="str" cm="1">
        <f t="array" ref="AI10">AI26</f>
        <v>Предложение организации</v>
      </c>
      <c r="AJ10" s="949" t="str" cm="1">
        <f t="array" ref="AJ10">AJ26</f>
        <v>Предложение организации</v>
      </c>
      <c r="AK10" s="949" t="str" cm="1">
        <f t="array" ref="AK10">AK26</f>
        <v>Предложение организации</v>
      </c>
      <c r="AL10" s="949" t="str" cm="1">
        <f t="array" ref="AL10">AL26</f>
        <v>Предложение организации</v>
      </c>
      <c r="AM10" s="949" t="str" cm="1">
        <f t="array" ref="AM10">AM26</f>
        <v>Предложение организации</v>
      </c>
      <c r="AN10" s="949" t="str" cm="1">
        <f t="array" ref="AN10">AN26</f>
        <v>Предложение организации</v>
      </c>
      <c r="AO10" s="949" t="str" cm="1">
        <f t="array" ref="AO10">AO26</f>
        <v>Предложение организации</v>
      </c>
      <c r="AP10" s="949" t="str" cm="1">
        <f t="array" ref="AP10">AP26</f>
        <v>Предложение организации</v>
      </c>
      <c r="AQ10" s="949" t="str" cm="1">
        <f t="array" ref="AQ10">AQ26</f>
        <v>Предложение организации</v>
      </c>
      <c r="AR10" s="949" t="str" cm="1">
        <f t="array" ref="AR10">AR26</f>
        <v>Предложение организации</v>
      </c>
      <c r="AS10" s="949" t="str" cm="1">
        <f t="array" ref="AS10">AS26</f>
        <v>Принято органом регулирования</v>
      </c>
      <c r="AT10" s="949" t="str" cm="1">
        <f t="array" ref="AT10">AT26</f>
        <v>Принято органом регулирования</v>
      </c>
      <c r="AU10" s="949" t="str" cm="1">
        <f t="array" ref="AU10">AU26</f>
        <v>Принято органом регулирования</v>
      </c>
      <c r="AV10" s="949" t="str" cm="1">
        <f t="array" ref="AV10">AV26</f>
        <v>Принято органом регулирования</v>
      </c>
      <c r="AW10" s="949" t="str" cm="1">
        <f t="array" ref="AW10">AW26</f>
        <v>Принято органом регулирования</v>
      </c>
      <c r="AX10" s="949" t="str" cm="1">
        <f t="array" ref="AX10">AX26</f>
        <v>Принято органом регулирования</v>
      </c>
      <c r="AY10" s="949" t="str" cm="1">
        <f t="array" ref="AY10">AY26</f>
        <v>Принято органом регулирования</v>
      </c>
      <c r="AZ10" s="949" t="str" cm="1">
        <f t="array" ref="AZ10">AZ26</f>
        <v>Принято органом регулирования</v>
      </c>
      <c r="BA10" s="949" t="str" cm="1">
        <f t="array" ref="BA10">BA26</f>
        <v>Принято органом регулирования</v>
      </c>
      <c r="BB10" s="949" t="str" cm="1">
        <f t="array" ref="BB10">BB26</f>
        <v>Принято органом регулирования</v>
      </c>
      <c r="BF10" s="957"/>
    </row>
    <row r="11" spans="1:58" s="1003" customFormat="1" ht="12" hidden="1" customHeight="1" x14ac:dyDescent="0.15">
      <c r="A11" s="948" t="s">
        <v>463</v>
      </c>
      <c r="B11" s="941"/>
      <c r="E11" s="941"/>
      <c r="G11" s="957"/>
      <c r="H11" s="957"/>
      <c r="I11" s="957"/>
      <c r="J11" s="957"/>
      <c r="K11" s="957"/>
      <c r="L11" s="957"/>
      <c r="M11" s="957"/>
      <c r="N11" s="957"/>
      <c r="O11" s="957"/>
      <c r="P11" s="957"/>
      <c r="Q11" s="957"/>
      <c r="R11" s="957"/>
      <c r="S11" s="957"/>
      <c r="AB11" s="951"/>
      <c r="AC11" s="951"/>
      <c r="AD11" s="951"/>
      <c r="BC11" s="951" t="str" cm="1">
        <f t="array" ref="BC11">BC25</f>
        <v>Ссылка на правовую норму (основание для принятия показателя в расчет тарифа)</v>
      </c>
      <c r="BF11" s="957"/>
    </row>
    <row r="12" spans="1:58" s="1152" customFormat="1" ht="12" hidden="1" customHeight="1" x14ac:dyDescent="0.15">
      <c r="A12" s="973"/>
      <c r="B12" s="659"/>
      <c r="E12" s="668"/>
      <c r="G12" s="160"/>
      <c r="H12" s="160"/>
      <c r="I12" s="160"/>
      <c r="J12" s="160"/>
      <c r="K12" s="160"/>
      <c r="L12" s="160"/>
      <c r="M12" s="160"/>
      <c r="N12" s="160"/>
      <c r="O12" s="160"/>
      <c r="P12" s="160"/>
      <c r="Q12" s="160"/>
      <c r="R12" s="160"/>
      <c r="S12" s="160"/>
      <c r="AB12" s="119"/>
      <c r="AC12" s="119"/>
      <c r="AD12" s="119"/>
      <c r="BC12" s="119"/>
      <c r="BF12" s="957"/>
    </row>
    <row r="13" spans="1:58" s="1152" customFormat="1" ht="12" hidden="1" customHeight="1" x14ac:dyDescent="0.15">
      <c r="A13" s="973"/>
      <c r="B13" s="659"/>
      <c r="E13" s="668"/>
      <c r="G13" s="160"/>
      <c r="H13" s="160"/>
      <c r="I13" s="160"/>
      <c r="J13" s="160"/>
      <c r="K13" s="160"/>
      <c r="L13" s="160"/>
      <c r="M13" s="160"/>
      <c r="N13" s="160"/>
      <c r="O13" s="160"/>
      <c r="P13" s="160"/>
      <c r="Q13" s="160"/>
      <c r="R13" s="160"/>
      <c r="S13" s="160"/>
      <c r="AB13" s="119"/>
      <c r="AC13" s="119"/>
      <c r="AD13" s="119"/>
      <c r="BC13" s="119"/>
      <c r="BF13" s="957"/>
    </row>
    <row r="14" spans="1:58" s="1152" customFormat="1" ht="12" hidden="1" customHeight="1" x14ac:dyDescent="0.15">
      <c r="A14" s="973"/>
      <c r="B14" s="659"/>
      <c r="E14" s="668"/>
      <c r="G14" s="160"/>
      <c r="H14" s="160"/>
      <c r="I14" s="160"/>
      <c r="J14" s="160"/>
      <c r="K14" s="160"/>
      <c r="L14" s="160"/>
      <c r="M14" s="160"/>
      <c r="N14" s="160"/>
      <c r="O14" s="160"/>
      <c r="P14" s="160"/>
      <c r="Q14" s="160"/>
      <c r="R14" s="160"/>
      <c r="S14" s="160"/>
      <c r="AB14" s="119"/>
      <c r="AC14" s="119"/>
      <c r="BC14" s="119"/>
      <c r="BF14" s="957"/>
    </row>
    <row r="15" spans="1:58" s="1152" customFormat="1" ht="12" hidden="1" customHeight="1" x14ac:dyDescent="0.15">
      <c r="A15" s="973"/>
      <c r="B15" s="659"/>
      <c r="E15" s="668"/>
      <c r="G15" s="160"/>
      <c r="H15" s="160"/>
      <c r="I15" s="160"/>
      <c r="J15" s="160"/>
      <c r="K15" s="160"/>
      <c r="L15" s="160"/>
      <c r="M15" s="160"/>
      <c r="N15" s="160"/>
      <c r="O15" s="160"/>
      <c r="P15" s="160"/>
      <c r="Q15" s="160"/>
      <c r="R15" s="160"/>
      <c r="S15" s="160"/>
      <c r="AB15" s="119"/>
      <c r="AC15" s="119"/>
      <c r="AD15" s="119"/>
      <c r="BC15" s="119"/>
      <c r="BF15" s="957"/>
    </row>
    <row r="16" spans="1:58" s="1152" customFormat="1" ht="12" hidden="1" customHeight="1" x14ac:dyDescent="0.15">
      <c r="A16" s="973"/>
      <c r="B16" s="659"/>
      <c r="E16" s="668"/>
      <c r="G16" s="160"/>
      <c r="H16" s="160"/>
      <c r="I16" s="160"/>
      <c r="J16" s="160"/>
      <c r="K16" s="160"/>
      <c r="L16" s="160"/>
      <c r="M16" s="160"/>
      <c r="N16" s="160"/>
      <c r="O16" s="160"/>
      <c r="P16" s="160"/>
      <c r="Q16" s="160"/>
      <c r="R16" s="160"/>
      <c r="S16" s="160"/>
      <c r="AB16" s="119"/>
      <c r="AC16" s="119"/>
      <c r="AD16" s="119"/>
      <c r="BC16" s="119"/>
      <c r="BF16" s="957"/>
    </row>
    <row r="17" spans="1:58" s="1152" customFormat="1" ht="12" hidden="1" customHeight="1" x14ac:dyDescent="0.15">
      <c r="A17" s="973"/>
      <c r="B17" s="659"/>
      <c r="E17" s="668"/>
      <c r="G17" s="160"/>
      <c r="H17" s="160"/>
      <c r="I17" s="160"/>
      <c r="J17" s="160"/>
      <c r="K17" s="160"/>
      <c r="L17" s="160"/>
      <c r="M17" s="160"/>
      <c r="N17" s="160"/>
      <c r="O17" s="160"/>
      <c r="P17" s="160"/>
      <c r="Q17" s="160"/>
      <c r="R17" s="160"/>
      <c r="S17" s="160"/>
      <c r="AB17" s="119"/>
      <c r="AC17" s="119"/>
      <c r="AD17" s="119"/>
      <c r="BC17" s="119"/>
      <c r="BF17" s="957"/>
    </row>
    <row r="18" spans="1:58" s="1152" customFormat="1" ht="12" hidden="1" customHeight="1" x14ac:dyDescent="0.15">
      <c r="A18" s="973"/>
      <c r="B18" s="659"/>
      <c r="E18" s="668"/>
      <c r="G18" s="160"/>
      <c r="H18" s="160"/>
      <c r="I18" s="160"/>
      <c r="J18" s="160"/>
      <c r="K18" s="160"/>
      <c r="L18" s="160"/>
      <c r="M18" s="160"/>
      <c r="N18" s="160"/>
      <c r="O18" s="160"/>
      <c r="P18" s="160"/>
      <c r="Q18" s="160"/>
      <c r="R18" s="160"/>
      <c r="S18" s="160"/>
      <c r="AB18" s="119"/>
      <c r="AC18" s="119"/>
      <c r="AD18" s="119"/>
      <c r="BC18" s="119"/>
      <c r="BF18" s="957"/>
    </row>
    <row r="19" spans="1:58" s="1152" customFormat="1" ht="12" hidden="1" customHeight="1" x14ac:dyDescent="0.15">
      <c r="A19" s="973"/>
      <c r="B19" s="659"/>
      <c r="E19" s="668"/>
      <c r="G19" s="160"/>
      <c r="H19" s="160"/>
      <c r="I19" s="160"/>
      <c r="J19" s="160"/>
      <c r="K19" s="160"/>
      <c r="L19" s="160"/>
      <c r="M19" s="160"/>
      <c r="N19" s="160"/>
      <c r="O19" s="160"/>
      <c r="P19" s="160"/>
      <c r="Q19" s="160"/>
      <c r="R19" s="160"/>
      <c r="S19" s="160"/>
      <c r="AB19" s="119"/>
      <c r="AC19" s="119"/>
      <c r="AD19" s="119"/>
      <c r="BC19" s="119"/>
      <c r="BF19" s="957"/>
    </row>
    <row r="20" spans="1:58" s="1152" customFormat="1" ht="12" hidden="1" customHeight="1" x14ac:dyDescent="0.15">
      <c r="A20" s="973"/>
      <c r="B20" s="659"/>
      <c r="E20" s="668"/>
      <c r="G20" s="160"/>
      <c r="H20" s="160"/>
      <c r="I20" s="160"/>
      <c r="J20" s="160"/>
      <c r="K20" s="160"/>
      <c r="L20" s="160"/>
      <c r="M20" s="160"/>
      <c r="N20" s="160"/>
      <c r="O20" s="160"/>
      <c r="P20" s="160"/>
      <c r="Q20" s="160"/>
      <c r="R20" s="160"/>
      <c r="S20" s="160"/>
      <c r="AB20" s="119"/>
      <c r="AC20" s="119"/>
      <c r="AD20" s="119"/>
      <c r="BC20" s="119"/>
      <c r="BF20" s="957"/>
    </row>
    <row r="21" spans="1:58" ht="14.65" customHeight="1" x14ac:dyDescent="0.15">
      <c r="E21" s="668">
        <v>15</v>
      </c>
      <c r="AA21" s="691"/>
      <c r="AC21" s="335" t="str" cm="1">
        <f t="array" ref="AC21">tpl_title</f>
        <v>Кемеровская область / 2026 / ООО ХК "СДС - Энерго" (ИНН:4250003450, КПП:420501001) / ДПР: 2024-2028</v>
      </c>
    </row>
    <row r="22" spans="1:58" s="804" customFormat="1" ht="19.5" customHeight="1" x14ac:dyDescent="0.15">
      <c r="A22" s="335"/>
      <c r="B22" s="659"/>
      <c r="C22" s="126"/>
      <c r="D22" s="126"/>
      <c r="E22" s="668">
        <v>20.100000000000001</v>
      </c>
      <c r="F22" s="126"/>
      <c r="T22" s="126"/>
      <c r="U22" s="126"/>
      <c r="V22" s="126"/>
      <c r="W22" s="126"/>
      <c r="X22" s="126"/>
      <c r="Y22" s="126"/>
      <c r="Z22" s="126"/>
      <c r="AB22" s="324" t="s">
        <v>35</v>
      </c>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F22" s="946"/>
    </row>
    <row r="23" spans="1:58" ht="11.1" customHeight="1" x14ac:dyDescent="0.15">
      <c r="E23" s="668">
        <v>11.3</v>
      </c>
    </row>
    <row r="24" spans="1:58" s="804" customFormat="1" ht="14.65" customHeight="1" x14ac:dyDescent="0.15">
      <c r="A24" s="335"/>
      <c r="B24" s="659"/>
      <c r="C24" s="126"/>
      <c r="D24" s="126"/>
      <c r="E24" s="668">
        <v>15</v>
      </c>
      <c r="F24" s="126"/>
      <c r="T24" s="126"/>
      <c r="U24" s="126"/>
      <c r="V24" s="126"/>
      <c r="W24" s="126"/>
      <c r="X24" s="126"/>
      <c r="Y24" s="126"/>
      <c r="Z24" s="126"/>
      <c r="AB24" s="1495" t="s">
        <v>35</v>
      </c>
      <c r="AC24" s="1495"/>
      <c r="AD24" s="1495"/>
      <c r="AE24" s="1495"/>
      <c r="AF24" s="1495"/>
      <c r="AG24" s="1495"/>
      <c r="AH24" s="1495"/>
      <c r="AI24" s="1495"/>
      <c r="AJ24" s="1495"/>
      <c r="AK24" s="1495"/>
      <c r="AL24" s="1495"/>
      <c r="AM24" s="1495"/>
      <c r="AN24" s="1495"/>
      <c r="AO24" s="1495"/>
      <c r="AP24" s="1495"/>
      <c r="AQ24" s="1495"/>
      <c r="AR24" s="1495"/>
      <c r="AS24" s="1495"/>
      <c r="AT24" s="1495"/>
      <c r="AU24" s="1495"/>
      <c r="AV24" s="1495"/>
      <c r="AW24" s="1495"/>
      <c r="AX24" s="1495"/>
      <c r="AY24" s="1495"/>
      <c r="AZ24" s="1495"/>
      <c r="BA24" s="1495"/>
      <c r="BB24" s="1495"/>
      <c r="BC24" s="1495"/>
      <c r="BF24" s="946"/>
    </row>
    <row r="25" spans="1:58" s="162" customFormat="1" ht="14.65" customHeight="1" x14ac:dyDescent="0.15">
      <c r="A25" s="273"/>
      <c r="B25" s="663"/>
      <c r="C25" s="119"/>
      <c r="D25" s="119"/>
      <c r="E25" s="674">
        <v>15</v>
      </c>
      <c r="F25" s="119"/>
      <c r="T25" s="119"/>
      <c r="U25" s="119"/>
      <c r="V25" s="126"/>
      <c r="W25" s="119"/>
      <c r="X25" s="119"/>
      <c r="Y25" s="119"/>
      <c r="Z25" s="119"/>
      <c r="AB25" s="1497" t="s">
        <v>388</v>
      </c>
      <c r="AC25" s="1498" t="s">
        <v>464</v>
      </c>
      <c r="AD25" s="1490" t="s">
        <v>465</v>
      </c>
      <c r="AE25" s="342" t="str">
        <f>god-2&amp;" год"</f>
        <v>2024 год</v>
      </c>
      <c r="AF25" s="1136" t="str">
        <f>god-2&amp;" год"</f>
        <v>2024 год</v>
      </c>
      <c r="AG25" s="342" t="str">
        <f>god-2&amp;" год"</f>
        <v>2024 год</v>
      </c>
      <c r="AH25" s="122" t="str">
        <f>god-1&amp;" год"</f>
        <v>2025 год</v>
      </c>
      <c r="AI25" s="1131" t="str">
        <f>god&amp;" год"</f>
        <v>2026 год</v>
      </c>
      <c r="AJ25" s="1131" t="str">
        <f>god+1&amp;" год"</f>
        <v>2027 год</v>
      </c>
      <c r="AK25" s="1131" t="str">
        <f>god+2&amp;" год"</f>
        <v>2028 год</v>
      </c>
      <c r="AL25" s="1131" t="str">
        <f>god+3&amp;" год"</f>
        <v>2029 год</v>
      </c>
      <c r="AM25" s="1131" t="str">
        <f>god+4&amp;" год"</f>
        <v>2030 год</v>
      </c>
      <c r="AN25" s="1131" t="str">
        <f>god+5&amp;" год"</f>
        <v>2031 год</v>
      </c>
      <c r="AO25" s="1131" t="str">
        <f>god+6&amp;" год"</f>
        <v>2032 год</v>
      </c>
      <c r="AP25" s="1131" t="str">
        <f>god+7&amp;" год"</f>
        <v>2033 год</v>
      </c>
      <c r="AQ25" s="1131" t="str">
        <f>god+8&amp;" год"</f>
        <v>2034 год</v>
      </c>
      <c r="AR25" s="1131" t="str">
        <f>god+9&amp;" год"</f>
        <v>2035 год</v>
      </c>
      <c r="AS25" s="118" t="str">
        <f>god&amp;" год"</f>
        <v>2026 год</v>
      </c>
      <c r="AT25" s="118" t="str">
        <f>god+1&amp;" год"</f>
        <v>2027 год</v>
      </c>
      <c r="AU25" s="118" t="str">
        <f>god+2&amp;" год"</f>
        <v>2028 год</v>
      </c>
      <c r="AV25" s="118" t="str">
        <f>god+3&amp;" год"</f>
        <v>2029 год</v>
      </c>
      <c r="AW25" s="118" t="str">
        <f>god+4&amp;" год"</f>
        <v>2030 год</v>
      </c>
      <c r="AX25" s="118" t="str">
        <f>god+5&amp;" год"</f>
        <v>2031 год</v>
      </c>
      <c r="AY25" s="118" t="str">
        <f>god+6&amp;" год"</f>
        <v>2032 год</v>
      </c>
      <c r="AZ25" s="118" t="str">
        <f>god+7&amp;" год"</f>
        <v>2033 год</v>
      </c>
      <c r="BA25" s="118" t="str">
        <f>god+8&amp;" год"</f>
        <v>2034 год</v>
      </c>
      <c r="BB25" s="118" t="str">
        <f>god+9&amp;" год"</f>
        <v>2035 год</v>
      </c>
      <c r="BC25" s="1496" t="s">
        <v>618</v>
      </c>
      <c r="BF25" s="957"/>
    </row>
    <row r="26" spans="1:58" s="162" customFormat="1" ht="68.099999999999994" customHeight="1" x14ac:dyDescent="0.15">
      <c r="A26" s="273"/>
      <c r="B26" s="663"/>
      <c r="C26" s="119"/>
      <c r="D26" s="119"/>
      <c r="E26" s="674">
        <v>69.900000000000006</v>
      </c>
      <c r="F26" s="119"/>
      <c r="T26" s="119"/>
      <c r="U26" s="119"/>
      <c r="V26" s="126"/>
      <c r="W26" s="119"/>
      <c r="X26" s="119"/>
      <c r="Y26" s="119"/>
      <c r="Z26" s="119"/>
      <c r="AB26" s="1497"/>
      <c r="AC26" s="1499"/>
      <c r="AD26" s="1490"/>
      <c r="AE26" s="118" t="s">
        <v>404</v>
      </c>
      <c r="AF26" s="1131" t="s">
        <v>619</v>
      </c>
      <c r="AG26" s="118" t="s">
        <v>620</v>
      </c>
      <c r="AH26" s="118" t="s">
        <v>404</v>
      </c>
      <c r="AI26" s="1132" t="s">
        <v>405</v>
      </c>
      <c r="AJ26" s="1132" t="s">
        <v>405</v>
      </c>
      <c r="AK26" s="1132" t="s">
        <v>405</v>
      </c>
      <c r="AL26" s="1132" t="s">
        <v>405</v>
      </c>
      <c r="AM26" s="1132" t="s">
        <v>405</v>
      </c>
      <c r="AN26" s="1132" t="s">
        <v>405</v>
      </c>
      <c r="AO26" s="1132" t="s">
        <v>405</v>
      </c>
      <c r="AP26" s="1132" t="s">
        <v>405</v>
      </c>
      <c r="AQ26" s="1132" t="s">
        <v>405</v>
      </c>
      <c r="AR26" s="1132" t="s">
        <v>405</v>
      </c>
      <c r="AS26" s="343" t="s">
        <v>404</v>
      </c>
      <c r="AT26" s="343" t="s">
        <v>404</v>
      </c>
      <c r="AU26" s="343" t="s">
        <v>404</v>
      </c>
      <c r="AV26" s="343" t="s">
        <v>404</v>
      </c>
      <c r="AW26" s="343" t="s">
        <v>404</v>
      </c>
      <c r="AX26" s="343" t="s">
        <v>404</v>
      </c>
      <c r="AY26" s="343" t="s">
        <v>404</v>
      </c>
      <c r="AZ26" s="343" t="s">
        <v>404</v>
      </c>
      <c r="BA26" s="343" t="s">
        <v>404</v>
      </c>
      <c r="BB26" s="343" t="s">
        <v>404</v>
      </c>
      <c r="BC26" s="1496"/>
      <c r="BF26" s="957"/>
    </row>
    <row r="27" spans="1:58" s="162" customFormat="1" ht="14.25" hidden="1" customHeight="1" x14ac:dyDescent="0.15">
      <c r="A27" s="273"/>
      <c r="B27" s="663"/>
      <c r="C27" s="119"/>
      <c r="D27" s="119"/>
      <c r="E27" s="674">
        <v>0</v>
      </c>
      <c r="F27" s="119"/>
      <c r="T27" s="119"/>
      <c r="U27" s="119"/>
      <c r="V27" s="126"/>
      <c r="W27" s="119"/>
      <c r="X27" s="119"/>
      <c r="Y27" s="119"/>
      <c r="Z27" s="119"/>
      <c r="AB27" s="439"/>
      <c r="AC27" s="438"/>
      <c r="AD27" s="312"/>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F27" s="957"/>
    </row>
    <row r="28" spans="1:58" ht="11.1" hidden="1" customHeight="1" x14ac:dyDescent="0.15">
      <c r="E28" s="668">
        <v>11.4</v>
      </c>
      <c r="F28" s="123" cm="1">
        <f t="array" ref="F28">X28</f>
        <v>0</v>
      </c>
      <c r="G28" s="160" cm="1">
        <f t="array" ref="G28">INDEX('Общие сведения'!$AL$169:$AL$202,MATCH($F28,'Общие сведения'!$Z$169:$Z$202,0))</f>
        <v>0</v>
      </c>
      <c r="T28" s="679" t="b">
        <f>AND(X28&gt;0,G28="передача тепловой энергии")</f>
        <v>0</v>
      </c>
      <c r="V28" s="123" t="s">
        <v>313</v>
      </c>
      <c r="X28" s="1485">
        <v>0</v>
      </c>
      <c r="Z28" s="1485"/>
      <c r="AB28" s="390" t="str" cm="1">
        <f t="array" ref="AB28">INDEX('Общие сведения'!$AG$169:$AG$202,MATCH($F28,'Общие сведения'!$Z$169:$Z$202,0))</f>
        <v xml:space="preserve">Тариф 0 (Теплоснабжение) - </v>
      </c>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row>
    <row r="29" spans="1:58" ht="16.7" hidden="1" customHeight="1" x14ac:dyDescent="0.15">
      <c r="E29" s="668">
        <v>17.100000000000001</v>
      </c>
      <c r="F29" s="769" cm="1">
        <f t="array" aca="1" ref="F29" ca="1">OFFSET(G29,-1,-1)</f>
        <v>0</v>
      </c>
      <c r="T29" s="679" t="b" cm="1">
        <f t="array" ref="T29">T28</f>
        <v>0</v>
      </c>
      <c r="X29" s="1485"/>
      <c r="Z29" s="1485"/>
      <c r="AB29" s="467" t="s">
        <v>339</v>
      </c>
      <c r="AC29" s="468" t="s">
        <v>727</v>
      </c>
      <c r="AD29" s="118" t="s">
        <v>622</v>
      </c>
      <c r="AE29" s="29"/>
      <c r="AF29" s="29"/>
      <c r="AG29" s="29"/>
      <c r="AH29" s="29"/>
      <c r="AI29" s="408"/>
      <c r="AJ29" s="1227"/>
      <c r="AK29" s="1227"/>
      <c r="AL29" s="29"/>
      <c r="AM29" s="29"/>
      <c r="AN29" s="29"/>
      <c r="AO29" s="29"/>
      <c r="AP29" s="29"/>
      <c r="AQ29" s="29"/>
      <c r="AR29" s="29"/>
      <c r="AS29" s="408"/>
      <c r="AT29" s="1227"/>
      <c r="AU29" s="1227"/>
      <c r="AV29" s="29"/>
      <c r="AW29" s="29"/>
      <c r="AX29" s="29"/>
      <c r="AY29" s="29"/>
      <c r="AZ29" s="29"/>
      <c r="BA29" s="29"/>
      <c r="BB29" s="29"/>
      <c r="BC29" s="25"/>
      <c r="BF29" s="996" t="s">
        <v>728</v>
      </c>
    </row>
    <row r="30" spans="1:58" ht="16.7" hidden="1" customHeight="1" x14ac:dyDescent="0.15">
      <c r="E30" s="668">
        <v>17.100000000000001</v>
      </c>
      <c r="F30" s="769" cm="1">
        <f t="array" aca="1" ref="F30" ca="1">OFFSET(G30,-1,-1)</f>
        <v>0</v>
      </c>
      <c r="T30" s="679" t="b" cm="1">
        <f t="array" ref="T30">T29</f>
        <v>0</v>
      </c>
      <c r="X30" s="1485"/>
      <c r="Z30" s="1485"/>
      <c r="AB30" s="467" t="s">
        <v>426</v>
      </c>
      <c r="AC30" s="468" t="s">
        <v>729</v>
      </c>
      <c r="AD30" s="118" t="s">
        <v>622</v>
      </c>
      <c r="AE30" s="37"/>
      <c r="AF30" s="37"/>
      <c r="AG30" s="37"/>
      <c r="AH30" s="37"/>
      <c r="AI30" s="407"/>
      <c r="AJ30" s="1242"/>
      <c r="AK30" s="1242"/>
      <c r="AL30" s="37"/>
      <c r="AM30" s="37"/>
      <c r="AN30" s="37"/>
      <c r="AO30" s="37"/>
      <c r="AP30" s="37"/>
      <c r="AQ30" s="37"/>
      <c r="AR30" s="37"/>
      <c r="AS30" s="407"/>
      <c r="AT30" s="1242"/>
      <c r="AU30" s="1242"/>
      <c r="AV30" s="37"/>
      <c r="AW30" s="37"/>
      <c r="AX30" s="37"/>
      <c r="AY30" s="37"/>
      <c r="AZ30" s="37"/>
      <c r="BA30" s="37"/>
      <c r="BB30" s="37"/>
      <c r="BC30" s="25"/>
      <c r="BF30" s="996" t="s">
        <v>730</v>
      </c>
    </row>
    <row r="31" spans="1:58" ht="16.7" hidden="1" customHeight="1" x14ac:dyDescent="0.15">
      <c r="E31" s="668">
        <v>17.100000000000001</v>
      </c>
      <c r="F31" s="769" cm="1">
        <f t="array" aca="1" ref="F31" ca="1">OFFSET(G31,-1,-1)</f>
        <v>0</v>
      </c>
      <c r="T31" s="679" t="b" cm="1">
        <f t="array" ref="T31">T30</f>
        <v>0</v>
      </c>
      <c r="X31" s="1485"/>
      <c r="Z31" s="1485"/>
      <c r="AB31" s="411" t="s">
        <v>479</v>
      </c>
      <c r="AC31" s="420" t="s">
        <v>731</v>
      </c>
      <c r="AD31" s="118" t="s">
        <v>521</v>
      </c>
      <c r="AE31" s="470">
        <f t="shared" ref="AE31:BB31" si="2">IF(AE29=0,0,AE30/AE29)</f>
        <v>0</v>
      </c>
      <c r="AF31" s="470">
        <f t="shared" si="2"/>
        <v>0</v>
      </c>
      <c r="AG31" s="470">
        <f t="shared" si="2"/>
        <v>0</v>
      </c>
      <c r="AH31" s="470">
        <f t="shared" si="2"/>
        <v>0</v>
      </c>
      <c r="AI31" s="470">
        <f t="shared" si="2"/>
        <v>0</v>
      </c>
      <c r="AJ31" s="470">
        <f t="shared" si="2"/>
        <v>0</v>
      </c>
      <c r="AK31" s="470">
        <f t="shared" si="2"/>
        <v>0</v>
      </c>
      <c r="AL31" s="470">
        <f t="shared" si="2"/>
        <v>0</v>
      </c>
      <c r="AM31" s="470">
        <f t="shared" si="2"/>
        <v>0</v>
      </c>
      <c r="AN31" s="470">
        <f t="shared" si="2"/>
        <v>0</v>
      </c>
      <c r="AO31" s="470">
        <f t="shared" si="2"/>
        <v>0</v>
      </c>
      <c r="AP31" s="470">
        <f t="shared" si="2"/>
        <v>0</v>
      </c>
      <c r="AQ31" s="470">
        <f t="shared" si="2"/>
        <v>0</v>
      </c>
      <c r="AR31" s="470">
        <f t="shared" si="2"/>
        <v>0</v>
      </c>
      <c r="AS31" s="470">
        <f t="shared" si="2"/>
        <v>0</v>
      </c>
      <c r="AT31" s="470">
        <f t="shared" si="2"/>
        <v>0</v>
      </c>
      <c r="AU31" s="470">
        <f t="shared" si="2"/>
        <v>0</v>
      </c>
      <c r="AV31" s="470">
        <f t="shared" si="2"/>
        <v>0</v>
      </c>
      <c r="AW31" s="470">
        <f t="shared" si="2"/>
        <v>0</v>
      </c>
      <c r="AX31" s="470">
        <f t="shared" si="2"/>
        <v>0</v>
      </c>
      <c r="AY31" s="470">
        <f t="shared" si="2"/>
        <v>0</v>
      </c>
      <c r="AZ31" s="470">
        <f t="shared" si="2"/>
        <v>0</v>
      </c>
      <c r="BA31" s="470">
        <f t="shared" si="2"/>
        <v>0</v>
      </c>
      <c r="BB31" s="470">
        <f t="shared" si="2"/>
        <v>0</v>
      </c>
      <c r="BC31" s="25"/>
      <c r="BF31" s="996" t="s">
        <v>732</v>
      </c>
    </row>
    <row r="32" spans="1:58" ht="16.7" hidden="1" customHeight="1" x14ac:dyDescent="0.15">
      <c r="E32" s="668">
        <v>17.100000000000001</v>
      </c>
      <c r="F32" s="769" cm="1">
        <f t="array" aca="1" ref="F32" ca="1">OFFSET(G32,-1,-1)</f>
        <v>0</v>
      </c>
      <c r="T32" s="679" t="b" cm="1">
        <f t="array" ref="T32">T31</f>
        <v>0</v>
      </c>
      <c r="X32" s="1485"/>
      <c r="Z32" s="1485"/>
      <c r="AB32" s="406" t="s">
        <v>431</v>
      </c>
      <c r="AC32" s="469" t="s">
        <v>733</v>
      </c>
      <c r="AD32" s="118" t="s">
        <v>622</v>
      </c>
      <c r="AE32" s="409">
        <f t="shared" ref="AE32:BB32" si="3">AE29-AE30</f>
        <v>0</v>
      </c>
      <c r="AF32" s="409">
        <f t="shared" si="3"/>
        <v>0</v>
      </c>
      <c r="AG32" s="409">
        <f t="shared" si="3"/>
        <v>0</v>
      </c>
      <c r="AH32" s="409">
        <f t="shared" si="3"/>
        <v>0</v>
      </c>
      <c r="AI32" s="409">
        <f t="shared" si="3"/>
        <v>0</v>
      </c>
      <c r="AJ32" s="409">
        <f t="shared" si="3"/>
        <v>0</v>
      </c>
      <c r="AK32" s="409">
        <f t="shared" si="3"/>
        <v>0</v>
      </c>
      <c r="AL32" s="409">
        <f t="shared" si="3"/>
        <v>0</v>
      </c>
      <c r="AM32" s="409">
        <f t="shared" si="3"/>
        <v>0</v>
      </c>
      <c r="AN32" s="409">
        <f t="shared" si="3"/>
        <v>0</v>
      </c>
      <c r="AO32" s="409">
        <f t="shared" si="3"/>
        <v>0</v>
      </c>
      <c r="AP32" s="409">
        <f t="shared" si="3"/>
        <v>0</v>
      </c>
      <c r="AQ32" s="409">
        <f t="shared" si="3"/>
        <v>0</v>
      </c>
      <c r="AR32" s="409">
        <f t="shared" si="3"/>
        <v>0</v>
      </c>
      <c r="AS32" s="409">
        <f t="shared" si="3"/>
        <v>0</v>
      </c>
      <c r="AT32" s="409">
        <f t="shared" si="3"/>
        <v>0</v>
      </c>
      <c r="AU32" s="409">
        <f t="shared" si="3"/>
        <v>0</v>
      </c>
      <c r="AV32" s="409">
        <f t="shared" si="3"/>
        <v>0</v>
      </c>
      <c r="AW32" s="409">
        <f t="shared" si="3"/>
        <v>0</v>
      </c>
      <c r="AX32" s="409">
        <f t="shared" si="3"/>
        <v>0</v>
      </c>
      <c r="AY32" s="409">
        <f t="shared" si="3"/>
        <v>0</v>
      </c>
      <c r="AZ32" s="409">
        <f t="shared" si="3"/>
        <v>0</v>
      </c>
      <c r="BA32" s="409">
        <f t="shared" si="3"/>
        <v>0</v>
      </c>
      <c r="BB32" s="409">
        <f t="shared" si="3"/>
        <v>0</v>
      </c>
      <c r="BC32" s="25"/>
      <c r="BF32" s="996" t="s">
        <v>734</v>
      </c>
    </row>
    <row r="33" spans="1:58" ht="16.7" hidden="1" customHeight="1" x14ac:dyDescent="0.15">
      <c r="E33" s="668">
        <v>17.100000000000001</v>
      </c>
      <c r="F33" s="769" cm="1">
        <f t="array" aca="1" ref="F33" ca="1">OFFSET(G33,-1,-1)</f>
        <v>0</v>
      </c>
      <c r="T33" s="679" t="b" cm="1">
        <f t="array" ref="T33">T32</f>
        <v>0</v>
      </c>
      <c r="X33" s="1485"/>
      <c r="Z33" s="1485"/>
      <c r="AB33" s="410" t="s">
        <v>735</v>
      </c>
      <c r="AC33" s="458" t="s">
        <v>736</v>
      </c>
      <c r="AD33" s="118" t="s">
        <v>622</v>
      </c>
      <c r="AE33" s="29"/>
      <c r="AF33" s="29"/>
      <c r="AG33" s="29"/>
      <c r="AH33" s="29"/>
      <c r="AI33" s="408"/>
      <c r="AJ33" s="1227"/>
      <c r="AK33" s="1227"/>
      <c r="AL33" s="29"/>
      <c r="AM33" s="29"/>
      <c r="AN33" s="29"/>
      <c r="AO33" s="29"/>
      <c r="AP33" s="29"/>
      <c r="AQ33" s="29"/>
      <c r="AR33" s="29"/>
      <c r="AS33" s="408"/>
      <c r="AT33" s="1227"/>
      <c r="AU33" s="1227"/>
      <c r="AV33" s="29"/>
      <c r="AW33" s="29"/>
      <c r="AX33" s="29"/>
      <c r="AY33" s="29"/>
      <c r="AZ33" s="29"/>
      <c r="BA33" s="29"/>
      <c r="BB33" s="29"/>
      <c r="BC33" s="25"/>
      <c r="BF33" s="996" t="s">
        <v>737</v>
      </c>
    </row>
    <row r="34" spans="1:58" ht="16.7" hidden="1" customHeight="1" x14ac:dyDescent="0.15">
      <c r="E34" s="668">
        <v>17.100000000000001</v>
      </c>
      <c r="F34" s="769" cm="1">
        <f t="array" aca="1" ref="F34" ca="1">OFFSET(G34,-1,-1)</f>
        <v>0</v>
      </c>
      <c r="T34" s="679" t="b" cm="1">
        <f t="array" ref="T34">T33</f>
        <v>0</v>
      </c>
      <c r="X34" s="1485"/>
      <c r="Z34" s="1485"/>
      <c r="AB34" s="410" t="s">
        <v>738</v>
      </c>
      <c r="AC34" s="458" t="s">
        <v>667</v>
      </c>
      <c r="AD34" s="118" t="s">
        <v>622</v>
      </c>
      <c r="AE34" s="440">
        <f t="shared" ref="AE34:BB34" si="4">AE32-AE33</f>
        <v>0</v>
      </c>
      <c r="AF34" s="440">
        <f t="shared" si="4"/>
        <v>0</v>
      </c>
      <c r="AG34" s="440">
        <f t="shared" si="4"/>
        <v>0</v>
      </c>
      <c r="AH34" s="440">
        <f t="shared" si="4"/>
        <v>0</v>
      </c>
      <c r="AI34" s="440">
        <f t="shared" si="4"/>
        <v>0</v>
      </c>
      <c r="AJ34" s="440">
        <f t="shared" si="4"/>
        <v>0</v>
      </c>
      <c r="AK34" s="440">
        <f t="shared" si="4"/>
        <v>0</v>
      </c>
      <c r="AL34" s="440">
        <f t="shared" si="4"/>
        <v>0</v>
      </c>
      <c r="AM34" s="440">
        <f t="shared" si="4"/>
        <v>0</v>
      </c>
      <c r="AN34" s="440">
        <f t="shared" si="4"/>
        <v>0</v>
      </c>
      <c r="AO34" s="440">
        <f t="shared" si="4"/>
        <v>0</v>
      </c>
      <c r="AP34" s="440">
        <f t="shared" si="4"/>
        <v>0</v>
      </c>
      <c r="AQ34" s="440">
        <f t="shared" si="4"/>
        <v>0</v>
      </c>
      <c r="AR34" s="440">
        <f t="shared" si="4"/>
        <v>0</v>
      </c>
      <c r="AS34" s="440">
        <f t="shared" si="4"/>
        <v>0</v>
      </c>
      <c r="AT34" s="440">
        <f t="shared" si="4"/>
        <v>0</v>
      </c>
      <c r="AU34" s="440">
        <f t="shared" si="4"/>
        <v>0</v>
      </c>
      <c r="AV34" s="440">
        <f t="shared" si="4"/>
        <v>0</v>
      </c>
      <c r="AW34" s="440">
        <f t="shared" si="4"/>
        <v>0</v>
      </c>
      <c r="AX34" s="440">
        <f t="shared" si="4"/>
        <v>0</v>
      </c>
      <c r="AY34" s="440">
        <f t="shared" si="4"/>
        <v>0</v>
      </c>
      <c r="AZ34" s="440">
        <f t="shared" si="4"/>
        <v>0</v>
      </c>
      <c r="BA34" s="440">
        <f t="shared" si="4"/>
        <v>0</v>
      </c>
      <c r="BB34" s="440">
        <f t="shared" si="4"/>
        <v>0</v>
      </c>
      <c r="BC34" s="25"/>
      <c r="BF34" s="996" t="s">
        <v>739</v>
      </c>
    </row>
    <row r="35" spans="1:58" s="1167" customFormat="1" ht="10.5" hidden="1" customHeight="1" x14ac:dyDescent="0.15">
      <c r="A35" s="973"/>
      <c r="B35" s="773"/>
      <c r="C35" s="1152"/>
      <c r="D35" s="1152"/>
      <c r="E35" s="668">
        <v>11.4</v>
      </c>
      <c r="F35" s="123" t="str" cm="1">
        <f t="array" ref="F35">X35</f>
        <v>1</v>
      </c>
      <c r="G35" s="160" t="str" cm="1">
        <f t="array" ref="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17"/>
      <c r="I35" s="417"/>
      <c r="J35" s="417"/>
      <c r="K35" s="417"/>
      <c r="L35" s="417"/>
      <c r="M35" s="417"/>
      <c r="N35" s="417"/>
      <c r="O35" s="417"/>
      <c r="P35" s="417"/>
      <c r="Q35" s="417"/>
      <c r="R35" s="417"/>
      <c r="S35" s="417"/>
      <c r="T35" s="679" t="b">
        <f>AND(X35&gt;0,G35="передача тепловой энергии")</f>
        <v>0</v>
      </c>
      <c r="U35" s="1152"/>
      <c r="V35" s="123" t="str" cm="1">
        <f t="array" ref="V35">'Баланс Пр'!$AB$96</f>
        <v>Тариф 1 (Теплоснабжение) - Тариф на тепловую энергию (мощность), поставляемую потребителям (Не определено)</v>
      </c>
      <c r="W35" s="1152"/>
      <c r="X35" s="1485" t="s">
        <v>339</v>
      </c>
      <c r="Y35" s="1152"/>
      <c r="Z35" s="1485"/>
      <c r="AA35" s="417"/>
      <c r="AB35" s="390" t="str" cm="1">
        <f t="array" ref="AB35">IF(ISBLANK('Баланс Пр'!$AB$96),"",'Баланс Пр'!$AB$96)</f>
        <v>Тариф 1 (Теплоснабжение) - Тариф на тепловую энергию (мощность), поставляемую потребителям (Не определено)</v>
      </c>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417"/>
      <c r="BE35" s="417"/>
      <c r="BF35" s="1006"/>
    </row>
    <row r="36" spans="1:58" s="1167" customFormat="1" ht="16.5" hidden="1" customHeight="1" x14ac:dyDescent="0.15">
      <c r="A36" s="973"/>
      <c r="B36" s="773"/>
      <c r="C36" s="1152"/>
      <c r="D36" s="1152"/>
      <c r="E36" s="668">
        <v>17.100000000000001</v>
      </c>
      <c r="F36" s="769" t="str" cm="1">
        <f t="array" aca="1" ref="F36" ca="1">OFFSET(G36,-1,-1)</f>
        <v>1</v>
      </c>
      <c r="G36" s="417"/>
      <c r="H36" s="417"/>
      <c r="I36" s="417"/>
      <c r="J36" s="417"/>
      <c r="K36" s="417"/>
      <c r="L36" s="417"/>
      <c r="M36" s="417"/>
      <c r="N36" s="417"/>
      <c r="O36" s="417"/>
      <c r="P36" s="417"/>
      <c r="Q36" s="417"/>
      <c r="R36" s="417"/>
      <c r="S36" s="417"/>
      <c r="T36" s="679" t="b" cm="1">
        <f t="array" ref="T36">T35</f>
        <v>0</v>
      </c>
      <c r="U36" s="1152"/>
      <c r="V36" s="1152"/>
      <c r="W36" s="1152"/>
      <c r="X36" s="1485"/>
      <c r="Y36" s="1152"/>
      <c r="Z36" s="1485"/>
      <c r="AA36" s="417"/>
      <c r="AB36" s="467" t="s">
        <v>339</v>
      </c>
      <c r="AC36" s="468" t="s">
        <v>727</v>
      </c>
      <c r="AD36" s="118" t="s">
        <v>622</v>
      </c>
      <c r="AE36" s="29"/>
      <c r="AF36" s="29"/>
      <c r="AG36" s="29"/>
      <c r="AH36" s="29"/>
      <c r="AI36" s="408"/>
      <c r="AJ36" s="1227"/>
      <c r="AK36" s="1227"/>
      <c r="AL36" s="29"/>
      <c r="AM36" s="29"/>
      <c r="AN36" s="29"/>
      <c r="AO36" s="29"/>
      <c r="AP36" s="29"/>
      <c r="AQ36" s="29"/>
      <c r="AR36" s="29"/>
      <c r="AS36" s="408"/>
      <c r="AT36" s="1227"/>
      <c r="AU36" s="1227"/>
      <c r="AV36" s="29"/>
      <c r="AW36" s="29"/>
      <c r="AX36" s="29"/>
      <c r="AY36" s="29"/>
      <c r="AZ36" s="29"/>
      <c r="BA36" s="29"/>
      <c r="BB36" s="29"/>
      <c r="BC36" s="25"/>
      <c r="BD36" s="417"/>
      <c r="BE36" s="417"/>
      <c r="BF36" s="996" t="s">
        <v>728</v>
      </c>
    </row>
    <row r="37" spans="1:58" s="1167" customFormat="1" ht="16.5" hidden="1" customHeight="1" x14ac:dyDescent="0.15">
      <c r="A37" s="973"/>
      <c r="B37" s="773"/>
      <c r="C37" s="1152"/>
      <c r="D37" s="1152"/>
      <c r="E37" s="668">
        <v>17.100000000000001</v>
      </c>
      <c r="F37" s="769" t="str" cm="1">
        <f t="array" aca="1" ref="F37" ca="1">OFFSET(G37,-1,-1)</f>
        <v>1</v>
      </c>
      <c r="G37" s="417"/>
      <c r="H37" s="417"/>
      <c r="I37" s="417"/>
      <c r="J37" s="417"/>
      <c r="K37" s="417"/>
      <c r="L37" s="417"/>
      <c r="M37" s="417"/>
      <c r="N37" s="417"/>
      <c r="O37" s="417"/>
      <c r="P37" s="417"/>
      <c r="Q37" s="417"/>
      <c r="R37" s="417"/>
      <c r="S37" s="417"/>
      <c r="T37" s="679" t="b" cm="1">
        <f t="array" ref="T37">T36</f>
        <v>0</v>
      </c>
      <c r="U37" s="1152"/>
      <c r="V37" s="1152"/>
      <c r="W37" s="1152"/>
      <c r="X37" s="1485"/>
      <c r="Y37" s="1152"/>
      <c r="Z37" s="1485"/>
      <c r="AA37" s="417"/>
      <c r="AB37" s="467" t="s">
        <v>426</v>
      </c>
      <c r="AC37" s="468" t="s">
        <v>729</v>
      </c>
      <c r="AD37" s="118" t="s">
        <v>622</v>
      </c>
      <c r="AE37" s="37"/>
      <c r="AF37" s="37"/>
      <c r="AG37" s="37"/>
      <c r="AH37" s="37"/>
      <c r="AI37" s="407"/>
      <c r="AJ37" s="1242"/>
      <c r="AK37" s="1242"/>
      <c r="AL37" s="37"/>
      <c r="AM37" s="37"/>
      <c r="AN37" s="37"/>
      <c r="AO37" s="37"/>
      <c r="AP37" s="37"/>
      <c r="AQ37" s="37"/>
      <c r="AR37" s="37"/>
      <c r="AS37" s="407"/>
      <c r="AT37" s="1242"/>
      <c r="AU37" s="1242"/>
      <c r="AV37" s="37"/>
      <c r="AW37" s="37"/>
      <c r="AX37" s="37"/>
      <c r="AY37" s="37"/>
      <c r="AZ37" s="37"/>
      <c r="BA37" s="37"/>
      <c r="BB37" s="37"/>
      <c r="BC37" s="25"/>
      <c r="BD37" s="417"/>
      <c r="BE37" s="417"/>
      <c r="BF37" s="996" t="s">
        <v>730</v>
      </c>
    </row>
    <row r="38" spans="1:58" s="1167" customFormat="1" ht="16.5" hidden="1" customHeight="1" x14ac:dyDescent="0.15">
      <c r="A38" s="973"/>
      <c r="B38" s="773"/>
      <c r="C38" s="1152"/>
      <c r="D38" s="1152"/>
      <c r="E38" s="668">
        <v>17.100000000000001</v>
      </c>
      <c r="F38" s="769" t="str" cm="1">
        <f t="array" aca="1" ref="F38" ca="1">OFFSET(G38,-1,-1)</f>
        <v>1</v>
      </c>
      <c r="G38" s="417"/>
      <c r="H38" s="417"/>
      <c r="I38" s="417"/>
      <c r="J38" s="417"/>
      <c r="K38" s="417"/>
      <c r="L38" s="417"/>
      <c r="M38" s="417"/>
      <c r="N38" s="417"/>
      <c r="O38" s="417"/>
      <c r="P38" s="417"/>
      <c r="Q38" s="417"/>
      <c r="R38" s="417"/>
      <c r="S38" s="417"/>
      <c r="T38" s="679" t="b" cm="1">
        <f t="array" ref="T38">T37</f>
        <v>0</v>
      </c>
      <c r="U38" s="1152"/>
      <c r="V38" s="1152"/>
      <c r="W38" s="1152"/>
      <c r="X38" s="1485"/>
      <c r="Y38" s="1152"/>
      <c r="Z38" s="1485"/>
      <c r="AA38" s="417"/>
      <c r="AB38" s="411" t="s">
        <v>479</v>
      </c>
      <c r="AC38" s="420" t="s">
        <v>731</v>
      </c>
      <c r="AD38" s="118" t="s">
        <v>521</v>
      </c>
      <c r="AE38" s="470">
        <f t="shared" ref="AE38:BB38" si="5">IF(AE36=0,0,AE37/AE36)</f>
        <v>0</v>
      </c>
      <c r="AF38" s="470">
        <f t="shared" si="5"/>
        <v>0</v>
      </c>
      <c r="AG38" s="470">
        <f t="shared" si="5"/>
        <v>0</v>
      </c>
      <c r="AH38" s="470">
        <f t="shared" si="5"/>
        <v>0</v>
      </c>
      <c r="AI38" s="470">
        <f t="shared" si="5"/>
        <v>0</v>
      </c>
      <c r="AJ38" s="470">
        <f t="shared" si="5"/>
        <v>0</v>
      </c>
      <c r="AK38" s="470">
        <f t="shared" si="5"/>
        <v>0</v>
      </c>
      <c r="AL38" s="470">
        <f t="shared" si="5"/>
        <v>0</v>
      </c>
      <c r="AM38" s="470">
        <f t="shared" si="5"/>
        <v>0</v>
      </c>
      <c r="AN38" s="470">
        <f t="shared" si="5"/>
        <v>0</v>
      </c>
      <c r="AO38" s="470">
        <f t="shared" si="5"/>
        <v>0</v>
      </c>
      <c r="AP38" s="470">
        <f t="shared" si="5"/>
        <v>0</v>
      </c>
      <c r="AQ38" s="470">
        <f t="shared" si="5"/>
        <v>0</v>
      </c>
      <c r="AR38" s="470">
        <f t="shared" si="5"/>
        <v>0</v>
      </c>
      <c r="AS38" s="470">
        <f t="shared" si="5"/>
        <v>0</v>
      </c>
      <c r="AT38" s="470">
        <f t="shared" si="5"/>
        <v>0</v>
      </c>
      <c r="AU38" s="470">
        <f t="shared" si="5"/>
        <v>0</v>
      </c>
      <c r="AV38" s="470">
        <f t="shared" si="5"/>
        <v>0</v>
      </c>
      <c r="AW38" s="470">
        <f t="shared" si="5"/>
        <v>0</v>
      </c>
      <c r="AX38" s="470">
        <f t="shared" si="5"/>
        <v>0</v>
      </c>
      <c r="AY38" s="470">
        <f t="shared" si="5"/>
        <v>0</v>
      </c>
      <c r="AZ38" s="470">
        <f t="shared" si="5"/>
        <v>0</v>
      </c>
      <c r="BA38" s="470">
        <f t="shared" si="5"/>
        <v>0</v>
      </c>
      <c r="BB38" s="470">
        <f t="shared" si="5"/>
        <v>0</v>
      </c>
      <c r="BC38" s="25"/>
      <c r="BD38" s="417"/>
      <c r="BE38" s="417"/>
      <c r="BF38" s="996" t="s">
        <v>732</v>
      </c>
    </row>
    <row r="39" spans="1:58" s="1167" customFormat="1" ht="16.5" hidden="1" customHeight="1" x14ac:dyDescent="0.15">
      <c r="A39" s="973"/>
      <c r="B39" s="773"/>
      <c r="C39" s="1152"/>
      <c r="D39" s="1152"/>
      <c r="E39" s="668">
        <v>17.100000000000001</v>
      </c>
      <c r="F39" s="769" t="str" cm="1">
        <f t="array" aca="1" ref="F39" ca="1">OFFSET(G39,-1,-1)</f>
        <v>1</v>
      </c>
      <c r="G39" s="417"/>
      <c r="H39" s="417"/>
      <c r="I39" s="417"/>
      <c r="J39" s="417"/>
      <c r="K39" s="417"/>
      <c r="L39" s="417"/>
      <c r="M39" s="417"/>
      <c r="N39" s="417"/>
      <c r="O39" s="417"/>
      <c r="P39" s="417"/>
      <c r="Q39" s="417"/>
      <c r="R39" s="417"/>
      <c r="S39" s="417"/>
      <c r="T39" s="679" t="b" cm="1">
        <f t="array" ref="T39">T38</f>
        <v>0</v>
      </c>
      <c r="U39" s="1152"/>
      <c r="V39" s="1152"/>
      <c r="W39" s="1152"/>
      <c r="X39" s="1485"/>
      <c r="Y39" s="1152"/>
      <c r="Z39" s="1485"/>
      <c r="AA39" s="417"/>
      <c r="AB39" s="406" t="s">
        <v>431</v>
      </c>
      <c r="AC39" s="469" t="s">
        <v>733</v>
      </c>
      <c r="AD39" s="118" t="s">
        <v>622</v>
      </c>
      <c r="AE39" s="409">
        <f t="shared" ref="AE39:BB39" si="6">AE36-AE37</f>
        <v>0</v>
      </c>
      <c r="AF39" s="409">
        <f t="shared" si="6"/>
        <v>0</v>
      </c>
      <c r="AG39" s="409">
        <f t="shared" si="6"/>
        <v>0</v>
      </c>
      <c r="AH39" s="409">
        <f t="shared" si="6"/>
        <v>0</v>
      </c>
      <c r="AI39" s="409">
        <f t="shared" si="6"/>
        <v>0</v>
      </c>
      <c r="AJ39" s="409">
        <f t="shared" si="6"/>
        <v>0</v>
      </c>
      <c r="AK39" s="409">
        <f t="shared" si="6"/>
        <v>0</v>
      </c>
      <c r="AL39" s="409">
        <f t="shared" si="6"/>
        <v>0</v>
      </c>
      <c r="AM39" s="409">
        <f t="shared" si="6"/>
        <v>0</v>
      </c>
      <c r="AN39" s="409">
        <f t="shared" si="6"/>
        <v>0</v>
      </c>
      <c r="AO39" s="409">
        <f t="shared" si="6"/>
        <v>0</v>
      </c>
      <c r="AP39" s="409">
        <f t="shared" si="6"/>
        <v>0</v>
      </c>
      <c r="AQ39" s="409">
        <f t="shared" si="6"/>
        <v>0</v>
      </c>
      <c r="AR39" s="409">
        <f t="shared" si="6"/>
        <v>0</v>
      </c>
      <c r="AS39" s="409">
        <f t="shared" si="6"/>
        <v>0</v>
      </c>
      <c r="AT39" s="409">
        <f t="shared" si="6"/>
        <v>0</v>
      </c>
      <c r="AU39" s="409">
        <f t="shared" si="6"/>
        <v>0</v>
      </c>
      <c r="AV39" s="409">
        <f t="shared" si="6"/>
        <v>0</v>
      </c>
      <c r="AW39" s="409">
        <f t="shared" si="6"/>
        <v>0</v>
      </c>
      <c r="AX39" s="409">
        <f t="shared" si="6"/>
        <v>0</v>
      </c>
      <c r="AY39" s="409">
        <f t="shared" si="6"/>
        <v>0</v>
      </c>
      <c r="AZ39" s="409">
        <f t="shared" si="6"/>
        <v>0</v>
      </c>
      <c r="BA39" s="409">
        <f t="shared" si="6"/>
        <v>0</v>
      </c>
      <c r="BB39" s="409">
        <f t="shared" si="6"/>
        <v>0</v>
      </c>
      <c r="BC39" s="25"/>
      <c r="BD39" s="417"/>
      <c r="BE39" s="417"/>
      <c r="BF39" s="996" t="s">
        <v>734</v>
      </c>
    </row>
    <row r="40" spans="1:58" s="1167" customFormat="1" ht="16.5" hidden="1" customHeight="1" x14ac:dyDescent="0.15">
      <c r="A40" s="973"/>
      <c r="B40" s="773"/>
      <c r="C40" s="1152"/>
      <c r="D40" s="1152"/>
      <c r="E40" s="668">
        <v>17.100000000000001</v>
      </c>
      <c r="F40" s="769" t="str" cm="1">
        <f t="array" aca="1" ref="F40" ca="1">OFFSET(G40,-1,-1)</f>
        <v>1</v>
      </c>
      <c r="G40" s="417"/>
      <c r="H40" s="417"/>
      <c r="I40" s="417"/>
      <c r="J40" s="417"/>
      <c r="K40" s="417"/>
      <c r="L40" s="417"/>
      <c r="M40" s="417"/>
      <c r="N40" s="417"/>
      <c r="O40" s="417"/>
      <c r="P40" s="417"/>
      <c r="Q40" s="417"/>
      <c r="R40" s="417"/>
      <c r="S40" s="417"/>
      <c r="T40" s="679" t="b" cm="1">
        <f t="array" ref="T40">T39</f>
        <v>0</v>
      </c>
      <c r="U40" s="1152"/>
      <c r="V40" s="1152"/>
      <c r="W40" s="1152"/>
      <c r="X40" s="1485"/>
      <c r="Y40" s="1152"/>
      <c r="Z40" s="1485"/>
      <c r="AA40" s="417"/>
      <c r="AB40" s="410" t="s">
        <v>735</v>
      </c>
      <c r="AC40" s="458" t="s">
        <v>736</v>
      </c>
      <c r="AD40" s="118" t="s">
        <v>622</v>
      </c>
      <c r="AE40" s="29"/>
      <c r="AF40" s="29"/>
      <c r="AG40" s="29"/>
      <c r="AH40" s="29"/>
      <c r="AI40" s="408"/>
      <c r="AJ40" s="1227"/>
      <c r="AK40" s="1227"/>
      <c r="AL40" s="29"/>
      <c r="AM40" s="29"/>
      <c r="AN40" s="29"/>
      <c r="AO40" s="29"/>
      <c r="AP40" s="29"/>
      <c r="AQ40" s="29"/>
      <c r="AR40" s="29"/>
      <c r="AS40" s="408"/>
      <c r="AT40" s="1227"/>
      <c r="AU40" s="1227"/>
      <c r="AV40" s="29"/>
      <c r="AW40" s="29"/>
      <c r="AX40" s="29"/>
      <c r="AY40" s="29"/>
      <c r="AZ40" s="29"/>
      <c r="BA40" s="29"/>
      <c r="BB40" s="29"/>
      <c r="BC40" s="25"/>
      <c r="BD40" s="417"/>
      <c r="BE40" s="417"/>
      <c r="BF40" s="996" t="s">
        <v>737</v>
      </c>
    </row>
    <row r="41" spans="1:58" s="1167" customFormat="1" ht="16.5" hidden="1" customHeight="1" x14ac:dyDescent="0.15">
      <c r="A41" s="973"/>
      <c r="B41" s="773"/>
      <c r="C41" s="1152"/>
      <c r="D41" s="1152"/>
      <c r="E41" s="668">
        <v>17.100000000000001</v>
      </c>
      <c r="F41" s="769" t="str" cm="1">
        <f t="array" aca="1" ref="F41" ca="1">OFFSET(G41,-1,-1)</f>
        <v>1</v>
      </c>
      <c r="G41" s="417"/>
      <c r="H41" s="417"/>
      <c r="I41" s="417"/>
      <c r="J41" s="417"/>
      <c r="K41" s="417"/>
      <c r="L41" s="417"/>
      <c r="M41" s="417"/>
      <c r="N41" s="417"/>
      <c r="O41" s="417"/>
      <c r="P41" s="417"/>
      <c r="Q41" s="417"/>
      <c r="R41" s="417"/>
      <c r="S41" s="417"/>
      <c r="T41" s="679" t="b" cm="1">
        <f t="array" ref="T41">T40</f>
        <v>0</v>
      </c>
      <c r="U41" s="1152"/>
      <c r="V41" s="1152"/>
      <c r="W41" s="1152"/>
      <c r="X41" s="1485"/>
      <c r="Y41" s="1152"/>
      <c r="Z41" s="1485"/>
      <c r="AA41" s="417"/>
      <c r="AB41" s="410" t="s">
        <v>738</v>
      </c>
      <c r="AC41" s="458" t="s">
        <v>667</v>
      </c>
      <c r="AD41" s="118" t="s">
        <v>622</v>
      </c>
      <c r="AE41" s="440">
        <f t="shared" ref="AE41:BB41" si="7">AE39-AE40</f>
        <v>0</v>
      </c>
      <c r="AF41" s="440">
        <f t="shared" si="7"/>
        <v>0</v>
      </c>
      <c r="AG41" s="440">
        <f t="shared" si="7"/>
        <v>0</v>
      </c>
      <c r="AH41" s="440">
        <f t="shared" si="7"/>
        <v>0</v>
      </c>
      <c r="AI41" s="440">
        <f t="shared" si="7"/>
        <v>0</v>
      </c>
      <c r="AJ41" s="440">
        <f t="shared" si="7"/>
        <v>0</v>
      </c>
      <c r="AK41" s="440">
        <f t="shared" si="7"/>
        <v>0</v>
      </c>
      <c r="AL41" s="440">
        <f t="shared" si="7"/>
        <v>0</v>
      </c>
      <c r="AM41" s="440">
        <f t="shared" si="7"/>
        <v>0</v>
      </c>
      <c r="AN41" s="440">
        <f t="shared" si="7"/>
        <v>0</v>
      </c>
      <c r="AO41" s="440">
        <f t="shared" si="7"/>
        <v>0</v>
      </c>
      <c r="AP41" s="440">
        <f t="shared" si="7"/>
        <v>0</v>
      </c>
      <c r="AQ41" s="440">
        <f t="shared" si="7"/>
        <v>0</v>
      </c>
      <c r="AR41" s="440">
        <f t="shared" si="7"/>
        <v>0</v>
      </c>
      <c r="AS41" s="440">
        <f t="shared" si="7"/>
        <v>0</v>
      </c>
      <c r="AT41" s="440">
        <f t="shared" si="7"/>
        <v>0</v>
      </c>
      <c r="AU41" s="440">
        <f t="shared" si="7"/>
        <v>0</v>
      </c>
      <c r="AV41" s="440">
        <f t="shared" si="7"/>
        <v>0</v>
      </c>
      <c r="AW41" s="440">
        <f t="shared" si="7"/>
        <v>0</v>
      </c>
      <c r="AX41" s="440">
        <f t="shared" si="7"/>
        <v>0</v>
      </c>
      <c r="AY41" s="440">
        <f t="shared" si="7"/>
        <v>0</v>
      </c>
      <c r="AZ41" s="440">
        <f t="shared" si="7"/>
        <v>0</v>
      </c>
      <c r="BA41" s="440">
        <f t="shared" si="7"/>
        <v>0</v>
      </c>
      <c r="BB41" s="440">
        <f t="shared" si="7"/>
        <v>0</v>
      </c>
      <c r="BC41" s="25"/>
      <c r="BD41" s="417"/>
      <c r="BE41" s="417"/>
      <c r="BF41" s="996" t="s">
        <v>739</v>
      </c>
    </row>
    <row r="42" spans="1:58" ht="11.1" customHeight="1" x14ac:dyDescent="0.15">
      <c r="E42" s="668">
        <v>11.4</v>
      </c>
      <c r="U42" s="123" t="s">
        <v>239</v>
      </c>
      <c r="V42" s="119" t="s">
        <v>740</v>
      </c>
    </row>
    <row r="43" spans="1:58" ht="11.25" hidden="1" customHeight="1" x14ac:dyDescent="0.15">
      <c r="E43" s="668">
        <v>0</v>
      </c>
      <c r="V43" s="126"/>
    </row>
    <row r="44" spans="1:58" ht="14.65" customHeight="1" x14ac:dyDescent="0.15">
      <c r="E44" s="668">
        <v>15</v>
      </c>
      <c r="V44" s="126"/>
      <c r="AB44" s="1502" t="s">
        <v>725</v>
      </c>
      <c r="AC44" s="1502"/>
      <c r="AD44" s="1502"/>
      <c r="AE44" s="1503"/>
      <c r="AF44" s="1503"/>
      <c r="AG44" s="1503"/>
      <c r="AH44" s="1503"/>
      <c r="AI44" s="1503"/>
      <c r="AJ44" s="1503"/>
      <c r="AK44" s="1503"/>
      <c r="AL44" s="1503"/>
      <c r="AM44" s="1503"/>
      <c r="AN44" s="1503"/>
      <c r="AO44" s="1503"/>
      <c r="AP44" s="1503"/>
      <c r="AQ44" s="1503"/>
      <c r="AR44" s="1503"/>
      <c r="AS44" s="1503"/>
      <c r="AT44" s="1503"/>
      <c r="AU44" s="1503"/>
      <c r="AV44" s="1503"/>
      <c r="AW44" s="1503"/>
      <c r="AX44" s="1503"/>
      <c r="AY44" s="1503"/>
      <c r="AZ44" s="1503"/>
      <c r="BA44" s="1503"/>
      <c r="BB44" s="1503"/>
      <c r="BC44" s="1503"/>
    </row>
    <row r="45" spans="1:58" ht="14.65" customHeight="1" x14ac:dyDescent="0.15">
      <c r="E45" s="668">
        <v>15</v>
      </c>
      <c r="V45" s="126"/>
      <c r="AA45" s="768"/>
      <c r="AB45" s="1504"/>
      <c r="AC45" s="1505"/>
      <c r="AD45" s="1505"/>
      <c r="AE45" s="1505"/>
      <c r="AF45" s="1505"/>
      <c r="AG45" s="1505"/>
      <c r="AH45" s="1505"/>
      <c r="AI45" s="1505"/>
      <c r="AJ45" s="1506"/>
      <c r="AK45" s="1506"/>
      <c r="AL45" s="1506"/>
      <c r="AM45" s="1506"/>
      <c r="AN45" s="1506"/>
      <c r="AO45" s="1506"/>
      <c r="AP45" s="1506"/>
      <c r="AQ45" s="1506"/>
      <c r="AR45" s="1506"/>
      <c r="AS45" s="1505"/>
      <c r="AT45" s="1506"/>
      <c r="AU45" s="1506"/>
      <c r="AV45" s="1506"/>
      <c r="AW45" s="1506"/>
      <c r="AX45" s="1506"/>
      <c r="AY45" s="1506"/>
      <c r="AZ45" s="1506"/>
      <c r="BA45" s="1506"/>
      <c r="BB45" s="1506"/>
      <c r="BC45" s="1507"/>
    </row>
    <row r="46" spans="1:58" ht="14.65" hidden="1" customHeight="1" x14ac:dyDescent="0.15">
      <c r="E46" s="668">
        <v>15</v>
      </c>
      <c r="T46" s="679" t="b">
        <f>ROW(W46)&gt;ROW(W$46)</f>
        <v>0</v>
      </c>
      <c r="V46" s="126"/>
      <c r="W46" s="123" t="s">
        <v>237</v>
      </c>
      <c r="AA46" s="764" t="s">
        <v>218</v>
      </c>
      <c r="AB46" s="1508"/>
      <c r="AC46" s="1506"/>
      <c r="AD46" s="1506"/>
      <c r="AE46" s="1506"/>
      <c r="AF46" s="1506"/>
      <c r="AG46" s="1506"/>
      <c r="AH46" s="1506"/>
      <c r="AI46" s="1505"/>
      <c r="AJ46" s="1506"/>
      <c r="AK46" s="1506"/>
      <c r="AL46" s="1506"/>
      <c r="AM46" s="1506"/>
      <c r="AN46" s="1506"/>
      <c r="AO46" s="1506"/>
      <c r="AP46" s="1506"/>
      <c r="AQ46" s="1506"/>
      <c r="AR46" s="1506"/>
      <c r="AS46" s="1505"/>
      <c r="AT46" s="1506"/>
      <c r="AU46" s="1506"/>
      <c r="AV46" s="1506"/>
      <c r="AW46" s="1506"/>
      <c r="AX46" s="1506"/>
      <c r="AY46" s="1506"/>
      <c r="AZ46" s="1506"/>
      <c r="BA46" s="1506"/>
      <c r="BB46" s="1506"/>
      <c r="BC46" s="1509"/>
    </row>
    <row r="47" spans="1:58" ht="14.65" customHeight="1" x14ac:dyDescent="0.15">
      <c r="E47" s="668">
        <v>15</v>
      </c>
      <c r="W47" s="119" t="s">
        <v>238</v>
      </c>
      <c r="AB47" s="1500" t="s">
        <v>726</v>
      </c>
      <c r="AC47" s="1501"/>
      <c r="AD47" s="317"/>
      <c r="AE47" s="31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290"/>
    </row>
    <row r="48" spans="1:58" ht="11.25" customHeight="1" x14ac:dyDescent="0.15">
      <c r="BD48" s="160"/>
    </row>
  </sheetData>
  <sheetProtection formatColumns="0" formatRows="0" insertRows="0" deleteColumns="0" deleteRows="0" sort="0" autoFilter="0"/>
  <mergeCells count="13">
    <mergeCell ref="AB46:BC46"/>
    <mergeCell ref="X28:X34"/>
    <mergeCell ref="Z28:Z34"/>
    <mergeCell ref="AB47:AC47"/>
    <mergeCell ref="AB45:BC45"/>
    <mergeCell ref="AB44:BC44"/>
    <mergeCell ref="X35:X41"/>
    <mergeCell ref="Z35:Z41"/>
    <mergeCell ref="AB24:BC24"/>
    <mergeCell ref="AB25:AB26"/>
    <mergeCell ref="AC25:AC26"/>
    <mergeCell ref="AD25:AD26"/>
    <mergeCell ref="BC25:BC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581F8-47C8-C5AC-BE68-2019F74BD618}">
  <sheetPr>
    <tabColor rgb="FFFFC000"/>
    <outlinePr summaryBelow="0"/>
  </sheetPr>
  <dimension ref="A1:DB275"/>
  <sheetViews>
    <sheetView showGridLines="0" workbookViewId="0">
      <pane xSplit="33" ySplit="26" topLeftCell="BQ202" activePane="bottomRight" state="frozen"/>
      <selection pane="topRight" activeCell="AH1" sqref="AH1"/>
      <selection pane="bottomLeft" activeCell="A27" sqref="A27"/>
      <selection pane="bottomRight" activeCell="BR240" sqref="BR240"/>
    </sheetView>
  </sheetViews>
  <sheetFormatPr defaultColWidth="9.140625" defaultRowHeight="11.25" customHeight="1" x14ac:dyDescent="0.15"/>
  <cols>
    <col min="1" max="1" width="3.5703125" style="1150" hidden="1" customWidth="1"/>
    <col min="2" max="2" width="4.7109375" style="773" hidden="1" customWidth="1"/>
    <col min="3" max="4" width="3.5703125" style="1150" hidden="1" customWidth="1"/>
    <col min="5" max="5" width="8.42578125" style="772" hidden="1" customWidth="1"/>
    <col min="6" max="6" width="6.42578125" style="1150" hidden="1" customWidth="1"/>
    <col min="7" max="11" width="3.5703125" style="804" hidden="1" customWidth="1"/>
    <col min="12" max="12" width="7.7109375" style="804" hidden="1" customWidth="1"/>
    <col min="13" max="17" width="3.5703125" style="804" hidden="1" customWidth="1"/>
    <col min="18" max="18" width="7.7109375" style="1150" hidden="1" customWidth="1"/>
    <col min="19" max="19" width="7.7109375" style="769" hidden="1" customWidth="1"/>
    <col min="20" max="20" width="8.140625" style="1150" hidden="1" customWidth="1"/>
    <col min="21" max="21" width="8" style="1150" hidden="1" customWidth="1"/>
    <col min="22" max="22" width="6" style="1150" hidden="1" customWidth="1"/>
    <col min="23" max="24" width="6.28515625" style="1150" hidden="1" customWidth="1"/>
    <col min="25" max="25" width="5.7109375" style="1150" hidden="1" customWidth="1"/>
    <col min="26" max="26" width="5.42578125" style="1150" hidden="1" customWidth="1"/>
    <col min="27" max="27" width="3" style="691" customWidth="1"/>
    <col min="28" max="28" width="2.7109375" customWidth="1"/>
    <col min="29" max="29" width="3.5703125" customWidth="1"/>
    <col min="30" max="30" width="10" customWidth="1"/>
    <col min="31" max="31" width="45" customWidth="1"/>
    <col min="32" max="32" width="9.28515625" customWidth="1"/>
    <col min="33" max="33" width="15.28515625" customWidth="1"/>
    <col min="34" max="40" width="16.28515625" customWidth="1"/>
    <col min="41" max="67" width="16.28515625" hidden="1" customWidth="1"/>
    <col min="68" max="70" width="16.28515625" customWidth="1"/>
    <col min="71" max="97" width="16.28515625" hidden="1" customWidth="1"/>
    <col min="98" max="98" width="26" customWidth="1"/>
    <col min="99" max="99" width="3" customWidth="1"/>
    <col min="100" max="100" width="9.140625" hidden="1"/>
    <col min="101" max="101" width="9.140625" style="967" hidden="1"/>
    <col min="102" max="104" width="9.140625" style="965" hidden="1"/>
    <col min="105" max="106" width="9.140625" style="966" hidden="1"/>
  </cols>
  <sheetData>
    <row r="1" spans="1:106" s="1150" customFormat="1" ht="12" hidden="1" customHeight="1" x14ac:dyDescent="0.15">
      <c r="B1" s="659"/>
      <c r="E1" s="659"/>
      <c r="F1" s="690" t="s">
        <v>83</v>
      </c>
      <c r="G1" s="609"/>
      <c r="H1" s="609"/>
      <c r="I1" s="609"/>
      <c r="J1" s="609"/>
      <c r="K1" s="609"/>
      <c r="L1" s="609"/>
      <c r="M1" s="609"/>
      <c r="N1" s="609"/>
      <c r="O1" s="609"/>
      <c r="P1" s="609"/>
      <c r="Q1" s="609"/>
      <c r="S1" s="789" t="s">
        <v>741</v>
      </c>
      <c r="T1" s="789" t="s">
        <v>742</v>
      </c>
      <c r="U1" s="679" t="s">
        <v>86</v>
      </c>
      <c r="V1" s="679" t="s">
        <v>91</v>
      </c>
      <c r="W1" s="679" t="s">
        <v>87</v>
      </c>
      <c r="X1" s="679" t="s">
        <v>88</v>
      </c>
      <c r="Y1" s="679" t="s">
        <v>89</v>
      </c>
      <c r="Z1" s="679" t="s">
        <v>93</v>
      </c>
      <c r="AC1" s="690" t="s">
        <v>90</v>
      </c>
      <c r="AD1" s="690" t="s">
        <v>374</v>
      </c>
      <c r="AE1" s="690" t="s">
        <v>92</v>
      </c>
      <c r="CW1" s="960" t="s">
        <v>375</v>
      </c>
      <c r="CX1" s="959" t="s">
        <v>376</v>
      </c>
      <c r="CY1" s="959" t="s">
        <v>377</v>
      </c>
      <c r="CZ1" s="959" t="s">
        <v>743</v>
      </c>
      <c r="DA1" s="962" t="s">
        <v>380</v>
      </c>
      <c r="DB1" s="962" t="s">
        <v>381</v>
      </c>
    </row>
    <row r="2" spans="1:106" s="773" customFormat="1" ht="12" hidden="1" customHeight="1" x14ac:dyDescent="0.15">
      <c r="B2" s="758" t="s">
        <v>15</v>
      </c>
      <c r="G2" s="776"/>
      <c r="H2" s="776"/>
      <c r="I2" s="776"/>
      <c r="J2" s="776"/>
      <c r="K2" s="776"/>
      <c r="L2" s="776"/>
      <c r="M2" s="776"/>
      <c r="N2" s="776"/>
      <c r="O2" s="776"/>
      <c r="P2" s="776"/>
      <c r="Q2" s="776"/>
      <c r="AO2" s="680" t="b">
        <f t="shared" ref="AO2:BT2" si="0">AO6&lt;=last_year_vis</f>
        <v>0</v>
      </c>
      <c r="AP2" s="680" t="b">
        <f t="shared" si="0"/>
        <v>0</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0</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si="0"/>
        <v>0</v>
      </c>
      <c r="BN2" s="680" t="b">
        <f t="shared" si="0"/>
        <v>0</v>
      </c>
      <c r="BO2" s="680" t="b">
        <f t="shared" si="0"/>
        <v>0</v>
      </c>
      <c r="BP2" s="680" t="b">
        <f t="shared" si="0"/>
        <v>1</v>
      </c>
      <c r="BQ2" s="680" t="b">
        <f t="shared" si="0"/>
        <v>1</v>
      </c>
      <c r="BR2" s="680" t="b">
        <f t="shared" si="0"/>
        <v>1</v>
      </c>
      <c r="BS2" s="680" t="b">
        <f t="shared" si="0"/>
        <v>0</v>
      </c>
      <c r="BT2" s="680" t="b">
        <f t="shared" si="0"/>
        <v>0</v>
      </c>
      <c r="BU2" s="680" t="b">
        <f t="shared" ref="BU2:CS2" si="1">BU6&lt;=last_year_vis</f>
        <v>0</v>
      </c>
      <c r="BV2" s="680" t="b">
        <f t="shared" si="1"/>
        <v>0</v>
      </c>
      <c r="BW2" s="680" t="b">
        <f t="shared" si="1"/>
        <v>0</v>
      </c>
      <c r="BX2" s="680" t="b">
        <f t="shared" si="1"/>
        <v>0</v>
      </c>
      <c r="BY2" s="680" t="b">
        <f t="shared" si="1"/>
        <v>0</v>
      </c>
      <c r="BZ2" s="680" t="b">
        <f t="shared" si="1"/>
        <v>0</v>
      </c>
      <c r="CA2" s="680" t="b">
        <f t="shared" si="1"/>
        <v>0</v>
      </c>
      <c r="CB2" s="680" t="b">
        <f t="shared" si="1"/>
        <v>0</v>
      </c>
      <c r="CC2" s="680" t="b">
        <f t="shared" si="1"/>
        <v>0</v>
      </c>
      <c r="CD2" s="680" t="b">
        <f t="shared" si="1"/>
        <v>0</v>
      </c>
      <c r="CE2" s="680" t="b">
        <f t="shared" si="1"/>
        <v>0</v>
      </c>
      <c r="CF2" s="680" t="b">
        <f t="shared" si="1"/>
        <v>0</v>
      </c>
      <c r="CG2" s="680" t="b">
        <f t="shared" si="1"/>
        <v>0</v>
      </c>
      <c r="CH2" s="680" t="b">
        <f t="shared" si="1"/>
        <v>0</v>
      </c>
      <c r="CI2" s="680" t="b">
        <f t="shared" si="1"/>
        <v>0</v>
      </c>
      <c r="CJ2" s="680" t="b">
        <f t="shared" si="1"/>
        <v>0</v>
      </c>
      <c r="CK2" s="680" t="b">
        <f t="shared" si="1"/>
        <v>0</v>
      </c>
      <c r="CL2" s="680" t="b">
        <f t="shared" si="1"/>
        <v>0</v>
      </c>
      <c r="CM2" s="680" t="b">
        <f t="shared" si="1"/>
        <v>0</v>
      </c>
      <c r="CN2" s="680" t="b">
        <f t="shared" si="1"/>
        <v>0</v>
      </c>
      <c r="CO2" s="680" t="b">
        <f t="shared" si="1"/>
        <v>0</v>
      </c>
      <c r="CP2" s="680" t="b">
        <f t="shared" si="1"/>
        <v>0</v>
      </c>
      <c r="CQ2" s="680" t="b">
        <f t="shared" si="1"/>
        <v>0</v>
      </c>
      <c r="CR2" s="680" t="b">
        <f t="shared" si="1"/>
        <v>0</v>
      </c>
      <c r="CS2" s="680" t="b">
        <f t="shared" si="1"/>
        <v>0</v>
      </c>
      <c r="CW2" s="963"/>
      <c r="CX2" s="941"/>
      <c r="CY2" s="941"/>
      <c r="CZ2" s="941"/>
      <c r="DA2" s="668"/>
      <c r="DB2" s="668"/>
    </row>
    <row r="3" spans="1:106" s="1150" customFormat="1" ht="12" hidden="1" customHeight="1" x14ac:dyDescent="0.15">
      <c r="B3" s="659"/>
      <c r="E3" s="659"/>
      <c r="G3" s="609"/>
      <c r="H3" s="609"/>
      <c r="I3" s="609"/>
      <c r="J3" s="609"/>
      <c r="K3" s="609"/>
      <c r="L3" s="609"/>
      <c r="M3" s="609"/>
      <c r="N3" s="609"/>
      <c r="O3" s="609"/>
      <c r="P3" s="609"/>
      <c r="Q3" s="609"/>
      <c r="S3" s="769"/>
      <c r="CW3" s="960"/>
      <c r="CX3" s="959"/>
      <c r="CY3" s="959"/>
      <c r="CZ3" s="959"/>
      <c r="DA3" s="962"/>
      <c r="DB3" s="962"/>
    </row>
    <row r="4" spans="1:106" s="1150" customFormat="1" ht="12" hidden="1" customHeight="1" x14ac:dyDescent="0.15">
      <c r="B4" s="659"/>
      <c r="E4" s="659"/>
      <c r="G4" s="609"/>
      <c r="H4" s="609"/>
      <c r="I4" s="609"/>
      <c r="J4" s="609"/>
      <c r="K4" s="609"/>
      <c r="L4" s="609"/>
      <c r="M4" s="609"/>
      <c r="N4" s="609"/>
      <c r="O4" s="609"/>
      <c r="P4" s="609"/>
      <c r="Q4" s="609"/>
      <c r="S4" s="769"/>
      <c r="CW4" s="960"/>
      <c r="CX4" s="959"/>
      <c r="CY4" s="959"/>
      <c r="CZ4" s="959"/>
      <c r="DA4" s="962"/>
      <c r="DB4" s="962"/>
    </row>
    <row r="5" spans="1:106" s="772" customFormat="1" ht="12" hidden="1" customHeight="1" x14ac:dyDescent="0.15">
      <c r="A5" s="659"/>
      <c r="B5" s="659"/>
      <c r="C5" s="659"/>
      <c r="D5" s="659"/>
      <c r="E5" s="668" t="s">
        <v>16</v>
      </c>
      <c r="G5" s="777"/>
      <c r="H5" s="777"/>
      <c r="I5" s="777"/>
      <c r="J5" s="777"/>
      <c r="K5" s="777"/>
      <c r="L5" s="777"/>
      <c r="M5" s="777"/>
      <c r="N5" s="777"/>
      <c r="O5" s="777"/>
      <c r="P5" s="777"/>
      <c r="Q5" s="777"/>
      <c r="AA5" s="668">
        <v>3</v>
      </c>
      <c r="AB5" s="668">
        <v>2.75</v>
      </c>
      <c r="AD5" s="668">
        <v>10</v>
      </c>
      <c r="AE5" s="668">
        <v>45</v>
      </c>
      <c r="AF5" s="668">
        <v>30</v>
      </c>
      <c r="AG5" s="668">
        <v>20</v>
      </c>
      <c r="AH5" s="668">
        <v>16.25</v>
      </c>
      <c r="AI5" s="668">
        <v>16.25</v>
      </c>
      <c r="AJ5" s="668">
        <v>16.25</v>
      </c>
      <c r="AK5" s="668">
        <v>16.25</v>
      </c>
      <c r="AL5" s="668">
        <v>16.25</v>
      </c>
      <c r="AM5" s="668">
        <v>16.25</v>
      </c>
      <c r="AN5" s="668">
        <v>16.25</v>
      </c>
      <c r="AO5" s="668">
        <v>16.25</v>
      </c>
      <c r="AP5" s="668">
        <v>16.25</v>
      </c>
      <c r="AQ5" s="668">
        <v>16.25</v>
      </c>
      <c r="AR5" s="668">
        <v>16.25</v>
      </c>
      <c r="AS5" s="668">
        <v>16.25</v>
      </c>
      <c r="AT5" s="668">
        <v>16.25</v>
      </c>
      <c r="AU5" s="668">
        <v>16.25</v>
      </c>
      <c r="AV5" s="668">
        <v>16.25</v>
      </c>
      <c r="AW5" s="668">
        <v>16.25</v>
      </c>
      <c r="AX5" s="668">
        <v>16.25</v>
      </c>
      <c r="AY5" s="668">
        <v>16.25</v>
      </c>
      <c r="AZ5" s="668">
        <v>16.25</v>
      </c>
      <c r="BA5" s="668">
        <v>16.25</v>
      </c>
      <c r="BB5" s="668">
        <v>16.25</v>
      </c>
      <c r="BC5" s="668">
        <v>16.25</v>
      </c>
      <c r="BD5" s="668">
        <v>16.25</v>
      </c>
      <c r="BE5" s="668">
        <v>16.25</v>
      </c>
      <c r="BF5" s="668">
        <v>16.25</v>
      </c>
      <c r="BG5" s="668">
        <v>16.25</v>
      </c>
      <c r="BH5" s="668">
        <v>16.25</v>
      </c>
      <c r="BI5" s="668">
        <v>16.25</v>
      </c>
      <c r="BJ5" s="668">
        <v>16.25</v>
      </c>
      <c r="BK5" s="668">
        <v>16.25</v>
      </c>
      <c r="BL5" s="668">
        <v>16.25</v>
      </c>
      <c r="BM5" s="668">
        <v>16.25</v>
      </c>
      <c r="BN5" s="668">
        <v>16.25</v>
      </c>
      <c r="BO5" s="668">
        <v>16.25</v>
      </c>
      <c r="BP5" s="668">
        <v>16.25</v>
      </c>
      <c r="BQ5" s="668">
        <v>16.25</v>
      </c>
      <c r="BR5" s="668">
        <v>16.25</v>
      </c>
      <c r="BS5" s="668">
        <v>16.25</v>
      </c>
      <c r="BT5" s="668">
        <v>16.25</v>
      </c>
      <c r="BU5" s="668">
        <v>16.25</v>
      </c>
      <c r="BV5" s="668">
        <v>16.25</v>
      </c>
      <c r="BW5" s="668">
        <v>16.25</v>
      </c>
      <c r="BX5" s="668">
        <v>16.25</v>
      </c>
      <c r="BY5" s="668">
        <v>16.25</v>
      </c>
      <c r="BZ5" s="668">
        <v>16.25</v>
      </c>
      <c r="CA5" s="668">
        <v>16.25</v>
      </c>
      <c r="CB5" s="668">
        <v>16.25</v>
      </c>
      <c r="CC5" s="668">
        <v>16.25</v>
      </c>
      <c r="CD5" s="668">
        <v>16.25</v>
      </c>
      <c r="CE5" s="668">
        <v>16.25</v>
      </c>
      <c r="CF5" s="668">
        <v>16.25</v>
      </c>
      <c r="CG5" s="668">
        <v>16.25</v>
      </c>
      <c r="CH5" s="668">
        <v>16.25</v>
      </c>
      <c r="CI5" s="668">
        <v>16.25</v>
      </c>
      <c r="CJ5" s="668">
        <v>16.25</v>
      </c>
      <c r="CK5" s="668">
        <v>16.25</v>
      </c>
      <c r="CL5" s="668">
        <v>16.25</v>
      </c>
      <c r="CM5" s="668">
        <v>16.25</v>
      </c>
      <c r="CN5" s="668">
        <v>16.25</v>
      </c>
      <c r="CO5" s="668">
        <v>16.25</v>
      </c>
      <c r="CP5" s="668">
        <v>16.25</v>
      </c>
      <c r="CQ5" s="668">
        <v>16.25</v>
      </c>
      <c r="CR5" s="668">
        <v>16.25</v>
      </c>
      <c r="CS5" s="668">
        <v>16.25</v>
      </c>
      <c r="CT5" s="668">
        <v>26</v>
      </c>
      <c r="CU5" s="668">
        <v>3</v>
      </c>
      <c r="CW5" s="963"/>
      <c r="CX5" s="941"/>
      <c r="CY5" s="941"/>
      <c r="CZ5" s="941"/>
    </row>
    <row r="6" spans="1:106" s="1150" customFormat="1" ht="12" hidden="1" customHeight="1" x14ac:dyDescent="0.15">
      <c r="B6" s="659"/>
      <c r="E6" s="668"/>
      <c r="G6" s="609"/>
      <c r="H6" s="609"/>
      <c r="I6" s="609"/>
      <c r="J6" s="609"/>
      <c r="K6" s="609"/>
      <c r="L6" s="609"/>
      <c r="M6" s="609"/>
      <c r="N6" s="609"/>
      <c r="O6" s="609"/>
      <c r="P6" s="609"/>
      <c r="Q6" s="609"/>
      <c r="S6" s="769"/>
      <c r="AH6" s="107">
        <f>god-2</f>
        <v>2024</v>
      </c>
      <c r="AI6" s="107">
        <f>god-2</f>
        <v>2024</v>
      </c>
      <c r="AJ6" s="107">
        <f>god-2</f>
        <v>2024</v>
      </c>
      <c r="AK6" s="107">
        <f>god-1</f>
        <v>2025</v>
      </c>
      <c r="AL6" s="107" cm="1">
        <f t="array" ref="AL6">god</f>
        <v>2026</v>
      </c>
      <c r="AM6" s="107" cm="1">
        <f t="array" ref="AM6">god</f>
        <v>2026</v>
      </c>
      <c r="AN6" s="107" cm="1">
        <f t="array" ref="AN6">god</f>
        <v>2026</v>
      </c>
      <c r="AO6" s="107">
        <f>god+1</f>
        <v>2027</v>
      </c>
      <c r="AP6" s="107">
        <f>god+1</f>
        <v>2027</v>
      </c>
      <c r="AQ6" s="107">
        <f>god+1</f>
        <v>2027</v>
      </c>
      <c r="AR6" s="107">
        <f>god+2</f>
        <v>2028</v>
      </c>
      <c r="AS6" s="107">
        <f>god+2</f>
        <v>2028</v>
      </c>
      <c r="AT6" s="107">
        <f>god+2</f>
        <v>2028</v>
      </c>
      <c r="AU6" s="107">
        <f>god+3</f>
        <v>2029</v>
      </c>
      <c r="AV6" s="107">
        <f>god+3</f>
        <v>2029</v>
      </c>
      <c r="AW6" s="107">
        <f>god+3</f>
        <v>2029</v>
      </c>
      <c r="AX6" s="107">
        <f>god+4</f>
        <v>2030</v>
      </c>
      <c r="AY6" s="107">
        <f>god+4</f>
        <v>2030</v>
      </c>
      <c r="AZ6" s="107">
        <f>god+4</f>
        <v>2030</v>
      </c>
      <c r="BA6" s="107">
        <f>god+5</f>
        <v>2031</v>
      </c>
      <c r="BB6" s="107">
        <f>god+5</f>
        <v>2031</v>
      </c>
      <c r="BC6" s="107">
        <f>god+5</f>
        <v>2031</v>
      </c>
      <c r="BD6" s="107">
        <f>god+6</f>
        <v>2032</v>
      </c>
      <c r="BE6" s="107">
        <f>god+6</f>
        <v>2032</v>
      </c>
      <c r="BF6" s="107">
        <f>god+6</f>
        <v>2032</v>
      </c>
      <c r="BG6" s="107">
        <f>god+7</f>
        <v>2033</v>
      </c>
      <c r="BH6" s="107">
        <f>god+7</f>
        <v>2033</v>
      </c>
      <c r="BI6" s="107">
        <f>god+7</f>
        <v>2033</v>
      </c>
      <c r="BJ6" s="107">
        <f>god+8</f>
        <v>2034</v>
      </c>
      <c r="BK6" s="107">
        <f>god+8</f>
        <v>2034</v>
      </c>
      <c r="BL6" s="107">
        <f>god+8</f>
        <v>2034</v>
      </c>
      <c r="BM6" s="107">
        <f>god+9</f>
        <v>2035</v>
      </c>
      <c r="BN6" s="107">
        <f>god+9</f>
        <v>2035</v>
      </c>
      <c r="BO6" s="107">
        <f>god+9</f>
        <v>2035</v>
      </c>
      <c r="BP6" s="107" cm="1">
        <f t="array" ref="BP6">god</f>
        <v>2026</v>
      </c>
      <c r="BQ6" s="107" cm="1">
        <f t="array" ref="BQ6">god</f>
        <v>2026</v>
      </c>
      <c r="BR6" s="107" cm="1">
        <f t="array" ref="BR6">god</f>
        <v>2026</v>
      </c>
      <c r="BS6" s="107">
        <f>god+1</f>
        <v>2027</v>
      </c>
      <c r="BT6" s="107">
        <f>god+1</f>
        <v>2027</v>
      </c>
      <c r="BU6" s="107">
        <f>god+1</f>
        <v>2027</v>
      </c>
      <c r="BV6" s="107">
        <f>god+2</f>
        <v>2028</v>
      </c>
      <c r="BW6" s="107">
        <f>god+2</f>
        <v>2028</v>
      </c>
      <c r="BX6" s="107">
        <f>god+2</f>
        <v>2028</v>
      </c>
      <c r="BY6" s="107">
        <f>god+3</f>
        <v>2029</v>
      </c>
      <c r="BZ6" s="107">
        <f>god+3</f>
        <v>2029</v>
      </c>
      <c r="CA6" s="107">
        <f>god+3</f>
        <v>2029</v>
      </c>
      <c r="CB6" s="107">
        <f>god+4</f>
        <v>2030</v>
      </c>
      <c r="CC6" s="107">
        <f>god+4</f>
        <v>2030</v>
      </c>
      <c r="CD6" s="107">
        <f>god+4</f>
        <v>2030</v>
      </c>
      <c r="CE6" s="107">
        <f>god+5</f>
        <v>2031</v>
      </c>
      <c r="CF6" s="107">
        <f>god+5</f>
        <v>2031</v>
      </c>
      <c r="CG6" s="107">
        <f>god+5</f>
        <v>2031</v>
      </c>
      <c r="CH6" s="107">
        <f>god+6</f>
        <v>2032</v>
      </c>
      <c r="CI6" s="107">
        <f>god+6</f>
        <v>2032</v>
      </c>
      <c r="CJ6" s="107">
        <f>god+6</f>
        <v>2032</v>
      </c>
      <c r="CK6" s="107">
        <f>god+7</f>
        <v>2033</v>
      </c>
      <c r="CL6" s="107">
        <f>god+7</f>
        <v>2033</v>
      </c>
      <c r="CM6" s="107">
        <f>god+7</f>
        <v>2033</v>
      </c>
      <c r="CN6" s="107">
        <f>god+8</f>
        <v>2034</v>
      </c>
      <c r="CO6" s="107">
        <f>god+8</f>
        <v>2034</v>
      </c>
      <c r="CP6" s="107">
        <f>god+8</f>
        <v>2034</v>
      </c>
      <c r="CQ6" s="107">
        <f>god+9</f>
        <v>2035</v>
      </c>
      <c r="CR6" s="107">
        <f>god+9</f>
        <v>2035</v>
      </c>
      <c r="CS6" s="107">
        <f>god+9</f>
        <v>2035</v>
      </c>
      <c r="CW6" s="960"/>
      <c r="CX6" s="959"/>
      <c r="CY6" s="959"/>
      <c r="CZ6" s="959"/>
      <c r="DA6" s="962"/>
      <c r="DB6" s="962"/>
    </row>
    <row r="7" spans="1:106" s="804" customFormat="1" ht="12" hidden="1" customHeight="1" x14ac:dyDescent="0.15">
      <c r="A7" s="107"/>
      <c r="B7" s="659"/>
      <c r="C7" s="107"/>
      <c r="D7" s="107"/>
      <c r="E7" s="668"/>
      <c r="S7" s="612"/>
      <c r="AH7" s="609" t="str">
        <f t="shared" ref="AH7:BM7" si="2">AH26&amp;AH25</f>
        <v>Принято органом регулированияГод</v>
      </c>
      <c r="AI7" s="609" t="str">
        <f t="shared" si="2"/>
        <v>Факт по данным организацииГод</v>
      </c>
      <c r="AJ7" s="609" t="str">
        <f t="shared" si="2"/>
        <v>Факт, принятый органом регулированияГод</v>
      </c>
      <c r="AK7" s="609" t="str">
        <f t="shared" si="2"/>
        <v>Принято органом регулированияГод</v>
      </c>
      <c r="AL7" s="609" t="str">
        <f t="shared" si="2"/>
        <v>Предложение организацииГод</v>
      </c>
      <c r="AM7" s="609" t="str">
        <f t="shared" si="2"/>
        <v>Предложение организации01.01.-30.09.</v>
      </c>
      <c r="AN7" s="609" t="str">
        <f t="shared" si="2"/>
        <v>Предложение организации01.10.-31.12.</v>
      </c>
      <c r="AO7" s="609" t="str">
        <f t="shared" si="2"/>
        <v>Предложение организацииГод</v>
      </c>
      <c r="AP7" s="609" t="str">
        <f t="shared" si="2"/>
        <v>Предложение организации1 полугодие</v>
      </c>
      <c r="AQ7" s="609" t="str">
        <f t="shared" si="2"/>
        <v>Предложение организации2 полугодие</v>
      </c>
      <c r="AR7" s="609" t="str">
        <f t="shared" si="2"/>
        <v>Предложение организацииГод</v>
      </c>
      <c r="AS7" s="609" t="str">
        <f t="shared" si="2"/>
        <v>Предложение организации1 полугодие</v>
      </c>
      <c r="AT7" s="609" t="str">
        <f t="shared" si="2"/>
        <v>Предложение организации2 полугодие</v>
      </c>
      <c r="AU7" s="609" t="str">
        <f t="shared" si="2"/>
        <v>Предложение организацииГод</v>
      </c>
      <c r="AV7" s="609" t="str">
        <f t="shared" si="2"/>
        <v>Предложение организации1 полугодие</v>
      </c>
      <c r="AW7" s="609" t="str">
        <f t="shared" si="2"/>
        <v>Предложение организации2 полугодие</v>
      </c>
      <c r="AX7" s="609" t="str">
        <f t="shared" si="2"/>
        <v>Предложение организацииГод</v>
      </c>
      <c r="AY7" s="609" t="str">
        <f t="shared" si="2"/>
        <v>Предложение организации1 полугодие</v>
      </c>
      <c r="AZ7" s="609" t="str">
        <f t="shared" si="2"/>
        <v>Предложение организации2 полугодие</v>
      </c>
      <c r="BA7" s="609" t="str">
        <f t="shared" si="2"/>
        <v>Предложение организацииГод</v>
      </c>
      <c r="BB7" s="609" t="str">
        <f t="shared" si="2"/>
        <v>Предложение организации1 полугодие</v>
      </c>
      <c r="BC7" s="609" t="str">
        <f t="shared" si="2"/>
        <v>Предложение организации2 полугодие</v>
      </c>
      <c r="BD7" s="609" t="str">
        <f t="shared" si="2"/>
        <v>Предложение организацииГод</v>
      </c>
      <c r="BE7" s="609" t="str">
        <f t="shared" si="2"/>
        <v>Предложение организации1 полугодие</v>
      </c>
      <c r="BF7" s="609" t="str">
        <f t="shared" si="2"/>
        <v>Предложение организации2 полугодие</v>
      </c>
      <c r="BG7" s="609" t="str">
        <f t="shared" si="2"/>
        <v>Предложение организацииГод</v>
      </c>
      <c r="BH7" s="609" t="str">
        <f t="shared" si="2"/>
        <v>Предложение организации1 полугодие</v>
      </c>
      <c r="BI7" s="609" t="str">
        <f t="shared" si="2"/>
        <v>Предложение организации2 полугодие</v>
      </c>
      <c r="BJ7" s="609" t="str">
        <f t="shared" si="2"/>
        <v>Предложение организацииГод</v>
      </c>
      <c r="BK7" s="609" t="str">
        <f t="shared" si="2"/>
        <v>Предложение организации1 полугодие</v>
      </c>
      <c r="BL7" s="609" t="str">
        <f t="shared" si="2"/>
        <v>Предложение организации2 полугодие</v>
      </c>
      <c r="BM7" s="609" t="str">
        <f t="shared" si="2"/>
        <v>Предложение организацииГод</v>
      </c>
      <c r="BN7" s="609" t="str">
        <f t="shared" ref="BN7:CS7" si="3">BN26&amp;BN25</f>
        <v>Предложение организации1 полугодие</v>
      </c>
      <c r="BO7" s="609" t="str">
        <f t="shared" si="3"/>
        <v>Предложение организации2 полугодие</v>
      </c>
      <c r="BP7" s="609" t="str">
        <f t="shared" si="3"/>
        <v>Принято органом регулированияГод</v>
      </c>
      <c r="BQ7" s="609" t="str">
        <f t="shared" si="3"/>
        <v>Принято органом регулирования01.01.-30.09.</v>
      </c>
      <c r="BR7" s="609" t="str">
        <f t="shared" si="3"/>
        <v>Принято органом регулирования01.10.-31.12.</v>
      </c>
      <c r="BS7" s="609" t="str">
        <f t="shared" si="3"/>
        <v>Принято органом регулированияГод</v>
      </c>
      <c r="BT7" s="609" t="str">
        <f t="shared" si="3"/>
        <v>Принято органом регулирования1 полугодие</v>
      </c>
      <c r="BU7" s="609" t="str">
        <f t="shared" si="3"/>
        <v>Принято органом регулирования2 полугодие</v>
      </c>
      <c r="BV7" s="609" t="str">
        <f t="shared" si="3"/>
        <v>Принято органом регулированияГод</v>
      </c>
      <c r="BW7" s="609" t="str">
        <f t="shared" si="3"/>
        <v>Принято органом регулирования1 полугодие</v>
      </c>
      <c r="BX7" s="609" t="str">
        <f t="shared" si="3"/>
        <v>Принято органом регулирования2 полугодие</v>
      </c>
      <c r="BY7" s="609" t="str">
        <f t="shared" si="3"/>
        <v>Принято органом регулированияГод</v>
      </c>
      <c r="BZ7" s="609" t="str">
        <f t="shared" si="3"/>
        <v>Принято органом регулирования1 полугодие</v>
      </c>
      <c r="CA7" s="609" t="str">
        <f t="shared" si="3"/>
        <v>Принято органом регулирования2 полугодие</v>
      </c>
      <c r="CB7" s="609" t="str">
        <f t="shared" si="3"/>
        <v>Принято органом регулированияГод</v>
      </c>
      <c r="CC7" s="609" t="str">
        <f t="shared" si="3"/>
        <v>Принято органом регулирования1 полугодие</v>
      </c>
      <c r="CD7" s="609" t="str">
        <f t="shared" si="3"/>
        <v>Принято органом регулирования2 полугодие</v>
      </c>
      <c r="CE7" s="609" t="str">
        <f t="shared" si="3"/>
        <v>Принято органом регулированияГод</v>
      </c>
      <c r="CF7" s="609" t="str">
        <f t="shared" si="3"/>
        <v>Принято органом регулирования1 полугодие</v>
      </c>
      <c r="CG7" s="609" t="str">
        <f t="shared" si="3"/>
        <v>Принято органом регулирования2 полугодие</v>
      </c>
      <c r="CH7" s="609" t="str">
        <f t="shared" si="3"/>
        <v>Принято органом регулированияГод</v>
      </c>
      <c r="CI7" s="609" t="str">
        <f t="shared" si="3"/>
        <v>Принято органом регулирования1 полугодие</v>
      </c>
      <c r="CJ7" s="609" t="str">
        <f t="shared" si="3"/>
        <v>Принято органом регулирования2 полугодие</v>
      </c>
      <c r="CK7" s="609" t="str">
        <f t="shared" si="3"/>
        <v>Принято органом регулированияГод</v>
      </c>
      <c r="CL7" s="609" t="str">
        <f t="shared" si="3"/>
        <v>Принято органом регулирования1 полугодие</v>
      </c>
      <c r="CM7" s="609" t="str">
        <f t="shared" si="3"/>
        <v>Принято органом регулирования2 полугодие</v>
      </c>
      <c r="CN7" s="609" t="str">
        <f t="shared" si="3"/>
        <v>Принято органом регулированияГод</v>
      </c>
      <c r="CO7" s="609" t="str">
        <f t="shared" si="3"/>
        <v>Принято органом регулирования1 полугодие</v>
      </c>
      <c r="CP7" s="609" t="str">
        <f t="shared" si="3"/>
        <v>Принято органом регулирования2 полугодие</v>
      </c>
      <c r="CQ7" s="609" t="str">
        <f t="shared" si="3"/>
        <v>Принято органом регулированияГод</v>
      </c>
      <c r="CR7" s="609" t="str">
        <f t="shared" si="3"/>
        <v>Принято органом регулирования1 полугодие</v>
      </c>
      <c r="CS7" s="609" t="str">
        <f t="shared" si="3"/>
        <v>Принято органом регулирования2 полугодие</v>
      </c>
      <c r="CW7" s="960"/>
      <c r="CX7" s="961"/>
      <c r="CY7" s="961"/>
      <c r="CZ7" s="961"/>
      <c r="DA7" s="964"/>
      <c r="DB7" s="964"/>
    </row>
    <row r="8" spans="1:106" s="804" customFormat="1" ht="12" hidden="1" customHeight="1" x14ac:dyDescent="0.15">
      <c r="A8" s="823"/>
      <c r="B8" s="659"/>
      <c r="C8" s="107"/>
      <c r="D8" s="107"/>
      <c r="E8" s="668"/>
      <c r="S8" s="612"/>
      <c r="CW8" s="960"/>
      <c r="CX8" s="961"/>
      <c r="CY8" s="961"/>
      <c r="CZ8" s="961"/>
      <c r="DA8" s="964"/>
      <c r="DB8" s="964"/>
    </row>
    <row r="9" spans="1:106" s="959" customFormat="1" ht="12" hidden="1" customHeight="1" x14ac:dyDescent="0.15">
      <c r="A9" s="958" t="s">
        <v>461</v>
      </c>
      <c r="B9" s="941"/>
      <c r="E9" s="941"/>
      <c r="S9" s="950"/>
      <c r="AH9" s="959">
        <f>god-2</f>
        <v>2024</v>
      </c>
      <c r="AI9" s="959">
        <f>god-2</f>
        <v>2024</v>
      </c>
      <c r="AJ9" s="959">
        <f>god-2</f>
        <v>2024</v>
      </c>
      <c r="AK9" s="959">
        <f>god-1</f>
        <v>2025</v>
      </c>
      <c r="AL9" s="959" cm="1">
        <f t="array" ref="AL9">god</f>
        <v>2026</v>
      </c>
      <c r="AM9" s="959" cm="1">
        <f t="array" ref="AM9">god</f>
        <v>2026</v>
      </c>
      <c r="AN9" s="959" cm="1">
        <f t="array" ref="AN9">god</f>
        <v>2026</v>
      </c>
      <c r="AO9" s="959">
        <f>god+1</f>
        <v>2027</v>
      </c>
      <c r="AP9" s="959">
        <f>god+1</f>
        <v>2027</v>
      </c>
      <c r="AQ9" s="959">
        <f>god+1</f>
        <v>2027</v>
      </c>
      <c r="AR9" s="959">
        <f>god+2</f>
        <v>2028</v>
      </c>
      <c r="AS9" s="959">
        <f>god+2</f>
        <v>2028</v>
      </c>
      <c r="AT9" s="959">
        <f>god+2</f>
        <v>2028</v>
      </c>
      <c r="AU9" s="959">
        <f>god+3</f>
        <v>2029</v>
      </c>
      <c r="AV9" s="959">
        <f>god+3</f>
        <v>2029</v>
      </c>
      <c r="AW9" s="959">
        <f>god+3</f>
        <v>2029</v>
      </c>
      <c r="AX9" s="959">
        <f>god+4</f>
        <v>2030</v>
      </c>
      <c r="AY9" s="959">
        <f>god+4</f>
        <v>2030</v>
      </c>
      <c r="AZ9" s="959">
        <f>god+4</f>
        <v>2030</v>
      </c>
      <c r="BA9" s="959">
        <f>god+5</f>
        <v>2031</v>
      </c>
      <c r="BB9" s="959">
        <f>god+5</f>
        <v>2031</v>
      </c>
      <c r="BC9" s="959">
        <f>god+5</f>
        <v>2031</v>
      </c>
      <c r="BD9" s="959">
        <f>god+6</f>
        <v>2032</v>
      </c>
      <c r="BE9" s="959">
        <f>god+6</f>
        <v>2032</v>
      </c>
      <c r="BF9" s="959">
        <f>god+6</f>
        <v>2032</v>
      </c>
      <c r="BG9" s="959">
        <f>god+7</f>
        <v>2033</v>
      </c>
      <c r="BH9" s="959">
        <f>god+7</f>
        <v>2033</v>
      </c>
      <c r="BI9" s="959">
        <f>god+7</f>
        <v>2033</v>
      </c>
      <c r="BJ9" s="959">
        <f>god+8</f>
        <v>2034</v>
      </c>
      <c r="BK9" s="959">
        <f>god+8</f>
        <v>2034</v>
      </c>
      <c r="BL9" s="959">
        <f>god+8</f>
        <v>2034</v>
      </c>
      <c r="BM9" s="959">
        <f>god+9</f>
        <v>2035</v>
      </c>
      <c r="BN9" s="959">
        <f>god+9</f>
        <v>2035</v>
      </c>
      <c r="BO9" s="959">
        <f>god+9</f>
        <v>2035</v>
      </c>
      <c r="BP9" s="959" cm="1">
        <f t="array" ref="BP9">god</f>
        <v>2026</v>
      </c>
      <c r="BQ9" s="959" cm="1">
        <f t="array" ref="BQ9">god</f>
        <v>2026</v>
      </c>
      <c r="BR9" s="959" cm="1">
        <f t="array" ref="BR9">god</f>
        <v>2026</v>
      </c>
      <c r="BS9" s="959">
        <f>god+1</f>
        <v>2027</v>
      </c>
      <c r="BT9" s="959">
        <f>god+1</f>
        <v>2027</v>
      </c>
      <c r="BU9" s="959">
        <f>god+1</f>
        <v>2027</v>
      </c>
      <c r="BV9" s="959">
        <f>god+2</f>
        <v>2028</v>
      </c>
      <c r="BW9" s="959">
        <f>god+2</f>
        <v>2028</v>
      </c>
      <c r="BX9" s="959">
        <f>god+2</f>
        <v>2028</v>
      </c>
      <c r="BY9" s="959">
        <f>god+3</f>
        <v>2029</v>
      </c>
      <c r="BZ9" s="959">
        <f>god+3</f>
        <v>2029</v>
      </c>
      <c r="CA9" s="959">
        <f>god+3</f>
        <v>2029</v>
      </c>
      <c r="CB9" s="959">
        <f>god+4</f>
        <v>2030</v>
      </c>
      <c r="CC9" s="959">
        <f>god+4</f>
        <v>2030</v>
      </c>
      <c r="CD9" s="959">
        <f>god+4</f>
        <v>2030</v>
      </c>
      <c r="CE9" s="959">
        <f>god+5</f>
        <v>2031</v>
      </c>
      <c r="CF9" s="959">
        <f>god+5</f>
        <v>2031</v>
      </c>
      <c r="CG9" s="959">
        <f>god+5</f>
        <v>2031</v>
      </c>
      <c r="CH9" s="959">
        <f>god+6</f>
        <v>2032</v>
      </c>
      <c r="CI9" s="959">
        <f>god+6</f>
        <v>2032</v>
      </c>
      <c r="CJ9" s="959">
        <f>god+6</f>
        <v>2032</v>
      </c>
      <c r="CK9" s="959">
        <f>god+7</f>
        <v>2033</v>
      </c>
      <c r="CL9" s="959">
        <f>god+7</f>
        <v>2033</v>
      </c>
      <c r="CM9" s="959">
        <f>god+7</f>
        <v>2033</v>
      </c>
      <c r="CN9" s="959">
        <f>god+8</f>
        <v>2034</v>
      </c>
      <c r="CO9" s="959">
        <f>god+8</f>
        <v>2034</v>
      </c>
      <c r="CP9" s="959">
        <f>god+8</f>
        <v>2034</v>
      </c>
      <c r="CQ9" s="959">
        <f>god+9</f>
        <v>2035</v>
      </c>
      <c r="CR9" s="959">
        <f>god+9</f>
        <v>2035</v>
      </c>
      <c r="CS9" s="959">
        <f>god+9</f>
        <v>2035</v>
      </c>
      <c r="CW9" s="960"/>
    </row>
    <row r="10" spans="1:106" s="959" customFormat="1" ht="12" hidden="1" customHeight="1" x14ac:dyDescent="0.15">
      <c r="A10" s="958" t="s">
        <v>462</v>
      </c>
      <c r="B10" s="941"/>
      <c r="E10" s="941"/>
      <c r="S10" s="950"/>
      <c r="AH10" s="959" t="str" cm="1">
        <f t="array" ref="AH10">AH26</f>
        <v>Принято органом регулирования</v>
      </c>
      <c r="AI10" s="959" t="str" cm="1">
        <f t="array" ref="AI10">AI26</f>
        <v>Факт по данным организации</v>
      </c>
      <c r="AJ10" s="959" t="str" cm="1">
        <f t="array" ref="AJ10">AJ26</f>
        <v>Факт, принятый органом регулирования</v>
      </c>
      <c r="AK10" s="959" t="str" cm="1">
        <f t="array" ref="AK10">AK26</f>
        <v>Принято органом регулирования</v>
      </c>
      <c r="AL10" s="959" t="str" cm="1">
        <f t="array" ref="AL10">AL26</f>
        <v>Предложение организации</v>
      </c>
      <c r="AM10" s="959" t="str" cm="1">
        <f t="array" ref="AM10">AM26</f>
        <v>Предложение организации</v>
      </c>
      <c r="AN10" s="959" t="str" cm="1">
        <f t="array" ref="AN10">AN26</f>
        <v>Предложение организации</v>
      </c>
      <c r="AO10" s="959" t="str" cm="1">
        <f t="array" ref="AO10">AO26</f>
        <v>Предложение организации</v>
      </c>
      <c r="AP10" s="959" t="str" cm="1">
        <f t="array" ref="AP10">AP26</f>
        <v>Предложение организации</v>
      </c>
      <c r="AQ10" s="959" t="str" cm="1">
        <f t="array" ref="AQ10">AQ26</f>
        <v>Предложение организации</v>
      </c>
      <c r="AR10" s="959" t="str" cm="1">
        <f t="array" ref="AR10">AR26</f>
        <v>Предложение организации</v>
      </c>
      <c r="AS10" s="959" t="str" cm="1">
        <f t="array" ref="AS10">AS26</f>
        <v>Предложение организации</v>
      </c>
      <c r="AT10" s="959" t="str" cm="1">
        <f t="array" ref="AT10">AT26</f>
        <v>Предложение организации</v>
      </c>
      <c r="AU10" s="959" t="str" cm="1">
        <f t="array" ref="AU10">AU26</f>
        <v>Предложение организации</v>
      </c>
      <c r="AV10" s="959" t="str" cm="1">
        <f t="array" ref="AV10">AV26</f>
        <v>Предложение организации</v>
      </c>
      <c r="AW10" s="959" t="str" cm="1">
        <f t="array" ref="AW10">AW26</f>
        <v>Предложение организации</v>
      </c>
      <c r="AX10" s="959" t="str" cm="1">
        <f t="array" ref="AX10">AX26</f>
        <v>Предложение организации</v>
      </c>
      <c r="AY10" s="959" t="str" cm="1">
        <f t="array" ref="AY10">AY26</f>
        <v>Предложение организации</v>
      </c>
      <c r="AZ10" s="959" t="str" cm="1">
        <f t="array" ref="AZ10">AZ26</f>
        <v>Предложение организации</v>
      </c>
      <c r="BA10" s="959" t="str" cm="1">
        <f t="array" ref="BA10">BA26</f>
        <v>Предложение организации</v>
      </c>
      <c r="BB10" s="959" t="str" cm="1">
        <f t="array" ref="BB10">BB26</f>
        <v>Предложение организации</v>
      </c>
      <c r="BC10" s="959" t="str" cm="1">
        <f t="array" ref="BC10">BC26</f>
        <v>Предложение организации</v>
      </c>
      <c r="BD10" s="959" t="str" cm="1">
        <f t="array" ref="BD10">BD26</f>
        <v>Предложение организации</v>
      </c>
      <c r="BE10" s="959" t="str" cm="1">
        <f t="array" ref="BE10">BE26</f>
        <v>Предложение организации</v>
      </c>
      <c r="BF10" s="959" t="str" cm="1">
        <f t="array" ref="BF10">BF26</f>
        <v>Предложение организации</v>
      </c>
      <c r="BG10" s="959" t="str" cm="1">
        <f t="array" ref="BG10">BG26</f>
        <v>Предложение организации</v>
      </c>
      <c r="BH10" s="959" t="str" cm="1">
        <f t="array" ref="BH10">BH26</f>
        <v>Предложение организации</v>
      </c>
      <c r="BI10" s="959" t="str" cm="1">
        <f t="array" ref="BI10">BI26</f>
        <v>Предложение организации</v>
      </c>
      <c r="BJ10" s="959" t="str" cm="1">
        <f t="array" ref="BJ10">BJ26</f>
        <v>Предложение организации</v>
      </c>
      <c r="BK10" s="959" t="str" cm="1">
        <f t="array" ref="BK10">BK26</f>
        <v>Предложение организации</v>
      </c>
      <c r="BL10" s="959" t="str" cm="1">
        <f t="array" ref="BL10">BL26</f>
        <v>Предложение организации</v>
      </c>
      <c r="BM10" s="959" t="str" cm="1">
        <f t="array" ref="BM10">BM26</f>
        <v>Предложение организации</v>
      </c>
      <c r="BN10" s="959" t="str" cm="1">
        <f t="array" ref="BN10">BN26</f>
        <v>Предложение организации</v>
      </c>
      <c r="BO10" s="959" t="str" cm="1">
        <f t="array" ref="BO10">BO26</f>
        <v>Предложение организации</v>
      </c>
      <c r="BP10" s="959" t="str" cm="1">
        <f t="array" ref="BP10">BP26</f>
        <v>Принято органом регулирования</v>
      </c>
      <c r="BQ10" s="959" t="str" cm="1">
        <f t="array" ref="BQ10">BQ26</f>
        <v>Принято органом регулирования</v>
      </c>
      <c r="BR10" s="959" t="str" cm="1">
        <f t="array" ref="BR10">BR26</f>
        <v>Принято органом регулирования</v>
      </c>
      <c r="BS10" s="959" t="str" cm="1">
        <f t="array" ref="BS10">BS26</f>
        <v>Принято органом регулирования</v>
      </c>
      <c r="BT10" s="959" t="str" cm="1">
        <f t="array" ref="BT10">BT26</f>
        <v>Принято органом регулирования</v>
      </c>
      <c r="BU10" s="959" t="str" cm="1">
        <f t="array" ref="BU10">BU26</f>
        <v>Принято органом регулирования</v>
      </c>
      <c r="BV10" s="959" t="str" cm="1">
        <f t="array" ref="BV10">BV26</f>
        <v>Принято органом регулирования</v>
      </c>
      <c r="BW10" s="959" t="str" cm="1">
        <f t="array" ref="BW10">BW26</f>
        <v>Принято органом регулирования</v>
      </c>
      <c r="BX10" s="959" t="str" cm="1">
        <f t="array" ref="BX10">BX26</f>
        <v>Принято органом регулирования</v>
      </c>
      <c r="BY10" s="959" t="str" cm="1">
        <f t="array" ref="BY10">BY26</f>
        <v>Принято органом регулирования</v>
      </c>
      <c r="BZ10" s="959" t="str" cm="1">
        <f t="array" ref="BZ10">BZ26</f>
        <v>Принято органом регулирования</v>
      </c>
      <c r="CA10" s="959" t="str" cm="1">
        <f t="array" ref="CA10">CA26</f>
        <v>Принято органом регулирования</v>
      </c>
      <c r="CB10" s="959" t="str" cm="1">
        <f t="array" ref="CB10">CB26</f>
        <v>Принято органом регулирования</v>
      </c>
      <c r="CC10" s="959" t="str" cm="1">
        <f t="array" ref="CC10">CC26</f>
        <v>Принято органом регулирования</v>
      </c>
      <c r="CD10" s="959" t="str" cm="1">
        <f t="array" ref="CD10">CD26</f>
        <v>Принято органом регулирования</v>
      </c>
      <c r="CE10" s="959" t="str" cm="1">
        <f t="array" ref="CE10">CE26</f>
        <v>Принято органом регулирования</v>
      </c>
      <c r="CF10" s="959" t="str" cm="1">
        <f t="array" ref="CF10">CF26</f>
        <v>Принято органом регулирования</v>
      </c>
      <c r="CG10" s="959" t="str" cm="1">
        <f t="array" ref="CG10">CG26</f>
        <v>Принято органом регулирования</v>
      </c>
      <c r="CH10" s="959" t="str" cm="1">
        <f t="array" ref="CH10">CH26</f>
        <v>Принято органом регулирования</v>
      </c>
      <c r="CI10" s="959" t="str" cm="1">
        <f t="array" ref="CI10">CI26</f>
        <v>Принято органом регулирования</v>
      </c>
      <c r="CJ10" s="959" t="str" cm="1">
        <f t="array" ref="CJ10">CJ26</f>
        <v>Принято органом регулирования</v>
      </c>
      <c r="CK10" s="959" t="str" cm="1">
        <f t="array" ref="CK10">CK26</f>
        <v>Принято органом регулирования</v>
      </c>
      <c r="CL10" s="959" t="str" cm="1">
        <f t="array" ref="CL10">CL26</f>
        <v>Принято органом регулирования</v>
      </c>
      <c r="CM10" s="959" t="str" cm="1">
        <f t="array" ref="CM10">CM26</f>
        <v>Принято органом регулирования</v>
      </c>
      <c r="CN10" s="959" t="str" cm="1">
        <f t="array" ref="CN10">CN26</f>
        <v>Принято органом регулирования</v>
      </c>
      <c r="CO10" s="959" t="str" cm="1">
        <f t="array" ref="CO10">CO26</f>
        <v>Принято органом регулирования</v>
      </c>
      <c r="CP10" s="959" t="str" cm="1">
        <f t="array" ref="CP10">CP26</f>
        <v>Принято органом регулирования</v>
      </c>
      <c r="CQ10" s="959" t="str" cm="1">
        <f t="array" ref="CQ10">CQ26</f>
        <v>Принято органом регулирования</v>
      </c>
      <c r="CR10" s="959" t="str" cm="1">
        <f t="array" ref="CR10">CR26</f>
        <v>Принято органом регулирования</v>
      </c>
      <c r="CS10" s="959" t="str" cm="1">
        <f t="array" ref="CS10">CS26</f>
        <v>Принято органом регулирования</v>
      </c>
      <c r="CW10" s="960"/>
    </row>
    <row r="11" spans="1:106" s="959" customFormat="1" ht="12" hidden="1" customHeight="1" x14ac:dyDescent="0.15">
      <c r="A11" s="958" t="s">
        <v>463</v>
      </c>
      <c r="B11" s="941"/>
      <c r="E11" s="941"/>
      <c r="G11" s="961"/>
      <c r="H11" s="961"/>
      <c r="I11" s="961"/>
      <c r="J11" s="961"/>
      <c r="K11" s="961"/>
      <c r="L11" s="961"/>
      <c r="M11" s="961"/>
      <c r="N11" s="961"/>
      <c r="O11" s="961"/>
      <c r="P11" s="961"/>
      <c r="Q11" s="961"/>
      <c r="S11" s="950"/>
      <c r="AH11" s="959" t="str" cm="1">
        <f t="array" ref="AH11">AH25</f>
        <v>Год</v>
      </c>
      <c r="AI11" s="959" t="str" cm="1">
        <f t="array" ref="AI11">AI25</f>
        <v>Год</v>
      </c>
      <c r="AJ11" s="959" t="str" cm="1">
        <f t="array" ref="AJ11">AJ25</f>
        <v>Год</v>
      </c>
      <c r="AK11" s="959" t="str" cm="1">
        <f t="array" ref="AK11">AK25</f>
        <v>Год</v>
      </c>
      <c r="AL11" s="959" t="str" cm="1">
        <f t="array" ref="AL11">AL25</f>
        <v>Год</v>
      </c>
      <c r="AM11" s="959" t="str" cm="1">
        <f t="array" ref="AM11">AM25</f>
        <v>01.01.-30.09.</v>
      </c>
      <c r="AN11" s="959" t="str" cm="1">
        <f t="array" ref="AN11">AN25</f>
        <v>01.10.-31.12.</v>
      </c>
      <c r="AO11" s="959" t="str" cm="1">
        <f t="array" ref="AO11">AO25</f>
        <v>Год</v>
      </c>
      <c r="AP11" s="959" t="str" cm="1">
        <f t="array" ref="AP11">AP25</f>
        <v>1 полугодие</v>
      </c>
      <c r="AQ11" s="959" t="str" cm="1">
        <f t="array" ref="AQ11">AQ25</f>
        <v>2 полугодие</v>
      </c>
      <c r="AR11" s="959" t="str" cm="1">
        <f t="array" ref="AR11">AR25</f>
        <v>Год</v>
      </c>
      <c r="AS11" s="959" t="str" cm="1">
        <f t="array" ref="AS11">AS25</f>
        <v>1 полугодие</v>
      </c>
      <c r="AT11" s="959" t="str" cm="1">
        <f t="array" ref="AT11">AT25</f>
        <v>2 полугодие</v>
      </c>
      <c r="AU11" s="959" t="str" cm="1">
        <f t="array" ref="AU11">AU25</f>
        <v>Год</v>
      </c>
      <c r="AV11" s="959" t="str" cm="1">
        <f t="array" ref="AV11">AV25</f>
        <v>1 полугодие</v>
      </c>
      <c r="AW11" s="959" t="str" cm="1">
        <f t="array" ref="AW11">AW25</f>
        <v>2 полугодие</v>
      </c>
      <c r="AX11" s="959" t="str" cm="1">
        <f t="array" ref="AX11">AX25</f>
        <v>Год</v>
      </c>
      <c r="AY11" s="959" t="str" cm="1">
        <f t="array" ref="AY11">AY25</f>
        <v>1 полугодие</v>
      </c>
      <c r="AZ11" s="959" t="str" cm="1">
        <f t="array" ref="AZ11">AZ25</f>
        <v>2 полугодие</v>
      </c>
      <c r="BA11" s="959" t="str" cm="1">
        <f t="array" ref="BA11">BA25</f>
        <v>Год</v>
      </c>
      <c r="BB11" s="959" t="str" cm="1">
        <f t="array" ref="BB11">BB25</f>
        <v>1 полугодие</v>
      </c>
      <c r="BC11" s="959" t="str" cm="1">
        <f t="array" ref="BC11">BC25</f>
        <v>2 полугодие</v>
      </c>
      <c r="BD11" s="959" t="str" cm="1">
        <f t="array" ref="BD11">BD25</f>
        <v>Год</v>
      </c>
      <c r="BE11" s="959" t="str" cm="1">
        <f t="array" ref="BE11">BE25</f>
        <v>1 полугодие</v>
      </c>
      <c r="BF11" s="959" t="str" cm="1">
        <f t="array" ref="BF11">BF25</f>
        <v>2 полугодие</v>
      </c>
      <c r="BG11" s="959" t="str" cm="1">
        <f t="array" ref="BG11">BG25</f>
        <v>Год</v>
      </c>
      <c r="BH11" s="959" t="str" cm="1">
        <f t="array" ref="BH11">BH25</f>
        <v>1 полугодие</v>
      </c>
      <c r="BI11" s="959" t="str" cm="1">
        <f t="array" ref="BI11">BI25</f>
        <v>2 полугодие</v>
      </c>
      <c r="BJ11" s="959" t="str" cm="1">
        <f t="array" ref="BJ11">BJ25</f>
        <v>Год</v>
      </c>
      <c r="BK11" s="959" t="str" cm="1">
        <f t="array" ref="BK11">BK25</f>
        <v>1 полугодие</v>
      </c>
      <c r="BL11" s="959" t="str" cm="1">
        <f t="array" ref="BL11">BL25</f>
        <v>2 полугодие</v>
      </c>
      <c r="BM11" s="959" t="str" cm="1">
        <f t="array" ref="BM11">BM25</f>
        <v>Год</v>
      </c>
      <c r="BN11" s="959" t="str" cm="1">
        <f t="array" ref="BN11">BN25</f>
        <v>1 полугодие</v>
      </c>
      <c r="BO11" s="959" t="str" cm="1">
        <f t="array" ref="BO11">BO25</f>
        <v>2 полугодие</v>
      </c>
      <c r="BP11" s="959" t="str" cm="1">
        <f t="array" ref="BP11">BP25</f>
        <v>Год</v>
      </c>
      <c r="BQ11" s="959" t="str" cm="1">
        <f t="array" ref="BQ11">BQ25</f>
        <v>01.01.-30.09.</v>
      </c>
      <c r="BR11" s="959" t="str" cm="1">
        <f t="array" ref="BR11">BR25</f>
        <v>01.10.-31.12.</v>
      </c>
      <c r="BS11" s="959" t="str" cm="1">
        <f t="array" ref="BS11">BS25</f>
        <v>Год</v>
      </c>
      <c r="BT11" s="959" t="str" cm="1">
        <f t="array" ref="BT11">BT25</f>
        <v>1 полугодие</v>
      </c>
      <c r="BU11" s="959" t="str" cm="1">
        <f t="array" ref="BU11">BU25</f>
        <v>2 полугодие</v>
      </c>
      <c r="BV11" s="959" t="str" cm="1">
        <f t="array" ref="BV11">BV25</f>
        <v>Год</v>
      </c>
      <c r="BW11" s="959" t="str" cm="1">
        <f t="array" ref="BW11">BW25</f>
        <v>1 полугодие</v>
      </c>
      <c r="BX11" s="959" t="str" cm="1">
        <f t="array" ref="BX11">BX25</f>
        <v>2 полугодие</v>
      </c>
      <c r="BY11" s="959" t="str" cm="1">
        <f t="array" ref="BY11">BY25</f>
        <v>Год</v>
      </c>
      <c r="BZ11" s="959" t="str" cm="1">
        <f t="array" ref="BZ11">BZ25</f>
        <v>1 полугодие</v>
      </c>
      <c r="CA11" s="959" t="str" cm="1">
        <f t="array" ref="CA11">CA25</f>
        <v>2 полугодие</v>
      </c>
      <c r="CB11" s="959" t="str" cm="1">
        <f t="array" ref="CB11">CB25</f>
        <v>Год</v>
      </c>
      <c r="CC11" s="959" t="str" cm="1">
        <f t="array" ref="CC11">CC25</f>
        <v>1 полугодие</v>
      </c>
      <c r="CD11" s="959" t="str" cm="1">
        <f t="array" ref="CD11">CD25</f>
        <v>2 полугодие</v>
      </c>
      <c r="CE11" s="959" t="str" cm="1">
        <f t="array" ref="CE11">CE25</f>
        <v>Год</v>
      </c>
      <c r="CF11" s="959" t="str" cm="1">
        <f t="array" ref="CF11">CF25</f>
        <v>1 полугодие</v>
      </c>
      <c r="CG11" s="959" t="str" cm="1">
        <f t="array" ref="CG11">CG25</f>
        <v>2 полугодие</v>
      </c>
      <c r="CH11" s="959" t="str" cm="1">
        <f t="array" ref="CH11">CH25</f>
        <v>Год</v>
      </c>
      <c r="CI11" s="959" t="str" cm="1">
        <f t="array" ref="CI11">CI25</f>
        <v>1 полугодие</v>
      </c>
      <c r="CJ11" s="959" t="str" cm="1">
        <f t="array" ref="CJ11">CJ25</f>
        <v>2 полугодие</v>
      </c>
      <c r="CK11" s="959" t="str" cm="1">
        <f t="array" ref="CK11">CK25</f>
        <v>Год</v>
      </c>
      <c r="CL11" s="959" t="str" cm="1">
        <f t="array" ref="CL11">CL25</f>
        <v>1 полугодие</v>
      </c>
      <c r="CM11" s="959" t="str" cm="1">
        <f t="array" ref="CM11">CM25</f>
        <v>2 полугодие</v>
      </c>
      <c r="CN11" s="959" t="str" cm="1">
        <f t="array" ref="CN11">CN25</f>
        <v>Год</v>
      </c>
      <c r="CO11" s="959" t="str" cm="1">
        <f t="array" ref="CO11">CO25</f>
        <v>1 полугодие</v>
      </c>
      <c r="CP11" s="959" t="str" cm="1">
        <f t="array" ref="CP11">CP25</f>
        <v>2 полугодие</v>
      </c>
      <c r="CQ11" s="959" t="str" cm="1">
        <f t="array" ref="CQ11">CQ25</f>
        <v>Год</v>
      </c>
      <c r="CR11" s="959" t="str" cm="1">
        <f t="array" ref="CR11">CR25</f>
        <v>1 полугодие</v>
      </c>
      <c r="CS11" s="959" t="str" cm="1">
        <f t="array" ref="CS11">CS25</f>
        <v>2 полугодие</v>
      </c>
      <c r="CT11" s="959" t="str" cm="1">
        <f t="array" ref="CT11">CT24</f>
        <v>Ссылка на правовую норму (основание для принятия показателя в расчет тарифа)</v>
      </c>
      <c r="CW11" s="960"/>
    </row>
    <row r="12" spans="1:106" s="959" customFormat="1" ht="12" hidden="1" customHeight="1" x14ac:dyDescent="0.15">
      <c r="A12" s="958" t="s">
        <v>386</v>
      </c>
      <c r="B12" s="941"/>
      <c r="E12" s="941"/>
      <c r="G12" s="961"/>
      <c r="H12" s="961"/>
      <c r="I12" s="961"/>
      <c r="J12" s="961"/>
      <c r="K12" s="961"/>
      <c r="L12" s="961"/>
      <c r="M12" s="961"/>
      <c r="N12" s="961"/>
      <c r="O12" s="961"/>
      <c r="P12" s="961"/>
      <c r="Q12" s="961"/>
      <c r="S12" s="950"/>
      <c r="AE12" s="959" t="s">
        <v>377</v>
      </c>
      <c r="AF12" s="959" t="s">
        <v>743</v>
      </c>
      <c r="CW12" s="960"/>
    </row>
    <row r="13" spans="1:106" s="1150" customFormat="1" ht="12" hidden="1" customHeight="1" x14ac:dyDescent="0.15">
      <c r="B13" s="659"/>
      <c r="E13" s="668"/>
      <c r="G13" s="609"/>
      <c r="H13" s="609"/>
      <c r="I13" s="609"/>
      <c r="J13" s="609"/>
      <c r="K13" s="609"/>
      <c r="L13" s="609"/>
      <c r="M13" s="609"/>
      <c r="N13" s="609"/>
      <c r="O13" s="609"/>
      <c r="P13" s="609"/>
      <c r="Q13" s="609"/>
      <c r="S13" s="769"/>
      <c r="CW13" s="960"/>
      <c r="CX13" s="959"/>
      <c r="CY13" s="959"/>
      <c r="CZ13" s="959"/>
      <c r="DA13" s="962"/>
      <c r="DB13" s="962"/>
    </row>
    <row r="14" spans="1:106" s="1150" customFormat="1" ht="12" hidden="1" customHeight="1" x14ac:dyDescent="0.15">
      <c r="B14" s="659"/>
      <c r="E14" s="668"/>
      <c r="G14" s="609"/>
      <c r="H14" s="609"/>
      <c r="I14" s="609"/>
      <c r="J14" s="609"/>
      <c r="K14" s="609"/>
      <c r="L14" s="609"/>
      <c r="M14" s="609"/>
      <c r="N14" s="609"/>
      <c r="O14" s="609"/>
      <c r="P14" s="609"/>
      <c r="Q14" s="609"/>
      <c r="S14" s="769"/>
      <c r="CW14" s="960"/>
      <c r="CX14" s="959"/>
      <c r="CY14" s="959"/>
      <c r="CZ14" s="959"/>
      <c r="DA14" s="962"/>
      <c r="DB14" s="962"/>
    </row>
    <row r="15" spans="1:106" s="1150" customFormat="1" ht="12" hidden="1" customHeight="1" x14ac:dyDescent="0.15">
      <c r="B15" s="659"/>
      <c r="E15" s="668"/>
      <c r="G15" s="609"/>
      <c r="H15" s="609"/>
      <c r="I15" s="609"/>
      <c r="J15" s="609"/>
      <c r="K15" s="609"/>
      <c r="L15" s="609"/>
      <c r="M15" s="609"/>
      <c r="N15" s="609"/>
      <c r="O15" s="609"/>
      <c r="P15" s="609"/>
      <c r="Q15" s="609"/>
      <c r="S15" s="769"/>
      <c r="CW15" s="960"/>
      <c r="CX15" s="959"/>
      <c r="CY15" s="959"/>
      <c r="CZ15" s="959"/>
      <c r="DA15" s="962"/>
      <c r="DB15" s="962"/>
    </row>
    <row r="16" spans="1:106" s="1150" customFormat="1" ht="12" hidden="1" customHeight="1" x14ac:dyDescent="0.15">
      <c r="B16" s="659"/>
      <c r="E16" s="668"/>
      <c r="G16" s="609"/>
      <c r="H16" s="609"/>
      <c r="I16" s="609"/>
      <c r="J16" s="609"/>
      <c r="K16" s="609"/>
      <c r="L16" s="609"/>
      <c r="M16" s="609"/>
      <c r="N16" s="609"/>
      <c r="O16" s="609"/>
      <c r="P16" s="609"/>
      <c r="Q16" s="609"/>
      <c r="S16" s="769"/>
      <c r="CW16" s="960"/>
      <c r="CX16" s="959"/>
      <c r="CY16" s="959"/>
      <c r="CZ16" s="959"/>
      <c r="DA16" s="962"/>
      <c r="DB16" s="962"/>
    </row>
    <row r="17" spans="1:106" s="1150" customFormat="1" ht="12" hidden="1" customHeight="1" x14ac:dyDescent="0.15">
      <c r="B17" s="659"/>
      <c r="E17" s="668"/>
      <c r="G17" s="609"/>
      <c r="H17" s="609"/>
      <c r="I17" s="609"/>
      <c r="J17" s="609"/>
      <c r="K17" s="609"/>
      <c r="L17" s="609"/>
      <c r="M17" s="609"/>
      <c r="N17" s="609"/>
      <c r="O17" s="609"/>
      <c r="P17" s="609"/>
      <c r="Q17" s="609"/>
      <c r="S17" s="769"/>
      <c r="CW17" s="960"/>
      <c r="CX17" s="959"/>
      <c r="CY17" s="959"/>
      <c r="CZ17" s="959"/>
      <c r="DA17" s="962"/>
      <c r="DB17" s="962"/>
    </row>
    <row r="18" spans="1:106" s="1150" customFormat="1" ht="12" hidden="1" customHeight="1" x14ac:dyDescent="0.15">
      <c r="A18" s="849" t="s">
        <v>518</v>
      </c>
      <c r="B18" s="659"/>
      <c r="E18" s="668"/>
      <c r="G18" s="609"/>
      <c r="H18" s="609"/>
      <c r="I18" s="609"/>
      <c r="J18" s="609"/>
      <c r="K18" s="609"/>
      <c r="L18" s="609"/>
      <c r="M18" s="609"/>
      <c r="N18" s="609"/>
      <c r="O18" s="609"/>
      <c r="P18" s="609"/>
      <c r="Q18" s="609"/>
      <c r="S18" s="769"/>
      <c r="AE18" s="107" t="s">
        <v>744</v>
      </c>
      <c r="AF18" s="107" t="s">
        <v>745</v>
      </c>
      <c r="CW18" s="960"/>
      <c r="CX18" s="959"/>
      <c r="CY18" s="959"/>
      <c r="CZ18" s="959"/>
      <c r="DA18" s="962"/>
      <c r="DB18" s="962"/>
    </row>
    <row r="19" spans="1:106" s="1150" customFormat="1" ht="12" hidden="1" customHeight="1" x14ac:dyDescent="0.15">
      <c r="B19" s="659"/>
      <c r="E19" s="668"/>
      <c r="G19" s="609"/>
      <c r="H19" s="609"/>
      <c r="I19" s="609"/>
      <c r="J19" s="609"/>
      <c r="K19" s="609"/>
      <c r="L19" s="609"/>
      <c r="M19" s="609"/>
      <c r="N19" s="609"/>
      <c r="O19" s="609"/>
      <c r="P19" s="609"/>
      <c r="Q19" s="609"/>
      <c r="S19" s="769"/>
      <c r="CW19" s="960"/>
      <c r="CX19" s="959"/>
      <c r="CY19" s="959"/>
      <c r="CZ19" s="959"/>
      <c r="DA19" s="962"/>
      <c r="DB19" s="962"/>
    </row>
    <row r="20" spans="1:106" s="1150" customFormat="1" ht="12" hidden="1" customHeight="1" x14ac:dyDescent="0.15">
      <c r="B20" s="659"/>
      <c r="E20" s="668"/>
      <c r="G20" s="609"/>
      <c r="H20" s="609"/>
      <c r="I20" s="609"/>
      <c r="J20" s="609"/>
      <c r="K20" s="609"/>
      <c r="L20" s="609"/>
      <c r="M20" s="609"/>
      <c r="N20" s="609"/>
      <c r="O20" s="609"/>
      <c r="P20" s="609"/>
      <c r="Q20" s="609"/>
      <c r="S20" s="769"/>
      <c r="CW20" s="960"/>
      <c r="CX20" s="959"/>
      <c r="CY20" s="959"/>
      <c r="CZ20" s="959"/>
      <c r="DA20" s="962"/>
      <c r="DB20" s="962"/>
    </row>
    <row r="21" spans="1:106" s="691" customFormat="1" ht="11.1" customHeight="1" x14ac:dyDescent="0.15">
      <c r="A21" s="107"/>
      <c r="B21" s="659"/>
      <c r="C21" s="107"/>
      <c r="D21" s="107"/>
      <c r="E21" s="668">
        <v>11.4</v>
      </c>
      <c r="F21" s="107"/>
      <c r="G21" s="609"/>
      <c r="H21" s="609"/>
      <c r="I21" s="609"/>
      <c r="J21" s="609"/>
      <c r="K21" s="609"/>
      <c r="L21" s="609"/>
      <c r="M21" s="609"/>
      <c r="N21" s="609"/>
      <c r="O21" s="609"/>
      <c r="P21" s="609"/>
      <c r="Q21" s="609"/>
      <c r="R21" s="107"/>
      <c r="S21" s="769"/>
      <c r="T21" s="107"/>
      <c r="U21" s="107"/>
      <c r="V21" s="107"/>
      <c r="W21" s="107"/>
      <c r="X21" s="107"/>
      <c r="Y21" s="107"/>
      <c r="Z21" s="107"/>
      <c r="AE21" s="335" t="str" cm="1">
        <f t="array" ref="AE21">tpl_title</f>
        <v>Кемеровская область / 2026 / ООО ХК "СДС - Энерго" (ИНН:4250003450, КПП:420501001) / ДПР: 2024-2028</v>
      </c>
      <c r="CW21" s="960"/>
      <c r="CX21" s="965"/>
      <c r="CY21" s="965"/>
      <c r="CZ21" s="965"/>
      <c r="DA21" s="966"/>
      <c r="DB21" s="966"/>
    </row>
    <row r="22" spans="1:106" s="804" customFormat="1" ht="19.5" customHeight="1" x14ac:dyDescent="0.15">
      <c r="A22" s="126"/>
      <c r="B22" s="659"/>
      <c r="C22" s="126"/>
      <c r="D22" s="126"/>
      <c r="E22" s="668">
        <v>20.100000000000001</v>
      </c>
      <c r="F22" s="126"/>
      <c r="R22" s="126"/>
      <c r="S22" s="126"/>
      <c r="T22" s="126"/>
      <c r="U22" s="126"/>
      <c r="V22" s="126"/>
      <c r="W22" s="126"/>
      <c r="X22" s="126"/>
      <c r="Y22" s="126"/>
      <c r="Z22" s="126"/>
      <c r="AD22" s="324" t="s">
        <v>37</v>
      </c>
      <c r="AE22" s="324"/>
      <c r="AF22" s="216"/>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CW22" s="967"/>
      <c r="CX22" s="946"/>
      <c r="CY22" s="946"/>
      <c r="CZ22" s="946"/>
      <c r="DA22" s="968"/>
      <c r="DB22" s="968"/>
    </row>
    <row r="23" spans="1:106" ht="11.1" customHeight="1" x14ac:dyDescent="0.15">
      <c r="E23" s="668">
        <v>11.4</v>
      </c>
      <c r="AO23" s="1243"/>
      <c r="AP23" s="1243"/>
      <c r="AQ23" s="1243"/>
      <c r="AR23" s="1243"/>
      <c r="AS23" s="1243"/>
      <c r="AT23" s="1243"/>
      <c r="AU23" s="1243"/>
      <c r="AV23" s="1243"/>
      <c r="AW23" s="1243"/>
      <c r="AX23" s="1243"/>
      <c r="AY23" s="1243"/>
      <c r="AZ23" s="1243"/>
      <c r="BA23" s="1243"/>
      <c r="BB23" s="1243"/>
      <c r="BC23" s="1243"/>
      <c r="BD23" s="1243"/>
      <c r="BE23" s="1243"/>
      <c r="BF23" s="1243"/>
      <c r="BG23" s="1243"/>
      <c r="BH23" s="1243"/>
      <c r="BI23" s="1243"/>
      <c r="BJ23" s="1243"/>
      <c r="BK23" s="1243"/>
      <c r="BL23" s="1243"/>
      <c r="BM23" s="1243"/>
      <c r="BN23" s="1243"/>
      <c r="BO23" s="1243"/>
      <c r="BP23" s="1243"/>
      <c r="BQ23" s="1243"/>
      <c r="BR23" s="1243"/>
      <c r="BS23" s="1243"/>
      <c r="BT23" s="1243"/>
      <c r="BU23" s="1243"/>
      <c r="BV23" s="1243"/>
      <c r="BW23" s="1243"/>
      <c r="BX23" s="1243"/>
      <c r="BY23" s="1243"/>
      <c r="BZ23" s="1243"/>
      <c r="CA23" s="1243"/>
      <c r="CB23" s="1243"/>
      <c r="CC23" s="1243"/>
      <c r="CD23" s="1243"/>
      <c r="CE23" s="1243"/>
      <c r="CF23" s="1243"/>
      <c r="CG23" s="1243"/>
      <c r="CH23" s="1243"/>
      <c r="CI23" s="1243"/>
      <c r="CJ23" s="1243"/>
      <c r="CK23" s="1243"/>
      <c r="CL23" s="1243"/>
      <c r="CM23" s="1243"/>
      <c r="CN23" s="1243"/>
      <c r="CO23" s="1243"/>
      <c r="CP23" s="1243"/>
      <c r="CQ23" s="1243"/>
      <c r="CR23" s="1243"/>
      <c r="CS23" s="1243"/>
    </row>
    <row r="24" spans="1:106" ht="15.4" customHeight="1" x14ac:dyDescent="0.15">
      <c r="E24" s="668">
        <v>15.8</v>
      </c>
      <c r="AB24" s="1553" t="s">
        <v>746</v>
      </c>
      <c r="AC24" s="1553"/>
      <c r="AD24" s="1553"/>
      <c r="AE24" s="1553" t="s">
        <v>747</v>
      </c>
      <c r="AF24" s="1553"/>
      <c r="AG24" s="1553" t="s">
        <v>465</v>
      </c>
      <c r="AH24" s="685" t="str">
        <f>god-2&amp;" год"</f>
        <v>2024 год</v>
      </c>
      <c r="AI24" s="1136" t="str">
        <f>god-2&amp;" год"</f>
        <v>2024 год</v>
      </c>
      <c r="AJ24" s="342" t="str">
        <f>god-2&amp;" год"</f>
        <v>2024 год</v>
      </c>
      <c r="AK24" s="122" t="str">
        <f>god-1&amp;" год"</f>
        <v>2025 год</v>
      </c>
      <c r="AL24" s="1131" t="str">
        <f>god&amp;" год"</f>
        <v>2026 год</v>
      </c>
      <c r="AM24" s="1131" t="str" cm="1">
        <f t="array" ref="AM24">AL24</f>
        <v>2026 год</v>
      </c>
      <c r="AN24" s="1131" t="str" cm="1">
        <f t="array" ref="AN24">AM24</f>
        <v>2026 год</v>
      </c>
      <c r="AO24" s="1131" t="str">
        <f>god+1&amp;" год"</f>
        <v>2027 год</v>
      </c>
      <c r="AP24" s="1131" t="str" cm="1">
        <f t="array" ref="AP24">AO24</f>
        <v>2027 год</v>
      </c>
      <c r="AQ24" s="1131" t="str" cm="1">
        <f t="array" ref="AQ24">AP24</f>
        <v>2027 год</v>
      </c>
      <c r="AR24" s="1131" t="str">
        <f>god+2&amp;" год"</f>
        <v>2028 год</v>
      </c>
      <c r="AS24" s="1131" t="str" cm="1">
        <f t="array" ref="AS24">AR24</f>
        <v>2028 год</v>
      </c>
      <c r="AT24" s="1131" t="str" cm="1">
        <f t="array" ref="AT24">AS24</f>
        <v>2028 год</v>
      </c>
      <c r="AU24" s="1131" t="str">
        <f>god+3&amp;" год"</f>
        <v>2029 год</v>
      </c>
      <c r="AV24" s="1131" t="str" cm="1">
        <f t="array" ref="AV24">AU24</f>
        <v>2029 год</v>
      </c>
      <c r="AW24" s="1131" t="str" cm="1">
        <f t="array" ref="AW24">AV24</f>
        <v>2029 год</v>
      </c>
      <c r="AX24" s="1131" t="str">
        <f>god+4&amp;" год"</f>
        <v>2030 год</v>
      </c>
      <c r="AY24" s="1131" t="str" cm="1">
        <f t="array" ref="AY24">AX24</f>
        <v>2030 год</v>
      </c>
      <c r="AZ24" s="1131" t="str" cm="1">
        <f t="array" ref="AZ24">AY24</f>
        <v>2030 год</v>
      </c>
      <c r="BA24" s="1131" t="str">
        <f>god+5&amp;" год"</f>
        <v>2031 год</v>
      </c>
      <c r="BB24" s="1131" t="str" cm="1">
        <f t="array" ref="BB24">BA24</f>
        <v>2031 год</v>
      </c>
      <c r="BC24" s="1131" t="str" cm="1">
        <f t="array" ref="BC24">BB24</f>
        <v>2031 год</v>
      </c>
      <c r="BD24" s="1131" t="str">
        <f>god+6&amp;" год"</f>
        <v>2032 год</v>
      </c>
      <c r="BE24" s="1131" t="str" cm="1">
        <f t="array" ref="BE24">BD24</f>
        <v>2032 год</v>
      </c>
      <c r="BF24" s="1131" t="str" cm="1">
        <f t="array" ref="BF24">BE24</f>
        <v>2032 год</v>
      </c>
      <c r="BG24" s="1131" t="str">
        <f>god+7&amp;" год"</f>
        <v>2033 год</v>
      </c>
      <c r="BH24" s="1131" t="str" cm="1">
        <f t="array" ref="BH24">BG24</f>
        <v>2033 год</v>
      </c>
      <c r="BI24" s="1131" t="str" cm="1">
        <f t="array" ref="BI24">BH24</f>
        <v>2033 год</v>
      </c>
      <c r="BJ24" s="1131" t="str">
        <f>god+8&amp;" год"</f>
        <v>2034 год</v>
      </c>
      <c r="BK24" s="1131" t="str" cm="1">
        <f t="array" ref="BK24">BJ24</f>
        <v>2034 год</v>
      </c>
      <c r="BL24" s="1131" t="str" cm="1">
        <f t="array" ref="BL24">BK24</f>
        <v>2034 год</v>
      </c>
      <c r="BM24" s="1131" t="str">
        <f>god+9&amp;" год"</f>
        <v>2035 год</v>
      </c>
      <c r="BN24" s="1131" t="str" cm="1">
        <f t="array" ref="BN24">BM24</f>
        <v>2035 год</v>
      </c>
      <c r="BO24" s="1131" t="str" cm="1">
        <f t="array" ref="BO24">BN24</f>
        <v>2035 год</v>
      </c>
      <c r="BP24" s="118" t="str">
        <f>god&amp;" год"</f>
        <v>2026 год</v>
      </c>
      <c r="BQ24" s="118" t="str" cm="1">
        <f t="array" ref="BQ24">BP24</f>
        <v>2026 год</v>
      </c>
      <c r="BR24" s="118" t="str" cm="1">
        <f t="array" ref="BR24">BQ24</f>
        <v>2026 год</v>
      </c>
      <c r="BS24" s="118" t="str">
        <f>god+1&amp;" год"</f>
        <v>2027 год</v>
      </c>
      <c r="BT24" s="118" t="str" cm="1">
        <f t="array" ref="BT24">BS24</f>
        <v>2027 год</v>
      </c>
      <c r="BU24" s="118" t="str" cm="1">
        <f t="array" ref="BU24">BT24</f>
        <v>2027 год</v>
      </c>
      <c r="BV24" s="118" t="str">
        <f>god+2&amp;" год"</f>
        <v>2028 год</v>
      </c>
      <c r="BW24" s="118" t="str" cm="1">
        <f t="array" ref="BW24">BV24</f>
        <v>2028 год</v>
      </c>
      <c r="BX24" s="118" t="str" cm="1">
        <f t="array" ref="BX24">BW24</f>
        <v>2028 год</v>
      </c>
      <c r="BY24" s="343" t="str">
        <f>god+3&amp;" год"</f>
        <v>2029 год</v>
      </c>
      <c r="BZ24" s="118" t="str" cm="1">
        <f t="array" ref="BZ24">BY24</f>
        <v>2029 год</v>
      </c>
      <c r="CA24" s="118" t="str" cm="1">
        <f t="array" ref="CA24">BZ24</f>
        <v>2029 год</v>
      </c>
      <c r="CB24" s="117" t="str">
        <f>god+4&amp;" год"</f>
        <v>2030 год</v>
      </c>
      <c r="CC24" s="118" t="str" cm="1">
        <f t="array" ref="CC24">CB24</f>
        <v>2030 год</v>
      </c>
      <c r="CD24" s="118" t="str" cm="1">
        <f t="array" ref="CD24">CC24</f>
        <v>2030 год</v>
      </c>
      <c r="CE24" s="517" t="str">
        <f>god+5&amp;" год"</f>
        <v>2031 год</v>
      </c>
      <c r="CF24" s="118" t="str" cm="1">
        <f t="array" ref="CF24">CE24</f>
        <v>2031 год</v>
      </c>
      <c r="CG24" s="118" t="str" cm="1">
        <f t="array" ref="CG24">CF24</f>
        <v>2031 год</v>
      </c>
      <c r="CH24" s="118" t="str">
        <f>god+6&amp;" год"</f>
        <v>2032 год</v>
      </c>
      <c r="CI24" s="118" t="str" cm="1">
        <f t="array" ref="CI24">CH24</f>
        <v>2032 год</v>
      </c>
      <c r="CJ24" s="118" t="str" cm="1">
        <f t="array" ref="CJ24">CI24</f>
        <v>2032 год</v>
      </c>
      <c r="CK24" s="118" t="str">
        <f>god+7&amp;" год"</f>
        <v>2033 год</v>
      </c>
      <c r="CL24" s="118" t="str" cm="1">
        <f t="array" ref="CL24">CK24</f>
        <v>2033 год</v>
      </c>
      <c r="CM24" s="118" t="str" cm="1">
        <f t="array" ref="CM24">CL24</f>
        <v>2033 год</v>
      </c>
      <c r="CN24" s="343" t="str">
        <f>god+8&amp;" год"</f>
        <v>2034 год</v>
      </c>
      <c r="CO24" s="118" t="str" cm="1">
        <f t="array" ref="CO24">CN24</f>
        <v>2034 год</v>
      </c>
      <c r="CP24" s="118" t="str" cm="1">
        <f t="array" ref="CP24">CO24</f>
        <v>2034 год</v>
      </c>
      <c r="CQ24" s="117" t="str">
        <f>god+9&amp;" год"</f>
        <v>2035 год</v>
      </c>
      <c r="CR24" s="118" t="str" cm="1">
        <f t="array" ref="CR24">CQ24</f>
        <v>2035 год</v>
      </c>
      <c r="CS24" s="118" t="str" cm="1">
        <f t="array" ref="CS24">CR24</f>
        <v>2035 год</v>
      </c>
      <c r="CT24" s="1496" t="s">
        <v>618</v>
      </c>
    </row>
    <row r="25" spans="1:106" ht="15.4" customHeight="1" x14ac:dyDescent="0.15">
      <c r="E25" s="668">
        <v>15.8</v>
      </c>
      <c r="AB25" s="1553"/>
      <c r="AC25" s="1553"/>
      <c r="AD25" s="1553"/>
      <c r="AE25" s="1553"/>
      <c r="AF25" s="1553"/>
      <c r="AG25" s="1553"/>
      <c r="AH25" s="685" t="s">
        <v>119</v>
      </c>
      <c r="AI25" s="1136" t="s">
        <v>119</v>
      </c>
      <c r="AJ25" s="342" t="s">
        <v>119</v>
      </c>
      <c r="AK25" s="342" t="s">
        <v>119</v>
      </c>
      <c r="AL25" s="1136" t="s">
        <v>119</v>
      </c>
      <c r="AM25" s="1132" t="str">
        <f>IF(god=2026,"01.01.-30.09.","1 полугодие")</f>
        <v>01.01.-30.09.</v>
      </c>
      <c r="AN25" s="1132" t="str">
        <f>IF(god=2026,"01.10.-31.12.","2 полугодие")</f>
        <v>01.10.-31.12.</v>
      </c>
      <c r="AO25" s="1136" t="s">
        <v>119</v>
      </c>
      <c r="AP25" s="1132" t="str">
        <f>IF(god=2025,"01.01.-30.09.","1 полугодие")</f>
        <v>1 полугодие</v>
      </c>
      <c r="AQ25" s="1132" t="str">
        <f>IF(god=2025,"01.10.-31.12.","2 полугодие")</f>
        <v>2 полугодие</v>
      </c>
      <c r="AR25" s="1136" t="s">
        <v>119</v>
      </c>
      <c r="AS25" s="1132" t="s">
        <v>748</v>
      </c>
      <c r="AT25" s="1132" t="s">
        <v>749</v>
      </c>
      <c r="AU25" s="1136" t="s">
        <v>119</v>
      </c>
      <c r="AV25" s="1132" t="s">
        <v>748</v>
      </c>
      <c r="AW25" s="1132" t="s">
        <v>749</v>
      </c>
      <c r="AX25" s="1136" t="s">
        <v>119</v>
      </c>
      <c r="AY25" s="1132" t="s">
        <v>748</v>
      </c>
      <c r="AZ25" s="1132" t="s">
        <v>749</v>
      </c>
      <c r="BA25" s="1136" t="s">
        <v>119</v>
      </c>
      <c r="BB25" s="1132" t="s">
        <v>748</v>
      </c>
      <c r="BC25" s="1132" t="s">
        <v>749</v>
      </c>
      <c r="BD25" s="1136" t="s">
        <v>119</v>
      </c>
      <c r="BE25" s="1132" t="s">
        <v>748</v>
      </c>
      <c r="BF25" s="1132" t="s">
        <v>749</v>
      </c>
      <c r="BG25" s="1136" t="s">
        <v>119</v>
      </c>
      <c r="BH25" s="1132" t="s">
        <v>748</v>
      </c>
      <c r="BI25" s="1132" t="s">
        <v>749</v>
      </c>
      <c r="BJ25" s="1136" t="s">
        <v>119</v>
      </c>
      <c r="BK25" s="1132" t="s">
        <v>748</v>
      </c>
      <c r="BL25" s="1132" t="s">
        <v>749</v>
      </c>
      <c r="BM25" s="1136" t="s">
        <v>119</v>
      </c>
      <c r="BN25" s="1132" t="s">
        <v>748</v>
      </c>
      <c r="BO25" s="1132" t="s">
        <v>749</v>
      </c>
      <c r="BP25" s="342" t="s">
        <v>119</v>
      </c>
      <c r="BQ25" s="343" t="str">
        <f>IF(god=2026,"01.01.-30.09.","1 полугодие")</f>
        <v>01.01.-30.09.</v>
      </c>
      <c r="BR25" s="343" t="str">
        <f>IF(god=2026,"01.10.-31.12.","2 полугодие")</f>
        <v>01.10.-31.12.</v>
      </c>
      <c r="BS25" s="342" t="s">
        <v>119</v>
      </c>
      <c r="BT25" s="343" t="str">
        <f>IF(god=2025,"01.01.-30.09.","1 полугодие")</f>
        <v>1 полугодие</v>
      </c>
      <c r="BU25" s="343" t="str">
        <f>IF(god=2025,"01.10.-31.12.","2 полугодие")</f>
        <v>2 полугодие</v>
      </c>
      <c r="BV25" s="342" t="s">
        <v>119</v>
      </c>
      <c r="BW25" s="343" t="s">
        <v>748</v>
      </c>
      <c r="BX25" s="343" t="s">
        <v>749</v>
      </c>
      <c r="BY25" s="342" t="s">
        <v>119</v>
      </c>
      <c r="BZ25" s="343" t="s">
        <v>748</v>
      </c>
      <c r="CA25" s="343" t="s">
        <v>749</v>
      </c>
      <c r="CB25" s="342" t="s">
        <v>119</v>
      </c>
      <c r="CC25" s="343" t="s">
        <v>748</v>
      </c>
      <c r="CD25" s="342" t="s">
        <v>749</v>
      </c>
      <c r="CE25" s="342" t="s">
        <v>119</v>
      </c>
      <c r="CF25" s="343" t="s">
        <v>748</v>
      </c>
      <c r="CG25" s="343" t="s">
        <v>749</v>
      </c>
      <c r="CH25" s="342" t="s">
        <v>119</v>
      </c>
      <c r="CI25" s="343" t="s">
        <v>748</v>
      </c>
      <c r="CJ25" s="343" t="s">
        <v>749</v>
      </c>
      <c r="CK25" s="342" t="s">
        <v>119</v>
      </c>
      <c r="CL25" s="343" t="s">
        <v>748</v>
      </c>
      <c r="CM25" s="343" t="s">
        <v>749</v>
      </c>
      <c r="CN25" s="342" t="s">
        <v>119</v>
      </c>
      <c r="CO25" s="343" t="s">
        <v>748</v>
      </c>
      <c r="CP25" s="343" t="s">
        <v>749</v>
      </c>
      <c r="CQ25" s="342" t="s">
        <v>119</v>
      </c>
      <c r="CR25" s="343" t="s">
        <v>748</v>
      </c>
      <c r="CS25" s="343" t="s">
        <v>749</v>
      </c>
      <c r="CT25" s="1496"/>
    </row>
    <row r="26" spans="1:106" ht="52.7" customHeight="1" x14ac:dyDescent="0.15">
      <c r="E26" s="668">
        <v>54</v>
      </c>
      <c r="AB26" s="1553"/>
      <c r="AC26" s="1553"/>
      <c r="AD26" s="1553"/>
      <c r="AE26" s="1553"/>
      <c r="AF26" s="1553"/>
      <c r="AG26" s="1553"/>
      <c r="AH26" s="517" t="s">
        <v>404</v>
      </c>
      <c r="AI26" s="1131" t="s">
        <v>619</v>
      </c>
      <c r="AJ26" s="118" t="s">
        <v>620</v>
      </c>
      <c r="AK26" s="118" t="s">
        <v>404</v>
      </c>
      <c r="AL26" s="1132" t="s">
        <v>405</v>
      </c>
      <c r="AM26" s="1132" t="s">
        <v>405</v>
      </c>
      <c r="AN26" s="1132" t="s">
        <v>405</v>
      </c>
      <c r="AO26" s="1132" t="s">
        <v>405</v>
      </c>
      <c r="AP26" s="1132" t="s">
        <v>405</v>
      </c>
      <c r="AQ26" s="1132" t="s">
        <v>405</v>
      </c>
      <c r="AR26" s="1132" t="s">
        <v>405</v>
      </c>
      <c r="AS26" s="1132" t="s">
        <v>405</v>
      </c>
      <c r="AT26" s="1132" t="s">
        <v>405</v>
      </c>
      <c r="AU26" s="1132" t="s">
        <v>405</v>
      </c>
      <c r="AV26" s="1132" t="s">
        <v>405</v>
      </c>
      <c r="AW26" s="1132" t="s">
        <v>405</v>
      </c>
      <c r="AX26" s="1132" t="s">
        <v>405</v>
      </c>
      <c r="AY26" s="1132" t="s">
        <v>405</v>
      </c>
      <c r="AZ26" s="1132" t="s">
        <v>405</v>
      </c>
      <c r="BA26" s="1132" t="s">
        <v>405</v>
      </c>
      <c r="BB26" s="1132" t="s">
        <v>405</v>
      </c>
      <c r="BC26" s="1132" t="s">
        <v>405</v>
      </c>
      <c r="BD26" s="1132" t="s">
        <v>405</v>
      </c>
      <c r="BE26" s="1132" t="s">
        <v>405</v>
      </c>
      <c r="BF26" s="1132" t="s">
        <v>405</v>
      </c>
      <c r="BG26" s="1132" t="s">
        <v>405</v>
      </c>
      <c r="BH26" s="1132" t="s">
        <v>405</v>
      </c>
      <c r="BI26" s="1132" t="s">
        <v>405</v>
      </c>
      <c r="BJ26" s="1132" t="s">
        <v>405</v>
      </c>
      <c r="BK26" s="1132" t="s">
        <v>405</v>
      </c>
      <c r="BL26" s="1132" t="s">
        <v>405</v>
      </c>
      <c r="BM26" s="1132" t="s">
        <v>405</v>
      </c>
      <c r="BN26" s="1132" t="s">
        <v>405</v>
      </c>
      <c r="BO26" s="1132" t="s">
        <v>405</v>
      </c>
      <c r="BP26" s="343" t="s">
        <v>404</v>
      </c>
      <c r="BQ26" s="343" t="s">
        <v>404</v>
      </c>
      <c r="BR26" s="343" t="s">
        <v>404</v>
      </c>
      <c r="BS26" s="343" t="s">
        <v>404</v>
      </c>
      <c r="BT26" s="343" t="s">
        <v>404</v>
      </c>
      <c r="BU26" s="343" t="s">
        <v>404</v>
      </c>
      <c r="BV26" s="343" t="s">
        <v>404</v>
      </c>
      <c r="BW26" s="343" t="s">
        <v>404</v>
      </c>
      <c r="BX26" s="343" t="s">
        <v>404</v>
      </c>
      <c r="BY26" s="343" t="s">
        <v>404</v>
      </c>
      <c r="BZ26" s="343" t="s">
        <v>404</v>
      </c>
      <c r="CA26" s="343" t="s">
        <v>404</v>
      </c>
      <c r="CB26" s="343" t="s">
        <v>404</v>
      </c>
      <c r="CC26" s="343" t="s">
        <v>404</v>
      </c>
      <c r="CD26" s="343" t="s">
        <v>404</v>
      </c>
      <c r="CE26" s="343" t="s">
        <v>404</v>
      </c>
      <c r="CF26" s="343" t="s">
        <v>404</v>
      </c>
      <c r="CG26" s="343" t="s">
        <v>404</v>
      </c>
      <c r="CH26" s="343" t="s">
        <v>404</v>
      </c>
      <c r="CI26" s="343" t="s">
        <v>404</v>
      </c>
      <c r="CJ26" s="343" t="s">
        <v>404</v>
      </c>
      <c r="CK26" s="343" t="s">
        <v>404</v>
      </c>
      <c r="CL26" s="343" t="s">
        <v>404</v>
      </c>
      <c r="CM26" s="343" t="s">
        <v>404</v>
      </c>
      <c r="CN26" s="343" t="s">
        <v>404</v>
      </c>
      <c r="CO26" s="343" t="s">
        <v>404</v>
      </c>
      <c r="CP26" s="343" t="s">
        <v>404</v>
      </c>
      <c r="CQ26" s="343" t="s">
        <v>404</v>
      </c>
      <c r="CR26" s="343" t="s">
        <v>404</v>
      </c>
      <c r="CS26" s="343" t="s">
        <v>404</v>
      </c>
      <c r="CT26" s="1496"/>
    </row>
    <row r="27" spans="1:106" ht="12" hidden="1" customHeight="1" x14ac:dyDescent="0.15">
      <c r="E27" s="668">
        <v>0</v>
      </c>
      <c r="AB27" s="555"/>
      <c r="AC27" s="555"/>
      <c r="AD27" s="730"/>
      <c r="AE27" s="555"/>
      <c r="AF27" s="555"/>
      <c r="AG27" s="730"/>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426"/>
      <c r="CC27" s="119"/>
      <c r="CD27" s="436"/>
      <c r="CE27" s="436"/>
      <c r="CF27" s="119"/>
      <c r="CG27" s="119"/>
      <c r="CH27" s="119"/>
      <c r="CI27" s="119"/>
      <c r="CJ27" s="119"/>
      <c r="CK27" s="119"/>
      <c r="CL27" s="119"/>
      <c r="CM27" s="119"/>
      <c r="CN27" s="119"/>
      <c r="CO27" s="119"/>
      <c r="CP27" s="119"/>
      <c r="CQ27" s="426"/>
      <c r="CR27" s="119"/>
      <c r="CS27" s="119"/>
      <c r="CT27" s="119"/>
    </row>
    <row r="28" spans="1:106" ht="16.7" hidden="1" customHeight="1" x14ac:dyDescent="0.15">
      <c r="E28" s="668">
        <v>17.100000000000001</v>
      </c>
      <c r="F28" s="769" cm="1">
        <f t="array" ref="F28">Y28</f>
        <v>0</v>
      </c>
      <c r="G28" s="160" t="str" cm="1">
        <f t="array" ref="G28">INDEX('Общие сведения'!$AE$169:$AE$202,MATCH($F28,'Общие сведения'!$Z$169:$Z$202,0))</f>
        <v>Теплоснабжение</v>
      </c>
      <c r="H28" s="160" cm="1">
        <f t="array" ref="H28">INDEX('Общие сведения'!$AK$169:$AK$202,MATCH($F28,'Общие сведения'!$Z$169:$Z$202,0))</f>
        <v>0</v>
      </c>
      <c r="I28" s="160" cm="1">
        <f t="array" ref="I28">INDEX('Общие сведения'!$AH$169:$AH$202,MATCH($F28,'Общие сведения'!$Z$169:$Z$202,0))</f>
        <v>0</v>
      </c>
      <c r="J28" s="160" cm="1">
        <f t="array" ref="J28">INDEX('Общие сведения'!$AI$169:$AI$202,MATCH($F28,'Общие сведения'!$Z$169:$Z$202,0))</f>
        <v>0</v>
      </c>
      <c r="K28" s="160" cm="1">
        <f t="array" ref="K28">INDEX('Общие сведения'!$AJ$169:$AJ$202,MATCH($F28,'Общие сведения'!$Z$169:$Z$202,0))</f>
        <v>0</v>
      </c>
      <c r="L28" s="161" t="b" cm="1">
        <f t="array" ref="L28">INDEX('Общие сведения'!$AN$169:$AN$202,MATCH($F28,'Общие сведения'!$Z$169:$Z$202,0))</f>
        <v>0</v>
      </c>
      <c r="S28" s="107" t="b">
        <f>Y28&gt;0</f>
        <v>0</v>
      </c>
      <c r="U28" s="690" t="b">
        <f t="shared" ref="U28:U91" si="4">AND(S28,IF(ISBLANK(T28),TRUE,T28))</f>
        <v>0</v>
      </c>
      <c r="W28" s="123" t="s">
        <v>313</v>
      </c>
      <c r="Y28" s="1547">
        <v>0</v>
      </c>
      <c r="Z28" s="1428"/>
      <c r="AB28" s="390" t="str" cm="1">
        <f t="array" ref="AB28">INDEX('Общие сведения'!$AG$169:$AG$202,MATCH(F28,'Общие сведения'!$Z$169:$Z$202,0))</f>
        <v xml:space="preserve">Тариф 0 (Теплоснабжение) - </v>
      </c>
      <c r="AC28" s="390"/>
      <c r="AD28" s="210"/>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64"/>
      <c r="CE28" s="264"/>
      <c r="CF28" s="207"/>
      <c r="CG28" s="207"/>
      <c r="CH28" s="207"/>
      <c r="CI28" s="207"/>
      <c r="CJ28" s="207"/>
      <c r="CK28" s="207"/>
      <c r="CL28" s="207"/>
      <c r="CM28" s="207"/>
      <c r="CN28" s="207"/>
      <c r="CO28" s="207"/>
      <c r="CP28" s="207"/>
      <c r="CQ28" s="207"/>
      <c r="CR28" s="207"/>
      <c r="CS28" s="207"/>
      <c r="CT28" s="207"/>
      <c r="CW28" s="960" t="str">
        <f>IF(AND(ISNUMBER(VALUE(TRIM(SUBSTITUTE(AD28,".","")))),TRIM(SUBSTITUTE(AD28,".",""))&lt;&gt;""),"P"&amp;SUBSTITUTE(AD28,".",""),"")</f>
        <v/>
      </c>
    </row>
    <row r="29" spans="1:106" ht="16.7" hidden="1" customHeight="1" x14ac:dyDescent="0.15">
      <c r="E29" s="668">
        <v>17.100000000000001</v>
      </c>
      <c r="F29" s="769" cm="1">
        <f t="array" aca="1" ref="F29" ca="1">OFFSET(G29,-1,-1)</f>
        <v>0</v>
      </c>
      <c r="L29" s="769" t="b" cm="1">
        <f t="array" aca="1" ref="L29" ca="1">OFFSET(M29,-1,-1)</f>
        <v>0</v>
      </c>
      <c r="R29" s="769" t="s">
        <v>750</v>
      </c>
      <c r="S29" s="107" t="b" cm="1">
        <f t="array" aca="1" ref="S29" ca="1">OFFSET(T29,-1,-1)</f>
        <v>0</v>
      </c>
      <c r="T29" s="107" t="b" cm="1">
        <f t="array" aca="1" ref="T29" ca="1">L29</f>
        <v>0</v>
      </c>
      <c r="U29" s="690" t="b">
        <f t="shared" ca="1" si="4"/>
        <v>0</v>
      </c>
      <c r="Y29" s="1428"/>
      <c r="Z29" s="1428"/>
      <c r="AB29" s="1548" t="s">
        <v>751</v>
      </c>
      <c r="AD29" s="108">
        <v>1</v>
      </c>
      <c r="AE29" s="1511" t="s">
        <v>752</v>
      </c>
      <c r="AF29" s="1512"/>
      <c r="AG29" s="108" t="s">
        <v>753</v>
      </c>
      <c r="AH29" s="38"/>
      <c r="AI29" s="39"/>
      <c r="AJ29" s="39"/>
      <c r="AK29" s="39"/>
      <c r="AL29" s="727">
        <f>AM29+AN29</f>
        <v>0</v>
      </c>
      <c r="AM29" s="39"/>
      <c r="AN29" s="39"/>
      <c r="AO29" s="727">
        <f>AP29+AQ29</f>
        <v>0</v>
      </c>
      <c r="AP29" s="1244"/>
      <c r="AQ29" s="1244"/>
      <c r="AR29" s="727">
        <f>AS29+AT29</f>
        <v>0</v>
      </c>
      <c r="AS29" s="1244"/>
      <c r="AT29" s="1244"/>
      <c r="AU29" s="727">
        <f>AV29+AW29</f>
        <v>0</v>
      </c>
      <c r="AV29" s="39"/>
      <c r="AW29" s="39"/>
      <c r="AX29" s="727">
        <f>AY29+AZ29</f>
        <v>0</v>
      </c>
      <c r="AY29" s="39"/>
      <c r="AZ29" s="39"/>
      <c r="BA29" s="727">
        <f>BB29+BC29</f>
        <v>0</v>
      </c>
      <c r="BB29" s="39"/>
      <c r="BC29" s="39"/>
      <c r="BD29" s="727">
        <f>BE29+BF29</f>
        <v>0</v>
      </c>
      <c r="BE29" s="39"/>
      <c r="BF29" s="39"/>
      <c r="BG29" s="727">
        <f>BH29+BI29</f>
        <v>0</v>
      </c>
      <c r="BH29" s="39"/>
      <c r="BI29" s="39"/>
      <c r="BJ29" s="727">
        <f>BK29+BL29</f>
        <v>0</v>
      </c>
      <c r="BK29" s="39"/>
      <c r="BL29" s="39"/>
      <c r="BM29" s="727">
        <f>BN29+BO29</f>
        <v>0</v>
      </c>
      <c r="BN29" s="39"/>
      <c r="BO29" s="39"/>
      <c r="BP29" s="727">
        <f>BQ29+BR29</f>
        <v>0</v>
      </c>
      <c r="BQ29" s="816"/>
      <c r="BR29" s="816"/>
      <c r="BS29" s="727">
        <f>BT29+BU29</f>
        <v>0</v>
      </c>
      <c r="BT29" s="1244"/>
      <c r="BU29" s="1244"/>
      <c r="BV29" s="727">
        <f>BW29+BX29</f>
        <v>0</v>
      </c>
      <c r="BW29" s="1244"/>
      <c r="BX29" s="1244"/>
      <c r="BY29" s="727">
        <f>BZ29+CA29</f>
        <v>0</v>
      </c>
      <c r="BZ29" s="39"/>
      <c r="CA29" s="39"/>
      <c r="CB29" s="727">
        <f>CC29+CD29</f>
        <v>0</v>
      </c>
      <c r="CC29" s="39"/>
      <c r="CD29" s="39"/>
      <c r="CE29" s="727">
        <f>CF29+CG29</f>
        <v>0</v>
      </c>
      <c r="CF29" s="39"/>
      <c r="CG29" s="39"/>
      <c r="CH29" s="727">
        <f>CI29+CJ29</f>
        <v>0</v>
      </c>
      <c r="CI29" s="39"/>
      <c r="CJ29" s="39"/>
      <c r="CK29" s="727">
        <f>CL29+CM29</f>
        <v>0</v>
      </c>
      <c r="CL29" s="39"/>
      <c r="CM29" s="39"/>
      <c r="CN29" s="727">
        <f>CO29+CP29</f>
        <v>0</v>
      </c>
      <c r="CO29" s="39"/>
      <c r="CP29" s="39"/>
      <c r="CQ29" s="727">
        <f>CR29+CS29</f>
        <v>0</v>
      </c>
      <c r="CR29" s="39"/>
      <c r="CS29" s="39"/>
      <c r="CT29" s="25"/>
      <c r="CW29" s="960" t="s">
        <v>754</v>
      </c>
    </row>
    <row r="30" spans="1:106" ht="16.7" hidden="1" customHeight="1" x14ac:dyDescent="0.15">
      <c r="E30" s="668">
        <v>17.100000000000001</v>
      </c>
      <c r="F30" s="769" cm="1">
        <f t="array" aca="1" ref="F30" ca="1">OFFSET(G30,-1,-1)</f>
        <v>0</v>
      </c>
      <c r="L30" s="769" t="b" cm="1">
        <f t="array" aca="1" ref="L30" ca="1">OFFSET(M30,-1,-1)</f>
        <v>0</v>
      </c>
      <c r="R30" s="769" t="s">
        <v>750</v>
      </c>
      <c r="S30" s="107" t="b" cm="1">
        <f t="array" aca="1" ref="S30" ca="1">OFFSET(T30,-1,-1)</f>
        <v>0</v>
      </c>
      <c r="T30" s="107" t="b" cm="1">
        <f t="array" aca="1" ref="T30" ca="1">T29</f>
        <v>0</v>
      </c>
      <c r="U30" s="690" t="b">
        <f t="shared" ca="1" si="4"/>
        <v>0</v>
      </c>
      <c r="Y30" s="1428"/>
      <c r="Z30" s="1428"/>
      <c r="AB30" s="1549"/>
      <c r="AD30" s="108">
        <v>2</v>
      </c>
      <c r="AE30" s="1511" t="s">
        <v>755</v>
      </c>
      <c r="AF30" s="1512"/>
      <c r="AG30" s="108" t="s">
        <v>753</v>
      </c>
      <c r="AH30" s="725">
        <f t="shared" ref="AH30:BM30" si="5">AH31+AH33</f>
        <v>0</v>
      </c>
      <c r="AI30" s="727">
        <f t="shared" si="5"/>
        <v>0</v>
      </c>
      <c r="AJ30" s="727">
        <f t="shared" si="5"/>
        <v>0</v>
      </c>
      <c r="AK30" s="727">
        <f t="shared" si="5"/>
        <v>0</v>
      </c>
      <c r="AL30" s="727">
        <f t="shared" si="5"/>
        <v>0</v>
      </c>
      <c r="AM30" s="727">
        <f t="shared" si="5"/>
        <v>0</v>
      </c>
      <c r="AN30" s="727">
        <f t="shared" si="5"/>
        <v>0</v>
      </c>
      <c r="AO30" s="727">
        <f t="shared" si="5"/>
        <v>0</v>
      </c>
      <c r="AP30" s="727">
        <f t="shared" si="5"/>
        <v>0</v>
      </c>
      <c r="AQ30" s="727">
        <f t="shared" si="5"/>
        <v>0</v>
      </c>
      <c r="AR30" s="727">
        <f t="shared" si="5"/>
        <v>0</v>
      </c>
      <c r="AS30" s="727">
        <f t="shared" si="5"/>
        <v>0</v>
      </c>
      <c r="AT30" s="727">
        <f t="shared" si="5"/>
        <v>0</v>
      </c>
      <c r="AU30" s="727">
        <f t="shared" si="5"/>
        <v>0</v>
      </c>
      <c r="AV30" s="727">
        <f t="shared" si="5"/>
        <v>0</v>
      </c>
      <c r="AW30" s="727">
        <f t="shared" si="5"/>
        <v>0</v>
      </c>
      <c r="AX30" s="727">
        <f t="shared" si="5"/>
        <v>0</v>
      </c>
      <c r="AY30" s="727">
        <f t="shared" si="5"/>
        <v>0</v>
      </c>
      <c r="AZ30" s="727">
        <f t="shared" si="5"/>
        <v>0</v>
      </c>
      <c r="BA30" s="727">
        <f t="shared" si="5"/>
        <v>0</v>
      </c>
      <c r="BB30" s="727">
        <f t="shared" si="5"/>
        <v>0</v>
      </c>
      <c r="BC30" s="727">
        <f t="shared" si="5"/>
        <v>0</v>
      </c>
      <c r="BD30" s="727">
        <f t="shared" si="5"/>
        <v>0</v>
      </c>
      <c r="BE30" s="727">
        <f t="shared" si="5"/>
        <v>0</v>
      </c>
      <c r="BF30" s="727">
        <f t="shared" si="5"/>
        <v>0</v>
      </c>
      <c r="BG30" s="727">
        <f t="shared" si="5"/>
        <v>0</v>
      </c>
      <c r="BH30" s="727">
        <f t="shared" si="5"/>
        <v>0</v>
      </c>
      <c r="BI30" s="727">
        <f t="shared" si="5"/>
        <v>0</v>
      </c>
      <c r="BJ30" s="727">
        <f t="shared" si="5"/>
        <v>0</v>
      </c>
      <c r="BK30" s="727">
        <f t="shared" si="5"/>
        <v>0</v>
      </c>
      <c r="BL30" s="727">
        <f t="shared" si="5"/>
        <v>0</v>
      </c>
      <c r="BM30" s="727">
        <f t="shared" si="5"/>
        <v>0</v>
      </c>
      <c r="BN30" s="727">
        <f t="shared" ref="BN30:CS30" si="6">BN31+BN33</f>
        <v>0</v>
      </c>
      <c r="BO30" s="727">
        <f t="shared" si="6"/>
        <v>0</v>
      </c>
      <c r="BP30" s="727">
        <f t="shared" si="6"/>
        <v>0</v>
      </c>
      <c r="BQ30" s="727">
        <f t="shared" si="6"/>
        <v>0</v>
      </c>
      <c r="BR30" s="727">
        <f t="shared" si="6"/>
        <v>0</v>
      </c>
      <c r="BS30" s="727">
        <f t="shared" si="6"/>
        <v>0</v>
      </c>
      <c r="BT30" s="727">
        <f t="shared" si="6"/>
        <v>0</v>
      </c>
      <c r="BU30" s="727">
        <f t="shared" si="6"/>
        <v>0</v>
      </c>
      <c r="BV30" s="727">
        <f t="shared" si="6"/>
        <v>0</v>
      </c>
      <c r="BW30" s="727">
        <f t="shared" si="6"/>
        <v>0</v>
      </c>
      <c r="BX30" s="727">
        <f t="shared" si="6"/>
        <v>0</v>
      </c>
      <c r="BY30" s="727">
        <f t="shared" si="6"/>
        <v>0</v>
      </c>
      <c r="BZ30" s="727">
        <f t="shared" si="6"/>
        <v>0</v>
      </c>
      <c r="CA30" s="727">
        <f t="shared" si="6"/>
        <v>0</v>
      </c>
      <c r="CB30" s="727">
        <f t="shared" si="6"/>
        <v>0</v>
      </c>
      <c r="CC30" s="727">
        <f t="shared" si="6"/>
        <v>0</v>
      </c>
      <c r="CD30" s="727">
        <f t="shared" si="6"/>
        <v>0</v>
      </c>
      <c r="CE30" s="727">
        <f t="shared" si="6"/>
        <v>0</v>
      </c>
      <c r="CF30" s="727">
        <f t="shared" si="6"/>
        <v>0</v>
      </c>
      <c r="CG30" s="727">
        <f t="shared" si="6"/>
        <v>0</v>
      </c>
      <c r="CH30" s="727">
        <f t="shared" si="6"/>
        <v>0</v>
      </c>
      <c r="CI30" s="727">
        <f t="shared" si="6"/>
        <v>0</v>
      </c>
      <c r="CJ30" s="727">
        <f t="shared" si="6"/>
        <v>0</v>
      </c>
      <c r="CK30" s="727">
        <f t="shared" si="6"/>
        <v>0</v>
      </c>
      <c r="CL30" s="727">
        <f t="shared" si="6"/>
        <v>0</v>
      </c>
      <c r="CM30" s="727">
        <f t="shared" si="6"/>
        <v>0</v>
      </c>
      <c r="CN30" s="727">
        <f t="shared" si="6"/>
        <v>0</v>
      </c>
      <c r="CO30" s="727">
        <f t="shared" si="6"/>
        <v>0</v>
      </c>
      <c r="CP30" s="727">
        <f t="shared" si="6"/>
        <v>0</v>
      </c>
      <c r="CQ30" s="727">
        <f t="shared" si="6"/>
        <v>0</v>
      </c>
      <c r="CR30" s="727">
        <f t="shared" si="6"/>
        <v>0</v>
      </c>
      <c r="CS30" s="727">
        <f t="shared" si="6"/>
        <v>0</v>
      </c>
      <c r="CT30" s="25"/>
      <c r="CW30" s="960" t="s">
        <v>756</v>
      </c>
    </row>
    <row r="31" spans="1:106" ht="16.7" hidden="1" customHeight="1" x14ac:dyDescent="0.15">
      <c r="E31" s="668">
        <v>17.100000000000001</v>
      </c>
      <c r="F31" s="769" cm="1">
        <f t="array" aca="1" ref="F31" ca="1">OFFSET(G31,-1,-1)</f>
        <v>0</v>
      </c>
      <c r="L31" s="769" t="b" cm="1">
        <f t="array" aca="1" ref="L31" ca="1">OFFSET(M31,-1,-1)</f>
        <v>0</v>
      </c>
      <c r="R31" s="769" t="s">
        <v>750</v>
      </c>
      <c r="S31" s="107" t="b" cm="1">
        <f t="array" aca="1" ref="S31" ca="1">OFFSET(T31,-1,-1)</f>
        <v>0</v>
      </c>
      <c r="T31" s="107" t="b" cm="1">
        <f t="array" aca="1" ref="T31" ca="1">T30</f>
        <v>0</v>
      </c>
      <c r="U31" s="690" t="b">
        <f t="shared" ca="1" si="4"/>
        <v>0</v>
      </c>
      <c r="Y31" s="1428"/>
      <c r="Z31" s="1428"/>
      <c r="AB31" s="1549"/>
      <c r="AD31" s="108" t="s">
        <v>479</v>
      </c>
      <c r="AE31" s="1523" t="s">
        <v>757</v>
      </c>
      <c r="AF31" s="1524"/>
      <c r="AG31" s="108" t="s">
        <v>753</v>
      </c>
      <c r="AH31" s="38"/>
      <c r="AI31" s="39"/>
      <c r="AJ31" s="39"/>
      <c r="AK31" s="39"/>
      <c r="AL31" s="727">
        <f>AM31+AN31</f>
        <v>0</v>
      </c>
      <c r="AM31" s="39"/>
      <c r="AN31" s="39"/>
      <c r="AO31" s="727">
        <f>AP31+AQ31</f>
        <v>0</v>
      </c>
      <c r="AP31" s="1244"/>
      <c r="AQ31" s="1244"/>
      <c r="AR31" s="727">
        <f>AS31+AT31</f>
        <v>0</v>
      </c>
      <c r="AS31" s="1244"/>
      <c r="AT31" s="1244"/>
      <c r="AU31" s="727">
        <f>AV31+AW31</f>
        <v>0</v>
      </c>
      <c r="AV31" s="39"/>
      <c r="AW31" s="39"/>
      <c r="AX31" s="727">
        <f>AY31+AZ31</f>
        <v>0</v>
      </c>
      <c r="AY31" s="39"/>
      <c r="AZ31" s="39"/>
      <c r="BA31" s="727">
        <f>BB31+BC31</f>
        <v>0</v>
      </c>
      <c r="BB31" s="39"/>
      <c r="BC31" s="39"/>
      <c r="BD31" s="727">
        <f>BE31+BF31</f>
        <v>0</v>
      </c>
      <c r="BE31" s="39"/>
      <c r="BF31" s="39"/>
      <c r="BG31" s="727">
        <f>BH31+BI31</f>
        <v>0</v>
      </c>
      <c r="BH31" s="39"/>
      <c r="BI31" s="39"/>
      <c r="BJ31" s="727">
        <f>BK31+BL31</f>
        <v>0</v>
      </c>
      <c r="BK31" s="39"/>
      <c r="BL31" s="39"/>
      <c r="BM31" s="727">
        <f>BN31+BO31</f>
        <v>0</v>
      </c>
      <c r="BN31" s="39"/>
      <c r="BO31" s="39"/>
      <c r="BP31" s="727">
        <f>BQ31+BR31</f>
        <v>0</v>
      </c>
      <c r="BQ31" s="816"/>
      <c r="BR31" s="816"/>
      <c r="BS31" s="727">
        <f>BT31+BU31</f>
        <v>0</v>
      </c>
      <c r="BT31" s="1244"/>
      <c r="BU31" s="1244"/>
      <c r="BV31" s="727">
        <f>BW31+BX31</f>
        <v>0</v>
      </c>
      <c r="BW31" s="1244"/>
      <c r="BX31" s="1244"/>
      <c r="BY31" s="727">
        <f>BZ31+CA31</f>
        <v>0</v>
      </c>
      <c r="BZ31" s="39"/>
      <c r="CA31" s="39"/>
      <c r="CB31" s="727">
        <f>CC31+CD31</f>
        <v>0</v>
      </c>
      <c r="CC31" s="39"/>
      <c r="CD31" s="39"/>
      <c r="CE31" s="727">
        <f>CF31+CG31</f>
        <v>0</v>
      </c>
      <c r="CF31" s="39"/>
      <c r="CG31" s="39"/>
      <c r="CH31" s="727">
        <f>CI31+CJ31</f>
        <v>0</v>
      </c>
      <c r="CI31" s="39"/>
      <c r="CJ31" s="39"/>
      <c r="CK31" s="727">
        <f>CL31+CM31</f>
        <v>0</v>
      </c>
      <c r="CL31" s="39"/>
      <c r="CM31" s="39"/>
      <c r="CN31" s="727">
        <f>CO31+CP31</f>
        <v>0</v>
      </c>
      <c r="CO31" s="39"/>
      <c r="CP31" s="39"/>
      <c r="CQ31" s="727">
        <f>CR31+CS31</f>
        <v>0</v>
      </c>
      <c r="CR31" s="39"/>
      <c r="CS31" s="39"/>
      <c r="CT31" s="25"/>
      <c r="CW31" s="960" t="s">
        <v>758</v>
      </c>
    </row>
    <row r="32" spans="1:106" ht="16.7" hidden="1" customHeight="1" x14ac:dyDescent="0.15">
      <c r="E32" s="668">
        <v>17.100000000000001</v>
      </c>
      <c r="F32" s="769" cm="1">
        <f t="array" aca="1" ref="F32" ca="1">OFFSET(G32,-1,-1)</f>
        <v>0</v>
      </c>
      <c r="L32" s="769" t="b" cm="1">
        <f t="array" aca="1" ref="L32" ca="1">OFFSET(M32,-1,-1)</f>
        <v>0</v>
      </c>
      <c r="R32" s="769" t="s">
        <v>750</v>
      </c>
      <c r="S32" s="107" t="b" cm="1">
        <f t="array" aca="1" ref="S32" ca="1">OFFSET(T32,-1,-1)</f>
        <v>0</v>
      </c>
      <c r="T32" s="107" t="b" cm="1">
        <f t="array" aca="1" ref="T32" ca="1">T31</f>
        <v>0</v>
      </c>
      <c r="U32" s="690" t="b">
        <f t="shared" ca="1" si="4"/>
        <v>0</v>
      </c>
      <c r="Y32" s="1428"/>
      <c r="Z32" s="1428"/>
      <c r="AB32" s="1549"/>
      <c r="AD32" s="108" t="s">
        <v>482</v>
      </c>
      <c r="AE32" s="1529" t="s">
        <v>759</v>
      </c>
      <c r="AF32" s="1530"/>
      <c r="AG32" s="108" t="s">
        <v>521</v>
      </c>
      <c r="AH32" s="731">
        <f t="shared" ref="AH32:BM32" si="7">IFERROR(AH31/AH29,0)</f>
        <v>0</v>
      </c>
      <c r="AI32" s="732">
        <f t="shared" si="7"/>
        <v>0</v>
      </c>
      <c r="AJ32" s="732">
        <f t="shared" si="7"/>
        <v>0</v>
      </c>
      <c r="AK32" s="732">
        <f t="shared" si="7"/>
        <v>0</v>
      </c>
      <c r="AL32" s="732">
        <f t="shared" si="7"/>
        <v>0</v>
      </c>
      <c r="AM32" s="732">
        <f t="shared" si="7"/>
        <v>0</v>
      </c>
      <c r="AN32" s="732">
        <f t="shared" si="7"/>
        <v>0</v>
      </c>
      <c r="AO32" s="732">
        <f t="shared" si="7"/>
        <v>0</v>
      </c>
      <c r="AP32" s="732">
        <f t="shared" si="7"/>
        <v>0</v>
      </c>
      <c r="AQ32" s="732">
        <f t="shared" si="7"/>
        <v>0</v>
      </c>
      <c r="AR32" s="732">
        <f t="shared" si="7"/>
        <v>0</v>
      </c>
      <c r="AS32" s="732">
        <f t="shared" si="7"/>
        <v>0</v>
      </c>
      <c r="AT32" s="732">
        <f t="shared" si="7"/>
        <v>0</v>
      </c>
      <c r="AU32" s="732">
        <f t="shared" si="7"/>
        <v>0</v>
      </c>
      <c r="AV32" s="732">
        <f t="shared" si="7"/>
        <v>0</v>
      </c>
      <c r="AW32" s="732">
        <f t="shared" si="7"/>
        <v>0</v>
      </c>
      <c r="AX32" s="732">
        <f t="shared" si="7"/>
        <v>0</v>
      </c>
      <c r="AY32" s="732">
        <f t="shared" si="7"/>
        <v>0</v>
      </c>
      <c r="AZ32" s="732">
        <f t="shared" si="7"/>
        <v>0</v>
      </c>
      <c r="BA32" s="732">
        <f t="shared" si="7"/>
        <v>0</v>
      </c>
      <c r="BB32" s="732">
        <f t="shared" si="7"/>
        <v>0</v>
      </c>
      <c r="BC32" s="732">
        <f t="shared" si="7"/>
        <v>0</v>
      </c>
      <c r="BD32" s="732">
        <f t="shared" si="7"/>
        <v>0</v>
      </c>
      <c r="BE32" s="732">
        <f t="shared" si="7"/>
        <v>0</v>
      </c>
      <c r="BF32" s="732">
        <f t="shared" si="7"/>
        <v>0</v>
      </c>
      <c r="BG32" s="732">
        <f t="shared" si="7"/>
        <v>0</v>
      </c>
      <c r="BH32" s="732">
        <f t="shared" si="7"/>
        <v>0</v>
      </c>
      <c r="BI32" s="732">
        <f t="shared" si="7"/>
        <v>0</v>
      </c>
      <c r="BJ32" s="732">
        <f t="shared" si="7"/>
        <v>0</v>
      </c>
      <c r="BK32" s="732">
        <f t="shared" si="7"/>
        <v>0</v>
      </c>
      <c r="BL32" s="732">
        <f t="shared" si="7"/>
        <v>0</v>
      </c>
      <c r="BM32" s="732">
        <f t="shared" si="7"/>
        <v>0</v>
      </c>
      <c r="BN32" s="732">
        <f t="shared" ref="BN32:CS32" si="8">IFERROR(BN31/BN29,0)</f>
        <v>0</v>
      </c>
      <c r="BO32" s="732">
        <f t="shared" si="8"/>
        <v>0</v>
      </c>
      <c r="BP32" s="732">
        <f t="shared" si="8"/>
        <v>0</v>
      </c>
      <c r="BQ32" s="732">
        <f t="shared" si="8"/>
        <v>0</v>
      </c>
      <c r="BR32" s="732">
        <f t="shared" si="8"/>
        <v>0</v>
      </c>
      <c r="BS32" s="732">
        <f t="shared" si="8"/>
        <v>0</v>
      </c>
      <c r="BT32" s="732">
        <f t="shared" si="8"/>
        <v>0</v>
      </c>
      <c r="BU32" s="732">
        <f t="shared" si="8"/>
        <v>0</v>
      </c>
      <c r="BV32" s="732">
        <f t="shared" si="8"/>
        <v>0</v>
      </c>
      <c r="BW32" s="732">
        <f t="shared" si="8"/>
        <v>0</v>
      </c>
      <c r="BX32" s="732">
        <f t="shared" si="8"/>
        <v>0</v>
      </c>
      <c r="BY32" s="732">
        <f t="shared" si="8"/>
        <v>0</v>
      </c>
      <c r="BZ32" s="732">
        <f t="shared" si="8"/>
        <v>0</v>
      </c>
      <c r="CA32" s="732">
        <f t="shared" si="8"/>
        <v>0</v>
      </c>
      <c r="CB32" s="732">
        <f t="shared" si="8"/>
        <v>0</v>
      </c>
      <c r="CC32" s="732">
        <f t="shared" si="8"/>
        <v>0</v>
      </c>
      <c r="CD32" s="732">
        <f t="shared" si="8"/>
        <v>0</v>
      </c>
      <c r="CE32" s="732">
        <f t="shared" si="8"/>
        <v>0</v>
      </c>
      <c r="CF32" s="732">
        <f t="shared" si="8"/>
        <v>0</v>
      </c>
      <c r="CG32" s="732">
        <f t="shared" si="8"/>
        <v>0</v>
      </c>
      <c r="CH32" s="732">
        <f t="shared" si="8"/>
        <v>0</v>
      </c>
      <c r="CI32" s="732">
        <f t="shared" si="8"/>
        <v>0</v>
      </c>
      <c r="CJ32" s="732">
        <f t="shared" si="8"/>
        <v>0</v>
      </c>
      <c r="CK32" s="732">
        <f t="shared" si="8"/>
        <v>0</v>
      </c>
      <c r="CL32" s="732">
        <f t="shared" si="8"/>
        <v>0</v>
      </c>
      <c r="CM32" s="732">
        <f t="shared" si="8"/>
        <v>0</v>
      </c>
      <c r="CN32" s="732">
        <f t="shared" si="8"/>
        <v>0</v>
      </c>
      <c r="CO32" s="732">
        <f t="shared" si="8"/>
        <v>0</v>
      </c>
      <c r="CP32" s="732">
        <f t="shared" si="8"/>
        <v>0</v>
      </c>
      <c r="CQ32" s="732">
        <f t="shared" si="8"/>
        <v>0</v>
      </c>
      <c r="CR32" s="732">
        <f t="shared" si="8"/>
        <v>0</v>
      </c>
      <c r="CS32" s="732">
        <f t="shared" si="8"/>
        <v>0</v>
      </c>
      <c r="CT32" s="25"/>
      <c r="CW32" s="960" t="s">
        <v>760</v>
      </c>
    </row>
    <row r="33" spans="5:101" ht="16.7" hidden="1" customHeight="1" x14ac:dyDescent="0.15">
      <c r="E33" s="668">
        <v>17.100000000000001</v>
      </c>
      <c r="F33" s="769" cm="1">
        <f t="array" aca="1" ref="F33" ca="1">OFFSET(G33,-1,-1)</f>
        <v>0</v>
      </c>
      <c r="L33" s="769" t="b" cm="1">
        <f t="array" aca="1" ref="L33" ca="1">OFFSET(M33,-1,-1)</f>
        <v>0</v>
      </c>
      <c r="R33" s="769" t="s">
        <v>750</v>
      </c>
      <c r="S33" s="107" t="b" cm="1">
        <f t="array" aca="1" ref="S33" ca="1">OFFSET(T33,-1,-1)</f>
        <v>0</v>
      </c>
      <c r="T33" s="107" t="b" cm="1">
        <f t="array" aca="1" ref="T33" ca="1">T32</f>
        <v>0</v>
      </c>
      <c r="U33" s="690" t="b">
        <f t="shared" ca="1" si="4"/>
        <v>0</v>
      </c>
      <c r="Y33" s="1428"/>
      <c r="Z33" s="1428"/>
      <c r="AB33" s="1549"/>
      <c r="AD33" s="108" t="s">
        <v>506</v>
      </c>
      <c r="AE33" s="1523" t="s">
        <v>761</v>
      </c>
      <c r="AF33" s="1524"/>
      <c r="AG33" s="108" t="s">
        <v>753</v>
      </c>
      <c r="AH33" s="38"/>
      <c r="AI33" s="39"/>
      <c r="AJ33" s="39"/>
      <c r="AK33" s="39"/>
      <c r="AL33" s="727">
        <f>AM33+AN33</f>
        <v>0</v>
      </c>
      <c r="AM33" s="39"/>
      <c r="AN33" s="39"/>
      <c r="AO33" s="727">
        <f>AP33+AQ33</f>
        <v>0</v>
      </c>
      <c r="AP33" s="1244"/>
      <c r="AQ33" s="1244"/>
      <c r="AR33" s="727">
        <f>AS33+AT33</f>
        <v>0</v>
      </c>
      <c r="AS33" s="1244"/>
      <c r="AT33" s="1244"/>
      <c r="AU33" s="727">
        <f>AV33+AW33</f>
        <v>0</v>
      </c>
      <c r="AV33" s="39"/>
      <c r="AW33" s="39"/>
      <c r="AX33" s="727">
        <f>AY33+AZ33</f>
        <v>0</v>
      </c>
      <c r="AY33" s="39"/>
      <c r="AZ33" s="39"/>
      <c r="BA33" s="727">
        <f>BB33+BC33</f>
        <v>0</v>
      </c>
      <c r="BB33" s="39"/>
      <c r="BC33" s="39"/>
      <c r="BD33" s="727">
        <f>BE33+BF33</f>
        <v>0</v>
      </c>
      <c r="BE33" s="39"/>
      <c r="BF33" s="39"/>
      <c r="BG33" s="727">
        <f>BH33+BI33</f>
        <v>0</v>
      </c>
      <c r="BH33" s="39"/>
      <c r="BI33" s="39"/>
      <c r="BJ33" s="727">
        <f>BK33+BL33</f>
        <v>0</v>
      </c>
      <c r="BK33" s="39"/>
      <c r="BL33" s="39"/>
      <c r="BM33" s="727">
        <f>BN33+BO33</f>
        <v>0</v>
      </c>
      <c r="BN33" s="39"/>
      <c r="BO33" s="39"/>
      <c r="BP33" s="727">
        <f>BQ33+BR33</f>
        <v>0</v>
      </c>
      <c r="BQ33" s="816"/>
      <c r="BR33" s="816"/>
      <c r="BS33" s="727">
        <f>BT33+BU33</f>
        <v>0</v>
      </c>
      <c r="BT33" s="1244"/>
      <c r="BU33" s="1244"/>
      <c r="BV33" s="727">
        <f>BW33+BX33</f>
        <v>0</v>
      </c>
      <c r="BW33" s="1244"/>
      <c r="BX33" s="1244"/>
      <c r="BY33" s="727">
        <f>BZ33+CA33</f>
        <v>0</v>
      </c>
      <c r="BZ33" s="39"/>
      <c r="CA33" s="39"/>
      <c r="CB33" s="727">
        <f>CC33+CD33</f>
        <v>0</v>
      </c>
      <c r="CC33" s="39"/>
      <c r="CD33" s="39"/>
      <c r="CE33" s="727">
        <f>CF33+CG33</f>
        <v>0</v>
      </c>
      <c r="CF33" s="39"/>
      <c r="CG33" s="39"/>
      <c r="CH33" s="727">
        <f>CI33+CJ33</f>
        <v>0</v>
      </c>
      <c r="CI33" s="39"/>
      <c r="CJ33" s="39"/>
      <c r="CK33" s="727">
        <f>CL33+CM33</f>
        <v>0</v>
      </c>
      <c r="CL33" s="39"/>
      <c r="CM33" s="39"/>
      <c r="CN33" s="727">
        <f>CO33+CP33</f>
        <v>0</v>
      </c>
      <c r="CO33" s="39"/>
      <c r="CP33" s="39"/>
      <c r="CQ33" s="727">
        <f>CR33+CS33</f>
        <v>0</v>
      </c>
      <c r="CR33" s="39"/>
      <c r="CS33" s="39"/>
      <c r="CT33" s="25"/>
      <c r="CW33" s="960" t="s">
        <v>762</v>
      </c>
    </row>
    <row r="34" spans="5:101" ht="16.7" hidden="1" customHeight="1" x14ac:dyDescent="0.15">
      <c r="E34" s="668">
        <v>17.100000000000001</v>
      </c>
      <c r="F34" s="769" cm="1">
        <f t="array" aca="1" ref="F34" ca="1">OFFSET(G34,-1,-1)</f>
        <v>0</v>
      </c>
      <c r="L34" s="769" t="b" cm="1">
        <f t="array" aca="1" ref="L34" ca="1">OFFSET(M34,-1,-1)</f>
        <v>0</v>
      </c>
      <c r="R34" s="769" t="s">
        <v>750</v>
      </c>
      <c r="S34" s="107" t="b" cm="1">
        <f t="array" aca="1" ref="S34" ca="1">OFFSET(T34,-1,-1)</f>
        <v>0</v>
      </c>
      <c r="T34" s="107" t="b" cm="1">
        <f t="array" aca="1" ref="T34" ca="1">T33</f>
        <v>0</v>
      </c>
      <c r="U34" s="690" t="b">
        <f t="shared" ca="1" si="4"/>
        <v>0</v>
      </c>
      <c r="Y34" s="1428"/>
      <c r="Z34" s="1428"/>
      <c r="AB34" s="1549"/>
      <c r="AD34" s="108" t="s">
        <v>763</v>
      </c>
      <c r="AE34" s="1529" t="s">
        <v>764</v>
      </c>
      <c r="AF34" s="1530"/>
      <c r="AG34" s="108" t="s">
        <v>765</v>
      </c>
      <c r="AH34" s="38"/>
      <c r="AI34" s="39"/>
      <c r="AJ34" s="39"/>
      <c r="AK34" s="39"/>
      <c r="AL34" s="39"/>
      <c r="AM34" s="39"/>
      <c r="AN34" s="39"/>
      <c r="AO34" s="1244"/>
      <c r="AP34" s="1244"/>
      <c r="AQ34" s="1244"/>
      <c r="AR34" s="1244"/>
      <c r="AS34" s="1244"/>
      <c r="AT34" s="1244"/>
      <c r="AU34" s="39"/>
      <c r="AV34" s="39"/>
      <c r="AW34" s="39"/>
      <c r="AX34" s="39"/>
      <c r="AY34" s="39"/>
      <c r="AZ34" s="39"/>
      <c r="BA34" s="39"/>
      <c r="BB34" s="39"/>
      <c r="BC34" s="39"/>
      <c r="BD34" s="39"/>
      <c r="BE34" s="39"/>
      <c r="BF34" s="39"/>
      <c r="BG34" s="39"/>
      <c r="BH34" s="39"/>
      <c r="BI34" s="39"/>
      <c r="BJ34" s="39"/>
      <c r="BK34" s="39"/>
      <c r="BL34" s="39"/>
      <c r="BM34" s="39"/>
      <c r="BN34" s="39"/>
      <c r="BO34" s="39"/>
      <c r="BP34" s="816"/>
      <c r="BQ34" s="816"/>
      <c r="BR34" s="816"/>
      <c r="BS34" s="1244"/>
      <c r="BT34" s="1244"/>
      <c r="BU34" s="1244"/>
      <c r="BV34" s="1244"/>
      <c r="BW34" s="1244"/>
      <c r="BX34" s="1244"/>
      <c r="BY34" s="39"/>
      <c r="BZ34" s="39"/>
      <c r="CA34" s="39"/>
      <c r="CB34" s="39"/>
      <c r="CC34" s="39"/>
      <c r="CD34" s="39"/>
      <c r="CE34" s="39"/>
      <c r="CF34" s="39"/>
      <c r="CG34" s="39"/>
      <c r="CH34" s="39"/>
      <c r="CI34" s="39"/>
      <c r="CJ34" s="39"/>
      <c r="CK34" s="39"/>
      <c r="CL34" s="39"/>
      <c r="CM34" s="39"/>
      <c r="CN34" s="39"/>
      <c r="CO34" s="39"/>
      <c r="CP34" s="39"/>
      <c r="CQ34" s="39"/>
      <c r="CR34" s="39"/>
      <c r="CS34" s="39"/>
      <c r="CT34" s="25"/>
      <c r="CW34" s="960" t="s">
        <v>766</v>
      </c>
    </row>
    <row r="35" spans="5:101" ht="16.7" hidden="1" customHeight="1" x14ac:dyDescent="0.15">
      <c r="E35" s="668">
        <v>17.100000000000001</v>
      </c>
      <c r="F35" s="769" cm="1">
        <f t="array" aca="1" ref="F35" ca="1">OFFSET(G35,-1,-1)</f>
        <v>0</v>
      </c>
      <c r="L35" s="769" t="b" cm="1">
        <f t="array" aca="1" ref="L35" ca="1">OFFSET(M35,-1,-1)</f>
        <v>0</v>
      </c>
      <c r="R35" s="769" t="s">
        <v>750</v>
      </c>
      <c r="S35" s="107" t="b" cm="1">
        <f t="array" aca="1" ref="S35" ca="1">OFFSET(T35,-1,-1)</f>
        <v>0</v>
      </c>
      <c r="T35" s="107" t="b" cm="1">
        <f t="array" aca="1" ref="T35" ca="1">T34</f>
        <v>0</v>
      </c>
      <c r="U35" s="690" t="b">
        <f t="shared" ca="1" si="4"/>
        <v>0</v>
      </c>
      <c r="Y35" s="1428"/>
      <c r="Z35" s="1428"/>
      <c r="AB35" s="1549"/>
      <c r="AD35" s="108">
        <v>3</v>
      </c>
      <c r="AE35" s="1511" t="s">
        <v>767</v>
      </c>
      <c r="AF35" s="1512"/>
      <c r="AG35" s="108" t="s">
        <v>753</v>
      </c>
      <c r="AH35" s="725">
        <f t="shared" ref="AH35:BM35" si="9">AH29-AH30</f>
        <v>0</v>
      </c>
      <c r="AI35" s="727">
        <f t="shared" si="9"/>
        <v>0</v>
      </c>
      <c r="AJ35" s="727">
        <f t="shared" si="9"/>
        <v>0</v>
      </c>
      <c r="AK35" s="727">
        <f t="shared" si="9"/>
        <v>0</v>
      </c>
      <c r="AL35" s="727">
        <f t="shared" si="9"/>
        <v>0</v>
      </c>
      <c r="AM35" s="727">
        <f t="shared" si="9"/>
        <v>0</v>
      </c>
      <c r="AN35" s="727">
        <f t="shared" si="9"/>
        <v>0</v>
      </c>
      <c r="AO35" s="727">
        <f t="shared" si="9"/>
        <v>0</v>
      </c>
      <c r="AP35" s="727">
        <f t="shared" si="9"/>
        <v>0</v>
      </c>
      <c r="AQ35" s="727">
        <f t="shared" si="9"/>
        <v>0</v>
      </c>
      <c r="AR35" s="727">
        <f t="shared" si="9"/>
        <v>0</v>
      </c>
      <c r="AS35" s="727">
        <f t="shared" si="9"/>
        <v>0</v>
      </c>
      <c r="AT35" s="727">
        <f t="shared" si="9"/>
        <v>0</v>
      </c>
      <c r="AU35" s="727">
        <f t="shared" si="9"/>
        <v>0</v>
      </c>
      <c r="AV35" s="727">
        <f t="shared" si="9"/>
        <v>0</v>
      </c>
      <c r="AW35" s="727">
        <f t="shared" si="9"/>
        <v>0</v>
      </c>
      <c r="AX35" s="727">
        <f t="shared" si="9"/>
        <v>0</v>
      </c>
      <c r="AY35" s="727">
        <f t="shared" si="9"/>
        <v>0</v>
      </c>
      <c r="AZ35" s="727">
        <f t="shared" si="9"/>
        <v>0</v>
      </c>
      <c r="BA35" s="727">
        <f t="shared" si="9"/>
        <v>0</v>
      </c>
      <c r="BB35" s="727">
        <f t="shared" si="9"/>
        <v>0</v>
      </c>
      <c r="BC35" s="727">
        <f t="shared" si="9"/>
        <v>0</v>
      </c>
      <c r="BD35" s="727">
        <f t="shared" si="9"/>
        <v>0</v>
      </c>
      <c r="BE35" s="727">
        <f t="shared" si="9"/>
        <v>0</v>
      </c>
      <c r="BF35" s="727">
        <f t="shared" si="9"/>
        <v>0</v>
      </c>
      <c r="BG35" s="727">
        <f t="shared" si="9"/>
        <v>0</v>
      </c>
      <c r="BH35" s="727">
        <f t="shared" si="9"/>
        <v>0</v>
      </c>
      <c r="BI35" s="727">
        <f t="shared" si="9"/>
        <v>0</v>
      </c>
      <c r="BJ35" s="727">
        <f t="shared" si="9"/>
        <v>0</v>
      </c>
      <c r="BK35" s="727">
        <f t="shared" si="9"/>
        <v>0</v>
      </c>
      <c r="BL35" s="727">
        <f t="shared" si="9"/>
        <v>0</v>
      </c>
      <c r="BM35" s="727">
        <f t="shared" si="9"/>
        <v>0</v>
      </c>
      <c r="BN35" s="727">
        <f t="shared" ref="BN35:CS35" si="10">BN29-BN30</f>
        <v>0</v>
      </c>
      <c r="BO35" s="727">
        <f t="shared" si="10"/>
        <v>0</v>
      </c>
      <c r="BP35" s="727">
        <f t="shared" si="10"/>
        <v>0</v>
      </c>
      <c r="BQ35" s="727">
        <f t="shared" si="10"/>
        <v>0</v>
      </c>
      <c r="BR35" s="727">
        <f t="shared" si="10"/>
        <v>0</v>
      </c>
      <c r="BS35" s="727">
        <f t="shared" si="10"/>
        <v>0</v>
      </c>
      <c r="BT35" s="727">
        <f t="shared" si="10"/>
        <v>0</v>
      </c>
      <c r="BU35" s="727">
        <f t="shared" si="10"/>
        <v>0</v>
      </c>
      <c r="BV35" s="727">
        <f t="shared" si="10"/>
        <v>0</v>
      </c>
      <c r="BW35" s="727">
        <f t="shared" si="10"/>
        <v>0</v>
      </c>
      <c r="BX35" s="727">
        <f t="shared" si="10"/>
        <v>0</v>
      </c>
      <c r="BY35" s="727">
        <f t="shared" si="10"/>
        <v>0</v>
      </c>
      <c r="BZ35" s="727">
        <f t="shared" si="10"/>
        <v>0</v>
      </c>
      <c r="CA35" s="727">
        <f t="shared" si="10"/>
        <v>0</v>
      </c>
      <c r="CB35" s="727">
        <f t="shared" si="10"/>
        <v>0</v>
      </c>
      <c r="CC35" s="727">
        <f t="shared" si="10"/>
        <v>0</v>
      </c>
      <c r="CD35" s="727">
        <f t="shared" si="10"/>
        <v>0</v>
      </c>
      <c r="CE35" s="727">
        <f t="shared" si="10"/>
        <v>0</v>
      </c>
      <c r="CF35" s="727">
        <f t="shared" si="10"/>
        <v>0</v>
      </c>
      <c r="CG35" s="727">
        <f t="shared" si="10"/>
        <v>0</v>
      </c>
      <c r="CH35" s="727">
        <f t="shared" si="10"/>
        <v>0</v>
      </c>
      <c r="CI35" s="727">
        <f t="shared" si="10"/>
        <v>0</v>
      </c>
      <c r="CJ35" s="727">
        <f t="shared" si="10"/>
        <v>0</v>
      </c>
      <c r="CK35" s="727">
        <f t="shared" si="10"/>
        <v>0</v>
      </c>
      <c r="CL35" s="727">
        <f t="shared" si="10"/>
        <v>0</v>
      </c>
      <c r="CM35" s="727">
        <f t="shared" si="10"/>
        <v>0</v>
      </c>
      <c r="CN35" s="727">
        <f t="shared" si="10"/>
        <v>0</v>
      </c>
      <c r="CO35" s="727">
        <f t="shared" si="10"/>
        <v>0</v>
      </c>
      <c r="CP35" s="727">
        <f t="shared" si="10"/>
        <v>0</v>
      </c>
      <c r="CQ35" s="727">
        <f t="shared" si="10"/>
        <v>0</v>
      </c>
      <c r="CR35" s="727">
        <f t="shared" si="10"/>
        <v>0</v>
      </c>
      <c r="CS35" s="727">
        <f t="shared" si="10"/>
        <v>0</v>
      </c>
      <c r="CT35" s="25"/>
      <c r="CW35" s="960" t="s">
        <v>768</v>
      </c>
    </row>
    <row r="36" spans="5:101" ht="16.7" hidden="1" customHeight="1" x14ac:dyDescent="0.15">
      <c r="E36" s="668">
        <v>17.100000000000001</v>
      </c>
      <c r="F36" s="769" cm="1">
        <f t="array" aca="1" ref="F36" ca="1">OFFSET(G36,-1,-1)</f>
        <v>0</v>
      </c>
      <c r="L36" s="769" t="b" cm="1">
        <f t="array" aca="1" ref="L36" ca="1">OFFSET(M36,-1,-1)</f>
        <v>0</v>
      </c>
      <c r="R36" s="769" t="s">
        <v>750</v>
      </c>
      <c r="S36" s="107" t="b" cm="1">
        <f t="array" aca="1" ref="S36" ca="1">OFFSET(T36,-1,-1)</f>
        <v>0</v>
      </c>
      <c r="T36" s="107" t="b" cm="1">
        <f t="array" aca="1" ref="T36" ca="1">T35</f>
        <v>0</v>
      </c>
      <c r="U36" s="690" t="b">
        <f t="shared" ca="1" si="4"/>
        <v>0</v>
      </c>
      <c r="Y36" s="1428"/>
      <c r="Z36" s="1428"/>
      <c r="AB36" s="1549"/>
      <c r="AD36" s="108">
        <v>4</v>
      </c>
      <c r="AE36" s="1511" t="s">
        <v>769</v>
      </c>
      <c r="AF36" s="1512"/>
      <c r="AG36" s="108" t="s">
        <v>753</v>
      </c>
      <c r="AH36" s="38"/>
      <c r="AI36" s="39"/>
      <c r="AJ36" s="39"/>
      <c r="AK36" s="39"/>
      <c r="AL36" s="727">
        <f>AM36+AN36</f>
        <v>0</v>
      </c>
      <c r="AM36" s="39"/>
      <c r="AN36" s="39"/>
      <c r="AO36" s="727">
        <f>AP36+AQ36</f>
        <v>0</v>
      </c>
      <c r="AP36" s="1244"/>
      <c r="AQ36" s="1244"/>
      <c r="AR36" s="727">
        <f>AS36+AT36</f>
        <v>0</v>
      </c>
      <c r="AS36" s="1244"/>
      <c r="AT36" s="1244"/>
      <c r="AU36" s="727">
        <f>AV36+AW36</f>
        <v>0</v>
      </c>
      <c r="AV36" s="39"/>
      <c r="AW36" s="39"/>
      <c r="AX36" s="727">
        <f>AY36+AZ36</f>
        <v>0</v>
      </c>
      <c r="AY36" s="39"/>
      <c r="AZ36" s="39"/>
      <c r="BA36" s="727">
        <f>BB36+BC36</f>
        <v>0</v>
      </c>
      <c r="BB36" s="39"/>
      <c r="BC36" s="39"/>
      <c r="BD36" s="727">
        <f>BE36+BF36</f>
        <v>0</v>
      </c>
      <c r="BE36" s="39"/>
      <c r="BF36" s="39"/>
      <c r="BG36" s="727">
        <f>BH36+BI36</f>
        <v>0</v>
      </c>
      <c r="BH36" s="39"/>
      <c r="BI36" s="39"/>
      <c r="BJ36" s="727">
        <f>BK36+BL36</f>
        <v>0</v>
      </c>
      <c r="BK36" s="39"/>
      <c r="BL36" s="39"/>
      <c r="BM36" s="727">
        <f>BN36+BO36</f>
        <v>0</v>
      </c>
      <c r="BN36" s="39"/>
      <c r="BO36" s="39"/>
      <c r="BP36" s="727">
        <f>BQ36+BR36</f>
        <v>0</v>
      </c>
      <c r="BQ36" s="816"/>
      <c r="BR36" s="816"/>
      <c r="BS36" s="727">
        <f>BT36+BU36</f>
        <v>0</v>
      </c>
      <c r="BT36" s="1244"/>
      <c r="BU36" s="1244"/>
      <c r="BV36" s="727">
        <f>BW36+BX36</f>
        <v>0</v>
      </c>
      <c r="BW36" s="1244"/>
      <c r="BX36" s="1244"/>
      <c r="BY36" s="727">
        <f>BZ36+CA36</f>
        <v>0</v>
      </c>
      <c r="BZ36" s="39"/>
      <c r="CA36" s="39"/>
      <c r="CB36" s="727">
        <f>CC36+CD36</f>
        <v>0</v>
      </c>
      <c r="CC36" s="39"/>
      <c r="CD36" s="39"/>
      <c r="CE36" s="727">
        <f>CF36+CG36</f>
        <v>0</v>
      </c>
      <c r="CF36" s="39"/>
      <c r="CG36" s="39"/>
      <c r="CH36" s="727">
        <f>CI36+CJ36</f>
        <v>0</v>
      </c>
      <c r="CI36" s="39"/>
      <c r="CJ36" s="39"/>
      <c r="CK36" s="727">
        <f>CL36+CM36</f>
        <v>0</v>
      </c>
      <c r="CL36" s="39"/>
      <c r="CM36" s="39"/>
      <c r="CN36" s="727">
        <f>CO36+CP36</f>
        <v>0</v>
      </c>
      <c r="CO36" s="39"/>
      <c r="CP36" s="39"/>
      <c r="CQ36" s="727">
        <f>CR36+CS36</f>
        <v>0</v>
      </c>
      <c r="CR36" s="39"/>
      <c r="CS36" s="39"/>
      <c r="CT36" s="25"/>
      <c r="CW36" s="960" t="s">
        <v>770</v>
      </c>
    </row>
    <row r="37" spans="5:101" ht="16.7" hidden="1" customHeight="1" x14ac:dyDescent="0.15">
      <c r="E37" s="668">
        <v>17.100000000000001</v>
      </c>
      <c r="F37" s="769" cm="1">
        <f t="array" aca="1" ref="F37" ca="1">OFFSET(G37,-1,-1)</f>
        <v>0</v>
      </c>
      <c r="L37" s="769" t="b" cm="1">
        <f t="array" aca="1" ref="L37" ca="1">OFFSET(M37,-1,-1)</f>
        <v>0</v>
      </c>
      <c r="R37" s="769" t="s">
        <v>750</v>
      </c>
      <c r="S37" s="107" t="b" cm="1">
        <f t="array" aca="1" ref="S37" ca="1">OFFSET(T37,-1,-1)</f>
        <v>0</v>
      </c>
      <c r="T37" s="107" t="b" cm="1">
        <f t="array" aca="1" ref="T37" ca="1">T36</f>
        <v>0</v>
      </c>
      <c r="U37" s="690" t="b">
        <f t="shared" ca="1" si="4"/>
        <v>0</v>
      </c>
      <c r="Y37" s="1428"/>
      <c r="Z37" s="1428"/>
      <c r="AB37" s="1549"/>
      <c r="AD37" s="108" t="s">
        <v>771</v>
      </c>
      <c r="AE37" s="1523" t="s">
        <v>772</v>
      </c>
      <c r="AF37" s="1524"/>
      <c r="AG37" s="108" t="s">
        <v>521</v>
      </c>
      <c r="AH37" s="731">
        <f t="shared" ref="AH37:BM37" si="11">IFERROR(AH36/AH35,0)</f>
        <v>0</v>
      </c>
      <c r="AI37" s="732">
        <f t="shared" si="11"/>
        <v>0</v>
      </c>
      <c r="AJ37" s="732">
        <f t="shared" si="11"/>
        <v>0</v>
      </c>
      <c r="AK37" s="732">
        <f t="shared" si="11"/>
        <v>0</v>
      </c>
      <c r="AL37" s="732">
        <f t="shared" si="11"/>
        <v>0</v>
      </c>
      <c r="AM37" s="732">
        <f t="shared" si="11"/>
        <v>0</v>
      </c>
      <c r="AN37" s="732">
        <f t="shared" si="11"/>
        <v>0</v>
      </c>
      <c r="AO37" s="732">
        <f t="shared" si="11"/>
        <v>0</v>
      </c>
      <c r="AP37" s="732">
        <f t="shared" si="11"/>
        <v>0</v>
      </c>
      <c r="AQ37" s="732">
        <f t="shared" si="11"/>
        <v>0</v>
      </c>
      <c r="AR37" s="732">
        <f t="shared" si="11"/>
        <v>0</v>
      </c>
      <c r="AS37" s="732">
        <f t="shared" si="11"/>
        <v>0</v>
      </c>
      <c r="AT37" s="732">
        <f t="shared" si="11"/>
        <v>0</v>
      </c>
      <c r="AU37" s="732">
        <f t="shared" si="11"/>
        <v>0</v>
      </c>
      <c r="AV37" s="732">
        <f t="shared" si="11"/>
        <v>0</v>
      </c>
      <c r="AW37" s="732">
        <f t="shared" si="11"/>
        <v>0</v>
      </c>
      <c r="AX37" s="732">
        <f t="shared" si="11"/>
        <v>0</v>
      </c>
      <c r="AY37" s="732">
        <f t="shared" si="11"/>
        <v>0</v>
      </c>
      <c r="AZ37" s="732">
        <f t="shared" si="11"/>
        <v>0</v>
      </c>
      <c r="BA37" s="732">
        <f t="shared" si="11"/>
        <v>0</v>
      </c>
      <c r="BB37" s="732">
        <f t="shared" si="11"/>
        <v>0</v>
      </c>
      <c r="BC37" s="732">
        <f t="shared" si="11"/>
        <v>0</v>
      </c>
      <c r="BD37" s="732">
        <f t="shared" si="11"/>
        <v>0</v>
      </c>
      <c r="BE37" s="732">
        <f t="shared" si="11"/>
        <v>0</v>
      </c>
      <c r="BF37" s="732">
        <f t="shared" si="11"/>
        <v>0</v>
      </c>
      <c r="BG37" s="732">
        <f t="shared" si="11"/>
        <v>0</v>
      </c>
      <c r="BH37" s="732">
        <f t="shared" si="11"/>
        <v>0</v>
      </c>
      <c r="BI37" s="732">
        <f t="shared" si="11"/>
        <v>0</v>
      </c>
      <c r="BJ37" s="732">
        <f t="shared" si="11"/>
        <v>0</v>
      </c>
      <c r="BK37" s="732">
        <f t="shared" si="11"/>
        <v>0</v>
      </c>
      <c r="BL37" s="732">
        <f t="shared" si="11"/>
        <v>0</v>
      </c>
      <c r="BM37" s="732">
        <f t="shared" si="11"/>
        <v>0</v>
      </c>
      <c r="BN37" s="732">
        <f t="shared" ref="BN37:CS37" si="12">IFERROR(BN36/BN35,0)</f>
        <v>0</v>
      </c>
      <c r="BO37" s="732">
        <f t="shared" si="12"/>
        <v>0</v>
      </c>
      <c r="BP37" s="732">
        <f t="shared" si="12"/>
        <v>0</v>
      </c>
      <c r="BQ37" s="732">
        <f t="shared" si="12"/>
        <v>0</v>
      </c>
      <c r="BR37" s="732">
        <f t="shared" si="12"/>
        <v>0</v>
      </c>
      <c r="BS37" s="732">
        <f t="shared" si="12"/>
        <v>0</v>
      </c>
      <c r="BT37" s="732">
        <f t="shared" si="12"/>
        <v>0</v>
      </c>
      <c r="BU37" s="732">
        <f t="shared" si="12"/>
        <v>0</v>
      </c>
      <c r="BV37" s="732">
        <f t="shared" si="12"/>
        <v>0</v>
      </c>
      <c r="BW37" s="732">
        <f t="shared" si="12"/>
        <v>0</v>
      </c>
      <c r="BX37" s="732">
        <f t="shared" si="12"/>
        <v>0</v>
      </c>
      <c r="BY37" s="732">
        <f t="shared" si="12"/>
        <v>0</v>
      </c>
      <c r="BZ37" s="732">
        <f t="shared" si="12"/>
        <v>0</v>
      </c>
      <c r="CA37" s="732">
        <f t="shared" si="12"/>
        <v>0</v>
      </c>
      <c r="CB37" s="732">
        <f t="shared" si="12"/>
        <v>0</v>
      </c>
      <c r="CC37" s="732">
        <f t="shared" si="12"/>
        <v>0</v>
      </c>
      <c r="CD37" s="732">
        <f t="shared" si="12"/>
        <v>0</v>
      </c>
      <c r="CE37" s="732">
        <f t="shared" si="12"/>
        <v>0</v>
      </c>
      <c r="CF37" s="732">
        <f t="shared" si="12"/>
        <v>0</v>
      </c>
      <c r="CG37" s="732">
        <f t="shared" si="12"/>
        <v>0</v>
      </c>
      <c r="CH37" s="732">
        <f t="shared" si="12"/>
        <v>0</v>
      </c>
      <c r="CI37" s="732">
        <f t="shared" si="12"/>
        <v>0</v>
      </c>
      <c r="CJ37" s="732">
        <f t="shared" si="12"/>
        <v>0</v>
      </c>
      <c r="CK37" s="732">
        <f t="shared" si="12"/>
        <v>0</v>
      </c>
      <c r="CL37" s="732">
        <f t="shared" si="12"/>
        <v>0</v>
      </c>
      <c r="CM37" s="732">
        <f t="shared" si="12"/>
        <v>0</v>
      </c>
      <c r="CN37" s="732">
        <f t="shared" si="12"/>
        <v>0</v>
      </c>
      <c r="CO37" s="732">
        <f t="shared" si="12"/>
        <v>0</v>
      </c>
      <c r="CP37" s="732">
        <f t="shared" si="12"/>
        <v>0</v>
      </c>
      <c r="CQ37" s="732">
        <f t="shared" si="12"/>
        <v>0</v>
      </c>
      <c r="CR37" s="732">
        <f t="shared" si="12"/>
        <v>0</v>
      </c>
      <c r="CS37" s="732">
        <f t="shared" si="12"/>
        <v>0</v>
      </c>
      <c r="CT37" s="25"/>
      <c r="CW37" s="960" t="s">
        <v>773</v>
      </c>
    </row>
    <row r="38" spans="5:101" ht="16.7" hidden="1" customHeight="1" x14ac:dyDescent="0.15">
      <c r="E38" s="668">
        <v>17.100000000000001</v>
      </c>
      <c r="F38" s="769" cm="1">
        <f t="array" aca="1" ref="F38" ca="1">OFFSET(G38,-1,-1)</f>
        <v>0</v>
      </c>
      <c r="L38" s="769" t="b" cm="1">
        <f t="array" aca="1" ref="L38" ca="1">OFFSET(M38,-1,-1)</f>
        <v>0</v>
      </c>
      <c r="R38" s="769" t="s">
        <v>750</v>
      </c>
      <c r="S38" s="107" t="b" cm="1">
        <f t="array" aca="1" ref="S38" ca="1">OFFSET(T38,-1,-1)</f>
        <v>0</v>
      </c>
      <c r="T38" s="107" t="b" cm="1">
        <f t="array" aca="1" ref="T38" ca="1">T37</f>
        <v>0</v>
      </c>
      <c r="U38" s="690" t="b">
        <f t="shared" ca="1" si="4"/>
        <v>0</v>
      </c>
      <c r="Y38" s="1428"/>
      <c r="Z38" s="1428"/>
      <c r="AB38" s="1549"/>
      <c r="AD38" s="108">
        <v>5</v>
      </c>
      <c r="AE38" s="1531" t="s">
        <v>774</v>
      </c>
      <c r="AF38" s="1532"/>
      <c r="AG38" s="108" t="s">
        <v>753</v>
      </c>
      <c r="AH38" s="38"/>
      <c r="AI38" s="39"/>
      <c r="AJ38" s="39"/>
      <c r="AK38" s="39"/>
      <c r="AL38" s="727">
        <f>AM38+AN38</f>
        <v>0</v>
      </c>
      <c r="AM38" s="39"/>
      <c r="AN38" s="39"/>
      <c r="AO38" s="727">
        <f>AP38+AQ38</f>
        <v>0</v>
      </c>
      <c r="AP38" s="1244"/>
      <c r="AQ38" s="1244"/>
      <c r="AR38" s="727">
        <f>AS38+AT38</f>
        <v>0</v>
      </c>
      <c r="AS38" s="1244"/>
      <c r="AT38" s="1244"/>
      <c r="AU38" s="727">
        <f>AV38+AW38</f>
        <v>0</v>
      </c>
      <c r="AV38" s="39"/>
      <c r="AW38" s="39"/>
      <c r="AX38" s="727">
        <f>AY38+AZ38</f>
        <v>0</v>
      </c>
      <c r="AY38" s="39"/>
      <c r="AZ38" s="39"/>
      <c r="BA38" s="727">
        <f>BB38+BC38</f>
        <v>0</v>
      </c>
      <c r="BB38" s="39"/>
      <c r="BC38" s="39"/>
      <c r="BD38" s="727">
        <f>BE38+BF38</f>
        <v>0</v>
      </c>
      <c r="BE38" s="39"/>
      <c r="BF38" s="39"/>
      <c r="BG38" s="727">
        <f>BH38+BI38</f>
        <v>0</v>
      </c>
      <c r="BH38" s="39"/>
      <c r="BI38" s="39"/>
      <c r="BJ38" s="727">
        <f>BK38+BL38</f>
        <v>0</v>
      </c>
      <c r="BK38" s="39"/>
      <c r="BL38" s="39"/>
      <c r="BM38" s="727">
        <f>BN38+BO38</f>
        <v>0</v>
      </c>
      <c r="BN38" s="39"/>
      <c r="BO38" s="39"/>
      <c r="BP38" s="727">
        <f>BQ38+BR38</f>
        <v>0</v>
      </c>
      <c r="BQ38" s="816"/>
      <c r="BR38" s="816"/>
      <c r="BS38" s="727">
        <f>BT38+BU38</f>
        <v>0</v>
      </c>
      <c r="BT38" s="1244"/>
      <c r="BU38" s="1244"/>
      <c r="BV38" s="727">
        <f>BW38+BX38</f>
        <v>0</v>
      </c>
      <c r="BW38" s="1244"/>
      <c r="BX38" s="1244"/>
      <c r="BY38" s="727">
        <f>BZ38+CA38</f>
        <v>0</v>
      </c>
      <c r="BZ38" s="39"/>
      <c r="CA38" s="39"/>
      <c r="CB38" s="727">
        <f>CC38+CD38</f>
        <v>0</v>
      </c>
      <c r="CC38" s="39"/>
      <c r="CD38" s="39"/>
      <c r="CE38" s="727">
        <f>CF38+CG38</f>
        <v>0</v>
      </c>
      <c r="CF38" s="39"/>
      <c r="CG38" s="39"/>
      <c r="CH38" s="727">
        <f>CI38+CJ38</f>
        <v>0</v>
      </c>
      <c r="CI38" s="39"/>
      <c r="CJ38" s="39"/>
      <c r="CK38" s="727">
        <f>CL38+CM38</f>
        <v>0</v>
      </c>
      <c r="CL38" s="39"/>
      <c r="CM38" s="39"/>
      <c r="CN38" s="727">
        <f>CO38+CP38</f>
        <v>0</v>
      </c>
      <c r="CO38" s="39"/>
      <c r="CP38" s="39"/>
      <c r="CQ38" s="727">
        <f>CR38+CS38</f>
        <v>0</v>
      </c>
      <c r="CR38" s="39"/>
      <c r="CS38" s="39"/>
      <c r="CT38" s="25"/>
      <c r="CW38" s="960" t="s">
        <v>775</v>
      </c>
    </row>
    <row r="39" spans="5:101" ht="16.7" hidden="1" customHeight="1" x14ac:dyDescent="0.15">
      <c r="E39" s="668">
        <v>17.100000000000001</v>
      </c>
      <c r="F39" s="769" cm="1">
        <f t="array" aca="1" ref="F39" ca="1">OFFSET(G39,-1,-1)</f>
        <v>0</v>
      </c>
      <c r="L39" s="769" t="b" cm="1">
        <f t="array" aca="1" ref="L39" ca="1">OFFSET(M39,-1,-1)</f>
        <v>0</v>
      </c>
      <c r="R39" s="769" t="s">
        <v>750</v>
      </c>
      <c r="S39" s="107" t="b" cm="1">
        <f t="array" aca="1" ref="S39" ca="1">OFFSET(T39,-1,-1)</f>
        <v>0</v>
      </c>
      <c r="T39" s="107" t="b" cm="1">
        <f t="array" aca="1" ref="T39" ca="1">T38</f>
        <v>0</v>
      </c>
      <c r="U39" s="690" t="b">
        <f t="shared" ca="1" si="4"/>
        <v>0</v>
      </c>
      <c r="Y39" s="1428"/>
      <c r="Z39" s="1428"/>
      <c r="AB39" s="1549"/>
      <c r="AD39" s="108" t="s">
        <v>776</v>
      </c>
      <c r="AE39" s="1523" t="s">
        <v>772</v>
      </c>
      <c r="AF39" s="1524"/>
      <c r="AG39" s="108" t="s">
        <v>521</v>
      </c>
      <c r="AH39" s="731">
        <f t="shared" ref="AH39:BM39" si="13">IFERROR(AH38/AH35,0)</f>
        <v>0</v>
      </c>
      <c r="AI39" s="732">
        <f t="shared" si="13"/>
        <v>0</v>
      </c>
      <c r="AJ39" s="732">
        <f t="shared" si="13"/>
        <v>0</v>
      </c>
      <c r="AK39" s="732">
        <f t="shared" si="13"/>
        <v>0</v>
      </c>
      <c r="AL39" s="732">
        <f t="shared" si="13"/>
        <v>0</v>
      </c>
      <c r="AM39" s="732">
        <f t="shared" si="13"/>
        <v>0</v>
      </c>
      <c r="AN39" s="732">
        <f t="shared" si="13"/>
        <v>0</v>
      </c>
      <c r="AO39" s="732">
        <f t="shared" si="13"/>
        <v>0</v>
      </c>
      <c r="AP39" s="732">
        <f t="shared" si="13"/>
        <v>0</v>
      </c>
      <c r="AQ39" s="732">
        <f t="shared" si="13"/>
        <v>0</v>
      </c>
      <c r="AR39" s="732">
        <f t="shared" si="13"/>
        <v>0</v>
      </c>
      <c r="AS39" s="732">
        <f t="shared" si="13"/>
        <v>0</v>
      </c>
      <c r="AT39" s="732">
        <f t="shared" si="13"/>
        <v>0</v>
      </c>
      <c r="AU39" s="732">
        <f t="shared" si="13"/>
        <v>0</v>
      </c>
      <c r="AV39" s="732">
        <f t="shared" si="13"/>
        <v>0</v>
      </c>
      <c r="AW39" s="732">
        <f t="shared" si="13"/>
        <v>0</v>
      </c>
      <c r="AX39" s="732">
        <f t="shared" si="13"/>
        <v>0</v>
      </c>
      <c r="AY39" s="732">
        <f t="shared" si="13"/>
        <v>0</v>
      </c>
      <c r="AZ39" s="732">
        <f t="shared" si="13"/>
        <v>0</v>
      </c>
      <c r="BA39" s="732">
        <f t="shared" si="13"/>
        <v>0</v>
      </c>
      <c r="BB39" s="732">
        <f t="shared" si="13"/>
        <v>0</v>
      </c>
      <c r="BC39" s="732">
        <f t="shared" si="13"/>
        <v>0</v>
      </c>
      <c r="BD39" s="732">
        <f t="shared" si="13"/>
        <v>0</v>
      </c>
      <c r="BE39" s="732">
        <f t="shared" si="13"/>
        <v>0</v>
      </c>
      <c r="BF39" s="732">
        <f t="shared" si="13"/>
        <v>0</v>
      </c>
      <c r="BG39" s="732">
        <f t="shared" si="13"/>
        <v>0</v>
      </c>
      <c r="BH39" s="732">
        <f t="shared" si="13"/>
        <v>0</v>
      </c>
      <c r="BI39" s="732">
        <f t="shared" si="13"/>
        <v>0</v>
      </c>
      <c r="BJ39" s="732">
        <f t="shared" si="13"/>
        <v>0</v>
      </c>
      <c r="BK39" s="732">
        <f t="shared" si="13"/>
        <v>0</v>
      </c>
      <c r="BL39" s="732">
        <f t="shared" si="13"/>
        <v>0</v>
      </c>
      <c r="BM39" s="732">
        <f t="shared" si="13"/>
        <v>0</v>
      </c>
      <c r="BN39" s="732">
        <f t="shared" ref="BN39:CS39" si="14">IFERROR(BN38/BN35,0)</f>
        <v>0</v>
      </c>
      <c r="BO39" s="732">
        <f t="shared" si="14"/>
        <v>0</v>
      </c>
      <c r="BP39" s="732">
        <f t="shared" si="14"/>
        <v>0</v>
      </c>
      <c r="BQ39" s="732">
        <f t="shared" si="14"/>
        <v>0</v>
      </c>
      <c r="BR39" s="732">
        <f t="shared" si="14"/>
        <v>0</v>
      </c>
      <c r="BS39" s="732">
        <f t="shared" si="14"/>
        <v>0</v>
      </c>
      <c r="BT39" s="732">
        <f t="shared" si="14"/>
        <v>0</v>
      </c>
      <c r="BU39" s="732">
        <f t="shared" si="14"/>
        <v>0</v>
      </c>
      <c r="BV39" s="732">
        <f t="shared" si="14"/>
        <v>0</v>
      </c>
      <c r="BW39" s="732">
        <f t="shared" si="14"/>
        <v>0</v>
      </c>
      <c r="BX39" s="732">
        <f t="shared" si="14"/>
        <v>0</v>
      </c>
      <c r="BY39" s="732">
        <f t="shared" si="14"/>
        <v>0</v>
      </c>
      <c r="BZ39" s="732">
        <f t="shared" si="14"/>
        <v>0</v>
      </c>
      <c r="CA39" s="732">
        <f t="shared" si="14"/>
        <v>0</v>
      </c>
      <c r="CB39" s="732">
        <f t="shared" si="14"/>
        <v>0</v>
      </c>
      <c r="CC39" s="732">
        <f t="shared" si="14"/>
        <v>0</v>
      </c>
      <c r="CD39" s="732">
        <f t="shared" si="14"/>
        <v>0</v>
      </c>
      <c r="CE39" s="732">
        <f t="shared" si="14"/>
        <v>0</v>
      </c>
      <c r="CF39" s="732">
        <f t="shared" si="14"/>
        <v>0</v>
      </c>
      <c r="CG39" s="732">
        <f t="shared" si="14"/>
        <v>0</v>
      </c>
      <c r="CH39" s="732">
        <f t="shared" si="14"/>
        <v>0</v>
      </c>
      <c r="CI39" s="732">
        <f t="shared" si="14"/>
        <v>0</v>
      </c>
      <c r="CJ39" s="732">
        <f t="shared" si="14"/>
        <v>0</v>
      </c>
      <c r="CK39" s="732">
        <f t="shared" si="14"/>
        <v>0</v>
      </c>
      <c r="CL39" s="732">
        <f t="shared" si="14"/>
        <v>0</v>
      </c>
      <c r="CM39" s="732">
        <f t="shared" si="14"/>
        <v>0</v>
      </c>
      <c r="CN39" s="732">
        <f t="shared" si="14"/>
        <v>0</v>
      </c>
      <c r="CO39" s="732">
        <f t="shared" si="14"/>
        <v>0</v>
      </c>
      <c r="CP39" s="732">
        <f t="shared" si="14"/>
        <v>0</v>
      </c>
      <c r="CQ39" s="732">
        <f t="shared" si="14"/>
        <v>0</v>
      </c>
      <c r="CR39" s="732">
        <f t="shared" si="14"/>
        <v>0</v>
      </c>
      <c r="CS39" s="732">
        <f t="shared" si="14"/>
        <v>0</v>
      </c>
      <c r="CT39" s="25"/>
      <c r="CW39" s="960" t="s">
        <v>777</v>
      </c>
    </row>
    <row r="40" spans="5:101" ht="16.7" hidden="1" customHeight="1" x14ac:dyDescent="0.15">
      <c r="E40" s="668">
        <v>17.100000000000001</v>
      </c>
      <c r="F40" s="769" cm="1">
        <f t="array" aca="1" ref="F40" ca="1">OFFSET(G40,-1,-1)</f>
        <v>0</v>
      </c>
      <c r="L40" s="769" t="b" cm="1">
        <f t="array" aca="1" ref="L40" ca="1">OFFSET(M40,-1,-1)</f>
        <v>0</v>
      </c>
      <c r="R40" s="769" t="s">
        <v>750</v>
      </c>
      <c r="S40" s="107" t="b" cm="1">
        <f t="array" aca="1" ref="S40" ca="1">OFFSET(T40,-1,-1)</f>
        <v>0</v>
      </c>
      <c r="T40" s="107" t="b" cm="1">
        <f t="array" aca="1" ref="T40" ca="1">T39</f>
        <v>0</v>
      </c>
      <c r="U40" s="690" t="b">
        <f t="shared" ca="1" si="4"/>
        <v>0</v>
      </c>
      <c r="Y40" s="1428"/>
      <c r="Z40" s="1428"/>
      <c r="AB40" s="1549"/>
      <c r="AD40" s="108">
        <v>6</v>
      </c>
      <c r="AE40" s="1531" t="s">
        <v>778</v>
      </c>
      <c r="AF40" s="1532"/>
      <c r="AG40" s="108" t="s">
        <v>753</v>
      </c>
      <c r="AH40" s="725">
        <f t="shared" ref="AH40:BM40" si="15">AH35-AH36-AH38</f>
        <v>0</v>
      </c>
      <c r="AI40" s="727">
        <f t="shared" si="15"/>
        <v>0</v>
      </c>
      <c r="AJ40" s="727">
        <f t="shared" si="15"/>
        <v>0</v>
      </c>
      <c r="AK40" s="727">
        <f t="shared" si="15"/>
        <v>0</v>
      </c>
      <c r="AL40" s="727">
        <f t="shared" si="15"/>
        <v>0</v>
      </c>
      <c r="AM40" s="727">
        <f t="shared" si="15"/>
        <v>0</v>
      </c>
      <c r="AN40" s="727">
        <f t="shared" si="15"/>
        <v>0</v>
      </c>
      <c r="AO40" s="727">
        <f t="shared" si="15"/>
        <v>0</v>
      </c>
      <c r="AP40" s="727">
        <f t="shared" si="15"/>
        <v>0</v>
      </c>
      <c r="AQ40" s="727">
        <f t="shared" si="15"/>
        <v>0</v>
      </c>
      <c r="AR40" s="727">
        <f t="shared" si="15"/>
        <v>0</v>
      </c>
      <c r="AS40" s="727">
        <f t="shared" si="15"/>
        <v>0</v>
      </c>
      <c r="AT40" s="727">
        <f t="shared" si="15"/>
        <v>0</v>
      </c>
      <c r="AU40" s="727">
        <f t="shared" si="15"/>
        <v>0</v>
      </c>
      <c r="AV40" s="727">
        <f t="shared" si="15"/>
        <v>0</v>
      </c>
      <c r="AW40" s="727">
        <f t="shared" si="15"/>
        <v>0</v>
      </c>
      <c r="AX40" s="727">
        <f t="shared" si="15"/>
        <v>0</v>
      </c>
      <c r="AY40" s="727">
        <f t="shared" si="15"/>
        <v>0</v>
      </c>
      <c r="AZ40" s="727">
        <f t="shared" si="15"/>
        <v>0</v>
      </c>
      <c r="BA40" s="727">
        <f t="shared" si="15"/>
        <v>0</v>
      </c>
      <c r="BB40" s="727">
        <f t="shared" si="15"/>
        <v>0</v>
      </c>
      <c r="BC40" s="727">
        <f t="shared" si="15"/>
        <v>0</v>
      </c>
      <c r="BD40" s="727">
        <f t="shared" si="15"/>
        <v>0</v>
      </c>
      <c r="BE40" s="727">
        <f t="shared" si="15"/>
        <v>0</v>
      </c>
      <c r="BF40" s="727">
        <f t="shared" si="15"/>
        <v>0</v>
      </c>
      <c r="BG40" s="727">
        <f t="shared" si="15"/>
        <v>0</v>
      </c>
      <c r="BH40" s="727">
        <f t="shared" si="15"/>
        <v>0</v>
      </c>
      <c r="BI40" s="727">
        <f t="shared" si="15"/>
        <v>0</v>
      </c>
      <c r="BJ40" s="727">
        <f t="shared" si="15"/>
        <v>0</v>
      </c>
      <c r="BK40" s="727">
        <f t="shared" si="15"/>
        <v>0</v>
      </c>
      <c r="BL40" s="727">
        <f t="shared" si="15"/>
        <v>0</v>
      </c>
      <c r="BM40" s="727">
        <f t="shared" si="15"/>
        <v>0</v>
      </c>
      <c r="BN40" s="727">
        <f t="shared" ref="BN40:CS40" si="16">BN35-BN36-BN38</f>
        <v>0</v>
      </c>
      <c r="BO40" s="727">
        <f t="shared" si="16"/>
        <v>0</v>
      </c>
      <c r="BP40" s="727">
        <f t="shared" si="16"/>
        <v>0</v>
      </c>
      <c r="BQ40" s="727">
        <f t="shared" si="16"/>
        <v>0</v>
      </c>
      <c r="BR40" s="727">
        <f t="shared" si="16"/>
        <v>0</v>
      </c>
      <c r="BS40" s="727">
        <f t="shared" si="16"/>
        <v>0</v>
      </c>
      <c r="BT40" s="727">
        <f t="shared" si="16"/>
        <v>0</v>
      </c>
      <c r="BU40" s="727">
        <f t="shared" si="16"/>
        <v>0</v>
      </c>
      <c r="BV40" s="727">
        <f t="shared" si="16"/>
        <v>0</v>
      </c>
      <c r="BW40" s="727">
        <f t="shared" si="16"/>
        <v>0</v>
      </c>
      <c r="BX40" s="727">
        <f t="shared" si="16"/>
        <v>0</v>
      </c>
      <c r="BY40" s="727">
        <f t="shared" si="16"/>
        <v>0</v>
      </c>
      <c r="BZ40" s="727">
        <f t="shared" si="16"/>
        <v>0</v>
      </c>
      <c r="CA40" s="727">
        <f t="shared" si="16"/>
        <v>0</v>
      </c>
      <c r="CB40" s="727">
        <f t="shared" si="16"/>
        <v>0</v>
      </c>
      <c r="CC40" s="727">
        <f t="shared" si="16"/>
        <v>0</v>
      </c>
      <c r="CD40" s="727">
        <f t="shared" si="16"/>
        <v>0</v>
      </c>
      <c r="CE40" s="727">
        <f t="shared" si="16"/>
        <v>0</v>
      </c>
      <c r="CF40" s="727">
        <f t="shared" si="16"/>
        <v>0</v>
      </c>
      <c r="CG40" s="727">
        <f t="shared" si="16"/>
        <v>0</v>
      </c>
      <c r="CH40" s="727">
        <f t="shared" si="16"/>
        <v>0</v>
      </c>
      <c r="CI40" s="727">
        <f t="shared" si="16"/>
        <v>0</v>
      </c>
      <c r="CJ40" s="727">
        <f t="shared" si="16"/>
        <v>0</v>
      </c>
      <c r="CK40" s="727">
        <f t="shared" si="16"/>
        <v>0</v>
      </c>
      <c r="CL40" s="727">
        <f t="shared" si="16"/>
        <v>0</v>
      </c>
      <c r="CM40" s="727">
        <f t="shared" si="16"/>
        <v>0</v>
      </c>
      <c r="CN40" s="727">
        <f t="shared" si="16"/>
        <v>0</v>
      </c>
      <c r="CO40" s="727">
        <f t="shared" si="16"/>
        <v>0</v>
      </c>
      <c r="CP40" s="727">
        <f t="shared" si="16"/>
        <v>0</v>
      </c>
      <c r="CQ40" s="727">
        <f t="shared" si="16"/>
        <v>0</v>
      </c>
      <c r="CR40" s="727">
        <f t="shared" si="16"/>
        <v>0</v>
      </c>
      <c r="CS40" s="727">
        <f t="shared" si="16"/>
        <v>0</v>
      </c>
      <c r="CT40" s="25"/>
      <c r="CW40" s="960" t="s">
        <v>779</v>
      </c>
    </row>
    <row r="41" spans="5:101" ht="29.25" hidden="1" customHeight="1" x14ac:dyDescent="0.15">
      <c r="E41" s="668">
        <v>30</v>
      </c>
      <c r="F41" s="769" cm="1">
        <f t="array" aca="1" ref="F41" ca="1">OFFSET(G41,-1,-1)</f>
        <v>0</v>
      </c>
      <c r="L41" s="769" t="b" cm="1">
        <f t="array" aca="1" ref="L41" ca="1">OFFSET(M41,-1,-1)</f>
        <v>0</v>
      </c>
      <c r="S41" s="107" t="b" cm="1">
        <f t="array" aca="1" ref="S41" ca="1">OFFSET(T41,-1,-1)</f>
        <v>0</v>
      </c>
      <c r="U41" s="690" t="b">
        <f t="shared" ca="1" si="4"/>
        <v>0</v>
      </c>
      <c r="Y41" s="1428"/>
      <c r="Z41" s="1428"/>
      <c r="AB41" s="1549"/>
      <c r="AD41" s="108">
        <v>7</v>
      </c>
      <c r="AE41" s="1525" t="s">
        <v>780</v>
      </c>
      <c r="AF41" s="1526"/>
      <c r="AG41" s="735" t="s">
        <v>622</v>
      </c>
      <c r="AH41" s="725">
        <f ca="1">SUMIFS('Баланс Пр'!AE$27:AE$165,'Баланс Пр'!$AB$27:$AB$165,"3.1",'Баланс Пр'!$F$27:$F$165,$F41)+SUMIFS('Баланс Пр'!AE$27:AE$165,'Баланс Пр'!$AB$27:$AB$165,"3.2",'Баланс Пр'!$F$27:$F$165,$F41)</f>
        <v>0</v>
      </c>
      <c r="AI41" s="725">
        <f ca="1">SUMIFS('Баланс Пр'!AF$27:AF$165,'Баланс Пр'!$AB$27:$AB$165,"3.1",'Баланс Пр'!$F$27:$F$165,$F41)+SUMIFS('Баланс Пр'!AF$27:AF$165,'Баланс Пр'!$AB$27:$AB$165,"3.2",'Баланс Пр'!$F$27:$F$165,$F41)</f>
        <v>0</v>
      </c>
      <c r="AJ41" s="725">
        <f ca="1">SUMIFS('Баланс Пр'!AG$27:AG$165,'Баланс Пр'!$AB$27:$AB$165,"3.1",'Баланс Пр'!$F$27:$F$165,$F41)+SUMIFS('Баланс Пр'!AG$27:AG$165,'Баланс Пр'!$AB$27:$AB$165,"3.2",'Баланс Пр'!$F$27:$F$165,$F41)</f>
        <v>0</v>
      </c>
      <c r="AK41" s="725">
        <f ca="1">SUMIFS('Баланс Пр'!AH$27:AH$165,'Баланс Пр'!$AB$27:$AB$165,"3.1",'Баланс Пр'!$F$27:$F$165,$F41)+SUMIFS('Баланс Пр'!AH$27:AH$165,'Баланс Пр'!$AB$27:$AB$165,"3.2",'Баланс Пр'!$F$27:$F$165,$F41)</f>
        <v>0</v>
      </c>
      <c r="AL41" s="725">
        <f ca="1">SUMIFS('Баланс Пр'!AI$27:AI$165,'Баланс Пр'!$AB$27:$AB$165,"3.1",'Баланс Пр'!$F$27:$F$165,$F41)+SUMIFS('Баланс Пр'!AI$27:AI$165,'Баланс Пр'!$AB$27:$AB$165,"3.2",'Баланс Пр'!$F$27:$F$165,$F41)</f>
        <v>0</v>
      </c>
      <c r="AM41" s="39"/>
      <c r="AN41" s="727">
        <f ca="1">AL41-AM41</f>
        <v>0</v>
      </c>
      <c r="AO41" s="725">
        <f ca="1">SUMIFS('Баланс Пр'!AJ$27:AJ$165,'Баланс Пр'!$AB$27:$AB$165,"3.1",'Баланс Пр'!$F$27:$F$165,$F41)+SUMIFS('Баланс Пр'!AJ$27:AJ$165,'Баланс Пр'!$AB$27:$AB$165,"3.2",'Баланс Пр'!$F$27:$F$165,$F41)</f>
        <v>0</v>
      </c>
      <c r="AP41" s="1244"/>
      <c r="AQ41" s="727">
        <f ca="1">AO41-AP41</f>
        <v>0</v>
      </c>
      <c r="AR41" s="725">
        <f ca="1">SUMIFS('Баланс Пр'!AK$27:AK$165,'Баланс Пр'!$AB$27:$AB$165,"3.1",'Баланс Пр'!$F$27:$F$165,$F41)+SUMIFS('Баланс Пр'!AK$27:AK$165,'Баланс Пр'!$AB$27:$AB$165,"3.2",'Баланс Пр'!$F$27:$F$165,$F41)</f>
        <v>0</v>
      </c>
      <c r="AS41" s="1244"/>
      <c r="AT41" s="727">
        <f ca="1">AR41-AS41</f>
        <v>0</v>
      </c>
      <c r="AU41" s="725">
        <f ca="1">SUMIFS('Баланс Пр'!AL$27:AL$165,'Баланс Пр'!$AB$27:$AB$165,"3.1",'Баланс Пр'!$F$27:$F$165,$F41)+SUMIFS('Баланс Пр'!AL$27:AL$165,'Баланс Пр'!$AB$27:$AB$165,"3.2",'Баланс Пр'!$F$27:$F$165,$F41)</f>
        <v>0</v>
      </c>
      <c r="AV41" s="39"/>
      <c r="AW41" s="727">
        <f ca="1">AU41-AV41</f>
        <v>0</v>
      </c>
      <c r="AX41" s="725">
        <f ca="1">SUMIFS('Баланс Пр'!AM$27:AM$165,'Баланс Пр'!$AB$27:$AB$165,"3.1",'Баланс Пр'!$F$27:$F$165,$F41)+SUMIFS('Баланс Пр'!AM$27:AM$165,'Баланс Пр'!$AB$27:$AB$165,"3.2",'Баланс Пр'!$F$27:$F$165,$F41)</f>
        <v>0</v>
      </c>
      <c r="AY41" s="39"/>
      <c r="AZ41" s="727">
        <f ca="1">AX41-AY41</f>
        <v>0</v>
      </c>
      <c r="BA41" s="725">
        <f ca="1">SUMIFS('Баланс Пр'!AN$27:AN$165,'Баланс Пр'!$AB$27:$AB$165,"3.1",'Баланс Пр'!$F$27:$F$165,$F41)+SUMIFS('Баланс Пр'!AN$27:AN$165,'Баланс Пр'!$AB$27:$AB$165,"3.2",'Баланс Пр'!$F$27:$F$165,$F41)</f>
        <v>0</v>
      </c>
      <c r="BB41" s="39"/>
      <c r="BC41" s="727">
        <f ca="1">BA41-BB41</f>
        <v>0</v>
      </c>
      <c r="BD41" s="725">
        <f ca="1">SUMIFS('Баланс Пр'!AO$27:AO$165,'Баланс Пр'!$AB$27:$AB$165,"3.1",'Баланс Пр'!$F$27:$F$165,$F41)+SUMIFS('Баланс Пр'!AO$27:AO$165,'Баланс Пр'!$AB$27:$AB$165,"3.2",'Баланс Пр'!$F$27:$F$165,$F41)</f>
        <v>0</v>
      </c>
      <c r="BE41" s="39"/>
      <c r="BF41" s="727">
        <f ca="1">BD41-BE41</f>
        <v>0</v>
      </c>
      <c r="BG41" s="725">
        <f ca="1">SUMIFS('Баланс Пр'!AP$27:AP$165,'Баланс Пр'!$AB$27:$AB$165,"3.1",'Баланс Пр'!$F$27:$F$165,$F41)+SUMIFS('Баланс Пр'!AP$27:AP$165,'Баланс Пр'!$AB$27:$AB$165,"3.2",'Баланс Пр'!$F$27:$F$165,$F41)</f>
        <v>0</v>
      </c>
      <c r="BH41" s="39"/>
      <c r="BI41" s="727">
        <f ca="1">BG41-BH41</f>
        <v>0</v>
      </c>
      <c r="BJ41" s="725">
        <f ca="1">SUMIFS('Баланс Пр'!AQ$27:AQ$165,'Баланс Пр'!$AB$27:$AB$165,"3.1",'Баланс Пр'!$F$27:$F$165,$F41)+SUMIFS('Баланс Пр'!AQ$27:AQ$165,'Баланс Пр'!$AB$27:$AB$165,"3.2",'Баланс Пр'!$F$27:$F$165,$F41)</f>
        <v>0</v>
      </c>
      <c r="BK41" s="39"/>
      <c r="BL41" s="727">
        <f ca="1">BJ41-BK41</f>
        <v>0</v>
      </c>
      <c r="BM41" s="725">
        <f ca="1">SUMIFS('Баланс Пр'!AR$27:AR$165,'Баланс Пр'!$AB$27:$AB$165,"3.1",'Баланс Пр'!$F$27:$F$165,$F41)+SUMIFS('Баланс Пр'!AR$27:AR$165,'Баланс Пр'!$AB$27:$AB$165,"3.2",'Баланс Пр'!$F$27:$F$165,$F41)</f>
        <v>0</v>
      </c>
      <c r="BN41" s="39"/>
      <c r="BO41" s="727">
        <f ca="1">BM41-BN41</f>
        <v>0</v>
      </c>
      <c r="BP41" s="725">
        <f ca="1">SUMIFS('Баланс Пр'!AS$27:AS$165,'Баланс Пр'!$AB$27:$AB$165,"3.1",'Баланс Пр'!$F$27:$F$165,$F41)+SUMIFS('Баланс Пр'!AS$27:AS$165,'Баланс Пр'!$AB$27:$AB$165,"3.2",'Баланс Пр'!$F$27:$F$165,$F41)</f>
        <v>0</v>
      </c>
      <c r="BQ41" s="816"/>
      <c r="BR41" s="727">
        <f ca="1">BP41-BQ41</f>
        <v>0</v>
      </c>
      <c r="BS41" s="725">
        <f ca="1">SUMIFS('Баланс Пр'!AT$27:AT$165,'Баланс Пр'!$AB$27:$AB$165,"3.1",'Баланс Пр'!$F$27:$F$165,$F41)+SUMIFS('Баланс Пр'!AT$27:AT$165,'Баланс Пр'!$AB$27:$AB$165,"3.2",'Баланс Пр'!$F$27:$F$165,$F41)</f>
        <v>0</v>
      </c>
      <c r="BT41" s="1244"/>
      <c r="BU41" s="727">
        <f ca="1">BS41-BT41</f>
        <v>0</v>
      </c>
      <c r="BV41" s="725">
        <f ca="1">SUMIFS('Баланс Пр'!AU$27:AU$165,'Баланс Пр'!$AB$27:$AB$165,"3.1",'Баланс Пр'!$F$27:$F$165,$F41)+SUMIFS('Баланс Пр'!AU$27:AU$165,'Баланс Пр'!$AB$27:$AB$165,"3.2",'Баланс Пр'!$F$27:$F$165,$F41)</f>
        <v>0</v>
      </c>
      <c r="BW41" s="1244"/>
      <c r="BX41" s="727">
        <f ca="1">BV41-BW41</f>
        <v>0</v>
      </c>
      <c r="BY41" s="725">
        <f ca="1">SUMIFS('Баланс Пр'!AV$27:AV$165,'Баланс Пр'!$AB$27:$AB$165,"3.1",'Баланс Пр'!$F$27:$F$165,$F41)+SUMIFS('Баланс Пр'!AV$27:AV$165,'Баланс Пр'!$AB$27:$AB$165,"3.2",'Баланс Пр'!$F$27:$F$165,$F41)</f>
        <v>0</v>
      </c>
      <c r="BZ41" s="39"/>
      <c r="CA41" s="727">
        <f ca="1">BY41-BZ41</f>
        <v>0</v>
      </c>
      <c r="CB41" s="725">
        <f ca="1">SUMIFS('Баланс Пр'!AW$27:AW$165,'Баланс Пр'!$AB$27:$AB$165,"3.1",'Баланс Пр'!$F$27:$F$165,$F41)+SUMIFS('Баланс Пр'!AW$27:AW$165,'Баланс Пр'!$AB$27:$AB$165,"3.2",'Баланс Пр'!$F$27:$F$165,$F41)</f>
        <v>0</v>
      </c>
      <c r="CC41" s="39"/>
      <c r="CD41" s="727">
        <f ca="1">CB41-CC41</f>
        <v>0</v>
      </c>
      <c r="CE41" s="725">
        <f ca="1">SUMIFS('Баланс Пр'!AX$27:AX$165,'Баланс Пр'!$AB$27:$AB$165,"3.1",'Баланс Пр'!$F$27:$F$165,$F41)+SUMIFS('Баланс Пр'!AX$27:AX$165,'Баланс Пр'!$AB$27:$AB$165,"3.2",'Баланс Пр'!$F$27:$F$165,$F41)</f>
        <v>0</v>
      </c>
      <c r="CF41" s="39"/>
      <c r="CG41" s="727">
        <f ca="1">CE41-CF41</f>
        <v>0</v>
      </c>
      <c r="CH41" s="725">
        <f ca="1">SUMIFS('Баланс Пр'!AY$27:AY$165,'Баланс Пр'!$AB$27:$AB$165,"3.1",'Баланс Пр'!$F$27:$F$165,$F41)+SUMIFS('Баланс Пр'!AY$27:AY$165,'Баланс Пр'!$AB$27:$AB$165,"3.2",'Баланс Пр'!$F$27:$F$165,$F41)</f>
        <v>0</v>
      </c>
      <c r="CI41" s="39"/>
      <c r="CJ41" s="727">
        <f ca="1">CH41-CI41</f>
        <v>0</v>
      </c>
      <c r="CK41" s="725">
        <f ca="1">SUMIFS('Баланс Пр'!AZ$27:AZ$165,'Баланс Пр'!$AB$27:$AB$165,"3.1",'Баланс Пр'!$F$27:$F$165,$F41)+SUMIFS('Баланс Пр'!AZ$27:AZ$165,'Баланс Пр'!$AB$27:$AB$165,"3.2",'Баланс Пр'!$F$27:$F$165,$F41)</f>
        <v>0</v>
      </c>
      <c r="CL41" s="39"/>
      <c r="CM41" s="727">
        <f ca="1">CK41-CL41</f>
        <v>0</v>
      </c>
      <c r="CN41" s="725">
        <f ca="1">SUMIFS('Баланс Пр'!BA$27:BA$165,'Баланс Пр'!$AB$27:$AB$165,"3.1",'Баланс Пр'!$F$27:$F$165,$F41)+SUMIFS('Баланс Пр'!BA$27:BA$165,'Баланс Пр'!$AB$27:$AB$165,"3.2",'Баланс Пр'!$F$27:$F$165,$F41)</f>
        <v>0</v>
      </c>
      <c r="CO41" s="39"/>
      <c r="CP41" s="727">
        <f ca="1">CN41-CO41</f>
        <v>0</v>
      </c>
      <c r="CQ41" s="725">
        <f ca="1">SUMIFS('Баланс Пр'!BB$27:BB$165,'Баланс Пр'!$AB$27:$AB$165,"3.1",'Баланс Пр'!$F$27:$F$165,$F41)+SUMIFS('Баланс Пр'!BB$27:BB$165,'Баланс Пр'!$AB$27:$AB$165,"3.2",'Баланс Пр'!$F$27:$F$165,$F41)</f>
        <v>0</v>
      </c>
      <c r="CR41" s="39"/>
      <c r="CS41" s="727">
        <f ca="1">CQ41-CR41</f>
        <v>0</v>
      </c>
      <c r="CT41" s="25"/>
      <c r="CW41" s="960" t="s">
        <v>781</v>
      </c>
    </row>
    <row r="42" spans="5:101" ht="16.7" hidden="1" customHeight="1" x14ac:dyDescent="0.15">
      <c r="E42" s="668">
        <v>17.100000000000001</v>
      </c>
      <c r="F42" s="769" cm="1">
        <f t="array" aca="1" ref="F42" ca="1">OFFSET(G42,-1,-1)</f>
        <v>0</v>
      </c>
      <c r="L42" s="769" t="b" cm="1">
        <f t="array" aca="1" ref="L42" ca="1">OFFSET(M42,-1,-1)</f>
        <v>0</v>
      </c>
      <c r="S42" s="107" t="b" cm="1">
        <f t="array" aca="1" ref="S42" ca="1">OFFSET(T42,-1,-1)</f>
        <v>0</v>
      </c>
      <c r="U42" s="690" t="b">
        <f t="shared" ca="1" si="4"/>
        <v>0</v>
      </c>
      <c r="Y42" s="1428"/>
      <c r="Z42" s="1428"/>
      <c r="AB42" s="1549"/>
      <c r="AD42" s="108">
        <v>8</v>
      </c>
      <c r="AE42" s="1525" t="s">
        <v>782</v>
      </c>
      <c r="AF42" s="1526"/>
      <c r="AG42" s="735" t="s">
        <v>622</v>
      </c>
      <c r="AH42" s="725">
        <f ca="1">SUMIFS('Баланс Пр'!AE$27:AE$165,'Баланс Пр'!$AB$27:$AB$165,"5",'Баланс Пр'!$F$27:$F$165,$F41)</f>
        <v>0</v>
      </c>
      <c r="AI42" s="725">
        <f ca="1">SUMIFS('Баланс Пр'!AF$27:AF$165,'Баланс Пр'!$AB$27:$AB$165,"5",'Баланс Пр'!$F$27:$F$165,$F41)</f>
        <v>0</v>
      </c>
      <c r="AJ42" s="725">
        <f ca="1">SUMIFS('Баланс Пр'!AG$27:AG$165,'Баланс Пр'!$AB$27:$AB$165,"5",'Баланс Пр'!$F$27:$F$165,$F41)</f>
        <v>0</v>
      </c>
      <c r="AK42" s="725">
        <f ca="1">SUMIFS('Баланс Пр'!AH$27:AH$165,'Баланс Пр'!$AB$27:$AB$165,"5",'Баланс Пр'!$F$27:$F$165,$F41)</f>
        <v>0</v>
      </c>
      <c r="AL42" s="725">
        <f ca="1">SUMIFS('Баланс Пр'!AI$27:AI$165,'Баланс Пр'!$AB$27:$AB$165,"5",'Баланс Пр'!$F$27:$F$165,$F41)</f>
        <v>0</v>
      </c>
      <c r="AM42" s="39"/>
      <c r="AN42" s="727">
        <f ca="1">AL42-AM42</f>
        <v>0</v>
      </c>
      <c r="AO42" s="725">
        <f ca="1">SUMIFS('Баланс Пр'!AJ$27:AJ$165,'Баланс Пр'!$AB$27:$AB$165,"5",'Баланс Пр'!$F$27:$F$165,$F41)</f>
        <v>0</v>
      </c>
      <c r="AP42" s="1244"/>
      <c r="AQ42" s="727">
        <f ca="1">AO42-AP42</f>
        <v>0</v>
      </c>
      <c r="AR42" s="725">
        <f ca="1">SUMIFS('Баланс Пр'!AK$27:AK$165,'Баланс Пр'!$AB$27:$AB$165,"5",'Баланс Пр'!$F$27:$F$165,$F41)</f>
        <v>0</v>
      </c>
      <c r="AS42" s="1244"/>
      <c r="AT42" s="727">
        <f ca="1">AR42-AS42</f>
        <v>0</v>
      </c>
      <c r="AU42" s="725">
        <f ca="1">SUMIFS('Баланс Пр'!AL$27:AL$165,'Баланс Пр'!$AB$27:$AB$165,"5",'Баланс Пр'!$F$27:$F$165,$F41)</f>
        <v>0</v>
      </c>
      <c r="AV42" s="39"/>
      <c r="AW42" s="727">
        <f ca="1">AU42-AV42</f>
        <v>0</v>
      </c>
      <c r="AX42" s="725">
        <f ca="1">SUMIFS('Баланс Пр'!AM$27:AM$165,'Баланс Пр'!$AB$27:$AB$165,"5",'Баланс Пр'!$F$27:$F$165,$F41)</f>
        <v>0</v>
      </c>
      <c r="AY42" s="39"/>
      <c r="AZ42" s="727">
        <f ca="1">AX42-AY42</f>
        <v>0</v>
      </c>
      <c r="BA42" s="725">
        <f ca="1">SUMIFS('Баланс Пр'!AN$27:AN$165,'Баланс Пр'!$AB$27:$AB$165,"5",'Баланс Пр'!$F$27:$F$165,$F41)</f>
        <v>0</v>
      </c>
      <c r="BB42" s="39"/>
      <c r="BC42" s="727">
        <f ca="1">BA42-BB42</f>
        <v>0</v>
      </c>
      <c r="BD42" s="725">
        <f ca="1">SUMIFS('Баланс Пр'!AO$27:AO$165,'Баланс Пр'!$AB$27:$AB$165,"5",'Баланс Пр'!$F$27:$F$165,$F41)</f>
        <v>0</v>
      </c>
      <c r="BE42" s="39"/>
      <c r="BF42" s="727">
        <f ca="1">BD42-BE42</f>
        <v>0</v>
      </c>
      <c r="BG42" s="725">
        <f ca="1">SUMIFS('Баланс Пр'!AP$27:AP$165,'Баланс Пр'!$AB$27:$AB$165,"5",'Баланс Пр'!$F$27:$F$165,$F41)</f>
        <v>0</v>
      </c>
      <c r="BH42" s="39"/>
      <c r="BI42" s="727">
        <f ca="1">BG42-BH42</f>
        <v>0</v>
      </c>
      <c r="BJ42" s="725">
        <f ca="1">SUMIFS('Баланс Пр'!AQ$27:AQ$165,'Баланс Пр'!$AB$27:$AB$165,"5",'Баланс Пр'!$F$27:$F$165,$F41)</f>
        <v>0</v>
      </c>
      <c r="BK42" s="39"/>
      <c r="BL42" s="727">
        <f ca="1">BJ42-BK42</f>
        <v>0</v>
      </c>
      <c r="BM42" s="725">
        <f ca="1">SUMIFS('Баланс Пр'!AR$27:AR$165,'Баланс Пр'!$AB$27:$AB$165,"5",'Баланс Пр'!$F$27:$F$165,$F41)</f>
        <v>0</v>
      </c>
      <c r="BN42" s="39"/>
      <c r="BO42" s="727">
        <f ca="1">BM42-BN42</f>
        <v>0</v>
      </c>
      <c r="BP42" s="725">
        <f ca="1">SUMIFS('Баланс Пр'!AS$27:AS$165,'Баланс Пр'!$AB$27:$AB$165,"5",'Баланс Пр'!$F$27:$F$165,$F41)</f>
        <v>0</v>
      </c>
      <c r="BQ42" s="816"/>
      <c r="BR42" s="727">
        <f ca="1">BP42-BQ42</f>
        <v>0</v>
      </c>
      <c r="BS42" s="725">
        <f ca="1">SUMIFS('Баланс Пр'!AT$27:AT$165,'Баланс Пр'!$AB$27:$AB$165,"5",'Баланс Пр'!$F$27:$F$165,$F41)</f>
        <v>0</v>
      </c>
      <c r="BT42" s="1244"/>
      <c r="BU42" s="727">
        <f ca="1">BS42-BT42</f>
        <v>0</v>
      </c>
      <c r="BV42" s="725">
        <f ca="1">SUMIFS('Баланс Пр'!AU$27:AU$165,'Баланс Пр'!$AB$27:$AB$165,"5",'Баланс Пр'!$F$27:$F$165,$F41)</f>
        <v>0</v>
      </c>
      <c r="BW42" s="1244"/>
      <c r="BX42" s="727">
        <f ca="1">BV42-BW42</f>
        <v>0</v>
      </c>
      <c r="BY42" s="725">
        <f ca="1">SUMIFS('Баланс Пр'!AV$27:AV$165,'Баланс Пр'!$AB$27:$AB$165,"5",'Баланс Пр'!$F$27:$F$165,$F41)</f>
        <v>0</v>
      </c>
      <c r="BZ42" s="39"/>
      <c r="CA42" s="727">
        <f ca="1">BY42-BZ42</f>
        <v>0</v>
      </c>
      <c r="CB42" s="725">
        <f ca="1">SUMIFS('Баланс Пр'!AW$27:AW$165,'Баланс Пр'!$AB$27:$AB$165,"5",'Баланс Пр'!$F$27:$F$165,$F41)</f>
        <v>0</v>
      </c>
      <c r="CC42" s="39"/>
      <c r="CD42" s="727">
        <f ca="1">CB42-CC42</f>
        <v>0</v>
      </c>
      <c r="CE42" s="725">
        <f ca="1">SUMIFS('Баланс Пр'!AX$27:AX$165,'Баланс Пр'!$AB$27:$AB$165,"5",'Баланс Пр'!$F$27:$F$165,$F41)</f>
        <v>0</v>
      </c>
      <c r="CF42" s="39"/>
      <c r="CG42" s="727">
        <f ca="1">CE42-CF42</f>
        <v>0</v>
      </c>
      <c r="CH42" s="725">
        <f ca="1">SUMIFS('Баланс Пр'!AY$27:AY$165,'Баланс Пр'!$AB$27:$AB$165,"5",'Баланс Пр'!$F$27:$F$165,$F41)</f>
        <v>0</v>
      </c>
      <c r="CI42" s="39"/>
      <c r="CJ42" s="727">
        <f ca="1">CH42-CI42</f>
        <v>0</v>
      </c>
      <c r="CK42" s="725">
        <f ca="1">SUMIFS('Баланс Пр'!AZ$27:AZ$165,'Баланс Пр'!$AB$27:$AB$165,"5",'Баланс Пр'!$F$27:$F$165,$F41)</f>
        <v>0</v>
      </c>
      <c r="CL42" s="39"/>
      <c r="CM42" s="727">
        <f ca="1">CK42-CL42</f>
        <v>0</v>
      </c>
      <c r="CN42" s="725">
        <f ca="1">SUMIFS('Баланс Пр'!BA$27:BA$165,'Баланс Пр'!$AB$27:$AB$165,"5",'Баланс Пр'!$F$27:$F$165,$F41)</f>
        <v>0</v>
      </c>
      <c r="CO42" s="39"/>
      <c r="CP42" s="727">
        <f ca="1">CN42-CO42</f>
        <v>0</v>
      </c>
      <c r="CQ42" s="725">
        <f ca="1">SUMIFS('Баланс Пр'!BB$27:BB$165,'Баланс Пр'!$AB$27:$AB$165,"5",'Баланс Пр'!$F$27:$F$165,$F41)</f>
        <v>0</v>
      </c>
      <c r="CR42" s="39"/>
      <c r="CS42" s="727">
        <f ca="1">CQ42-CR42</f>
        <v>0</v>
      </c>
      <c r="CT42" s="25"/>
      <c r="CW42" s="960" t="s">
        <v>783</v>
      </c>
    </row>
    <row r="43" spans="5:101" ht="16.7" hidden="1" customHeight="1" x14ac:dyDescent="0.15">
      <c r="E43" s="668">
        <v>17.100000000000001</v>
      </c>
      <c r="F43" s="769" cm="1">
        <f t="array" aca="1" ref="F43" ca="1">OFFSET(G43,-1,-1)</f>
        <v>0</v>
      </c>
      <c r="L43" s="769" t="b" cm="1">
        <f t="array" aca="1" ref="L43" ca="1">OFFSET(M43,-1,-1)</f>
        <v>0</v>
      </c>
      <c r="S43" s="107" t="b" cm="1">
        <f t="array" aca="1" ref="S43" ca="1">OFFSET(T43,-1,-1)</f>
        <v>0</v>
      </c>
      <c r="U43" s="690" t="b">
        <f t="shared" ca="1" si="4"/>
        <v>0</v>
      </c>
      <c r="Y43" s="1428"/>
      <c r="Z43" s="1428"/>
      <c r="AB43" s="1549"/>
      <c r="AD43" s="108" t="s">
        <v>784</v>
      </c>
      <c r="AE43" s="1527" t="s">
        <v>785</v>
      </c>
      <c r="AF43" s="1528"/>
      <c r="AG43" s="539" t="s">
        <v>521</v>
      </c>
      <c r="AH43" s="731">
        <f t="shared" ref="AH43:BM43" ca="1" si="17">IFERROR(AH42/AH41,0)</f>
        <v>0</v>
      </c>
      <c r="AI43" s="732">
        <f t="shared" ca="1" si="17"/>
        <v>0</v>
      </c>
      <c r="AJ43" s="732">
        <f t="shared" ca="1" si="17"/>
        <v>0</v>
      </c>
      <c r="AK43" s="732">
        <f t="shared" ca="1" si="17"/>
        <v>0</v>
      </c>
      <c r="AL43" s="732">
        <f t="shared" ca="1" si="17"/>
        <v>0</v>
      </c>
      <c r="AM43" s="732">
        <f t="shared" si="17"/>
        <v>0</v>
      </c>
      <c r="AN43" s="732">
        <f t="shared" ca="1" si="17"/>
        <v>0</v>
      </c>
      <c r="AO43" s="732">
        <f t="shared" ca="1" si="17"/>
        <v>0</v>
      </c>
      <c r="AP43" s="732">
        <f t="shared" si="17"/>
        <v>0</v>
      </c>
      <c r="AQ43" s="732">
        <f t="shared" ca="1" si="17"/>
        <v>0</v>
      </c>
      <c r="AR43" s="732">
        <f t="shared" ca="1" si="17"/>
        <v>0</v>
      </c>
      <c r="AS43" s="732">
        <f t="shared" si="17"/>
        <v>0</v>
      </c>
      <c r="AT43" s="732">
        <f t="shared" ca="1" si="17"/>
        <v>0</v>
      </c>
      <c r="AU43" s="732">
        <f t="shared" ca="1" si="17"/>
        <v>0</v>
      </c>
      <c r="AV43" s="732">
        <f t="shared" si="17"/>
        <v>0</v>
      </c>
      <c r="AW43" s="732">
        <f t="shared" ca="1" si="17"/>
        <v>0</v>
      </c>
      <c r="AX43" s="732">
        <f t="shared" ca="1" si="17"/>
        <v>0</v>
      </c>
      <c r="AY43" s="732">
        <f t="shared" si="17"/>
        <v>0</v>
      </c>
      <c r="AZ43" s="732">
        <f t="shared" ca="1" si="17"/>
        <v>0</v>
      </c>
      <c r="BA43" s="732">
        <f t="shared" ca="1" si="17"/>
        <v>0</v>
      </c>
      <c r="BB43" s="732">
        <f t="shared" si="17"/>
        <v>0</v>
      </c>
      <c r="BC43" s="732">
        <f t="shared" ca="1" si="17"/>
        <v>0</v>
      </c>
      <c r="BD43" s="732">
        <f t="shared" ca="1" si="17"/>
        <v>0</v>
      </c>
      <c r="BE43" s="732">
        <f t="shared" si="17"/>
        <v>0</v>
      </c>
      <c r="BF43" s="732">
        <f t="shared" ca="1" si="17"/>
        <v>0</v>
      </c>
      <c r="BG43" s="732">
        <f t="shared" ca="1" si="17"/>
        <v>0</v>
      </c>
      <c r="BH43" s="732">
        <f t="shared" si="17"/>
        <v>0</v>
      </c>
      <c r="BI43" s="732">
        <f t="shared" ca="1" si="17"/>
        <v>0</v>
      </c>
      <c r="BJ43" s="732">
        <f t="shared" ca="1" si="17"/>
        <v>0</v>
      </c>
      <c r="BK43" s="732">
        <f t="shared" si="17"/>
        <v>0</v>
      </c>
      <c r="BL43" s="732">
        <f t="shared" ca="1" si="17"/>
        <v>0</v>
      </c>
      <c r="BM43" s="732">
        <f t="shared" ca="1" si="17"/>
        <v>0</v>
      </c>
      <c r="BN43" s="732">
        <f t="shared" ref="BN43:CS43" si="18">IFERROR(BN42/BN41,0)</f>
        <v>0</v>
      </c>
      <c r="BO43" s="732">
        <f t="shared" ca="1" si="18"/>
        <v>0</v>
      </c>
      <c r="BP43" s="732">
        <f t="shared" ca="1" si="18"/>
        <v>0</v>
      </c>
      <c r="BQ43" s="732">
        <f t="shared" si="18"/>
        <v>0</v>
      </c>
      <c r="BR43" s="732">
        <f t="shared" ca="1" si="18"/>
        <v>0</v>
      </c>
      <c r="BS43" s="732">
        <f t="shared" ca="1" si="18"/>
        <v>0</v>
      </c>
      <c r="BT43" s="732">
        <f t="shared" si="18"/>
        <v>0</v>
      </c>
      <c r="BU43" s="732">
        <f t="shared" ca="1" si="18"/>
        <v>0</v>
      </c>
      <c r="BV43" s="732">
        <f t="shared" ca="1" si="18"/>
        <v>0</v>
      </c>
      <c r="BW43" s="732">
        <f t="shared" si="18"/>
        <v>0</v>
      </c>
      <c r="BX43" s="732">
        <f t="shared" ca="1" si="18"/>
        <v>0</v>
      </c>
      <c r="BY43" s="732">
        <f t="shared" ca="1" si="18"/>
        <v>0</v>
      </c>
      <c r="BZ43" s="732">
        <f t="shared" si="18"/>
        <v>0</v>
      </c>
      <c r="CA43" s="732">
        <f t="shared" ca="1" si="18"/>
        <v>0</v>
      </c>
      <c r="CB43" s="732">
        <f t="shared" ca="1" si="18"/>
        <v>0</v>
      </c>
      <c r="CC43" s="732">
        <f t="shared" si="18"/>
        <v>0</v>
      </c>
      <c r="CD43" s="732">
        <f t="shared" ca="1" si="18"/>
        <v>0</v>
      </c>
      <c r="CE43" s="732">
        <f t="shared" ca="1" si="18"/>
        <v>0</v>
      </c>
      <c r="CF43" s="732">
        <f t="shared" si="18"/>
        <v>0</v>
      </c>
      <c r="CG43" s="732">
        <f t="shared" ca="1" si="18"/>
        <v>0</v>
      </c>
      <c r="CH43" s="732">
        <f t="shared" ca="1" si="18"/>
        <v>0</v>
      </c>
      <c r="CI43" s="732">
        <f t="shared" si="18"/>
        <v>0</v>
      </c>
      <c r="CJ43" s="732">
        <f t="shared" ca="1" si="18"/>
        <v>0</v>
      </c>
      <c r="CK43" s="732">
        <f t="shared" ca="1" si="18"/>
        <v>0</v>
      </c>
      <c r="CL43" s="732">
        <f t="shared" si="18"/>
        <v>0</v>
      </c>
      <c r="CM43" s="732">
        <f t="shared" ca="1" si="18"/>
        <v>0</v>
      </c>
      <c r="CN43" s="732">
        <f t="shared" ca="1" si="18"/>
        <v>0</v>
      </c>
      <c r="CO43" s="732">
        <f t="shared" si="18"/>
        <v>0</v>
      </c>
      <c r="CP43" s="732">
        <f t="shared" ca="1" si="18"/>
        <v>0</v>
      </c>
      <c r="CQ43" s="732">
        <f t="shared" ca="1" si="18"/>
        <v>0</v>
      </c>
      <c r="CR43" s="732">
        <f t="shared" si="18"/>
        <v>0</v>
      </c>
      <c r="CS43" s="732">
        <f t="shared" ca="1" si="18"/>
        <v>0</v>
      </c>
      <c r="CT43" s="25"/>
      <c r="CW43" s="960" t="s">
        <v>786</v>
      </c>
    </row>
    <row r="44" spans="5:101" ht="29.25" hidden="1" customHeight="1" x14ac:dyDescent="0.15">
      <c r="E44" s="668">
        <v>30</v>
      </c>
      <c r="F44" s="769" cm="1">
        <f t="array" aca="1" ref="F44" ca="1">OFFSET(G44,-1,-1)</f>
        <v>0</v>
      </c>
      <c r="L44" s="769" t="b" cm="1">
        <f t="array" aca="1" ref="L44" ca="1">OFFSET(M44,-1,-1)</f>
        <v>0</v>
      </c>
      <c r="S44" s="107" t="b" cm="1">
        <f t="array" aca="1" ref="S44" ca="1">OFFSET(T44,-1,-1)</f>
        <v>0</v>
      </c>
      <c r="U44" s="690" t="b">
        <f t="shared" ca="1" si="4"/>
        <v>0</v>
      </c>
      <c r="Y44" s="1428"/>
      <c r="Z44" s="1428"/>
      <c r="AB44" s="1549"/>
      <c r="AD44" s="108">
        <v>9</v>
      </c>
      <c r="AE44" s="1511" t="s">
        <v>787</v>
      </c>
      <c r="AF44" s="1512"/>
      <c r="AG44" s="735" t="s">
        <v>622</v>
      </c>
      <c r="AH44" s="725">
        <f t="shared" ref="AH44:BM44" ca="1" si="19">AH41-AH42</f>
        <v>0</v>
      </c>
      <c r="AI44" s="727">
        <f t="shared" ca="1" si="19"/>
        <v>0</v>
      </c>
      <c r="AJ44" s="727">
        <f t="shared" ca="1" si="19"/>
        <v>0</v>
      </c>
      <c r="AK44" s="727">
        <f t="shared" ca="1" si="19"/>
        <v>0</v>
      </c>
      <c r="AL44" s="727">
        <f t="shared" ca="1" si="19"/>
        <v>0</v>
      </c>
      <c r="AM44" s="727">
        <f t="shared" si="19"/>
        <v>0</v>
      </c>
      <c r="AN44" s="727">
        <f t="shared" ca="1" si="19"/>
        <v>0</v>
      </c>
      <c r="AO44" s="727">
        <f t="shared" ca="1" si="19"/>
        <v>0</v>
      </c>
      <c r="AP44" s="727">
        <f t="shared" si="19"/>
        <v>0</v>
      </c>
      <c r="AQ44" s="727">
        <f t="shared" ca="1" si="19"/>
        <v>0</v>
      </c>
      <c r="AR44" s="727">
        <f t="shared" ca="1" si="19"/>
        <v>0</v>
      </c>
      <c r="AS44" s="727">
        <f t="shared" si="19"/>
        <v>0</v>
      </c>
      <c r="AT44" s="727">
        <f t="shared" ca="1" si="19"/>
        <v>0</v>
      </c>
      <c r="AU44" s="727">
        <f t="shared" ca="1" si="19"/>
        <v>0</v>
      </c>
      <c r="AV44" s="727">
        <f t="shared" si="19"/>
        <v>0</v>
      </c>
      <c r="AW44" s="727">
        <f t="shared" ca="1" si="19"/>
        <v>0</v>
      </c>
      <c r="AX44" s="727">
        <f t="shared" ca="1" si="19"/>
        <v>0</v>
      </c>
      <c r="AY44" s="727">
        <f t="shared" si="19"/>
        <v>0</v>
      </c>
      <c r="AZ44" s="727">
        <f t="shared" ca="1" si="19"/>
        <v>0</v>
      </c>
      <c r="BA44" s="727">
        <f t="shared" ca="1" si="19"/>
        <v>0</v>
      </c>
      <c r="BB44" s="727">
        <f t="shared" si="19"/>
        <v>0</v>
      </c>
      <c r="BC44" s="727">
        <f t="shared" ca="1" si="19"/>
        <v>0</v>
      </c>
      <c r="BD44" s="727">
        <f t="shared" ca="1" si="19"/>
        <v>0</v>
      </c>
      <c r="BE44" s="727">
        <f t="shared" si="19"/>
        <v>0</v>
      </c>
      <c r="BF44" s="727">
        <f t="shared" ca="1" si="19"/>
        <v>0</v>
      </c>
      <c r="BG44" s="727">
        <f t="shared" ca="1" si="19"/>
        <v>0</v>
      </c>
      <c r="BH44" s="727">
        <f t="shared" si="19"/>
        <v>0</v>
      </c>
      <c r="BI44" s="727">
        <f t="shared" ca="1" si="19"/>
        <v>0</v>
      </c>
      <c r="BJ44" s="727">
        <f t="shared" ca="1" si="19"/>
        <v>0</v>
      </c>
      <c r="BK44" s="727">
        <f t="shared" si="19"/>
        <v>0</v>
      </c>
      <c r="BL44" s="727">
        <f t="shared" ca="1" si="19"/>
        <v>0</v>
      </c>
      <c r="BM44" s="727">
        <f t="shared" ca="1" si="19"/>
        <v>0</v>
      </c>
      <c r="BN44" s="727">
        <f t="shared" ref="BN44:CS44" si="20">BN41-BN42</f>
        <v>0</v>
      </c>
      <c r="BO44" s="727">
        <f t="shared" ca="1" si="20"/>
        <v>0</v>
      </c>
      <c r="BP44" s="727">
        <f t="shared" ca="1" si="20"/>
        <v>0</v>
      </c>
      <c r="BQ44" s="727">
        <f t="shared" si="20"/>
        <v>0</v>
      </c>
      <c r="BR44" s="727">
        <f t="shared" ca="1" si="20"/>
        <v>0</v>
      </c>
      <c r="BS44" s="727">
        <f t="shared" ca="1" si="20"/>
        <v>0</v>
      </c>
      <c r="BT44" s="727">
        <f t="shared" si="20"/>
        <v>0</v>
      </c>
      <c r="BU44" s="727">
        <f t="shared" ca="1" si="20"/>
        <v>0</v>
      </c>
      <c r="BV44" s="727">
        <f t="shared" ca="1" si="20"/>
        <v>0</v>
      </c>
      <c r="BW44" s="727">
        <f t="shared" si="20"/>
        <v>0</v>
      </c>
      <c r="BX44" s="727">
        <f t="shared" ca="1" si="20"/>
        <v>0</v>
      </c>
      <c r="BY44" s="727">
        <f t="shared" ca="1" si="20"/>
        <v>0</v>
      </c>
      <c r="BZ44" s="727">
        <f t="shared" si="20"/>
        <v>0</v>
      </c>
      <c r="CA44" s="727">
        <f t="shared" ca="1" si="20"/>
        <v>0</v>
      </c>
      <c r="CB44" s="727">
        <f t="shared" ca="1" si="20"/>
        <v>0</v>
      </c>
      <c r="CC44" s="727">
        <f t="shared" si="20"/>
        <v>0</v>
      </c>
      <c r="CD44" s="727">
        <f t="shared" ca="1" si="20"/>
        <v>0</v>
      </c>
      <c r="CE44" s="727">
        <f t="shared" ca="1" si="20"/>
        <v>0</v>
      </c>
      <c r="CF44" s="727">
        <f t="shared" si="20"/>
        <v>0</v>
      </c>
      <c r="CG44" s="727">
        <f t="shared" ca="1" si="20"/>
        <v>0</v>
      </c>
      <c r="CH44" s="727">
        <f t="shared" ca="1" si="20"/>
        <v>0</v>
      </c>
      <c r="CI44" s="727">
        <f t="shared" si="20"/>
        <v>0</v>
      </c>
      <c r="CJ44" s="727">
        <f t="shared" ca="1" si="20"/>
        <v>0</v>
      </c>
      <c r="CK44" s="727">
        <f t="shared" ca="1" si="20"/>
        <v>0</v>
      </c>
      <c r="CL44" s="727">
        <f t="shared" si="20"/>
        <v>0</v>
      </c>
      <c r="CM44" s="727">
        <f t="shared" ca="1" si="20"/>
        <v>0</v>
      </c>
      <c r="CN44" s="727">
        <f t="shared" ca="1" si="20"/>
        <v>0</v>
      </c>
      <c r="CO44" s="727">
        <f t="shared" si="20"/>
        <v>0</v>
      </c>
      <c r="CP44" s="727">
        <f t="shared" ca="1" si="20"/>
        <v>0</v>
      </c>
      <c r="CQ44" s="727">
        <f t="shared" ca="1" si="20"/>
        <v>0</v>
      </c>
      <c r="CR44" s="727">
        <f t="shared" si="20"/>
        <v>0</v>
      </c>
      <c r="CS44" s="727">
        <f t="shared" ca="1" si="20"/>
        <v>0</v>
      </c>
      <c r="CT44" s="25"/>
      <c r="CW44" s="960" t="s">
        <v>788</v>
      </c>
    </row>
    <row r="45" spans="5:101" ht="16.7" hidden="1" customHeight="1" x14ac:dyDescent="0.15">
      <c r="E45" s="668">
        <v>17.100000000000001</v>
      </c>
      <c r="F45" s="769" cm="1">
        <f t="array" aca="1" ref="F45" ca="1">OFFSET(G45,-1,-1)</f>
        <v>0</v>
      </c>
      <c r="L45" s="769" t="b" cm="1">
        <f t="array" aca="1" ref="L45" ca="1">OFFSET(M45,-1,-1)</f>
        <v>0</v>
      </c>
      <c r="R45" s="769" t="s">
        <v>750</v>
      </c>
      <c r="S45" s="107" t="b" cm="1">
        <f t="array" aca="1" ref="S45" ca="1">OFFSET(T45,-1,-1)</f>
        <v>0</v>
      </c>
      <c r="T45" s="107" t="b" cm="1">
        <f t="array" aca="1" ref="T45" ca="1">L45</f>
        <v>0</v>
      </c>
      <c r="U45" s="690" t="b">
        <f t="shared" ca="1" si="4"/>
        <v>0</v>
      </c>
      <c r="Y45" s="1428"/>
      <c r="Z45" s="1428"/>
      <c r="AB45" s="1549"/>
      <c r="AD45" s="108">
        <v>10</v>
      </c>
      <c r="AE45" s="1511" t="s">
        <v>767</v>
      </c>
      <c r="AF45" s="1512"/>
      <c r="AG45" s="539" t="s">
        <v>753</v>
      </c>
      <c r="AH45" s="38"/>
      <c r="AI45" s="39"/>
      <c r="AJ45" s="39"/>
      <c r="AK45" s="39"/>
      <c r="AL45" s="727">
        <f>AM45+AN45</f>
        <v>0</v>
      </c>
      <c r="AM45" s="39"/>
      <c r="AN45" s="39"/>
      <c r="AO45" s="727">
        <f>AP45+AQ45</f>
        <v>0</v>
      </c>
      <c r="AP45" s="1244"/>
      <c r="AQ45" s="1244"/>
      <c r="AR45" s="727">
        <f>AS45+AT45</f>
        <v>0</v>
      </c>
      <c r="AS45" s="1244"/>
      <c r="AT45" s="1244"/>
      <c r="AU45" s="727">
        <f>AV45+AW45</f>
        <v>0</v>
      </c>
      <c r="AV45" s="39"/>
      <c r="AW45" s="39"/>
      <c r="AX45" s="727">
        <f>AY45+AZ45</f>
        <v>0</v>
      </c>
      <c r="AY45" s="39"/>
      <c r="AZ45" s="39"/>
      <c r="BA45" s="727">
        <f>BB45+BC45</f>
        <v>0</v>
      </c>
      <c r="BB45" s="39"/>
      <c r="BC45" s="39"/>
      <c r="BD45" s="727">
        <f>BE45+BF45</f>
        <v>0</v>
      </c>
      <c r="BE45" s="39"/>
      <c r="BF45" s="39"/>
      <c r="BG45" s="727">
        <f>BH45+BI45</f>
        <v>0</v>
      </c>
      <c r="BH45" s="39"/>
      <c r="BI45" s="39"/>
      <c r="BJ45" s="727">
        <f>BK45+BL45</f>
        <v>0</v>
      </c>
      <c r="BK45" s="39"/>
      <c r="BL45" s="39"/>
      <c r="BM45" s="727">
        <f>BN45+BO45</f>
        <v>0</v>
      </c>
      <c r="BN45" s="39"/>
      <c r="BO45" s="39"/>
      <c r="BP45" s="727">
        <f>BQ45+BR45</f>
        <v>0</v>
      </c>
      <c r="BQ45" s="816"/>
      <c r="BR45" s="816"/>
      <c r="BS45" s="727">
        <f>BT45+BU45</f>
        <v>0</v>
      </c>
      <c r="BT45" s="1244"/>
      <c r="BU45" s="1244"/>
      <c r="BV45" s="727">
        <f>BW45+BX45</f>
        <v>0</v>
      </c>
      <c r="BW45" s="1244"/>
      <c r="BX45" s="1244"/>
      <c r="BY45" s="727">
        <f>BZ45+CA45</f>
        <v>0</v>
      </c>
      <c r="BZ45" s="39"/>
      <c r="CA45" s="39"/>
      <c r="CB45" s="727">
        <f>CC45+CD45</f>
        <v>0</v>
      </c>
      <c r="CC45" s="39"/>
      <c r="CD45" s="39"/>
      <c r="CE45" s="727">
        <f>CF45+CG45</f>
        <v>0</v>
      </c>
      <c r="CF45" s="39"/>
      <c r="CG45" s="39"/>
      <c r="CH45" s="727">
        <f>CI45+CJ45</f>
        <v>0</v>
      </c>
      <c r="CI45" s="39"/>
      <c r="CJ45" s="39"/>
      <c r="CK45" s="727">
        <f>CL45+CM45</f>
        <v>0</v>
      </c>
      <c r="CL45" s="39"/>
      <c r="CM45" s="39"/>
      <c r="CN45" s="727">
        <f>CO45+CP45</f>
        <v>0</v>
      </c>
      <c r="CO45" s="39"/>
      <c r="CP45" s="39"/>
      <c r="CQ45" s="727">
        <f>CR45+CS45</f>
        <v>0</v>
      </c>
      <c r="CR45" s="39"/>
      <c r="CS45" s="39"/>
      <c r="CT45" s="25"/>
      <c r="CW45" s="960" t="s">
        <v>789</v>
      </c>
    </row>
    <row r="46" spans="5:101" ht="29.25" hidden="1" customHeight="1" x14ac:dyDescent="0.15">
      <c r="E46" s="668">
        <v>30</v>
      </c>
      <c r="F46" s="769" cm="1">
        <f t="array" aca="1" ref="F46" ca="1">OFFSET(G46,-1,-1)</f>
        <v>0</v>
      </c>
      <c r="L46" s="769" t="b" cm="1">
        <f t="array" aca="1" ref="L46" ca="1">OFFSET(M46,-1,-1)</f>
        <v>0</v>
      </c>
      <c r="R46" s="769" t="s">
        <v>750</v>
      </c>
      <c r="S46" s="107" t="b" cm="1">
        <f t="array" aca="1" ref="S46" ca="1">OFFSET(T46,-1,-1)</f>
        <v>0</v>
      </c>
      <c r="T46" s="107" t="b" cm="1">
        <f t="array" aca="1" ref="T46" ca="1">L46</f>
        <v>0</v>
      </c>
      <c r="U46" s="690" t="b">
        <f t="shared" ca="1" si="4"/>
        <v>0</v>
      </c>
      <c r="Y46" s="1428"/>
      <c r="Z46" s="1428"/>
      <c r="AB46" s="1549"/>
      <c r="AD46" s="108">
        <v>11</v>
      </c>
      <c r="AE46" s="1511" t="s">
        <v>790</v>
      </c>
      <c r="AF46" s="1512"/>
      <c r="AG46" s="539" t="s">
        <v>791</v>
      </c>
      <c r="AH46" s="38"/>
      <c r="AI46" s="39"/>
      <c r="AJ46" s="39"/>
      <c r="AK46" s="39"/>
      <c r="AL46" s="727">
        <f>IFERROR(AL47*1000/AL45,0)</f>
        <v>0</v>
      </c>
      <c r="AM46" s="39"/>
      <c r="AN46" s="39" cm="1">
        <f t="array" ref="AN46">AM46</f>
        <v>0</v>
      </c>
      <c r="AO46" s="727">
        <f>IFERROR(AO47*1000/AO45,0)</f>
        <v>0</v>
      </c>
      <c r="AP46" s="1244"/>
      <c r="AQ46" s="1244" cm="1">
        <f t="array" ref="AQ46">AP46</f>
        <v>0</v>
      </c>
      <c r="AR46" s="727">
        <f>IFERROR(AR47*1000/AR45,0)</f>
        <v>0</v>
      </c>
      <c r="AS46" s="1244"/>
      <c r="AT46" s="1244" cm="1">
        <f t="array" ref="AT46">AS46</f>
        <v>0</v>
      </c>
      <c r="AU46" s="727">
        <f>IFERROR(AU47*1000/AU45,0)</f>
        <v>0</v>
      </c>
      <c r="AV46" s="39"/>
      <c r="AW46" s="39" cm="1">
        <f t="array" ref="AW46">AV46</f>
        <v>0</v>
      </c>
      <c r="AX46" s="727">
        <f>IFERROR(AX47*1000/AX45,0)</f>
        <v>0</v>
      </c>
      <c r="AY46" s="39"/>
      <c r="AZ46" s="39" cm="1">
        <f t="array" ref="AZ46">AY46</f>
        <v>0</v>
      </c>
      <c r="BA46" s="727">
        <f>IFERROR(BA47*1000/BA45,0)</f>
        <v>0</v>
      </c>
      <c r="BB46" s="39"/>
      <c r="BC46" s="39" cm="1">
        <f t="array" ref="BC46">BB46</f>
        <v>0</v>
      </c>
      <c r="BD46" s="727">
        <f>IFERROR(BD47*1000/BD45,0)</f>
        <v>0</v>
      </c>
      <c r="BE46" s="39"/>
      <c r="BF46" s="39" cm="1">
        <f t="array" ref="BF46">BE46</f>
        <v>0</v>
      </c>
      <c r="BG46" s="727">
        <f>IFERROR(BG47*1000/BG45,0)</f>
        <v>0</v>
      </c>
      <c r="BH46" s="39"/>
      <c r="BI46" s="39" cm="1">
        <f t="array" ref="BI46">BH46</f>
        <v>0</v>
      </c>
      <c r="BJ46" s="727">
        <f>IFERROR(BJ47*1000/BJ45,0)</f>
        <v>0</v>
      </c>
      <c r="BK46" s="39"/>
      <c r="BL46" s="39" cm="1">
        <f t="array" ref="BL46">BK46</f>
        <v>0</v>
      </c>
      <c r="BM46" s="727">
        <f>IFERROR(BM47*1000/BM45,0)</f>
        <v>0</v>
      </c>
      <c r="BN46" s="39"/>
      <c r="BO46" s="39" cm="1">
        <f t="array" ref="BO46">BN46</f>
        <v>0</v>
      </c>
      <c r="BP46" s="727">
        <f>IFERROR(BP47*1000/BP45,0)</f>
        <v>0</v>
      </c>
      <c r="BQ46" s="816"/>
      <c r="BR46" s="816" cm="1">
        <f t="array" ref="BR46">BQ46</f>
        <v>0</v>
      </c>
      <c r="BS46" s="727">
        <f>IFERROR(BS47*1000/BS45,0)</f>
        <v>0</v>
      </c>
      <c r="BT46" s="1244"/>
      <c r="BU46" s="1244" cm="1">
        <f t="array" ref="BU46">BT46</f>
        <v>0</v>
      </c>
      <c r="BV46" s="727">
        <f>IFERROR(BV47*1000/BV45,0)</f>
        <v>0</v>
      </c>
      <c r="BW46" s="1244"/>
      <c r="BX46" s="1244" cm="1">
        <f t="array" ref="BX46">BW46</f>
        <v>0</v>
      </c>
      <c r="BY46" s="727">
        <f>IFERROR(BY47*1000/BY45,0)</f>
        <v>0</v>
      </c>
      <c r="BZ46" s="39"/>
      <c r="CA46" s="39" cm="1">
        <f t="array" ref="CA46">BZ46</f>
        <v>0</v>
      </c>
      <c r="CB46" s="727">
        <f>IFERROR(CB47*1000/CB45,0)</f>
        <v>0</v>
      </c>
      <c r="CC46" s="39"/>
      <c r="CD46" s="39" cm="1">
        <f t="array" ref="CD46">CC46</f>
        <v>0</v>
      </c>
      <c r="CE46" s="727">
        <f>IFERROR(CE47*1000/CE45,0)</f>
        <v>0</v>
      </c>
      <c r="CF46" s="39"/>
      <c r="CG46" s="39" cm="1">
        <f t="array" ref="CG46">CF46</f>
        <v>0</v>
      </c>
      <c r="CH46" s="727">
        <f>IFERROR(CH47*1000/CH45,0)</f>
        <v>0</v>
      </c>
      <c r="CI46" s="39"/>
      <c r="CJ46" s="39" cm="1">
        <f t="array" ref="CJ46">CI46</f>
        <v>0</v>
      </c>
      <c r="CK46" s="727">
        <f>IFERROR(CK47*1000/CK45,0)</f>
        <v>0</v>
      </c>
      <c r="CL46" s="39"/>
      <c r="CM46" s="39" cm="1">
        <f t="array" ref="CM46">CL46</f>
        <v>0</v>
      </c>
      <c r="CN46" s="727">
        <f>IFERROR(CN47*1000/CN45,0)</f>
        <v>0</v>
      </c>
      <c r="CO46" s="39"/>
      <c r="CP46" s="39" cm="1">
        <f t="array" ref="CP46">CO46</f>
        <v>0</v>
      </c>
      <c r="CQ46" s="727">
        <f>IFERROR(CQ47*1000/CQ45,0)</f>
        <v>0</v>
      </c>
      <c r="CR46" s="39"/>
      <c r="CS46" s="39" cm="1">
        <f t="array" ref="CS46">CR46</f>
        <v>0</v>
      </c>
      <c r="CT46" s="25"/>
      <c r="CW46" s="960" t="s">
        <v>792</v>
      </c>
    </row>
    <row r="47" spans="5:101" ht="16.7" hidden="1" customHeight="1" x14ac:dyDescent="0.15">
      <c r="E47" s="668">
        <v>17.100000000000001</v>
      </c>
      <c r="F47" s="769" cm="1">
        <f t="array" aca="1" ref="F47" ca="1">OFFSET(G47,-1,-1)</f>
        <v>0</v>
      </c>
      <c r="L47" s="769" t="b" cm="1">
        <f t="array" aca="1" ref="L47" ca="1">OFFSET(M47,-1,-1)</f>
        <v>0</v>
      </c>
      <c r="R47" s="769" t="s">
        <v>750</v>
      </c>
      <c r="S47" s="107" t="b" cm="1">
        <f t="array" aca="1" ref="S47" ca="1">OFFSET(T47,-1,-1)</f>
        <v>0</v>
      </c>
      <c r="T47" s="107" t="b" cm="1">
        <f t="array" aca="1" ref="T47" ca="1">L47</f>
        <v>0</v>
      </c>
      <c r="U47" s="690" t="b">
        <f t="shared" ca="1" si="4"/>
        <v>0</v>
      </c>
      <c r="Y47" s="1428"/>
      <c r="Z47" s="1428"/>
      <c r="AB47" s="1549"/>
      <c r="AD47" s="108">
        <v>12</v>
      </c>
      <c r="AE47" s="1511" t="s">
        <v>793</v>
      </c>
      <c r="AF47" s="1512"/>
      <c r="AG47" s="539" t="s">
        <v>794</v>
      </c>
      <c r="AH47" s="459">
        <f>AH45*AH46/1000</f>
        <v>0</v>
      </c>
      <c r="AI47" s="305">
        <f>AI45*AI46/1000</f>
        <v>0</v>
      </c>
      <c r="AJ47" s="305">
        <f>AJ45*AJ46/1000</f>
        <v>0</v>
      </c>
      <c r="AK47" s="305">
        <f>AK45*AK46/1000</f>
        <v>0</v>
      </c>
      <c r="AL47" s="727">
        <f>AM47+AN47</f>
        <v>0</v>
      </c>
      <c r="AM47" s="305">
        <f>AM45*AM46/1000</f>
        <v>0</v>
      </c>
      <c r="AN47" s="305">
        <f>AN45*AN46/1000</f>
        <v>0</v>
      </c>
      <c r="AO47" s="727">
        <f>AP47+AQ47</f>
        <v>0</v>
      </c>
      <c r="AP47" s="305">
        <f>AP45*AP46/1000</f>
        <v>0</v>
      </c>
      <c r="AQ47" s="305">
        <f>AQ45*AQ46/1000</f>
        <v>0</v>
      </c>
      <c r="AR47" s="727">
        <f>AS47+AT47</f>
        <v>0</v>
      </c>
      <c r="AS47" s="305">
        <f>AS45*AS46/1000</f>
        <v>0</v>
      </c>
      <c r="AT47" s="305">
        <f>AT45*AT46/1000</f>
        <v>0</v>
      </c>
      <c r="AU47" s="727">
        <f>AV47+AW47</f>
        <v>0</v>
      </c>
      <c r="AV47" s="305">
        <f>AV45*AV46/1000</f>
        <v>0</v>
      </c>
      <c r="AW47" s="305">
        <f>AW45*AW46/1000</f>
        <v>0</v>
      </c>
      <c r="AX47" s="727">
        <f>AY47+AZ47</f>
        <v>0</v>
      </c>
      <c r="AY47" s="305">
        <f>AY45*AY46/1000</f>
        <v>0</v>
      </c>
      <c r="AZ47" s="305">
        <f>AZ45*AZ46/1000</f>
        <v>0</v>
      </c>
      <c r="BA47" s="727">
        <f>BB47+BC47</f>
        <v>0</v>
      </c>
      <c r="BB47" s="305">
        <f>BB45*BB46/1000</f>
        <v>0</v>
      </c>
      <c r="BC47" s="305">
        <f>BC45*BC46/1000</f>
        <v>0</v>
      </c>
      <c r="BD47" s="727">
        <f>BE47+BF47</f>
        <v>0</v>
      </c>
      <c r="BE47" s="305">
        <f>BE45*BE46/1000</f>
        <v>0</v>
      </c>
      <c r="BF47" s="305">
        <f>BF45*BF46/1000</f>
        <v>0</v>
      </c>
      <c r="BG47" s="727">
        <f>BH47+BI47</f>
        <v>0</v>
      </c>
      <c r="BH47" s="305">
        <f>BH45*BH46/1000</f>
        <v>0</v>
      </c>
      <c r="BI47" s="305">
        <f>BI45*BI46/1000</f>
        <v>0</v>
      </c>
      <c r="BJ47" s="727">
        <f>BK47+BL47</f>
        <v>0</v>
      </c>
      <c r="BK47" s="305">
        <f>BK45*BK46/1000</f>
        <v>0</v>
      </c>
      <c r="BL47" s="305">
        <f>BL45*BL46/1000</f>
        <v>0</v>
      </c>
      <c r="BM47" s="727">
        <f>BN47+BO47</f>
        <v>0</v>
      </c>
      <c r="BN47" s="305">
        <f>BN45*BN46/1000</f>
        <v>0</v>
      </c>
      <c r="BO47" s="305">
        <f>BO45*BO46/1000</f>
        <v>0</v>
      </c>
      <c r="BP47" s="727">
        <f>BQ47+BR47</f>
        <v>0</v>
      </c>
      <c r="BQ47" s="305">
        <f>BQ45*BQ46/1000</f>
        <v>0</v>
      </c>
      <c r="BR47" s="305">
        <f>BR45*BR46/1000</f>
        <v>0</v>
      </c>
      <c r="BS47" s="727">
        <f>BT47+BU47</f>
        <v>0</v>
      </c>
      <c r="BT47" s="305">
        <f>BT45*BT46/1000</f>
        <v>0</v>
      </c>
      <c r="BU47" s="305">
        <f>BU45*BU46/1000</f>
        <v>0</v>
      </c>
      <c r="BV47" s="727">
        <f>BW47+BX47</f>
        <v>0</v>
      </c>
      <c r="BW47" s="305">
        <f>BW45*BW46/1000</f>
        <v>0</v>
      </c>
      <c r="BX47" s="305">
        <f>BX45*BX46/1000</f>
        <v>0</v>
      </c>
      <c r="BY47" s="727">
        <f>BZ47+CA47</f>
        <v>0</v>
      </c>
      <c r="BZ47" s="305">
        <f>BZ45*BZ46/1000</f>
        <v>0</v>
      </c>
      <c r="CA47" s="305">
        <f>CA45*CA46/1000</f>
        <v>0</v>
      </c>
      <c r="CB47" s="727">
        <f>CC47+CD47</f>
        <v>0</v>
      </c>
      <c r="CC47" s="305">
        <f>CC45*CC46/1000</f>
        <v>0</v>
      </c>
      <c r="CD47" s="305">
        <f>CD45*CD46/1000</f>
        <v>0</v>
      </c>
      <c r="CE47" s="727">
        <f>CF47+CG47</f>
        <v>0</v>
      </c>
      <c r="CF47" s="305">
        <f>CF45*CF46/1000</f>
        <v>0</v>
      </c>
      <c r="CG47" s="305">
        <f>CG45*CG46/1000</f>
        <v>0</v>
      </c>
      <c r="CH47" s="727">
        <f>CI47+CJ47</f>
        <v>0</v>
      </c>
      <c r="CI47" s="305">
        <f>CI45*CI46/1000</f>
        <v>0</v>
      </c>
      <c r="CJ47" s="305">
        <f>CJ45*CJ46/1000</f>
        <v>0</v>
      </c>
      <c r="CK47" s="727">
        <f>CL47+CM47</f>
        <v>0</v>
      </c>
      <c r="CL47" s="305">
        <f>CL45*CL46/1000</f>
        <v>0</v>
      </c>
      <c r="CM47" s="305">
        <f>CM45*CM46/1000</f>
        <v>0</v>
      </c>
      <c r="CN47" s="727">
        <f>CO47+CP47</f>
        <v>0</v>
      </c>
      <c r="CO47" s="305">
        <f>CO45*CO46/1000</f>
        <v>0</v>
      </c>
      <c r="CP47" s="305">
        <f>CP45*CP46/1000</f>
        <v>0</v>
      </c>
      <c r="CQ47" s="727">
        <f>CR47+CS47</f>
        <v>0</v>
      </c>
      <c r="CR47" s="305">
        <f>CR45*CR46/1000</f>
        <v>0</v>
      </c>
      <c r="CS47" s="305">
        <f>CS45*CS46/1000</f>
        <v>0</v>
      </c>
      <c r="CT47" s="25"/>
      <c r="CW47" s="960" t="s">
        <v>795</v>
      </c>
    </row>
    <row r="48" spans="5:101" ht="29.25" hidden="1" customHeight="1" x14ac:dyDescent="0.15">
      <c r="E48" s="668">
        <v>30</v>
      </c>
      <c r="F48" s="769" cm="1">
        <f t="array" aca="1" ref="F48" ca="1">OFFSET(G48,-1,-1)</f>
        <v>0</v>
      </c>
      <c r="L48" s="769" t="b" cm="1">
        <f t="array" aca="1" ref="L48" ca="1">OFFSET(M48,-1,-1)</f>
        <v>0</v>
      </c>
      <c r="S48" s="107" t="b" cm="1">
        <f t="array" aca="1" ref="S48" ca="1">OFFSET(T48,-1,-1)</f>
        <v>0</v>
      </c>
      <c r="U48" s="690" t="b">
        <f t="shared" ca="1" si="4"/>
        <v>0</v>
      </c>
      <c r="Y48" s="1428"/>
      <c r="Z48" s="1428"/>
      <c r="AB48" s="1549"/>
      <c r="AD48" s="108">
        <v>13</v>
      </c>
      <c r="AE48" s="1511" t="s">
        <v>780</v>
      </c>
      <c r="AF48" s="1512"/>
      <c r="AG48" s="539" t="s">
        <v>622</v>
      </c>
      <c r="AH48" s="38" cm="1">
        <f t="array" aca="1" ref="AH48" ca="1">AH41</f>
        <v>0</v>
      </c>
      <c r="AI48" s="38" cm="1">
        <f t="array" aca="1" ref="AI48" ca="1">AI41</f>
        <v>0</v>
      </c>
      <c r="AJ48" s="38" cm="1">
        <f t="array" aca="1" ref="AJ48" ca="1">AJ41</f>
        <v>0</v>
      </c>
      <c r="AK48" s="38" cm="1">
        <f t="array" aca="1" ref="AK48" ca="1">AK41</f>
        <v>0</v>
      </c>
      <c r="AL48" s="38" cm="1">
        <f t="array" aca="1" ref="AL48" ca="1">AL41</f>
        <v>0</v>
      </c>
      <c r="AM48" s="38" cm="1">
        <f t="array" ref="AM48">AM41</f>
        <v>0</v>
      </c>
      <c r="AN48" s="38" cm="1">
        <f t="array" aca="1" ref="AN48" ca="1">AN41</f>
        <v>0</v>
      </c>
      <c r="AO48" s="1245" cm="1">
        <f t="array" aca="1" ref="AO48" ca="1">AO41</f>
        <v>0</v>
      </c>
      <c r="AP48" s="1245" cm="1">
        <f t="array" ref="AP48">AP41</f>
        <v>0</v>
      </c>
      <c r="AQ48" s="1245" cm="1">
        <f t="array" aca="1" ref="AQ48" ca="1">AQ41</f>
        <v>0</v>
      </c>
      <c r="AR48" s="1245" cm="1">
        <f t="array" aca="1" ref="AR48" ca="1">AR41</f>
        <v>0</v>
      </c>
      <c r="AS48" s="1245" cm="1">
        <f t="array" ref="AS48">AS41</f>
        <v>0</v>
      </c>
      <c r="AT48" s="1245" cm="1">
        <f t="array" aca="1" ref="AT48" ca="1">AT41</f>
        <v>0</v>
      </c>
      <c r="AU48" s="38" cm="1">
        <f t="array" aca="1" ref="AU48" ca="1">AU41</f>
        <v>0</v>
      </c>
      <c r="AV48" s="38" cm="1">
        <f t="array" ref="AV48">AV41</f>
        <v>0</v>
      </c>
      <c r="AW48" s="38" cm="1">
        <f t="array" aca="1" ref="AW48" ca="1">AW41</f>
        <v>0</v>
      </c>
      <c r="AX48" s="38" cm="1">
        <f t="array" aca="1" ref="AX48" ca="1">AX41</f>
        <v>0</v>
      </c>
      <c r="AY48" s="38" cm="1">
        <f t="array" ref="AY48">AY41</f>
        <v>0</v>
      </c>
      <c r="AZ48" s="38" cm="1">
        <f t="array" aca="1" ref="AZ48" ca="1">AZ41</f>
        <v>0</v>
      </c>
      <c r="BA48" s="38" cm="1">
        <f t="array" aca="1" ref="BA48" ca="1">BA41</f>
        <v>0</v>
      </c>
      <c r="BB48" s="38" cm="1">
        <f t="array" ref="BB48">BB41</f>
        <v>0</v>
      </c>
      <c r="BC48" s="38" cm="1">
        <f t="array" aca="1" ref="BC48" ca="1">BC41</f>
        <v>0</v>
      </c>
      <c r="BD48" s="38" cm="1">
        <f t="array" aca="1" ref="BD48" ca="1">BD41</f>
        <v>0</v>
      </c>
      <c r="BE48" s="38" cm="1">
        <f t="array" ref="BE48">BE41</f>
        <v>0</v>
      </c>
      <c r="BF48" s="38" cm="1">
        <f t="array" aca="1" ref="BF48" ca="1">BF41</f>
        <v>0</v>
      </c>
      <c r="BG48" s="38" cm="1">
        <f t="array" aca="1" ref="BG48" ca="1">BG41</f>
        <v>0</v>
      </c>
      <c r="BH48" s="38" cm="1">
        <f t="array" ref="BH48">BH41</f>
        <v>0</v>
      </c>
      <c r="BI48" s="38" cm="1">
        <f t="array" aca="1" ref="BI48" ca="1">BI41</f>
        <v>0</v>
      </c>
      <c r="BJ48" s="38" cm="1">
        <f t="array" aca="1" ref="BJ48" ca="1">BJ41</f>
        <v>0</v>
      </c>
      <c r="BK48" s="38" cm="1">
        <f t="array" ref="BK48">BK41</f>
        <v>0</v>
      </c>
      <c r="BL48" s="38" cm="1">
        <f t="array" aca="1" ref="BL48" ca="1">BL41</f>
        <v>0</v>
      </c>
      <c r="BM48" s="38" cm="1">
        <f t="array" aca="1" ref="BM48" ca="1">BM41</f>
        <v>0</v>
      </c>
      <c r="BN48" s="38" cm="1">
        <f t="array" ref="BN48">BN41</f>
        <v>0</v>
      </c>
      <c r="BO48" s="38" cm="1">
        <f t="array" aca="1" ref="BO48" ca="1">BO41</f>
        <v>0</v>
      </c>
      <c r="BP48" s="817" cm="1">
        <f t="array" aca="1" ref="BP48" ca="1">BP41</f>
        <v>0</v>
      </c>
      <c r="BQ48" s="817" cm="1">
        <f t="array" ref="BQ48">BQ41</f>
        <v>0</v>
      </c>
      <c r="BR48" s="817" cm="1">
        <f t="array" aca="1" ref="BR48" ca="1">BR41</f>
        <v>0</v>
      </c>
      <c r="BS48" s="1245" cm="1">
        <f t="array" aca="1" ref="BS48" ca="1">BS41</f>
        <v>0</v>
      </c>
      <c r="BT48" s="1245" cm="1">
        <f t="array" ref="BT48">BT41</f>
        <v>0</v>
      </c>
      <c r="BU48" s="1245" cm="1">
        <f t="array" aca="1" ref="BU48" ca="1">BU41</f>
        <v>0</v>
      </c>
      <c r="BV48" s="1245" cm="1">
        <f t="array" aca="1" ref="BV48" ca="1">BV41</f>
        <v>0</v>
      </c>
      <c r="BW48" s="1245" cm="1">
        <f t="array" ref="BW48">BW41</f>
        <v>0</v>
      </c>
      <c r="BX48" s="1245" cm="1">
        <f t="array" aca="1" ref="BX48" ca="1">BX41</f>
        <v>0</v>
      </c>
      <c r="BY48" s="38" cm="1">
        <f t="array" aca="1" ref="BY48" ca="1">BY41</f>
        <v>0</v>
      </c>
      <c r="BZ48" s="38" cm="1">
        <f t="array" ref="BZ48">BZ41</f>
        <v>0</v>
      </c>
      <c r="CA48" s="38" cm="1">
        <f t="array" aca="1" ref="CA48" ca="1">CA41</f>
        <v>0</v>
      </c>
      <c r="CB48" s="38" cm="1">
        <f t="array" aca="1" ref="CB48" ca="1">CB41</f>
        <v>0</v>
      </c>
      <c r="CC48" s="38" cm="1">
        <f t="array" ref="CC48">CC41</f>
        <v>0</v>
      </c>
      <c r="CD48" s="38" cm="1">
        <f t="array" aca="1" ref="CD48" ca="1">CD41</f>
        <v>0</v>
      </c>
      <c r="CE48" s="38" cm="1">
        <f t="array" aca="1" ref="CE48" ca="1">CE41</f>
        <v>0</v>
      </c>
      <c r="CF48" s="38" cm="1">
        <f t="array" ref="CF48">CF41</f>
        <v>0</v>
      </c>
      <c r="CG48" s="38" cm="1">
        <f t="array" aca="1" ref="CG48" ca="1">CG41</f>
        <v>0</v>
      </c>
      <c r="CH48" s="38" cm="1">
        <f t="array" aca="1" ref="CH48" ca="1">CH41</f>
        <v>0</v>
      </c>
      <c r="CI48" s="38" cm="1">
        <f t="array" ref="CI48">CI41</f>
        <v>0</v>
      </c>
      <c r="CJ48" s="38" cm="1">
        <f t="array" aca="1" ref="CJ48" ca="1">CJ41</f>
        <v>0</v>
      </c>
      <c r="CK48" s="38" cm="1">
        <f t="array" aca="1" ref="CK48" ca="1">CK41</f>
        <v>0</v>
      </c>
      <c r="CL48" s="38" cm="1">
        <f t="array" ref="CL48">CL41</f>
        <v>0</v>
      </c>
      <c r="CM48" s="38" cm="1">
        <f t="array" aca="1" ref="CM48" ca="1">CM41</f>
        <v>0</v>
      </c>
      <c r="CN48" s="38" cm="1">
        <f t="array" aca="1" ref="CN48" ca="1">CN41</f>
        <v>0</v>
      </c>
      <c r="CO48" s="38" cm="1">
        <f t="array" ref="CO48">CO41</f>
        <v>0</v>
      </c>
      <c r="CP48" s="38" cm="1">
        <f t="array" aca="1" ref="CP48" ca="1">CP41</f>
        <v>0</v>
      </c>
      <c r="CQ48" s="38" cm="1">
        <f t="array" aca="1" ref="CQ48" ca="1">CQ41</f>
        <v>0</v>
      </c>
      <c r="CR48" s="38" cm="1">
        <f t="array" ref="CR48">CR41</f>
        <v>0</v>
      </c>
      <c r="CS48" s="38" cm="1">
        <f t="array" aca="1" ref="CS48" ca="1">CS41</f>
        <v>0</v>
      </c>
      <c r="CT48" s="25"/>
      <c r="CW48" s="960" t="s">
        <v>796</v>
      </c>
    </row>
    <row r="49" spans="5:106" ht="29.25" hidden="1" customHeight="1" x14ac:dyDescent="0.15">
      <c r="E49" s="668">
        <v>30</v>
      </c>
      <c r="F49" s="769" cm="1">
        <f t="array" aca="1" ref="F49" ca="1">OFFSET(G49,-1,-1)</f>
        <v>0</v>
      </c>
      <c r="L49" s="769" t="b" cm="1">
        <f t="array" aca="1" ref="L49" ca="1">OFFSET(M49,-1,-1)</f>
        <v>0</v>
      </c>
      <c r="S49" s="107" t="b" cm="1">
        <f t="array" aca="1" ref="S49" ca="1">OFFSET(T49,-1,-1)</f>
        <v>0</v>
      </c>
      <c r="U49" s="690" t="b">
        <f t="shared" ca="1" si="4"/>
        <v>0</v>
      </c>
      <c r="Y49" s="1428"/>
      <c r="Z49" s="1428"/>
      <c r="AB49" s="1549"/>
      <c r="AD49" s="108">
        <v>14</v>
      </c>
      <c r="AE49" s="1511" t="s">
        <v>797</v>
      </c>
      <c r="AF49" s="1512"/>
      <c r="AG49" s="108" t="s">
        <v>798</v>
      </c>
      <c r="AH49" s="38">
        <f ca="1">IFERROR(AH50/AH48*1000,0)</f>
        <v>0</v>
      </c>
      <c r="AI49" s="38">
        <f ca="1">IFERROR(AI50/AI48*1000,0)</f>
        <v>0</v>
      </c>
      <c r="AJ49" s="38">
        <f ca="1">IFERROR(AJ50/AJ48*1000,0)</f>
        <v>0</v>
      </c>
      <c r="AK49" s="38">
        <f ca="1">IFERROR(AK50/AK48*1000,0)</f>
        <v>0</v>
      </c>
      <c r="AL49" s="38"/>
      <c r="AM49" s="38" cm="1">
        <f t="array" ref="AM49">AL49</f>
        <v>0</v>
      </c>
      <c r="AN49" s="38" cm="1">
        <f t="array" ref="AN49">AL49</f>
        <v>0</v>
      </c>
      <c r="AO49" s="1245"/>
      <c r="AP49" s="1245" cm="1">
        <f t="array" ref="AP49">AO49</f>
        <v>0</v>
      </c>
      <c r="AQ49" s="1245" cm="1">
        <f t="array" ref="AQ49">AO49</f>
        <v>0</v>
      </c>
      <c r="AR49" s="1245"/>
      <c r="AS49" s="1245" cm="1">
        <f t="array" ref="AS49">AR49</f>
        <v>0</v>
      </c>
      <c r="AT49" s="1245" cm="1">
        <f t="array" ref="AT49">AR49</f>
        <v>0</v>
      </c>
      <c r="AU49" s="38"/>
      <c r="AV49" s="38" cm="1">
        <f t="array" ref="AV49">AU49</f>
        <v>0</v>
      </c>
      <c r="AW49" s="38" cm="1">
        <f t="array" ref="AW49">AU49</f>
        <v>0</v>
      </c>
      <c r="AX49" s="38"/>
      <c r="AY49" s="38" cm="1">
        <f t="array" ref="AY49">AX49</f>
        <v>0</v>
      </c>
      <c r="AZ49" s="38" cm="1">
        <f t="array" ref="AZ49">AX49</f>
        <v>0</v>
      </c>
      <c r="BA49" s="38"/>
      <c r="BB49" s="38" cm="1">
        <f t="array" ref="BB49">BA49</f>
        <v>0</v>
      </c>
      <c r="BC49" s="38" cm="1">
        <f t="array" ref="BC49">BA49</f>
        <v>0</v>
      </c>
      <c r="BD49" s="38"/>
      <c r="BE49" s="38" cm="1">
        <f t="array" ref="BE49">BD49</f>
        <v>0</v>
      </c>
      <c r="BF49" s="38" cm="1">
        <f t="array" ref="BF49">BD49</f>
        <v>0</v>
      </c>
      <c r="BG49" s="38"/>
      <c r="BH49" s="38" cm="1">
        <f t="array" ref="BH49">BG49</f>
        <v>0</v>
      </c>
      <c r="BI49" s="38" cm="1">
        <f t="array" ref="BI49">BG49</f>
        <v>0</v>
      </c>
      <c r="BJ49" s="38"/>
      <c r="BK49" s="38" cm="1">
        <f t="array" ref="BK49">BJ49</f>
        <v>0</v>
      </c>
      <c r="BL49" s="38" cm="1">
        <f t="array" ref="BL49">BJ49</f>
        <v>0</v>
      </c>
      <c r="BM49" s="38"/>
      <c r="BN49" s="38" cm="1">
        <f t="array" ref="BN49">BM49</f>
        <v>0</v>
      </c>
      <c r="BO49" s="38" cm="1">
        <f t="array" ref="BO49">BM49</f>
        <v>0</v>
      </c>
      <c r="BP49" s="817"/>
      <c r="BQ49" s="817" cm="1">
        <f t="array" ref="BQ49">BP49</f>
        <v>0</v>
      </c>
      <c r="BR49" s="817" cm="1">
        <f t="array" ref="BR49">BP49</f>
        <v>0</v>
      </c>
      <c r="BS49" s="1245"/>
      <c r="BT49" s="1245" cm="1">
        <f t="array" ref="BT49">BS49</f>
        <v>0</v>
      </c>
      <c r="BU49" s="1245" cm="1">
        <f t="array" ref="BU49">BS49</f>
        <v>0</v>
      </c>
      <c r="BV49" s="1245"/>
      <c r="BW49" s="1245" cm="1">
        <f t="array" ref="BW49">BV49</f>
        <v>0</v>
      </c>
      <c r="BX49" s="1245" cm="1">
        <f t="array" ref="BX49">BV49</f>
        <v>0</v>
      </c>
      <c r="BY49" s="38"/>
      <c r="BZ49" s="38" cm="1">
        <f t="array" ref="BZ49">BY49</f>
        <v>0</v>
      </c>
      <c r="CA49" s="38" cm="1">
        <f t="array" ref="CA49">BY49</f>
        <v>0</v>
      </c>
      <c r="CB49" s="38"/>
      <c r="CC49" s="38" cm="1">
        <f t="array" ref="CC49">CB49</f>
        <v>0</v>
      </c>
      <c r="CD49" s="38" cm="1">
        <f t="array" ref="CD49">CB49</f>
        <v>0</v>
      </c>
      <c r="CE49" s="38"/>
      <c r="CF49" s="38" cm="1">
        <f t="array" ref="CF49">CE49</f>
        <v>0</v>
      </c>
      <c r="CG49" s="38" cm="1">
        <f t="array" ref="CG49">CE49</f>
        <v>0</v>
      </c>
      <c r="CH49" s="38"/>
      <c r="CI49" s="38" cm="1">
        <f t="array" ref="CI49">CH49</f>
        <v>0</v>
      </c>
      <c r="CJ49" s="38" cm="1">
        <f t="array" ref="CJ49">CH49</f>
        <v>0</v>
      </c>
      <c r="CK49" s="38"/>
      <c r="CL49" s="38" cm="1">
        <f t="array" ref="CL49">CK49</f>
        <v>0</v>
      </c>
      <c r="CM49" s="38" cm="1">
        <f t="array" ref="CM49">CK49</f>
        <v>0</v>
      </c>
      <c r="CN49" s="38"/>
      <c r="CO49" s="38" cm="1">
        <f t="array" ref="CO49">CN49</f>
        <v>0</v>
      </c>
      <c r="CP49" s="38" cm="1">
        <f t="array" ref="CP49">CN49</f>
        <v>0</v>
      </c>
      <c r="CQ49" s="38"/>
      <c r="CR49" s="38" cm="1">
        <f t="array" ref="CR49">CQ49</f>
        <v>0</v>
      </c>
      <c r="CS49" s="38" cm="1">
        <f t="array" ref="CS49">CQ49</f>
        <v>0</v>
      </c>
      <c r="CT49" s="25"/>
      <c r="CW49" s="960" t="s">
        <v>799</v>
      </c>
    </row>
    <row r="50" spans="5:106" ht="16.7" hidden="1" customHeight="1" x14ac:dyDescent="0.15">
      <c r="E50" s="668">
        <v>17.100000000000001</v>
      </c>
      <c r="F50" s="769" cm="1">
        <f t="array" aca="1" ref="F50" ca="1">OFFSET(G50,-1,-1)</f>
        <v>0</v>
      </c>
      <c r="L50" s="769" t="b" cm="1">
        <f t="array" aca="1" ref="L50" ca="1">OFFSET(M50,-1,-1)</f>
        <v>0</v>
      </c>
      <c r="S50" s="107" t="b" cm="1">
        <f t="array" aca="1" ref="S50" ca="1">OFFSET(T50,-1,-1)</f>
        <v>0</v>
      </c>
      <c r="U50" s="690" t="b">
        <f t="shared" ca="1" si="4"/>
        <v>0</v>
      </c>
      <c r="Y50" s="1428"/>
      <c r="Z50" s="1428"/>
      <c r="AB50" s="1538" t="s">
        <v>800</v>
      </c>
      <c r="AD50" s="108">
        <v>15</v>
      </c>
      <c r="AE50" s="1511" t="s">
        <v>801</v>
      </c>
      <c r="AF50" s="1512"/>
      <c r="AG50" s="108" t="s">
        <v>794</v>
      </c>
      <c r="AH50" s="38"/>
      <c r="AI50" s="38"/>
      <c r="AJ50" s="38"/>
      <c r="AK50" s="38"/>
      <c r="AL50" s="725">
        <f ca="1">AM50+AN50</f>
        <v>0</v>
      </c>
      <c r="AM50" s="38">
        <f>AM49*AM48/1000</f>
        <v>0</v>
      </c>
      <c r="AN50" s="38">
        <f ca="1">AN49*AN48/1000</f>
        <v>0</v>
      </c>
      <c r="AO50" s="725">
        <f ca="1">AP50+AQ50</f>
        <v>0</v>
      </c>
      <c r="AP50" s="1245">
        <f>AP49*AP48/1000</f>
        <v>0</v>
      </c>
      <c r="AQ50" s="1245">
        <f ca="1">AQ49*AQ48/1000</f>
        <v>0</v>
      </c>
      <c r="AR50" s="725">
        <f ca="1">AS50+AT50</f>
        <v>0</v>
      </c>
      <c r="AS50" s="1245">
        <f>AS49*AS48/1000</f>
        <v>0</v>
      </c>
      <c r="AT50" s="1245">
        <f ca="1">AT49*AT48/1000</f>
        <v>0</v>
      </c>
      <c r="AU50" s="725">
        <f ca="1">AV50+AW50</f>
        <v>0</v>
      </c>
      <c r="AV50" s="38">
        <f>AV49*AV48/1000</f>
        <v>0</v>
      </c>
      <c r="AW50" s="38">
        <f ca="1">AW49*AW48/1000</f>
        <v>0</v>
      </c>
      <c r="AX50" s="725">
        <f ca="1">AY50+AZ50</f>
        <v>0</v>
      </c>
      <c r="AY50" s="38">
        <f>AY49*AY48/1000</f>
        <v>0</v>
      </c>
      <c r="AZ50" s="38">
        <f ca="1">AZ49*AZ48/1000</f>
        <v>0</v>
      </c>
      <c r="BA50" s="725">
        <f ca="1">BB50+BC50</f>
        <v>0</v>
      </c>
      <c r="BB50" s="38">
        <f>BB49*BB48/1000</f>
        <v>0</v>
      </c>
      <c r="BC50" s="38">
        <f ca="1">BC49*BC48/1000</f>
        <v>0</v>
      </c>
      <c r="BD50" s="725">
        <f ca="1">BE50+BF50</f>
        <v>0</v>
      </c>
      <c r="BE50" s="38">
        <f>BE49*BE48/1000</f>
        <v>0</v>
      </c>
      <c r="BF50" s="38">
        <f ca="1">BF49*BF48/1000</f>
        <v>0</v>
      </c>
      <c r="BG50" s="725">
        <f ca="1">BH50+BI50</f>
        <v>0</v>
      </c>
      <c r="BH50" s="38">
        <f>BH49*BH48/1000</f>
        <v>0</v>
      </c>
      <c r="BI50" s="38">
        <f ca="1">BI49*BI48/1000</f>
        <v>0</v>
      </c>
      <c r="BJ50" s="725">
        <f ca="1">BK50+BL50</f>
        <v>0</v>
      </c>
      <c r="BK50" s="38">
        <f>BK49*BK48/1000</f>
        <v>0</v>
      </c>
      <c r="BL50" s="38">
        <f ca="1">BL49*BL48/1000</f>
        <v>0</v>
      </c>
      <c r="BM50" s="725">
        <f ca="1">BN50+BO50</f>
        <v>0</v>
      </c>
      <c r="BN50" s="38">
        <f>BN49*BN48/1000</f>
        <v>0</v>
      </c>
      <c r="BO50" s="38">
        <f ca="1">BO49*BO48/1000</f>
        <v>0</v>
      </c>
      <c r="BP50" s="725">
        <f ca="1">BQ50+BR50</f>
        <v>0</v>
      </c>
      <c r="BQ50" s="817">
        <f>BQ49*BQ48/1000</f>
        <v>0</v>
      </c>
      <c r="BR50" s="817">
        <f ca="1">BR49*BR48/1000</f>
        <v>0</v>
      </c>
      <c r="BS50" s="725">
        <f ca="1">BT50+BU50</f>
        <v>0</v>
      </c>
      <c r="BT50" s="1245">
        <f>BT49*BT48/1000</f>
        <v>0</v>
      </c>
      <c r="BU50" s="1245">
        <f ca="1">BU49*BU48/1000</f>
        <v>0</v>
      </c>
      <c r="BV50" s="725">
        <f ca="1">BW50+BX50</f>
        <v>0</v>
      </c>
      <c r="BW50" s="1245">
        <f>BW49*BW48/1000</f>
        <v>0</v>
      </c>
      <c r="BX50" s="1245">
        <f ca="1">BX49*BX48/1000</f>
        <v>0</v>
      </c>
      <c r="BY50" s="725">
        <f ca="1">BZ50+CA50</f>
        <v>0</v>
      </c>
      <c r="BZ50" s="38">
        <f>BZ49*BZ48/1000</f>
        <v>0</v>
      </c>
      <c r="CA50" s="38">
        <f ca="1">CA49*CA48/1000</f>
        <v>0</v>
      </c>
      <c r="CB50" s="725">
        <f ca="1">CC50+CD50</f>
        <v>0</v>
      </c>
      <c r="CC50" s="38">
        <f>CC49*CC48/1000</f>
        <v>0</v>
      </c>
      <c r="CD50" s="38">
        <f ca="1">CD49*CD48/1000</f>
        <v>0</v>
      </c>
      <c r="CE50" s="725">
        <f ca="1">CF50+CG50</f>
        <v>0</v>
      </c>
      <c r="CF50" s="38">
        <f>CF49*CF48/1000</f>
        <v>0</v>
      </c>
      <c r="CG50" s="38">
        <f ca="1">CG49*CG48/1000</f>
        <v>0</v>
      </c>
      <c r="CH50" s="725">
        <f ca="1">CI50+CJ50</f>
        <v>0</v>
      </c>
      <c r="CI50" s="38">
        <f>CI49*CI48/1000</f>
        <v>0</v>
      </c>
      <c r="CJ50" s="38">
        <f ca="1">CJ49*CJ48/1000</f>
        <v>0</v>
      </c>
      <c r="CK50" s="725">
        <f ca="1">CL50+CM50</f>
        <v>0</v>
      </c>
      <c r="CL50" s="38">
        <f>CL49*CL48/1000</f>
        <v>0</v>
      </c>
      <c r="CM50" s="38">
        <f ca="1">CM49*CM48/1000</f>
        <v>0</v>
      </c>
      <c r="CN50" s="725">
        <f ca="1">CO50+CP50</f>
        <v>0</v>
      </c>
      <c r="CO50" s="38">
        <f>CO49*CO48/1000</f>
        <v>0</v>
      </c>
      <c r="CP50" s="38">
        <f ca="1">CP49*CP48/1000</f>
        <v>0</v>
      </c>
      <c r="CQ50" s="725">
        <f ca="1">CR50+CS50</f>
        <v>0</v>
      </c>
      <c r="CR50" s="38">
        <f>CR49*CR48/1000</f>
        <v>0</v>
      </c>
      <c r="CS50" s="38">
        <f ca="1">CS49*CS48/1000</f>
        <v>0</v>
      </c>
      <c r="CT50" s="25"/>
      <c r="CW50" s="960" t="s">
        <v>802</v>
      </c>
    </row>
    <row r="51" spans="5:106" ht="16.7" hidden="1" customHeight="1" x14ac:dyDescent="0.15">
      <c r="E51" s="668">
        <v>17.100000000000001</v>
      </c>
      <c r="F51" s="769" cm="1">
        <f t="array" aca="1" ref="F51" ca="1">OFFSET(G51,-1,-1)</f>
        <v>0</v>
      </c>
      <c r="L51" s="769" t="b" cm="1">
        <f t="array" aca="1" ref="L51" ca="1">OFFSET(M51,-1,-1)</f>
        <v>0</v>
      </c>
      <c r="S51" s="107" t="b" cm="1">
        <f t="array" aca="1" ref="S51" ca="1">OFFSET(T51,-1,-1)</f>
        <v>0</v>
      </c>
      <c r="U51" s="690" t="b">
        <f t="shared" ca="1" si="4"/>
        <v>0</v>
      </c>
      <c r="Y51" s="1428"/>
      <c r="Z51" s="1428"/>
      <c r="AB51" s="1539"/>
      <c r="AD51" s="108">
        <v>16</v>
      </c>
      <c r="AE51" s="1511" t="s">
        <v>803</v>
      </c>
      <c r="AF51" s="1512"/>
      <c r="AG51" s="108" t="s">
        <v>794</v>
      </c>
      <c r="AH51" s="725">
        <f>AH50+AH47</f>
        <v>0</v>
      </c>
      <c r="AI51" s="725">
        <f>AI50+AI47</f>
        <v>0</v>
      </c>
      <c r="AJ51" s="725">
        <f>AJ50+AJ47</f>
        <v>0</v>
      </c>
      <c r="AK51" s="725">
        <f>AK50+AK47</f>
        <v>0</v>
      </c>
      <c r="AL51" s="725">
        <f ca="1">AM51+AN51</f>
        <v>0</v>
      </c>
      <c r="AM51" s="725">
        <f>AM50+AM47</f>
        <v>0</v>
      </c>
      <c r="AN51" s="725">
        <f ca="1">AN50+AN47</f>
        <v>0</v>
      </c>
      <c r="AO51" s="725">
        <f ca="1">AP51+AQ51</f>
        <v>0</v>
      </c>
      <c r="AP51" s="725">
        <f>AP50+AP47</f>
        <v>0</v>
      </c>
      <c r="AQ51" s="725">
        <f ca="1">AQ50+AQ47</f>
        <v>0</v>
      </c>
      <c r="AR51" s="725">
        <f ca="1">AS51+AT51</f>
        <v>0</v>
      </c>
      <c r="AS51" s="725">
        <f>AS50+AS47</f>
        <v>0</v>
      </c>
      <c r="AT51" s="725">
        <f ca="1">AT50+AT47</f>
        <v>0</v>
      </c>
      <c r="AU51" s="725">
        <f ca="1">AV51+AW51</f>
        <v>0</v>
      </c>
      <c r="AV51" s="725">
        <f>AV50+AV47</f>
        <v>0</v>
      </c>
      <c r="AW51" s="725">
        <f ca="1">AW50+AW47</f>
        <v>0</v>
      </c>
      <c r="AX51" s="725">
        <f ca="1">AY51+AZ51</f>
        <v>0</v>
      </c>
      <c r="AY51" s="725">
        <f>AY50+AY47</f>
        <v>0</v>
      </c>
      <c r="AZ51" s="725">
        <f ca="1">AZ50+AZ47</f>
        <v>0</v>
      </c>
      <c r="BA51" s="725">
        <f ca="1">BB51+BC51</f>
        <v>0</v>
      </c>
      <c r="BB51" s="725">
        <f>BB50+BB47</f>
        <v>0</v>
      </c>
      <c r="BC51" s="725">
        <f ca="1">BC50+BC47</f>
        <v>0</v>
      </c>
      <c r="BD51" s="725">
        <f ca="1">BE51+BF51</f>
        <v>0</v>
      </c>
      <c r="BE51" s="725">
        <f>BE50+BE47</f>
        <v>0</v>
      </c>
      <c r="BF51" s="725">
        <f ca="1">BF50+BF47</f>
        <v>0</v>
      </c>
      <c r="BG51" s="725">
        <f ca="1">BH51+BI51</f>
        <v>0</v>
      </c>
      <c r="BH51" s="725">
        <f>BH50+BH47</f>
        <v>0</v>
      </c>
      <c r="BI51" s="725">
        <f ca="1">BI50+BI47</f>
        <v>0</v>
      </c>
      <c r="BJ51" s="725">
        <f ca="1">BK51+BL51</f>
        <v>0</v>
      </c>
      <c r="BK51" s="725">
        <f>BK50+BK47</f>
        <v>0</v>
      </c>
      <c r="BL51" s="725">
        <f ca="1">BL50+BL47</f>
        <v>0</v>
      </c>
      <c r="BM51" s="725">
        <f ca="1">BN51+BO51</f>
        <v>0</v>
      </c>
      <c r="BN51" s="725">
        <f>BN50+BN47</f>
        <v>0</v>
      </c>
      <c r="BO51" s="725">
        <f ca="1">BO50+BO47</f>
        <v>0</v>
      </c>
      <c r="BP51" s="725">
        <f ca="1">BQ51+BR51</f>
        <v>0</v>
      </c>
      <c r="BQ51" s="725">
        <f>BQ50+BQ47</f>
        <v>0</v>
      </c>
      <c r="BR51" s="725">
        <f ca="1">BR50+BR47</f>
        <v>0</v>
      </c>
      <c r="BS51" s="725">
        <f ca="1">BT51+BU51</f>
        <v>0</v>
      </c>
      <c r="BT51" s="725">
        <f>BT50+BT47</f>
        <v>0</v>
      </c>
      <c r="BU51" s="725">
        <f ca="1">BU50+BU47</f>
        <v>0</v>
      </c>
      <c r="BV51" s="725">
        <f ca="1">BW51+BX51</f>
        <v>0</v>
      </c>
      <c r="BW51" s="725">
        <f>BW50+BW47</f>
        <v>0</v>
      </c>
      <c r="BX51" s="725">
        <f ca="1">BX50+BX47</f>
        <v>0</v>
      </c>
      <c r="BY51" s="725">
        <f ca="1">BZ51+CA51</f>
        <v>0</v>
      </c>
      <c r="BZ51" s="725">
        <f>BZ50+BZ47</f>
        <v>0</v>
      </c>
      <c r="CA51" s="725">
        <f ca="1">CA50+CA47</f>
        <v>0</v>
      </c>
      <c r="CB51" s="725">
        <f ca="1">CC51+CD51</f>
        <v>0</v>
      </c>
      <c r="CC51" s="725">
        <f>CC50+CC47</f>
        <v>0</v>
      </c>
      <c r="CD51" s="725">
        <f ca="1">CD50+CD47</f>
        <v>0</v>
      </c>
      <c r="CE51" s="725">
        <f ca="1">CF51+CG51</f>
        <v>0</v>
      </c>
      <c r="CF51" s="725">
        <f>CF50+CF47</f>
        <v>0</v>
      </c>
      <c r="CG51" s="725">
        <f ca="1">CG50+CG47</f>
        <v>0</v>
      </c>
      <c r="CH51" s="725">
        <f ca="1">CI51+CJ51</f>
        <v>0</v>
      </c>
      <c r="CI51" s="725">
        <f>CI50+CI47</f>
        <v>0</v>
      </c>
      <c r="CJ51" s="725">
        <f ca="1">CJ50+CJ47</f>
        <v>0</v>
      </c>
      <c r="CK51" s="725">
        <f ca="1">CL51+CM51</f>
        <v>0</v>
      </c>
      <c r="CL51" s="725">
        <f>CL50+CL47</f>
        <v>0</v>
      </c>
      <c r="CM51" s="725">
        <f ca="1">CM50+CM47</f>
        <v>0</v>
      </c>
      <c r="CN51" s="725">
        <f ca="1">CO51+CP51</f>
        <v>0</v>
      </c>
      <c r="CO51" s="725">
        <f>CO50+CO47</f>
        <v>0</v>
      </c>
      <c r="CP51" s="725">
        <f ca="1">CP50+CP47</f>
        <v>0</v>
      </c>
      <c r="CQ51" s="725">
        <f ca="1">CR51+CS51</f>
        <v>0</v>
      </c>
      <c r="CR51" s="725">
        <f>CR50+CR47</f>
        <v>0</v>
      </c>
      <c r="CS51" s="725">
        <f ca="1">CS50+CS47</f>
        <v>0</v>
      </c>
      <c r="CT51" s="25"/>
      <c r="CW51" s="960" t="s">
        <v>804</v>
      </c>
    </row>
    <row r="52" spans="5:106" ht="16.7" hidden="1" customHeight="1" x14ac:dyDescent="0.15">
      <c r="E52" s="668">
        <v>17.100000000000001</v>
      </c>
      <c r="F52" s="769" cm="1">
        <f t="array" aca="1" ref="F52" ca="1">OFFSET(G52,-1,-1)</f>
        <v>0</v>
      </c>
      <c r="L52" s="769" t="b" cm="1">
        <f t="array" aca="1" ref="L52" ca="1">OFFSET(M52,-1,-1)</f>
        <v>0</v>
      </c>
      <c r="R52" s="769" t="s">
        <v>750</v>
      </c>
      <c r="S52" s="107" t="b" cm="1">
        <f t="array" aca="1" ref="S52" ca="1">OFFSET(T52,-1,-1)</f>
        <v>0</v>
      </c>
      <c r="T52" s="107" t="b" cm="1">
        <f t="array" aca="1" ref="T52" ca="1">L52</f>
        <v>0</v>
      </c>
      <c r="U52" s="690" t="b">
        <f t="shared" ca="1" si="4"/>
        <v>0</v>
      </c>
      <c r="Y52" s="1428"/>
      <c r="Z52" s="1428"/>
      <c r="AB52" s="1539"/>
      <c r="AD52" s="108">
        <v>17</v>
      </c>
      <c r="AE52" s="1511" t="s">
        <v>805</v>
      </c>
      <c r="AF52" s="1512"/>
      <c r="AG52" s="108" t="s">
        <v>521</v>
      </c>
      <c r="AH52" s="731">
        <f t="shared" ref="AH52:BM52" si="21">IFERROR(AH50/AH51,0)</f>
        <v>0</v>
      </c>
      <c r="AI52" s="732">
        <f t="shared" si="21"/>
        <v>0</v>
      </c>
      <c r="AJ52" s="732">
        <f t="shared" si="21"/>
        <v>0</v>
      </c>
      <c r="AK52" s="732">
        <f t="shared" si="21"/>
        <v>0</v>
      </c>
      <c r="AL52" s="732">
        <f t="shared" ca="1" si="21"/>
        <v>0</v>
      </c>
      <c r="AM52" s="732">
        <f t="shared" si="21"/>
        <v>0</v>
      </c>
      <c r="AN52" s="732">
        <f t="shared" ca="1" si="21"/>
        <v>0</v>
      </c>
      <c r="AO52" s="732">
        <f t="shared" ca="1" si="21"/>
        <v>0</v>
      </c>
      <c r="AP52" s="732">
        <f t="shared" si="21"/>
        <v>0</v>
      </c>
      <c r="AQ52" s="732">
        <f t="shared" ca="1" si="21"/>
        <v>0</v>
      </c>
      <c r="AR52" s="732">
        <f t="shared" ca="1" si="21"/>
        <v>0</v>
      </c>
      <c r="AS52" s="732">
        <f t="shared" si="21"/>
        <v>0</v>
      </c>
      <c r="AT52" s="732">
        <f t="shared" ca="1" si="21"/>
        <v>0</v>
      </c>
      <c r="AU52" s="732">
        <f t="shared" ca="1" si="21"/>
        <v>0</v>
      </c>
      <c r="AV52" s="732">
        <f t="shared" si="21"/>
        <v>0</v>
      </c>
      <c r="AW52" s="732">
        <f t="shared" ca="1" si="21"/>
        <v>0</v>
      </c>
      <c r="AX52" s="732">
        <f t="shared" ca="1" si="21"/>
        <v>0</v>
      </c>
      <c r="AY52" s="732">
        <f t="shared" si="21"/>
        <v>0</v>
      </c>
      <c r="AZ52" s="732">
        <f t="shared" ca="1" si="21"/>
        <v>0</v>
      </c>
      <c r="BA52" s="732">
        <f t="shared" ca="1" si="21"/>
        <v>0</v>
      </c>
      <c r="BB52" s="732">
        <f t="shared" si="21"/>
        <v>0</v>
      </c>
      <c r="BC52" s="732">
        <f t="shared" ca="1" si="21"/>
        <v>0</v>
      </c>
      <c r="BD52" s="732">
        <f t="shared" ca="1" si="21"/>
        <v>0</v>
      </c>
      <c r="BE52" s="732">
        <f t="shared" si="21"/>
        <v>0</v>
      </c>
      <c r="BF52" s="732">
        <f t="shared" ca="1" si="21"/>
        <v>0</v>
      </c>
      <c r="BG52" s="732">
        <f t="shared" ca="1" si="21"/>
        <v>0</v>
      </c>
      <c r="BH52" s="732">
        <f t="shared" si="21"/>
        <v>0</v>
      </c>
      <c r="BI52" s="732">
        <f t="shared" ca="1" si="21"/>
        <v>0</v>
      </c>
      <c r="BJ52" s="732">
        <f t="shared" ca="1" si="21"/>
        <v>0</v>
      </c>
      <c r="BK52" s="732">
        <f t="shared" si="21"/>
        <v>0</v>
      </c>
      <c r="BL52" s="732">
        <f t="shared" ca="1" si="21"/>
        <v>0</v>
      </c>
      <c r="BM52" s="732">
        <f t="shared" ca="1" si="21"/>
        <v>0</v>
      </c>
      <c r="BN52" s="732">
        <f t="shared" ref="BN52:CS52" si="22">IFERROR(BN50/BN51,0)</f>
        <v>0</v>
      </c>
      <c r="BO52" s="732">
        <f t="shared" ca="1" si="22"/>
        <v>0</v>
      </c>
      <c r="BP52" s="732">
        <f t="shared" ca="1" si="22"/>
        <v>0</v>
      </c>
      <c r="BQ52" s="732">
        <f t="shared" si="22"/>
        <v>0</v>
      </c>
      <c r="BR52" s="732">
        <f t="shared" ca="1" si="22"/>
        <v>0</v>
      </c>
      <c r="BS52" s="732">
        <f t="shared" ca="1" si="22"/>
        <v>0</v>
      </c>
      <c r="BT52" s="732">
        <f t="shared" si="22"/>
        <v>0</v>
      </c>
      <c r="BU52" s="732">
        <f t="shared" ca="1" si="22"/>
        <v>0</v>
      </c>
      <c r="BV52" s="732">
        <f t="shared" ca="1" si="22"/>
        <v>0</v>
      </c>
      <c r="BW52" s="732">
        <f t="shared" si="22"/>
        <v>0</v>
      </c>
      <c r="BX52" s="732">
        <f t="shared" ca="1" si="22"/>
        <v>0</v>
      </c>
      <c r="BY52" s="732">
        <f t="shared" ca="1" si="22"/>
        <v>0</v>
      </c>
      <c r="BZ52" s="732">
        <f t="shared" si="22"/>
        <v>0</v>
      </c>
      <c r="CA52" s="732">
        <f t="shared" ca="1" si="22"/>
        <v>0</v>
      </c>
      <c r="CB52" s="732">
        <f t="shared" ca="1" si="22"/>
        <v>0</v>
      </c>
      <c r="CC52" s="732">
        <f t="shared" si="22"/>
        <v>0</v>
      </c>
      <c r="CD52" s="732">
        <f t="shared" ca="1" si="22"/>
        <v>0</v>
      </c>
      <c r="CE52" s="732">
        <f t="shared" ca="1" si="22"/>
        <v>0</v>
      </c>
      <c r="CF52" s="732">
        <f t="shared" si="22"/>
        <v>0</v>
      </c>
      <c r="CG52" s="732">
        <f t="shared" ca="1" si="22"/>
        <v>0</v>
      </c>
      <c r="CH52" s="732">
        <f t="shared" ca="1" si="22"/>
        <v>0</v>
      </c>
      <c r="CI52" s="732">
        <f t="shared" si="22"/>
        <v>0</v>
      </c>
      <c r="CJ52" s="732">
        <f t="shared" ca="1" si="22"/>
        <v>0</v>
      </c>
      <c r="CK52" s="732">
        <f t="shared" ca="1" si="22"/>
        <v>0</v>
      </c>
      <c r="CL52" s="732">
        <f t="shared" si="22"/>
        <v>0</v>
      </c>
      <c r="CM52" s="732">
        <f t="shared" ca="1" si="22"/>
        <v>0</v>
      </c>
      <c r="CN52" s="732">
        <f t="shared" ca="1" si="22"/>
        <v>0</v>
      </c>
      <c r="CO52" s="732">
        <f t="shared" si="22"/>
        <v>0</v>
      </c>
      <c r="CP52" s="732">
        <f t="shared" ca="1" si="22"/>
        <v>0</v>
      </c>
      <c r="CQ52" s="732">
        <f t="shared" ca="1" si="22"/>
        <v>0</v>
      </c>
      <c r="CR52" s="732">
        <f t="shared" si="22"/>
        <v>0</v>
      </c>
      <c r="CS52" s="732">
        <f t="shared" ca="1" si="22"/>
        <v>0</v>
      </c>
      <c r="CT52" s="25"/>
      <c r="CW52" s="960" t="s">
        <v>806</v>
      </c>
    </row>
    <row r="53" spans="5:106" ht="16.7" hidden="1" customHeight="1" x14ac:dyDescent="0.15">
      <c r="E53" s="668">
        <v>17.100000000000001</v>
      </c>
      <c r="F53" s="769" cm="1">
        <f t="array" aca="1" ref="F53" ca="1">OFFSET(G53,-1,-1)</f>
        <v>0</v>
      </c>
      <c r="L53" s="769" t="b" cm="1">
        <f t="array" aca="1" ref="L53" ca="1">OFFSET(M53,-1,-1)</f>
        <v>0</v>
      </c>
      <c r="S53" s="107" t="b" cm="1">
        <f t="array" aca="1" ref="S53" ca="1">OFFSET(T53,-1,-1)</f>
        <v>0</v>
      </c>
      <c r="U53" s="690" t="b">
        <f t="shared" ca="1" si="4"/>
        <v>0</v>
      </c>
      <c r="Y53" s="1428"/>
      <c r="Z53" s="1428"/>
      <c r="AB53" s="1539"/>
      <c r="AD53" s="108">
        <v>18</v>
      </c>
      <c r="AE53" s="1511" t="s">
        <v>807</v>
      </c>
      <c r="AF53" s="1512"/>
      <c r="AG53" s="108" t="s">
        <v>794</v>
      </c>
      <c r="AH53" s="725">
        <f t="shared" ref="AH53:BM53" si="23">SUM(AH55:AH56)</f>
        <v>0</v>
      </c>
      <c r="AI53" s="725">
        <f t="shared" si="23"/>
        <v>0</v>
      </c>
      <c r="AJ53" s="725">
        <f t="shared" si="23"/>
        <v>0</v>
      </c>
      <c r="AK53" s="725">
        <f t="shared" si="23"/>
        <v>0</v>
      </c>
      <c r="AL53" s="725">
        <f t="shared" ca="1" si="23"/>
        <v>0</v>
      </c>
      <c r="AM53" s="725">
        <f t="shared" si="23"/>
        <v>0</v>
      </c>
      <c r="AN53" s="725">
        <f t="shared" ca="1" si="23"/>
        <v>0</v>
      </c>
      <c r="AO53" s="725">
        <f t="shared" ca="1" si="23"/>
        <v>0</v>
      </c>
      <c r="AP53" s="725">
        <f t="shared" si="23"/>
        <v>0</v>
      </c>
      <c r="AQ53" s="725">
        <f t="shared" ca="1" si="23"/>
        <v>0</v>
      </c>
      <c r="AR53" s="725">
        <f t="shared" ca="1" si="23"/>
        <v>0</v>
      </c>
      <c r="AS53" s="725">
        <f t="shared" si="23"/>
        <v>0</v>
      </c>
      <c r="AT53" s="725">
        <f t="shared" ca="1" si="23"/>
        <v>0</v>
      </c>
      <c r="AU53" s="725">
        <f t="shared" ca="1" si="23"/>
        <v>0</v>
      </c>
      <c r="AV53" s="725">
        <f t="shared" si="23"/>
        <v>0</v>
      </c>
      <c r="AW53" s="725">
        <f t="shared" ca="1" si="23"/>
        <v>0</v>
      </c>
      <c r="AX53" s="725">
        <f t="shared" ca="1" si="23"/>
        <v>0</v>
      </c>
      <c r="AY53" s="725">
        <f t="shared" si="23"/>
        <v>0</v>
      </c>
      <c r="AZ53" s="725">
        <f t="shared" ca="1" si="23"/>
        <v>0</v>
      </c>
      <c r="BA53" s="725">
        <f t="shared" ca="1" si="23"/>
        <v>0</v>
      </c>
      <c r="BB53" s="725">
        <f t="shared" si="23"/>
        <v>0</v>
      </c>
      <c r="BC53" s="725">
        <f t="shared" ca="1" si="23"/>
        <v>0</v>
      </c>
      <c r="BD53" s="725">
        <f t="shared" ca="1" si="23"/>
        <v>0</v>
      </c>
      <c r="BE53" s="725">
        <f t="shared" si="23"/>
        <v>0</v>
      </c>
      <c r="BF53" s="725">
        <f t="shared" ca="1" si="23"/>
        <v>0</v>
      </c>
      <c r="BG53" s="725">
        <f t="shared" ca="1" si="23"/>
        <v>0</v>
      </c>
      <c r="BH53" s="725">
        <f t="shared" si="23"/>
        <v>0</v>
      </c>
      <c r="BI53" s="725">
        <f t="shared" ca="1" si="23"/>
        <v>0</v>
      </c>
      <c r="BJ53" s="725">
        <f t="shared" ca="1" si="23"/>
        <v>0</v>
      </c>
      <c r="BK53" s="725">
        <f t="shared" si="23"/>
        <v>0</v>
      </c>
      <c r="BL53" s="725">
        <f t="shared" ca="1" si="23"/>
        <v>0</v>
      </c>
      <c r="BM53" s="725">
        <f t="shared" ca="1" si="23"/>
        <v>0</v>
      </c>
      <c r="BN53" s="725">
        <f t="shared" ref="BN53:CS53" si="24">SUM(BN55:BN56)</f>
        <v>0</v>
      </c>
      <c r="BO53" s="725">
        <f t="shared" ca="1" si="24"/>
        <v>0</v>
      </c>
      <c r="BP53" s="725">
        <f t="shared" ca="1" si="24"/>
        <v>0</v>
      </c>
      <c r="BQ53" s="725">
        <f t="shared" si="24"/>
        <v>0</v>
      </c>
      <c r="BR53" s="725">
        <f t="shared" ca="1" si="24"/>
        <v>0</v>
      </c>
      <c r="BS53" s="725">
        <f t="shared" ca="1" si="24"/>
        <v>0</v>
      </c>
      <c r="BT53" s="725">
        <f t="shared" si="24"/>
        <v>0</v>
      </c>
      <c r="BU53" s="725">
        <f t="shared" ca="1" si="24"/>
        <v>0</v>
      </c>
      <c r="BV53" s="725">
        <f t="shared" ca="1" si="24"/>
        <v>0</v>
      </c>
      <c r="BW53" s="725">
        <f t="shared" si="24"/>
        <v>0</v>
      </c>
      <c r="BX53" s="725">
        <f t="shared" ca="1" si="24"/>
        <v>0</v>
      </c>
      <c r="BY53" s="725">
        <f t="shared" ca="1" si="24"/>
        <v>0</v>
      </c>
      <c r="BZ53" s="725">
        <f t="shared" si="24"/>
        <v>0</v>
      </c>
      <c r="CA53" s="725">
        <f t="shared" ca="1" si="24"/>
        <v>0</v>
      </c>
      <c r="CB53" s="725">
        <f t="shared" ca="1" si="24"/>
        <v>0</v>
      </c>
      <c r="CC53" s="725">
        <f t="shared" si="24"/>
        <v>0</v>
      </c>
      <c r="CD53" s="725">
        <f t="shared" ca="1" si="24"/>
        <v>0</v>
      </c>
      <c r="CE53" s="725">
        <f t="shared" ca="1" si="24"/>
        <v>0</v>
      </c>
      <c r="CF53" s="725">
        <f t="shared" si="24"/>
        <v>0</v>
      </c>
      <c r="CG53" s="725">
        <f t="shared" ca="1" si="24"/>
        <v>0</v>
      </c>
      <c r="CH53" s="725">
        <f t="shared" ca="1" si="24"/>
        <v>0</v>
      </c>
      <c r="CI53" s="725">
        <f t="shared" si="24"/>
        <v>0</v>
      </c>
      <c r="CJ53" s="725">
        <f t="shared" ca="1" si="24"/>
        <v>0</v>
      </c>
      <c r="CK53" s="725">
        <f t="shared" ca="1" si="24"/>
        <v>0</v>
      </c>
      <c r="CL53" s="725">
        <f t="shared" si="24"/>
        <v>0</v>
      </c>
      <c r="CM53" s="725">
        <f t="shared" ca="1" si="24"/>
        <v>0</v>
      </c>
      <c r="CN53" s="725">
        <f t="shared" ca="1" si="24"/>
        <v>0</v>
      </c>
      <c r="CO53" s="725">
        <f t="shared" si="24"/>
        <v>0</v>
      </c>
      <c r="CP53" s="725">
        <f t="shared" ca="1" si="24"/>
        <v>0</v>
      </c>
      <c r="CQ53" s="725">
        <f t="shared" ca="1" si="24"/>
        <v>0</v>
      </c>
      <c r="CR53" s="725">
        <f t="shared" si="24"/>
        <v>0</v>
      </c>
      <c r="CS53" s="725">
        <f t="shared" ca="1" si="24"/>
        <v>0</v>
      </c>
      <c r="CT53" s="25"/>
      <c r="CW53" s="960" t="s">
        <v>808</v>
      </c>
    </row>
    <row r="54" spans="5:106" ht="16.7" hidden="1" customHeight="1" x14ac:dyDescent="0.15">
      <c r="E54" s="668">
        <v>17.100000000000001</v>
      </c>
      <c r="F54" s="769" cm="1">
        <f t="array" aca="1" ref="F54" ca="1">OFFSET(G54,-1,-1)</f>
        <v>0</v>
      </c>
      <c r="L54" s="769" t="b" cm="1">
        <f t="array" aca="1" ref="L54" ca="1">OFFSET(M54,-1,-1)</f>
        <v>0</v>
      </c>
      <c r="R54" s="769" t="s">
        <v>750</v>
      </c>
      <c r="S54" s="107" t="b" cm="1">
        <f t="array" aca="1" ref="S54" ca="1">OFFSET(T54,-1,-1)</f>
        <v>0</v>
      </c>
      <c r="T54" s="107" t="b" cm="1">
        <f t="array" aca="1" ref="T54" ca="1">L54</f>
        <v>0</v>
      </c>
      <c r="U54" s="690" t="b">
        <f t="shared" ca="1" si="4"/>
        <v>0</v>
      </c>
      <c r="Y54" s="1428"/>
      <c r="Z54" s="1428"/>
      <c r="AB54" s="1539"/>
      <c r="AD54" s="108" t="s">
        <v>809</v>
      </c>
      <c r="AE54" s="1511" t="s">
        <v>761</v>
      </c>
      <c r="AF54" s="1512"/>
      <c r="AG54" s="108" t="s">
        <v>794</v>
      </c>
      <c r="AH54" s="38">
        <f>AH$52*AH53</f>
        <v>0</v>
      </c>
      <c r="AI54" s="39">
        <f>AI$52*AI53</f>
        <v>0</v>
      </c>
      <c r="AJ54" s="39">
        <f>AJ$52*AJ53</f>
        <v>0</v>
      </c>
      <c r="AK54" s="39">
        <f>AK$52*AK53</f>
        <v>0</v>
      </c>
      <c r="AL54" s="725">
        <f ca="1">AM54+AN54</f>
        <v>0</v>
      </c>
      <c r="AM54" s="39">
        <f>AM$52*AM53</f>
        <v>0</v>
      </c>
      <c r="AN54" s="39">
        <f ca="1">AN$52*AN53</f>
        <v>0</v>
      </c>
      <c r="AO54" s="725">
        <f ca="1">AP54+AQ54</f>
        <v>0</v>
      </c>
      <c r="AP54" s="1244">
        <f>AP$52*AP53</f>
        <v>0</v>
      </c>
      <c r="AQ54" s="1244">
        <f ca="1">AQ$52*AQ53</f>
        <v>0</v>
      </c>
      <c r="AR54" s="725">
        <f ca="1">AS54+AT54</f>
        <v>0</v>
      </c>
      <c r="AS54" s="1244">
        <f>AS$52*AS53</f>
        <v>0</v>
      </c>
      <c r="AT54" s="1244">
        <f ca="1">AT$52*AT53</f>
        <v>0</v>
      </c>
      <c r="AU54" s="725">
        <f ca="1">AV54+AW54</f>
        <v>0</v>
      </c>
      <c r="AV54" s="39">
        <f>AV$52*AV53</f>
        <v>0</v>
      </c>
      <c r="AW54" s="39">
        <f ca="1">AW$52*AW53</f>
        <v>0</v>
      </c>
      <c r="AX54" s="725">
        <f ca="1">AY54+AZ54</f>
        <v>0</v>
      </c>
      <c r="AY54" s="39">
        <f>AY$52*AY53</f>
        <v>0</v>
      </c>
      <c r="AZ54" s="39">
        <f ca="1">AZ$52*AZ53</f>
        <v>0</v>
      </c>
      <c r="BA54" s="725">
        <f ca="1">BB54+BC54</f>
        <v>0</v>
      </c>
      <c r="BB54" s="39">
        <f>BB$52*BB53</f>
        <v>0</v>
      </c>
      <c r="BC54" s="39">
        <f ca="1">BC$52*BC53</f>
        <v>0</v>
      </c>
      <c r="BD54" s="725">
        <f ca="1">BE54+BF54</f>
        <v>0</v>
      </c>
      <c r="BE54" s="39">
        <f>BE$52*BE53</f>
        <v>0</v>
      </c>
      <c r="BF54" s="39">
        <f ca="1">BF$52*BF53</f>
        <v>0</v>
      </c>
      <c r="BG54" s="725">
        <f ca="1">BH54+BI54</f>
        <v>0</v>
      </c>
      <c r="BH54" s="39">
        <f>BH$52*BH53</f>
        <v>0</v>
      </c>
      <c r="BI54" s="39">
        <f ca="1">BI$52*BI53</f>
        <v>0</v>
      </c>
      <c r="BJ54" s="725">
        <f ca="1">BK54+BL54</f>
        <v>0</v>
      </c>
      <c r="BK54" s="39">
        <f>BK$52*BK53</f>
        <v>0</v>
      </c>
      <c r="BL54" s="39">
        <f ca="1">BL$52*BL53</f>
        <v>0</v>
      </c>
      <c r="BM54" s="725">
        <f ca="1">BN54+BO54</f>
        <v>0</v>
      </c>
      <c r="BN54" s="39">
        <f>BN$52*BN53</f>
        <v>0</v>
      </c>
      <c r="BO54" s="39">
        <f ca="1">BO$52*BO53</f>
        <v>0</v>
      </c>
      <c r="BP54" s="725">
        <f ca="1">BQ54+BR54</f>
        <v>0</v>
      </c>
      <c r="BQ54" s="816">
        <f>BQ$52*BQ53</f>
        <v>0</v>
      </c>
      <c r="BR54" s="816">
        <f ca="1">BR$52*BR53</f>
        <v>0</v>
      </c>
      <c r="BS54" s="725">
        <f ca="1">BT54+BU54</f>
        <v>0</v>
      </c>
      <c r="BT54" s="1244">
        <f>BT$52*BT53</f>
        <v>0</v>
      </c>
      <c r="BU54" s="1244">
        <f ca="1">BU$52*BU53</f>
        <v>0</v>
      </c>
      <c r="BV54" s="725">
        <f ca="1">BW54+BX54</f>
        <v>0</v>
      </c>
      <c r="BW54" s="1244">
        <f>BW$52*BW53</f>
        <v>0</v>
      </c>
      <c r="BX54" s="1244">
        <f ca="1">BX$52*BX53</f>
        <v>0</v>
      </c>
      <c r="BY54" s="725">
        <f ca="1">BZ54+CA54</f>
        <v>0</v>
      </c>
      <c r="BZ54" s="39">
        <f>BZ$52*BZ53</f>
        <v>0</v>
      </c>
      <c r="CA54" s="39">
        <f ca="1">CA$52*CA53</f>
        <v>0</v>
      </c>
      <c r="CB54" s="725">
        <f ca="1">CC54+CD54</f>
        <v>0</v>
      </c>
      <c r="CC54" s="39">
        <f>CC$52*CC53</f>
        <v>0</v>
      </c>
      <c r="CD54" s="39">
        <f ca="1">CD$52*CD53</f>
        <v>0</v>
      </c>
      <c r="CE54" s="725">
        <f ca="1">CF54+CG54</f>
        <v>0</v>
      </c>
      <c r="CF54" s="39">
        <f>CF$52*CF53</f>
        <v>0</v>
      </c>
      <c r="CG54" s="39">
        <f ca="1">CG$52*CG53</f>
        <v>0</v>
      </c>
      <c r="CH54" s="725">
        <f ca="1">CI54+CJ54</f>
        <v>0</v>
      </c>
      <c r="CI54" s="39">
        <f>CI$52*CI53</f>
        <v>0</v>
      </c>
      <c r="CJ54" s="39">
        <f ca="1">CJ$52*CJ53</f>
        <v>0</v>
      </c>
      <c r="CK54" s="725">
        <f ca="1">CL54+CM54</f>
        <v>0</v>
      </c>
      <c r="CL54" s="39">
        <f>CL$52*CL53</f>
        <v>0</v>
      </c>
      <c r="CM54" s="39">
        <f ca="1">CM$52*CM53</f>
        <v>0</v>
      </c>
      <c r="CN54" s="725">
        <f ca="1">CO54+CP54</f>
        <v>0</v>
      </c>
      <c r="CO54" s="39">
        <f>CO$52*CO53</f>
        <v>0</v>
      </c>
      <c r="CP54" s="39">
        <f ca="1">CP$52*CP53</f>
        <v>0</v>
      </c>
      <c r="CQ54" s="725">
        <f ca="1">CR54+CS54</f>
        <v>0</v>
      </c>
      <c r="CR54" s="39">
        <f>CR$52*CR53</f>
        <v>0</v>
      </c>
      <c r="CS54" s="39">
        <f ca="1">CS$52*CS53</f>
        <v>0</v>
      </c>
      <c r="CT54" s="25"/>
      <c r="CW54" s="960" t="s">
        <v>810</v>
      </c>
    </row>
    <row r="55" spans="5:106" ht="16.7" hidden="1" customHeight="1" x14ac:dyDescent="0.15">
      <c r="E55" s="668">
        <v>17.100000000000001</v>
      </c>
      <c r="F55" s="769" cm="1">
        <f t="array" aca="1" ref="F55" ca="1">OFFSET(G55,-1,-1)</f>
        <v>0</v>
      </c>
      <c r="L55" s="769" t="b" cm="1">
        <f t="array" aca="1" ref="L55" ca="1">OFFSET(M55,-1,-1)</f>
        <v>0</v>
      </c>
      <c r="S55" s="107" t="b" cm="1">
        <f t="array" aca="1" ref="S55" ca="1">OFFSET(T55,-1,-1)</f>
        <v>0</v>
      </c>
      <c r="T55" s="107" t="b">
        <f>AD55&lt;&gt;"18.0"</f>
        <v>0</v>
      </c>
      <c r="U55" s="690" t="b">
        <f t="shared" ca="1" si="4"/>
        <v>0</v>
      </c>
      <c r="X55" s="107" t="s">
        <v>237</v>
      </c>
      <c r="Y55" s="1428"/>
      <c r="Z55" s="1428"/>
      <c r="AB55" s="1539"/>
      <c r="AC55" s="764" t="s">
        <v>218</v>
      </c>
      <c r="AD55" s="108" t="s">
        <v>809</v>
      </c>
      <c r="AE55" s="40"/>
      <c r="AF55" s="41"/>
      <c r="AG55" s="108" t="s">
        <v>794</v>
      </c>
      <c r="AH55" s="38">
        <f>AH$51*AH58</f>
        <v>0</v>
      </c>
      <c r="AI55" s="38">
        <f>AI64*AI61</f>
        <v>0</v>
      </c>
      <c r="AJ55" s="38">
        <f>AJ64*AJ61</f>
        <v>0</v>
      </c>
      <c r="AK55" s="38">
        <f>AK$51*AK58</f>
        <v>0</v>
      </c>
      <c r="AL55" s="725">
        <f ca="1">AM55+AN55</f>
        <v>0</v>
      </c>
      <c r="AM55" s="38">
        <f>AM$51*AM58</f>
        <v>0</v>
      </c>
      <c r="AN55" s="38">
        <f ca="1">AN$51*AN58</f>
        <v>0</v>
      </c>
      <c r="AO55" s="725">
        <f ca="1">AP55+AQ55</f>
        <v>0</v>
      </c>
      <c r="AP55" s="1245">
        <f>AP$51*AP58</f>
        <v>0</v>
      </c>
      <c r="AQ55" s="1245">
        <f ca="1">AQ$51*AQ58</f>
        <v>0</v>
      </c>
      <c r="AR55" s="725">
        <f ca="1">AS55+AT55</f>
        <v>0</v>
      </c>
      <c r="AS55" s="1245">
        <f>AS$51*AS58</f>
        <v>0</v>
      </c>
      <c r="AT55" s="1245">
        <f ca="1">AT$51*AT58</f>
        <v>0</v>
      </c>
      <c r="AU55" s="725">
        <f ca="1">AV55+AW55</f>
        <v>0</v>
      </c>
      <c r="AV55" s="38">
        <f>AV$51*AV58</f>
        <v>0</v>
      </c>
      <c r="AW55" s="38">
        <f ca="1">AW$51*AW58</f>
        <v>0</v>
      </c>
      <c r="AX55" s="725">
        <f ca="1">AY55+AZ55</f>
        <v>0</v>
      </c>
      <c r="AY55" s="38">
        <f>AY$51*AY58</f>
        <v>0</v>
      </c>
      <c r="AZ55" s="38">
        <f ca="1">AZ$51*AZ58</f>
        <v>0</v>
      </c>
      <c r="BA55" s="725">
        <f ca="1">BB55+BC55</f>
        <v>0</v>
      </c>
      <c r="BB55" s="38">
        <f>BB$51*BB58</f>
        <v>0</v>
      </c>
      <c r="BC55" s="38">
        <f ca="1">BC$51*BC58</f>
        <v>0</v>
      </c>
      <c r="BD55" s="725">
        <f ca="1">BE55+BF55</f>
        <v>0</v>
      </c>
      <c r="BE55" s="38">
        <f>BE$51*BE58</f>
        <v>0</v>
      </c>
      <c r="BF55" s="38">
        <f ca="1">BF$51*BF58</f>
        <v>0</v>
      </c>
      <c r="BG55" s="725">
        <f ca="1">BH55+BI55</f>
        <v>0</v>
      </c>
      <c r="BH55" s="38">
        <f>BH$51*BH58</f>
        <v>0</v>
      </c>
      <c r="BI55" s="38">
        <f ca="1">BI$51*BI58</f>
        <v>0</v>
      </c>
      <c r="BJ55" s="725">
        <f ca="1">BK55+BL55</f>
        <v>0</v>
      </c>
      <c r="BK55" s="38">
        <f>BK$51*BK58</f>
        <v>0</v>
      </c>
      <c r="BL55" s="38">
        <f ca="1">BL$51*BL58</f>
        <v>0</v>
      </c>
      <c r="BM55" s="725">
        <f ca="1">BN55+BO55</f>
        <v>0</v>
      </c>
      <c r="BN55" s="38">
        <f>BN$51*BN58</f>
        <v>0</v>
      </c>
      <c r="BO55" s="38">
        <f ca="1">BO$51*BO58</f>
        <v>0</v>
      </c>
      <c r="BP55" s="725">
        <f ca="1">BQ55+BR55</f>
        <v>0</v>
      </c>
      <c r="BQ55" s="817">
        <f>BQ$51*BQ58</f>
        <v>0</v>
      </c>
      <c r="BR55" s="817">
        <f ca="1">BR$51*BR58</f>
        <v>0</v>
      </c>
      <c r="BS55" s="725">
        <f ca="1">BT55+BU55</f>
        <v>0</v>
      </c>
      <c r="BT55" s="1245">
        <f>BT$51*BT58</f>
        <v>0</v>
      </c>
      <c r="BU55" s="1245">
        <f ca="1">BU$51*BU58</f>
        <v>0</v>
      </c>
      <c r="BV55" s="725">
        <f ca="1">BW55+BX55</f>
        <v>0</v>
      </c>
      <c r="BW55" s="1245">
        <f>BW$51*BW58</f>
        <v>0</v>
      </c>
      <c r="BX55" s="1245">
        <f ca="1">BX$51*BX58</f>
        <v>0</v>
      </c>
      <c r="BY55" s="725">
        <f ca="1">BZ55+CA55</f>
        <v>0</v>
      </c>
      <c r="BZ55" s="38">
        <f>BZ$51*BZ58</f>
        <v>0</v>
      </c>
      <c r="CA55" s="38">
        <f ca="1">CA$51*CA58</f>
        <v>0</v>
      </c>
      <c r="CB55" s="725">
        <f ca="1">CC55+CD55</f>
        <v>0</v>
      </c>
      <c r="CC55" s="38">
        <f>CC$51*CC58</f>
        <v>0</v>
      </c>
      <c r="CD55" s="38">
        <f ca="1">CD$51*CD58</f>
        <v>0</v>
      </c>
      <c r="CE55" s="725">
        <f ca="1">CF55+CG55</f>
        <v>0</v>
      </c>
      <c r="CF55" s="38">
        <f>CF$51*CF58</f>
        <v>0</v>
      </c>
      <c r="CG55" s="38">
        <f ca="1">CG$51*CG58</f>
        <v>0</v>
      </c>
      <c r="CH55" s="725">
        <f ca="1">CI55+CJ55</f>
        <v>0</v>
      </c>
      <c r="CI55" s="38">
        <f>CI$51*CI58</f>
        <v>0</v>
      </c>
      <c r="CJ55" s="38">
        <f ca="1">CJ$51*CJ58</f>
        <v>0</v>
      </c>
      <c r="CK55" s="725">
        <f ca="1">CL55+CM55</f>
        <v>0</v>
      </c>
      <c r="CL55" s="38">
        <f>CL$51*CL58</f>
        <v>0</v>
      </c>
      <c r="CM55" s="38">
        <f ca="1">CM$51*CM58</f>
        <v>0</v>
      </c>
      <c r="CN55" s="725">
        <f ca="1">CO55+CP55</f>
        <v>0</v>
      </c>
      <c r="CO55" s="38">
        <f>CO$51*CO58</f>
        <v>0</v>
      </c>
      <c r="CP55" s="38">
        <f ca="1">CP$51*CP58</f>
        <v>0</v>
      </c>
      <c r="CQ55" s="725">
        <f ca="1">CR55+CS55</f>
        <v>0</v>
      </c>
      <c r="CR55" s="38">
        <f>CR$51*CR58</f>
        <v>0</v>
      </c>
      <c r="CS55" s="38">
        <f ca="1">CS$51*CS58</f>
        <v>0</v>
      </c>
      <c r="CT55" s="25"/>
      <c r="CW55" s="960" t="s">
        <v>811</v>
      </c>
      <c r="CX55" s="965" t="s">
        <v>812</v>
      </c>
      <c r="CY55" s="969" cm="1">
        <f t="array" ref="CY55">AE55</f>
        <v>0</v>
      </c>
      <c r="CZ55" s="969" cm="1">
        <f t="array" ref="CZ55">AF55</f>
        <v>0</v>
      </c>
      <c r="DB55" s="966" t="b">
        <v>1</v>
      </c>
    </row>
    <row r="56" spans="5:106" ht="16.7" hidden="1" customHeight="1" x14ac:dyDescent="0.15">
      <c r="E56" s="668">
        <v>17.100000000000001</v>
      </c>
      <c r="F56" s="769" cm="1">
        <f t="array" aca="1" ref="F56" ca="1">OFFSET(G56,-1,-1)</f>
        <v>0</v>
      </c>
      <c r="L56" s="769" t="b" cm="1">
        <f t="array" aca="1" ref="L56" ca="1">OFFSET(M56,-1,-1)</f>
        <v>0</v>
      </c>
      <c r="S56" s="107" t="b" cm="1">
        <f t="array" aca="1" ref="S56" ca="1">OFFSET(T56,-1,-1)</f>
        <v>0</v>
      </c>
      <c r="U56" s="690" t="b">
        <f t="shared" ca="1" si="4"/>
        <v>0</v>
      </c>
      <c r="X56" s="810" t="str">
        <f>"{                  
         funcDyn: 'msg',
         blok: 'blok_2',
         wsCross: 'Топливо 4.4',
         linkFormula: 'AE-AE#AF-AF',
         levelDyn: "&amp;Y28&amp;"
}"</f>
        <v>{                  
         funcDyn: 'msg',
         blok: 'blok_2',
         wsCross: 'Топливо 4.4',
         linkFormula: 'AE-AE#AF-AF',
         levelDyn: 0
}</v>
      </c>
      <c r="Y56" s="1428"/>
      <c r="Z56" s="1428"/>
      <c r="AB56" s="1539"/>
      <c r="AD56" s="246"/>
      <c r="AE56" s="753" t="s">
        <v>239</v>
      </c>
      <c r="AF56" s="753"/>
      <c r="AG56" s="753"/>
      <c r="AH56" s="753"/>
      <c r="AI56" s="753"/>
      <c r="AJ56" s="753"/>
      <c r="AK56" s="753"/>
      <c r="AL56" s="753"/>
      <c r="AM56" s="753"/>
      <c r="AN56" s="753"/>
      <c r="AO56" s="753"/>
      <c r="AP56" s="753"/>
      <c r="AQ56" s="753"/>
      <c r="AR56" s="753"/>
      <c r="AS56" s="753"/>
      <c r="AT56" s="753"/>
      <c r="AU56" s="753"/>
      <c r="AV56" s="753"/>
      <c r="AW56" s="753"/>
      <c r="AX56" s="753"/>
      <c r="AY56" s="753"/>
      <c r="AZ56" s="753"/>
      <c r="BA56" s="753"/>
      <c r="BB56" s="753"/>
      <c r="BC56" s="753"/>
      <c r="BD56" s="753"/>
      <c r="BE56" s="753"/>
      <c r="BF56" s="753"/>
      <c r="BG56" s="753"/>
      <c r="BH56" s="753"/>
      <c r="BI56" s="753"/>
      <c r="BJ56" s="753"/>
      <c r="BK56" s="753"/>
      <c r="BL56" s="753"/>
      <c r="BM56" s="753"/>
      <c r="BN56" s="753"/>
      <c r="BO56" s="753"/>
      <c r="BP56" s="753"/>
      <c r="BQ56" s="753"/>
      <c r="BR56" s="753"/>
      <c r="BS56" s="753"/>
      <c r="BT56" s="753"/>
      <c r="BU56" s="753"/>
      <c r="BV56" s="753"/>
      <c r="BW56" s="753"/>
      <c r="BX56" s="753"/>
      <c r="BY56" s="753"/>
      <c r="BZ56" s="753"/>
      <c r="CA56" s="753"/>
      <c r="CB56" s="753"/>
      <c r="CC56" s="753"/>
      <c r="CD56" s="753"/>
      <c r="CE56" s="753"/>
      <c r="CF56" s="753"/>
      <c r="CG56" s="753"/>
      <c r="CH56" s="753"/>
      <c r="CI56" s="753"/>
      <c r="CJ56" s="753"/>
      <c r="CK56" s="753"/>
      <c r="CL56" s="753"/>
      <c r="CM56" s="753"/>
      <c r="CN56" s="753"/>
      <c r="CO56" s="753"/>
      <c r="CP56" s="753"/>
      <c r="CQ56" s="753"/>
      <c r="CR56" s="753"/>
      <c r="CS56" s="753"/>
      <c r="CT56" s="894"/>
      <c r="CW56" s="960" t="str">
        <f>IF(AND(ISNUMBER(VALUE(TRIM(SUBSTITUTE(AD56,".","")))),TRIM(SUBSTITUTE(AD56,".",""))&lt;&gt;""),"P"&amp;SUBSTITUTE(AD56,".",""),"")</f>
        <v/>
      </c>
      <c r="DA56" s="966" t="s">
        <v>812</v>
      </c>
    </row>
    <row r="57" spans="5:106" ht="16.7" hidden="1" customHeight="1" x14ac:dyDescent="0.15">
      <c r="E57" s="668">
        <v>17.100000000000001</v>
      </c>
      <c r="F57" s="769" cm="1">
        <f t="array" aca="1" ref="F57" ca="1">OFFSET(G57,-1,-1)</f>
        <v>0</v>
      </c>
      <c r="L57" s="769" t="b" cm="1">
        <f t="array" aca="1" ref="L57" ca="1">OFFSET(M57,-1,-1)</f>
        <v>0</v>
      </c>
      <c r="S57" s="107" t="b" cm="1">
        <f t="array" aca="1" ref="S57" ca="1">OFFSET(T57,-1,-1)</f>
        <v>0</v>
      </c>
      <c r="U57" s="690" t="b">
        <f t="shared" ca="1" si="4"/>
        <v>0</v>
      </c>
      <c r="Y57" s="1428"/>
      <c r="Z57" s="1428"/>
      <c r="AB57" s="1539"/>
      <c r="AD57" s="108">
        <v>19</v>
      </c>
      <c r="AE57" s="1533" t="s">
        <v>813</v>
      </c>
      <c r="AF57" s="1534"/>
      <c r="AG57" s="532" t="s">
        <v>521</v>
      </c>
      <c r="AH57" s="752">
        <f t="shared" ref="AH57:BM57" si="25">SUM(AH58:AH59)</f>
        <v>0</v>
      </c>
      <c r="AI57" s="752">
        <f t="shared" si="25"/>
        <v>0</v>
      </c>
      <c r="AJ57" s="752">
        <f t="shared" si="25"/>
        <v>0</v>
      </c>
      <c r="AK57" s="752">
        <f t="shared" si="25"/>
        <v>0</v>
      </c>
      <c r="AL57" s="752">
        <f t="shared" ca="1" si="25"/>
        <v>0</v>
      </c>
      <c r="AM57" s="752">
        <f t="shared" si="25"/>
        <v>0</v>
      </c>
      <c r="AN57" s="752">
        <f t="shared" si="25"/>
        <v>0</v>
      </c>
      <c r="AO57" s="752">
        <f t="shared" ca="1" si="25"/>
        <v>0</v>
      </c>
      <c r="AP57" s="752">
        <f t="shared" si="25"/>
        <v>0</v>
      </c>
      <c r="AQ57" s="752">
        <f t="shared" si="25"/>
        <v>0</v>
      </c>
      <c r="AR57" s="752">
        <f t="shared" ca="1" si="25"/>
        <v>0</v>
      </c>
      <c r="AS57" s="752">
        <f t="shared" si="25"/>
        <v>0</v>
      </c>
      <c r="AT57" s="752">
        <f t="shared" si="25"/>
        <v>0</v>
      </c>
      <c r="AU57" s="752">
        <f t="shared" ca="1" si="25"/>
        <v>0</v>
      </c>
      <c r="AV57" s="752">
        <f t="shared" si="25"/>
        <v>0</v>
      </c>
      <c r="AW57" s="752">
        <f t="shared" si="25"/>
        <v>0</v>
      </c>
      <c r="AX57" s="752">
        <f t="shared" ca="1" si="25"/>
        <v>0</v>
      </c>
      <c r="AY57" s="752">
        <f t="shared" si="25"/>
        <v>0</v>
      </c>
      <c r="AZ57" s="752">
        <f t="shared" si="25"/>
        <v>0</v>
      </c>
      <c r="BA57" s="752">
        <f t="shared" ca="1" si="25"/>
        <v>0</v>
      </c>
      <c r="BB57" s="752">
        <f t="shared" si="25"/>
        <v>0</v>
      </c>
      <c r="BC57" s="752">
        <f t="shared" si="25"/>
        <v>0</v>
      </c>
      <c r="BD57" s="752">
        <f t="shared" ca="1" si="25"/>
        <v>0</v>
      </c>
      <c r="BE57" s="752">
        <f t="shared" si="25"/>
        <v>0</v>
      </c>
      <c r="BF57" s="752">
        <f t="shared" si="25"/>
        <v>0</v>
      </c>
      <c r="BG57" s="752">
        <f t="shared" ca="1" si="25"/>
        <v>0</v>
      </c>
      <c r="BH57" s="752">
        <f t="shared" si="25"/>
        <v>0</v>
      </c>
      <c r="BI57" s="752">
        <f t="shared" si="25"/>
        <v>0</v>
      </c>
      <c r="BJ57" s="752">
        <f t="shared" ca="1" si="25"/>
        <v>0</v>
      </c>
      <c r="BK57" s="752">
        <f t="shared" si="25"/>
        <v>0</v>
      </c>
      <c r="BL57" s="752">
        <f t="shared" si="25"/>
        <v>0</v>
      </c>
      <c r="BM57" s="752">
        <f t="shared" ca="1" si="25"/>
        <v>0</v>
      </c>
      <c r="BN57" s="752">
        <f t="shared" ref="BN57:CS57" si="26">SUM(BN58:BN59)</f>
        <v>0</v>
      </c>
      <c r="BO57" s="752">
        <f t="shared" si="26"/>
        <v>0</v>
      </c>
      <c r="BP57" s="752">
        <f t="shared" ca="1" si="26"/>
        <v>0</v>
      </c>
      <c r="BQ57" s="752">
        <f t="shared" si="26"/>
        <v>0</v>
      </c>
      <c r="BR57" s="752">
        <f t="shared" si="26"/>
        <v>0</v>
      </c>
      <c r="BS57" s="752">
        <f t="shared" ca="1" si="26"/>
        <v>0</v>
      </c>
      <c r="BT57" s="752">
        <f t="shared" si="26"/>
        <v>0</v>
      </c>
      <c r="BU57" s="752">
        <f t="shared" si="26"/>
        <v>0</v>
      </c>
      <c r="BV57" s="752">
        <f t="shared" ca="1" si="26"/>
        <v>0</v>
      </c>
      <c r="BW57" s="752">
        <f t="shared" si="26"/>
        <v>0</v>
      </c>
      <c r="BX57" s="752">
        <f t="shared" si="26"/>
        <v>0</v>
      </c>
      <c r="BY57" s="752">
        <f t="shared" ca="1" si="26"/>
        <v>0</v>
      </c>
      <c r="BZ57" s="752">
        <f t="shared" si="26"/>
        <v>0</v>
      </c>
      <c r="CA57" s="752">
        <f t="shared" si="26"/>
        <v>0</v>
      </c>
      <c r="CB57" s="752">
        <f t="shared" ca="1" si="26"/>
        <v>0</v>
      </c>
      <c r="CC57" s="752">
        <f t="shared" si="26"/>
        <v>0</v>
      </c>
      <c r="CD57" s="752">
        <f t="shared" si="26"/>
        <v>0</v>
      </c>
      <c r="CE57" s="752">
        <f t="shared" ca="1" si="26"/>
        <v>0</v>
      </c>
      <c r="CF57" s="752">
        <f t="shared" si="26"/>
        <v>0</v>
      </c>
      <c r="CG57" s="752">
        <f t="shared" si="26"/>
        <v>0</v>
      </c>
      <c r="CH57" s="752">
        <f t="shared" ca="1" si="26"/>
        <v>0</v>
      </c>
      <c r="CI57" s="752">
        <f t="shared" si="26"/>
        <v>0</v>
      </c>
      <c r="CJ57" s="752">
        <f t="shared" si="26"/>
        <v>0</v>
      </c>
      <c r="CK57" s="752">
        <f t="shared" ca="1" si="26"/>
        <v>0</v>
      </c>
      <c r="CL57" s="752">
        <f t="shared" si="26"/>
        <v>0</v>
      </c>
      <c r="CM57" s="752">
        <f t="shared" si="26"/>
        <v>0</v>
      </c>
      <c r="CN57" s="752">
        <f t="shared" ca="1" si="26"/>
        <v>0</v>
      </c>
      <c r="CO57" s="752">
        <f t="shared" si="26"/>
        <v>0</v>
      </c>
      <c r="CP57" s="752">
        <f t="shared" si="26"/>
        <v>0</v>
      </c>
      <c r="CQ57" s="752">
        <f t="shared" ca="1" si="26"/>
        <v>0</v>
      </c>
      <c r="CR57" s="752">
        <f t="shared" si="26"/>
        <v>0</v>
      </c>
      <c r="CS57" s="752">
        <f t="shared" si="26"/>
        <v>0</v>
      </c>
      <c r="CT57" s="32"/>
      <c r="CW57" s="960" t="s">
        <v>814</v>
      </c>
    </row>
    <row r="58" spans="5:106" ht="16.7" hidden="1" customHeight="1" x14ac:dyDescent="0.15">
      <c r="E58" s="668">
        <v>17.100000000000001</v>
      </c>
      <c r="F58" s="769" cm="1">
        <f t="array" aca="1" ref="F58" ca="1">OFFSET(G58,-1,-1)</f>
        <v>0</v>
      </c>
      <c r="L58" s="769" t="b" cm="1">
        <f t="array" aca="1" ref="L58" ca="1">OFFSET(M58,-1,-1)</f>
        <v>0</v>
      </c>
      <c r="S58" s="107" t="b" cm="1">
        <f t="array" aca="1" ref="S58" ca="1">OFFSET(T58,-1,-1)</f>
        <v>0</v>
      </c>
      <c r="T58" s="107" t="b">
        <f>AD58&lt;&gt;"19.0"</f>
        <v>0</v>
      </c>
      <c r="U58" s="690" t="b">
        <f t="shared" ca="1" si="4"/>
        <v>0</v>
      </c>
      <c r="X58" s="107" t="s">
        <v>237</v>
      </c>
      <c r="Y58" s="1428"/>
      <c r="Z58" s="1428"/>
      <c r="AB58" s="1539"/>
      <c r="AD58" s="108" t="s">
        <v>815</v>
      </c>
      <c r="AE58" s="811"/>
      <c r="AF58" s="516"/>
      <c r="AG58" s="108" t="s">
        <v>521</v>
      </c>
      <c r="AH58" s="42"/>
      <c r="AI58" s="42">
        <f>IFERROR(AI55/AI$53,0)</f>
        <v>0</v>
      </c>
      <c r="AJ58" s="42">
        <f>IFERROR(AJ55/AJ$53,0)</f>
        <v>0</v>
      </c>
      <c r="AK58" s="42"/>
      <c r="AL58" s="731">
        <f ca="1">IFERROR(AL55/AL$51,0)</f>
        <v>0</v>
      </c>
      <c r="AM58" s="42"/>
      <c r="AN58" s="42"/>
      <c r="AO58" s="731">
        <f ca="1">IFERROR(AO55/AO$51,0)</f>
        <v>0</v>
      </c>
      <c r="AP58" s="1246"/>
      <c r="AQ58" s="1246"/>
      <c r="AR58" s="731">
        <f ca="1">IFERROR(AR55/AR$51,0)</f>
        <v>0</v>
      </c>
      <c r="AS58" s="1246"/>
      <c r="AT58" s="1246"/>
      <c r="AU58" s="731">
        <f ca="1">IFERROR(AU55/AU$51,0)</f>
        <v>0</v>
      </c>
      <c r="AV58" s="42"/>
      <c r="AW58" s="42"/>
      <c r="AX58" s="731">
        <f ca="1">IFERROR(AX55/AX$51,0)</f>
        <v>0</v>
      </c>
      <c r="AY58" s="42"/>
      <c r="AZ58" s="42"/>
      <c r="BA58" s="731">
        <f ca="1">IFERROR(BA55/BA$51,0)</f>
        <v>0</v>
      </c>
      <c r="BB58" s="42"/>
      <c r="BC58" s="42"/>
      <c r="BD58" s="731">
        <f ca="1">IFERROR(BD55/BD$51,0)</f>
        <v>0</v>
      </c>
      <c r="BE58" s="42"/>
      <c r="BF58" s="42"/>
      <c r="BG58" s="731">
        <f ca="1">IFERROR(BG55/BG$51,0)</f>
        <v>0</v>
      </c>
      <c r="BH58" s="42"/>
      <c r="BI58" s="42"/>
      <c r="BJ58" s="731">
        <f ca="1">IFERROR(BJ55/BJ$51,0)</f>
        <v>0</v>
      </c>
      <c r="BK58" s="42"/>
      <c r="BL58" s="42"/>
      <c r="BM58" s="731">
        <f ca="1">IFERROR(BM55/BM$51,0)</f>
        <v>0</v>
      </c>
      <c r="BN58" s="42"/>
      <c r="BO58" s="42"/>
      <c r="BP58" s="731">
        <f ca="1">IFERROR(BP55/BP$51,0)</f>
        <v>0</v>
      </c>
      <c r="BQ58" s="818"/>
      <c r="BR58" s="818"/>
      <c r="BS58" s="731">
        <f ca="1">IFERROR(BS55/BS$51,0)</f>
        <v>0</v>
      </c>
      <c r="BT58" s="1246"/>
      <c r="BU58" s="1246"/>
      <c r="BV58" s="731">
        <f ca="1">IFERROR(BV55/BV$51,0)</f>
        <v>0</v>
      </c>
      <c r="BW58" s="1246"/>
      <c r="BX58" s="1246"/>
      <c r="BY58" s="731">
        <f ca="1">IFERROR(BY55/BY$51,0)</f>
        <v>0</v>
      </c>
      <c r="BZ58" s="42"/>
      <c r="CA58" s="42"/>
      <c r="CB58" s="731">
        <f ca="1">IFERROR(CB55/CB$51,0)</f>
        <v>0</v>
      </c>
      <c r="CC58" s="42"/>
      <c r="CD58" s="42"/>
      <c r="CE58" s="731">
        <f ca="1">IFERROR(CE55/CE$51,0)</f>
        <v>0</v>
      </c>
      <c r="CF58" s="42"/>
      <c r="CG58" s="42"/>
      <c r="CH58" s="731">
        <f ca="1">IFERROR(CH55/CH$51,0)</f>
        <v>0</v>
      </c>
      <c r="CI58" s="42"/>
      <c r="CJ58" s="42"/>
      <c r="CK58" s="731">
        <f ca="1">IFERROR(CK55/CK$51,0)</f>
        <v>0</v>
      </c>
      <c r="CL58" s="42"/>
      <c r="CM58" s="42"/>
      <c r="CN58" s="731">
        <f ca="1">IFERROR(CN55/CN$51,0)</f>
        <v>0</v>
      </c>
      <c r="CO58" s="42"/>
      <c r="CP58" s="42"/>
      <c r="CQ58" s="731">
        <f ca="1">IFERROR(CQ55/CQ$51,0)</f>
        <v>0</v>
      </c>
      <c r="CR58" s="42"/>
      <c r="CS58" s="42"/>
      <c r="CT58" s="25"/>
      <c r="CW58" s="960" t="s">
        <v>814</v>
      </c>
      <c r="CX58" s="965" t="s">
        <v>812</v>
      </c>
      <c r="CY58" s="969" cm="1">
        <f t="array" ref="CY58">AE58</f>
        <v>0</v>
      </c>
      <c r="CZ58" s="969" cm="1">
        <f t="array" ref="CZ58">AF58</f>
        <v>0</v>
      </c>
    </row>
    <row r="59" spans="5:106" ht="17.25" hidden="1" customHeight="1" x14ac:dyDescent="0.15">
      <c r="E59" s="668">
        <v>0</v>
      </c>
      <c r="F59" s="769" cm="1">
        <f t="array" aca="1" ref="F59" ca="1">OFFSET(G59,-1,-1)</f>
        <v>0</v>
      </c>
      <c r="L59" s="769" t="b" cm="1">
        <f t="array" aca="1" ref="L59" ca="1">OFFSET(M59,-1,-1)</f>
        <v>0</v>
      </c>
      <c r="S59" s="107" t="b" cm="1">
        <f t="array" aca="1" ref="S59" ca="1">OFFSET(T59,-1,-1)</f>
        <v>0</v>
      </c>
      <c r="U59" s="690" t="b">
        <f t="shared" ca="1" si="4"/>
        <v>0</v>
      </c>
      <c r="X59" s="810" t="str">
        <f>"{                  
         funcDyn: 'msg1',
         blok: 'blok_2',
         wsCross: 'Топливо 4.4',
         linkFormula: 'AE-AE#AF-AF',
         levelDyn: "&amp;Y28&amp;"
}"</f>
        <v>{                  
         funcDyn: 'msg1',
         blok: 'blok_2',
         wsCross: 'Топливо 4.4',
         linkFormula: 'AE-AE#AF-AF',
         levelDyn: 0
}</v>
      </c>
      <c r="Y59" s="1428"/>
      <c r="Z59" s="1428"/>
      <c r="AB59" s="1539"/>
      <c r="AD59" s="813"/>
      <c r="AE59" s="812" t="s">
        <v>239</v>
      </c>
      <c r="AF59" s="736"/>
      <c r="AG59" s="539"/>
      <c r="AH59" s="737"/>
      <c r="AI59" s="737"/>
      <c r="AJ59" s="737"/>
      <c r="AK59" s="737"/>
      <c r="AL59" s="737"/>
      <c r="AM59" s="737"/>
      <c r="AN59" s="737"/>
      <c r="AO59" s="737"/>
      <c r="AP59" s="737"/>
      <c r="AQ59" s="737"/>
      <c r="AR59" s="737"/>
      <c r="AS59" s="737"/>
      <c r="AT59" s="737"/>
      <c r="AU59" s="737"/>
      <c r="AV59" s="737"/>
      <c r="AW59" s="737"/>
      <c r="AX59" s="737"/>
      <c r="AY59" s="737"/>
      <c r="AZ59" s="737"/>
      <c r="BA59" s="737"/>
      <c r="BB59" s="737"/>
      <c r="BC59" s="737"/>
      <c r="BD59" s="737"/>
      <c r="BE59" s="737"/>
      <c r="BF59" s="737"/>
      <c r="BG59" s="737"/>
      <c r="BH59" s="737"/>
      <c r="BI59" s="737"/>
      <c r="BJ59" s="737"/>
      <c r="BK59" s="737"/>
      <c r="BL59" s="737"/>
      <c r="BM59" s="737"/>
      <c r="BN59" s="737"/>
      <c r="BO59" s="737"/>
      <c r="BP59" s="737"/>
      <c r="BQ59" s="737"/>
      <c r="BR59" s="737"/>
      <c r="BS59" s="737"/>
      <c r="BT59" s="737"/>
      <c r="BU59" s="737"/>
      <c r="BV59" s="737"/>
      <c r="BW59" s="737"/>
      <c r="BX59" s="737"/>
      <c r="BY59" s="737"/>
      <c r="BZ59" s="737"/>
      <c r="CA59" s="737"/>
      <c r="CB59" s="737"/>
      <c r="CC59" s="737"/>
      <c r="CD59" s="737"/>
      <c r="CE59" s="737"/>
      <c r="CF59" s="737"/>
      <c r="CG59" s="737"/>
      <c r="CH59" s="737"/>
      <c r="CI59" s="737"/>
      <c r="CJ59" s="737"/>
      <c r="CK59" s="737"/>
      <c r="CL59" s="737"/>
      <c r="CM59" s="737"/>
      <c r="CN59" s="737"/>
      <c r="CO59" s="737"/>
      <c r="CP59" s="737"/>
      <c r="CQ59" s="737"/>
      <c r="CR59" s="737"/>
      <c r="CS59" s="737"/>
      <c r="CT59" s="43"/>
      <c r="CW59" s="960" t="str">
        <f>IF(AND(ISNUMBER(VALUE(TRIM(SUBSTITUTE(AD59,".","")))),TRIM(SUBSTITUTE(AD59,".",""))&lt;&gt;""),"P"&amp;SUBSTITUTE(AD59,".",""),"")</f>
        <v/>
      </c>
    </row>
    <row r="60" spans="5:106" ht="16.7" hidden="1" customHeight="1" x14ac:dyDescent="0.15">
      <c r="E60" s="668">
        <v>17.100000000000001</v>
      </c>
      <c r="F60" s="769" cm="1">
        <f t="array" aca="1" ref="F60" ca="1">OFFSET(G60,-1,-1)</f>
        <v>0</v>
      </c>
      <c r="L60" s="769" t="b" cm="1">
        <f t="array" aca="1" ref="L60" ca="1">OFFSET(M60,-1,-1)</f>
        <v>0</v>
      </c>
      <c r="S60" s="107" t="b" cm="1">
        <f t="array" aca="1" ref="S60" ca="1">OFFSET(T60,-1,-1)</f>
        <v>0</v>
      </c>
      <c r="U60" s="690" t="b">
        <f t="shared" ca="1" si="4"/>
        <v>0</v>
      </c>
      <c r="Y60" s="1428"/>
      <c r="Z60" s="1428"/>
      <c r="AB60" s="1539"/>
      <c r="AD60" s="108">
        <v>20</v>
      </c>
      <c r="AE60" s="1511" t="s">
        <v>816</v>
      </c>
      <c r="AF60" s="1512"/>
      <c r="AG60" s="614"/>
      <c r="AH60" s="726"/>
      <c r="AI60" s="728"/>
      <c r="AJ60" s="728"/>
      <c r="AK60" s="728"/>
      <c r="AL60" s="728"/>
      <c r="AM60" s="728"/>
      <c r="AN60" s="728"/>
      <c r="AO60" s="728"/>
      <c r="AP60" s="728"/>
      <c r="AQ60" s="728"/>
      <c r="AR60" s="728"/>
      <c r="AS60" s="728"/>
      <c r="AT60" s="728"/>
      <c r="AU60" s="728"/>
      <c r="AV60" s="728"/>
      <c r="AW60" s="728"/>
      <c r="AX60" s="728"/>
      <c r="AY60" s="728"/>
      <c r="AZ60" s="728"/>
      <c r="BA60" s="728"/>
      <c r="BB60" s="728"/>
      <c r="BC60" s="728"/>
      <c r="BD60" s="728"/>
      <c r="BE60" s="728"/>
      <c r="BF60" s="728"/>
      <c r="BG60" s="728"/>
      <c r="BH60" s="728"/>
      <c r="BI60" s="728"/>
      <c r="BJ60" s="728"/>
      <c r="BK60" s="728"/>
      <c r="BL60" s="728"/>
      <c r="BM60" s="728"/>
      <c r="BN60" s="728"/>
      <c r="BO60" s="728"/>
      <c r="BP60" s="728"/>
      <c r="BQ60" s="728"/>
      <c r="BR60" s="728"/>
      <c r="BS60" s="728"/>
      <c r="BT60" s="728"/>
      <c r="BU60" s="728"/>
      <c r="BV60" s="728"/>
      <c r="BW60" s="728"/>
      <c r="BX60" s="728"/>
      <c r="BY60" s="728"/>
      <c r="BZ60" s="728"/>
      <c r="CA60" s="728"/>
      <c r="CB60" s="728"/>
      <c r="CC60" s="728"/>
      <c r="CD60" s="728"/>
      <c r="CE60" s="728"/>
      <c r="CF60" s="728"/>
      <c r="CG60" s="728"/>
      <c r="CH60" s="728"/>
      <c r="CI60" s="728"/>
      <c r="CJ60" s="728"/>
      <c r="CK60" s="728"/>
      <c r="CL60" s="728"/>
      <c r="CM60" s="728"/>
      <c r="CN60" s="728"/>
      <c r="CO60" s="728"/>
      <c r="CP60" s="728"/>
      <c r="CQ60" s="728"/>
      <c r="CR60" s="728"/>
      <c r="CS60" s="728"/>
      <c r="CT60" s="25"/>
      <c r="CW60" s="960" t="s">
        <v>817</v>
      </c>
    </row>
    <row r="61" spans="5:106" ht="16.7" hidden="1" customHeight="1" x14ac:dyDescent="0.15">
      <c r="E61" s="668">
        <v>17.100000000000001</v>
      </c>
      <c r="F61" s="769" cm="1">
        <f t="array" aca="1" ref="F61" ca="1">OFFSET(G61,-1,-1)</f>
        <v>0</v>
      </c>
      <c r="L61" s="769" t="b" cm="1">
        <f t="array" aca="1" ref="L61" ca="1">OFFSET(M61,-1,-1)</f>
        <v>0</v>
      </c>
      <c r="S61" s="107" t="b" cm="1">
        <f t="array" aca="1" ref="S61" ca="1">OFFSET(T61,-1,-1)</f>
        <v>0</v>
      </c>
      <c r="T61" s="107" t="b">
        <f>AD61&lt;&gt;"20.0"</f>
        <v>0</v>
      </c>
      <c r="U61" s="690" t="b">
        <f t="shared" ca="1" si="4"/>
        <v>0</v>
      </c>
      <c r="X61" s="107" t="s">
        <v>237</v>
      </c>
      <c r="Y61" s="1428"/>
      <c r="Z61" s="1428"/>
      <c r="AB61" s="1539"/>
      <c r="AD61" s="108" t="s">
        <v>818</v>
      </c>
      <c r="AE61" s="811"/>
      <c r="AF61" s="516"/>
      <c r="AG61" s="614"/>
      <c r="AH61" s="38"/>
      <c r="AI61" s="39"/>
      <c r="AJ61" s="39"/>
      <c r="AK61" s="39"/>
      <c r="AL61" s="727">
        <f ca="1">IFERROR(AL55/AL64,0)</f>
        <v>0</v>
      </c>
      <c r="AM61" s="39"/>
      <c r="AN61" s="39" cm="1">
        <f t="array" ref="AN61">AM61</f>
        <v>0</v>
      </c>
      <c r="AO61" s="727">
        <f ca="1">IFERROR(AO55/AO64,0)</f>
        <v>0</v>
      </c>
      <c r="AP61" s="1244"/>
      <c r="AQ61" s="1244" cm="1">
        <f t="array" ref="AQ61">AP61</f>
        <v>0</v>
      </c>
      <c r="AR61" s="727">
        <f ca="1">IFERROR(AR55/AR64,0)</f>
        <v>0</v>
      </c>
      <c r="AS61" s="1244"/>
      <c r="AT61" s="1244" cm="1">
        <f t="array" ref="AT61">AS61</f>
        <v>0</v>
      </c>
      <c r="AU61" s="727">
        <f ca="1">IFERROR(AU55/AU64,0)</f>
        <v>0</v>
      </c>
      <c r="AV61" s="39"/>
      <c r="AW61" s="39" cm="1">
        <f t="array" ref="AW61">AV61</f>
        <v>0</v>
      </c>
      <c r="AX61" s="727">
        <f ca="1">IFERROR(AX55/AX64,0)</f>
        <v>0</v>
      </c>
      <c r="AY61" s="39"/>
      <c r="AZ61" s="39" cm="1">
        <f t="array" ref="AZ61">AY61</f>
        <v>0</v>
      </c>
      <c r="BA61" s="727">
        <f ca="1">IFERROR(BA55/BA64,0)</f>
        <v>0</v>
      </c>
      <c r="BB61" s="39"/>
      <c r="BC61" s="39" cm="1">
        <f t="array" ref="BC61">BB61</f>
        <v>0</v>
      </c>
      <c r="BD61" s="727">
        <f ca="1">IFERROR(BD55/BD64,0)</f>
        <v>0</v>
      </c>
      <c r="BE61" s="39"/>
      <c r="BF61" s="39" cm="1">
        <f t="array" ref="BF61">BE61</f>
        <v>0</v>
      </c>
      <c r="BG61" s="727">
        <f ca="1">IFERROR(BG55/BG64,0)</f>
        <v>0</v>
      </c>
      <c r="BH61" s="39"/>
      <c r="BI61" s="39" cm="1">
        <f t="array" ref="BI61">BH61</f>
        <v>0</v>
      </c>
      <c r="BJ61" s="727">
        <f ca="1">IFERROR(BJ55/BJ64,0)</f>
        <v>0</v>
      </c>
      <c r="BK61" s="39"/>
      <c r="BL61" s="39" cm="1">
        <f t="array" ref="BL61">BK61</f>
        <v>0</v>
      </c>
      <c r="BM61" s="727">
        <f ca="1">IFERROR(BM55/BM64,0)</f>
        <v>0</v>
      </c>
      <c r="BN61" s="39"/>
      <c r="BO61" s="39" cm="1">
        <f t="array" ref="BO61">BN61</f>
        <v>0</v>
      </c>
      <c r="BP61" s="727">
        <f ca="1">IFERROR(BP55/BP64,0)</f>
        <v>0</v>
      </c>
      <c r="BQ61" s="816"/>
      <c r="BR61" s="816" cm="1">
        <f t="array" ref="BR61">BQ61</f>
        <v>0</v>
      </c>
      <c r="BS61" s="727">
        <f ca="1">IFERROR(BS55/BS64,0)</f>
        <v>0</v>
      </c>
      <c r="BT61" s="1244"/>
      <c r="BU61" s="1244" cm="1">
        <f t="array" ref="BU61">BT61</f>
        <v>0</v>
      </c>
      <c r="BV61" s="727">
        <f ca="1">IFERROR(BV55/BV64,0)</f>
        <v>0</v>
      </c>
      <c r="BW61" s="1244"/>
      <c r="BX61" s="1244" cm="1">
        <f t="array" ref="BX61">BW61</f>
        <v>0</v>
      </c>
      <c r="BY61" s="727">
        <f ca="1">IFERROR(BY55/BY64,0)</f>
        <v>0</v>
      </c>
      <c r="BZ61" s="39"/>
      <c r="CA61" s="39" cm="1">
        <f t="array" ref="CA61">BZ61</f>
        <v>0</v>
      </c>
      <c r="CB61" s="727">
        <f ca="1">IFERROR(CB55/CB64,0)</f>
        <v>0</v>
      </c>
      <c r="CC61" s="39"/>
      <c r="CD61" s="39" cm="1">
        <f t="array" ref="CD61">CC61</f>
        <v>0</v>
      </c>
      <c r="CE61" s="727">
        <f ca="1">IFERROR(CE55/CE64,0)</f>
        <v>0</v>
      </c>
      <c r="CF61" s="39"/>
      <c r="CG61" s="39" cm="1">
        <f t="array" ref="CG61">CF61</f>
        <v>0</v>
      </c>
      <c r="CH61" s="727">
        <f ca="1">IFERROR(CH55/CH64,0)</f>
        <v>0</v>
      </c>
      <c r="CI61" s="39"/>
      <c r="CJ61" s="39" cm="1">
        <f t="array" ref="CJ61">CI61</f>
        <v>0</v>
      </c>
      <c r="CK61" s="727">
        <f ca="1">IFERROR(CK55/CK64,0)</f>
        <v>0</v>
      </c>
      <c r="CL61" s="39"/>
      <c r="CM61" s="39" cm="1">
        <f t="array" ref="CM61">CL61</f>
        <v>0</v>
      </c>
      <c r="CN61" s="727">
        <f ca="1">IFERROR(CN55/CN64,0)</f>
        <v>0</v>
      </c>
      <c r="CO61" s="39"/>
      <c r="CP61" s="39" cm="1">
        <f t="array" ref="CP61">CO61</f>
        <v>0</v>
      </c>
      <c r="CQ61" s="727">
        <f ca="1">IFERROR(CQ55/CQ64,0)</f>
        <v>0</v>
      </c>
      <c r="CR61" s="39"/>
      <c r="CS61" s="39" cm="1">
        <f t="array" ref="CS61">CR61</f>
        <v>0</v>
      </c>
      <c r="CT61" s="25"/>
      <c r="CW61" s="960" t="s">
        <v>817</v>
      </c>
      <c r="CX61" s="965" t="s">
        <v>812</v>
      </c>
      <c r="CY61" s="969" cm="1">
        <f t="array" ref="CY61">AE61</f>
        <v>0</v>
      </c>
      <c r="CZ61" s="969" cm="1">
        <f t="array" ref="CZ61">AF61</f>
        <v>0</v>
      </c>
    </row>
    <row r="62" spans="5:106" ht="17.25" hidden="1" customHeight="1" x14ac:dyDescent="0.15">
      <c r="E62" s="668">
        <v>0</v>
      </c>
      <c r="F62" s="769" cm="1">
        <f t="array" aca="1" ref="F62" ca="1">OFFSET(G62,-1,-1)</f>
        <v>0</v>
      </c>
      <c r="L62" s="769" t="b" cm="1">
        <f t="array" aca="1" ref="L62" ca="1">OFFSET(M62,-1,-1)</f>
        <v>0</v>
      </c>
      <c r="S62" s="107" t="b" cm="1">
        <f t="array" aca="1" ref="S62" ca="1">OFFSET(T62,-1,-1)</f>
        <v>0</v>
      </c>
      <c r="U62" s="690" t="b">
        <f t="shared" ca="1" si="4"/>
        <v>0</v>
      </c>
      <c r="X62" s="810" t="str">
        <f>"{                  
         funcDyn: 'msg1',
         blok: 'blok_2',
         wsCross: 'Топливо 4.4',
         linkFormula: 'AE-AE#AF-AF',
         levelDyn: "&amp;Y28&amp;"
}"</f>
        <v>{                  
         funcDyn: 'msg1',
         blok: 'blok_2',
         wsCross: 'Топливо 4.4',
         linkFormula: 'AE-AE#AF-AF',
         levelDyn: 0
}</v>
      </c>
      <c r="Y62" s="1428"/>
      <c r="Z62" s="1428"/>
      <c r="AB62" s="1539"/>
      <c r="AD62" s="813"/>
      <c r="AE62" s="812" t="s">
        <v>239</v>
      </c>
      <c r="AF62" s="736"/>
      <c r="AG62" s="843"/>
      <c r="AH62" s="726"/>
      <c r="AI62" s="728"/>
      <c r="AJ62" s="728"/>
      <c r="AK62" s="728"/>
      <c r="AL62" s="728"/>
      <c r="AM62" s="728"/>
      <c r="AN62" s="728"/>
      <c r="AO62" s="728"/>
      <c r="AP62" s="728"/>
      <c r="AQ62" s="728"/>
      <c r="AR62" s="728"/>
      <c r="AS62" s="728"/>
      <c r="AT62" s="728"/>
      <c r="AU62" s="728"/>
      <c r="AV62" s="728"/>
      <c r="AW62" s="728"/>
      <c r="AX62" s="728"/>
      <c r="AY62" s="728"/>
      <c r="AZ62" s="728"/>
      <c r="BA62" s="728"/>
      <c r="BB62" s="728"/>
      <c r="BC62" s="728"/>
      <c r="BD62" s="728"/>
      <c r="BE62" s="728"/>
      <c r="BF62" s="728"/>
      <c r="BG62" s="728"/>
      <c r="BH62" s="728"/>
      <c r="BI62" s="728"/>
      <c r="BJ62" s="728"/>
      <c r="BK62" s="728"/>
      <c r="BL62" s="728"/>
      <c r="BM62" s="728"/>
      <c r="BN62" s="728"/>
      <c r="BO62" s="728"/>
      <c r="BP62" s="728"/>
      <c r="BQ62" s="728"/>
      <c r="BR62" s="728"/>
      <c r="BS62" s="728"/>
      <c r="BT62" s="728"/>
      <c r="BU62" s="728"/>
      <c r="BV62" s="728"/>
      <c r="BW62" s="728"/>
      <c r="BX62" s="728"/>
      <c r="BY62" s="728"/>
      <c r="BZ62" s="728"/>
      <c r="CA62" s="728"/>
      <c r="CB62" s="728"/>
      <c r="CC62" s="728"/>
      <c r="CD62" s="728"/>
      <c r="CE62" s="728"/>
      <c r="CF62" s="728"/>
      <c r="CG62" s="728"/>
      <c r="CH62" s="728"/>
      <c r="CI62" s="728"/>
      <c r="CJ62" s="728"/>
      <c r="CK62" s="728"/>
      <c r="CL62" s="728"/>
      <c r="CM62" s="728"/>
      <c r="CN62" s="728"/>
      <c r="CO62" s="728"/>
      <c r="CP62" s="728"/>
      <c r="CQ62" s="728"/>
      <c r="CR62" s="728"/>
      <c r="CS62" s="728"/>
      <c r="CT62" s="43"/>
      <c r="CW62" s="960" t="str">
        <f>IF(AND(ISNUMBER(VALUE(TRIM(SUBSTITUTE(AD62,".","")))),TRIM(SUBSTITUTE(AD62,".",""))&lt;&gt;""),"P"&amp;SUBSTITUTE(AD62,".",""),"")</f>
        <v/>
      </c>
    </row>
    <row r="63" spans="5:106" ht="16.7" hidden="1" customHeight="1" x14ac:dyDescent="0.15">
      <c r="E63" s="668">
        <v>17.100000000000001</v>
      </c>
      <c r="F63" s="769" cm="1">
        <f t="array" aca="1" ref="F63" ca="1">OFFSET(G63,-1,-1)</f>
        <v>0</v>
      </c>
      <c r="L63" s="769" t="b" cm="1">
        <f t="array" aca="1" ref="L63" ca="1">OFFSET(M63,-1,-1)</f>
        <v>0</v>
      </c>
      <c r="S63" s="107" t="b" cm="1">
        <f t="array" aca="1" ref="S63" ca="1">OFFSET(T63,-1,-1)</f>
        <v>0</v>
      </c>
      <c r="U63" s="690" t="b">
        <f t="shared" ca="1" si="4"/>
        <v>0</v>
      </c>
      <c r="Y63" s="1428"/>
      <c r="Z63" s="1428"/>
      <c r="AB63" s="1539"/>
      <c r="AD63" s="108">
        <v>21</v>
      </c>
      <c r="AE63" s="1521" t="s">
        <v>819</v>
      </c>
      <c r="AF63" s="1522"/>
      <c r="AG63" s="614"/>
      <c r="AH63" s="726"/>
      <c r="AI63" s="728"/>
      <c r="AJ63" s="728"/>
      <c r="AK63" s="728"/>
      <c r="AL63" s="728"/>
      <c r="AM63" s="728"/>
      <c r="AN63" s="728"/>
      <c r="AO63" s="728"/>
      <c r="AP63" s="728"/>
      <c r="AQ63" s="728"/>
      <c r="AR63" s="728"/>
      <c r="AS63" s="728"/>
      <c r="AT63" s="728"/>
      <c r="AU63" s="728"/>
      <c r="AV63" s="728"/>
      <c r="AW63" s="728"/>
      <c r="AX63" s="728"/>
      <c r="AY63" s="728"/>
      <c r="AZ63" s="728"/>
      <c r="BA63" s="728"/>
      <c r="BB63" s="728"/>
      <c r="BC63" s="728"/>
      <c r="BD63" s="728"/>
      <c r="BE63" s="728"/>
      <c r="BF63" s="728"/>
      <c r="BG63" s="728"/>
      <c r="BH63" s="728"/>
      <c r="BI63" s="728"/>
      <c r="BJ63" s="728"/>
      <c r="BK63" s="728"/>
      <c r="BL63" s="728"/>
      <c r="BM63" s="728"/>
      <c r="BN63" s="728"/>
      <c r="BO63" s="728"/>
      <c r="BP63" s="728"/>
      <c r="BQ63" s="728"/>
      <c r="BR63" s="728"/>
      <c r="BS63" s="728"/>
      <c r="BT63" s="728"/>
      <c r="BU63" s="728"/>
      <c r="BV63" s="728"/>
      <c r="BW63" s="728"/>
      <c r="BX63" s="728"/>
      <c r="BY63" s="728"/>
      <c r="BZ63" s="728"/>
      <c r="CA63" s="728"/>
      <c r="CB63" s="728"/>
      <c r="CC63" s="728"/>
      <c r="CD63" s="728"/>
      <c r="CE63" s="728"/>
      <c r="CF63" s="728"/>
      <c r="CG63" s="728"/>
      <c r="CH63" s="728"/>
      <c r="CI63" s="728"/>
      <c r="CJ63" s="728"/>
      <c r="CK63" s="728"/>
      <c r="CL63" s="728"/>
      <c r="CM63" s="728"/>
      <c r="CN63" s="728"/>
      <c r="CO63" s="728"/>
      <c r="CP63" s="728"/>
      <c r="CQ63" s="728"/>
      <c r="CR63" s="728"/>
      <c r="CS63" s="728"/>
      <c r="CT63" s="25"/>
      <c r="CW63" s="960" t="s">
        <v>820</v>
      </c>
    </row>
    <row r="64" spans="5:106" ht="16.7" hidden="1" customHeight="1" x14ac:dyDescent="0.15">
      <c r="E64" s="668">
        <v>17.100000000000001</v>
      </c>
      <c r="F64" s="769" cm="1">
        <f t="array" aca="1" ref="F64" ca="1">OFFSET(G64,-1,-1)</f>
        <v>0</v>
      </c>
      <c r="L64" s="769" t="b" cm="1">
        <f t="array" aca="1" ref="L64" ca="1">OFFSET(M64,-1,-1)</f>
        <v>0</v>
      </c>
      <c r="S64" s="107" t="b" cm="1">
        <f t="array" aca="1" ref="S64" ca="1">OFFSET(T64,-1,-1)</f>
        <v>0</v>
      </c>
      <c r="T64" s="107" t="b">
        <f>AD64&lt;&gt;"21.0"</f>
        <v>0</v>
      </c>
      <c r="U64" s="690" t="b">
        <f t="shared" ca="1" si="4"/>
        <v>0</v>
      </c>
      <c r="X64" s="107" t="s">
        <v>237</v>
      </c>
      <c r="Y64" s="1428"/>
      <c r="Z64" s="1428"/>
      <c r="AB64" s="1539"/>
      <c r="AD64" s="108" t="s">
        <v>821</v>
      </c>
      <c r="AE64" s="811"/>
      <c r="AF64" s="516"/>
      <c r="AG64" s="884" t="str">
        <f>IFERROR(INDEX(fuel_ed_izm_list,MATCH(AE64,fuel_list,0)),"тнт")</f>
        <v>тнт</v>
      </c>
      <c r="AH64" s="39">
        <f>IFERROR(AH55/AH61,0)</f>
        <v>0</v>
      </c>
      <c r="AI64" s="39"/>
      <c r="AJ64" s="39"/>
      <c r="AK64" s="39">
        <f>IFERROR(AK55/AK61,0)</f>
        <v>0</v>
      </c>
      <c r="AL64" s="725">
        <f ca="1">AM64+AN64</f>
        <v>0</v>
      </c>
      <c r="AM64" s="39">
        <f>IFERROR(AM55/AM61,0)</f>
        <v>0</v>
      </c>
      <c r="AN64" s="39">
        <f ca="1">IFERROR(AN55/AN61,0)</f>
        <v>0</v>
      </c>
      <c r="AO64" s="725">
        <f ca="1">AP64+AQ64</f>
        <v>0</v>
      </c>
      <c r="AP64" s="1244">
        <f>IFERROR(AP55/AP61,0)</f>
        <v>0</v>
      </c>
      <c r="AQ64" s="1244">
        <f ca="1">IFERROR(AQ55/AQ61,0)</f>
        <v>0</v>
      </c>
      <c r="AR64" s="725">
        <f ca="1">AS64+AT64</f>
        <v>0</v>
      </c>
      <c r="AS64" s="1244">
        <f>IFERROR(AS55/AS61,0)</f>
        <v>0</v>
      </c>
      <c r="AT64" s="1244">
        <f ca="1">IFERROR(AT55/AT61,0)</f>
        <v>0</v>
      </c>
      <c r="AU64" s="725">
        <f ca="1">AV64+AW64</f>
        <v>0</v>
      </c>
      <c r="AV64" s="39">
        <f>IFERROR(AV55/AV61,0)</f>
        <v>0</v>
      </c>
      <c r="AW64" s="39">
        <f ca="1">IFERROR(AW55/AW61,0)</f>
        <v>0</v>
      </c>
      <c r="AX64" s="725">
        <f ca="1">AY64+AZ64</f>
        <v>0</v>
      </c>
      <c r="AY64" s="39">
        <f>IFERROR(AY55/AY61,0)</f>
        <v>0</v>
      </c>
      <c r="AZ64" s="39">
        <f ca="1">IFERROR(AZ55/AZ61,0)</f>
        <v>0</v>
      </c>
      <c r="BA64" s="725">
        <f ca="1">BB64+BC64</f>
        <v>0</v>
      </c>
      <c r="BB64" s="39">
        <f>IFERROR(BB55/BB61,0)</f>
        <v>0</v>
      </c>
      <c r="BC64" s="39">
        <f ca="1">IFERROR(BC55/BC61,0)</f>
        <v>0</v>
      </c>
      <c r="BD64" s="725">
        <f ca="1">BE64+BF64</f>
        <v>0</v>
      </c>
      <c r="BE64" s="39">
        <f>IFERROR(BE55/BE61,0)</f>
        <v>0</v>
      </c>
      <c r="BF64" s="39">
        <f ca="1">IFERROR(BF55/BF61,0)</f>
        <v>0</v>
      </c>
      <c r="BG64" s="725">
        <f ca="1">BH64+BI64</f>
        <v>0</v>
      </c>
      <c r="BH64" s="39">
        <f>IFERROR(BH55/BH61,0)</f>
        <v>0</v>
      </c>
      <c r="BI64" s="39">
        <f ca="1">IFERROR(BI55/BI61,0)</f>
        <v>0</v>
      </c>
      <c r="BJ64" s="725">
        <f ca="1">BK64+BL64</f>
        <v>0</v>
      </c>
      <c r="BK64" s="39">
        <f>IFERROR(BK55/BK61,0)</f>
        <v>0</v>
      </c>
      <c r="BL64" s="39">
        <f ca="1">IFERROR(BL55/BL61,0)</f>
        <v>0</v>
      </c>
      <c r="BM64" s="725">
        <f ca="1">BN64+BO64</f>
        <v>0</v>
      </c>
      <c r="BN64" s="39">
        <f>IFERROR(BN55/BN61,0)</f>
        <v>0</v>
      </c>
      <c r="BO64" s="39">
        <f ca="1">IFERROR(BO55/BO61,0)</f>
        <v>0</v>
      </c>
      <c r="BP64" s="725">
        <f ca="1">BQ64+BR64</f>
        <v>0</v>
      </c>
      <c r="BQ64" s="816">
        <f>IFERROR(BQ55/BQ61,0)</f>
        <v>0</v>
      </c>
      <c r="BR64" s="816">
        <f ca="1">IFERROR(BR55/BR61,0)</f>
        <v>0</v>
      </c>
      <c r="BS64" s="725">
        <f ca="1">BT64+BU64</f>
        <v>0</v>
      </c>
      <c r="BT64" s="1244">
        <f>IFERROR(BT55/BT61,0)</f>
        <v>0</v>
      </c>
      <c r="BU64" s="1244">
        <f ca="1">IFERROR(BU55/BU61,0)</f>
        <v>0</v>
      </c>
      <c r="BV64" s="725">
        <f ca="1">BW64+BX64</f>
        <v>0</v>
      </c>
      <c r="BW64" s="1244">
        <f>IFERROR(BW55/BW61,0)</f>
        <v>0</v>
      </c>
      <c r="BX64" s="1244">
        <f ca="1">IFERROR(BX55/BX61,0)</f>
        <v>0</v>
      </c>
      <c r="BY64" s="725">
        <f ca="1">BZ64+CA64</f>
        <v>0</v>
      </c>
      <c r="BZ64" s="39">
        <f>IFERROR(BZ55/BZ61,0)</f>
        <v>0</v>
      </c>
      <c r="CA64" s="39">
        <f ca="1">IFERROR(CA55/CA61,0)</f>
        <v>0</v>
      </c>
      <c r="CB64" s="725">
        <f ca="1">CC64+CD64</f>
        <v>0</v>
      </c>
      <c r="CC64" s="39">
        <f>IFERROR(CC55/CC61,0)</f>
        <v>0</v>
      </c>
      <c r="CD64" s="39">
        <f ca="1">IFERROR(CD55/CD61,0)</f>
        <v>0</v>
      </c>
      <c r="CE64" s="725">
        <f ca="1">CF64+CG64</f>
        <v>0</v>
      </c>
      <c r="CF64" s="39">
        <f>IFERROR(CF55/CF61,0)</f>
        <v>0</v>
      </c>
      <c r="CG64" s="39">
        <f ca="1">IFERROR(CG55/CG61,0)</f>
        <v>0</v>
      </c>
      <c r="CH64" s="725">
        <f ca="1">CI64+CJ64</f>
        <v>0</v>
      </c>
      <c r="CI64" s="39">
        <f>IFERROR(CI55/CI61,0)</f>
        <v>0</v>
      </c>
      <c r="CJ64" s="39">
        <f ca="1">IFERROR(CJ55/CJ61,0)</f>
        <v>0</v>
      </c>
      <c r="CK64" s="725">
        <f ca="1">CL64+CM64</f>
        <v>0</v>
      </c>
      <c r="CL64" s="39">
        <f>IFERROR(CL55/CL61,0)</f>
        <v>0</v>
      </c>
      <c r="CM64" s="39">
        <f ca="1">IFERROR(CM55/CM61,0)</f>
        <v>0</v>
      </c>
      <c r="CN64" s="725">
        <f ca="1">CO64+CP64</f>
        <v>0</v>
      </c>
      <c r="CO64" s="39">
        <f>IFERROR(CO55/CO61,0)</f>
        <v>0</v>
      </c>
      <c r="CP64" s="39">
        <f ca="1">IFERROR(CP55/CP61,0)</f>
        <v>0</v>
      </c>
      <c r="CQ64" s="725">
        <f ca="1">CR64+CS64</f>
        <v>0</v>
      </c>
      <c r="CR64" s="39">
        <f>IFERROR(CR55/CR61,0)</f>
        <v>0</v>
      </c>
      <c r="CS64" s="39">
        <f ca="1">IFERROR(CS55/CS61,0)</f>
        <v>0</v>
      </c>
      <c r="CT64" s="25"/>
      <c r="CW64" s="960" t="s">
        <v>820</v>
      </c>
      <c r="CX64" s="965" t="s">
        <v>812</v>
      </c>
      <c r="CY64" s="969" cm="1">
        <f t="array" ref="CY64">AE64</f>
        <v>0</v>
      </c>
      <c r="CZ64" s="969" cm="1">
        <f t="array" ref="CZ64">AF64</f>
        <v>0</v>
      </c>
    </row>
    <row r="65" spans="5:104" ht="17.25" hidden="1" customHeight="1" x14ac:dyDescent="0.15">
      <c r="E65" s="668">
        <v>0</v>
      </c>
      <c r="F65" s="769" cm="1">
        <f t="array" aca="1" ref="F65" ca="1">OFFSET(G65,-1,-1)</f>
        <v>0</v>
      </c>
      <c r="L65" s="769" t="b" cm="1">
        <f t="array" aca="1" ref="L65" ca="1">OFFSET(M65,-1,-1)</f>
        <v>0</v>
      </c>
      <c r="S65" s="107" t="b" cm="1">
        <f t="array" aca="1" ref="S65" ca="1">OFFSET(T65,-1,-1)</f>
        <v>0</v>
      </c>
      <c r="U65" s="690" t="b">
        <f t="shared" ca="1" si="4"/>
        <v>0</v>
      </c>
      <c r="X65" s="810" t="str">
        <f>"{                  
         funcDyn: 'msg1',
         blok: 'blok_2',
         wsCross: 'Топливо 4.4',
         linkFormula: 'AE-AE#AF-AF',
         levelDyn: "&amp;Y28&amp;"
}"</f>
        <v>{                  
         funcDyn: 'msg1',
         blok: 'blok_2',
         wsCross: 'Топливо 4.4',
         linkFormula: 'AE-AE#AF-AF',
         levelDyn: 0
}</v>
      </c>
      <c r="Y65" s="1428"/>
      <c r="Z65" s="1428"/>
      <c r="AB65" s="1540"/>
      <c r="AD65" s="813"/>
      <c r="AE65" s="812" t="s">
        <v>239</v>
      </c>
      <c r="AF65" s="736"/>
      <c r="AG65" s="843"/>
      <c r="AH65" s="726"/>
      <c r="AI65" s="728"/>
      <c r="AJ65" s="728"/>
      <c r="AK65" s="728"/>
      <c r="AL65" s="726"/>
      <c r="AM65" s="728"/>
      <c r="AN65" s="728"/>
      <c r="AO65" s="726"/>
      <c r="AP65" s="728"/>
      <c r="AQ65" s="728"/>
      <c r="AR65" s="726"/>
      <c r="AS65" s="728"/>
      <c r="AT65" s="728"/>
      <c r="AU65" s="726"/>
      <c r="AV65" s="728"/>
      <c r="AW65" s="728"/>
      <c r="AX65" s="726"/>
      <c r="AY65" s="728"/>
      <c r="AZ65" s="728"/>
      <c r="BA65" s="726"/>
      <c r="BB65" s="728"/>
      <c r="BC65" s="728"/>
      <c r="BD65" s="726"/>
      <c r="BE65" s="728"/>
      <c r="BF65" s="728"/>
      <c r="BG65" s="726"/>
      <c r="BH65" s="728"/>
      <c r="BI65" s="728"/>
      <c r="BJ65" s="726"/>
      <c r="BK65" s="728"/>
      <c r="BL65" s="728"/>
      <c r="BM65" s="726"/>
      <c r="BN65" s="728"/>
      <c r="BO65" s="728"/>
      <c r="BP65" s="726"/>
      <c r="BQ65" s="728"/>
      <c r="BR65" s="728"/>
      <c r="BS65" s="726"/>
      <c r="BT65" s="728"/>
      <c r="BU65" s="728"/>
      <c r="BV65" s="726"/>
      <c r="BW65" s="728"/>
      <c r="BX65" s="728"/>
      <c r="BY65" s="726"/>
      <c r="BZ65" s="728"/>
      <c r="CA65" s="728"/>
      <c r="CB65" s="726"/>
      <c r="CC65" s="728"/>
      <c r="CD65" s="728"/>
      <c r="CE65" s="726"/>
      <c r="CF65" s="728"/>
      <c r="CG65" s="728"/>
      <c r="CH65" s="726"/>
      <c r="CI65" s="728"/>
      <c r="CJ65" s="728"/>
      <c r="CK65" s="726"/>
      <c r="CL65" s="728"/>
      <c r="CM65" s="728"/>
      <c r="CN65" s="726"/>
      <c r="CO65" s="728"/>
      <c r="CP65" s="728"/>
      <c r="CQ65" s="726"/>
      <c r="CR65" s="728"/>
      <c r="CS65" s="728"/>
      <c r="CT65" s="43"/>
      <c r="CW65" s="960" t="str">
        <f>IF(AND(ISNUMBER(VALUE(TRIM(SUBSTITUTE(AD65,".","")))),TRIM(SUBSTITUTE(AD65,".",""))&lt;&gt;""),"P"&amp;SUBSTITUTE(AD65,".",""),"")</f>
        <v/>
      </c>
    </row>
    <row r="66" spans="5:104" ht="16.7" hidden="1" customHeight="1" x14ac:dyDescent="0.15">
      <c r="E66" s="668">
        <v>17.100000000000001</v>
      </c>
      <c r="F66" s="769" cm="1">
        <f t="array" aca="1" ref="F66" ca="1">OFFSET(G66,-1,-1)</f>
        <v>0</v>
      </c>
      <c r="L66" s="769" t="b" cm="1">
        <f t="array" aca="1" ref="L66" ca="1">OFFSET(M66,-1,-1)</f>
        <v>0</v>
      </c>
      <c r="S66" s="107" t="b" cm="1">
        <f t="array" aca="1" ref="S66" ca="1">OFFSET(T66,-1,-1)</f>
        <v>0</v>
      </c>
      <c r="U66" s="690" t="b">
        <f t="shared" ca="1" si="4"/>
        <v>0</v>
      </c>
      <c r="Y66" s="1428"/>
      <c r="Z66" s="1428"/>
      <c r="AB66" s="1535" t="s">
        <v>822</v>
      </c>
      <c r="AD66" s="108">
        <v>22</v>
      </c>
      <c r="AE66" s="1511" t="s">
        <v>823</v>
      </c>
      <c r="AF66" s="1512"/>
      <c r="AG66" s="614"/>
      <c r="AH66" s="726"/>
      <c r="AI66" s="728"/>
      <c r="AJ66" s="728"/>
      <c r="AK66" s="728"/>
      <c r="AL66" s="728"/>
      <c r="AM66" s="728"/>
      <c r="AN66" s="728"/>
      <c r="AO66" s="728"/>
      <c r="AP66" s="728"/>
      <c r="AQ66" s="728"/>
      <c r="AR66" s="728"/>
      <c r="AS66" s="728"/>
      <c r="AT66" s="728"/>
      <c r="AU66" s="728"/>
      <c r="AV66" s="728"/>
      <c r="AW66" s="728"/>
      <c r="AX66" s="728"/>
      <c r="AY66" s="728"/>
      <c r="AZ66" s="728"/>
      <c r="BA66" s="728"/>
      <c r="BB66" s="728"/>
      <c r="BC66" s="728"/>
      <c r="BD66" s="728"/>
      <c r="BE66" s="728"/>
      <c r="BF66" s="728"/>
      <c r="BG66" s="728"/>
      <c r="BH66" s="728"/>
      <c r="BI66" s="728"/>
      <c r="BJ66" s="728"/>
      <c r="BK66" s="728"/>
      <c r="BL66" s="728"/>
      <c r="BM66" s="728"/>
      <c r="BN66" s="728"/>
      <c r="BO66" s="728"/>
      <c r="BP66" s="728"/>
      <c r="BQ66" s="728"/>
      <c r="BR66" s="728"/>
      <c r="BS66" s="728"/>
      <c r="BT66" s="728"/>
      <c r="BU66" s="728"/>
      <c r="BV66" s="728"/>
      <c r="BW66" s="728"/>
      <c r="BX66" s="728"/>
      <c r="BY66" s="728"/>
      <c r="BZ66" s="728"/>
      <c r="CA66" s="728"/>
      <c r="CB66" s="728"/>
      <c r="CC66" s="728"/>
      <c r="CD66" s="728"/>
      <c r="CE66" s="728"/>
      <c r="CF66" s="728"/>
      <c r="CG66" s="728"/>
      <c r="CH66" s="728"/>
      <c r="CI66" s="728"/>
      <c r="CJ66" s="728"/>
      <c r="CK66" s="728"/>
      <c r="CL66" s="728"/>
      <c r="CM66" s="728"/>
      <c r="CN66" s="728"/>
      <c r="CO66" s="728"/>
      <c r="CP66" s="728"/>
      <c r="CQ66" s="728"/>
      <c r="CR66" s="728"/>
      <c r="CS66" s="728"/>
      <c r="CT66" s="25"/>
      <c r="CW66" s="960" t="s">
        <v>824</v>
      </c>
    </row>
    <row r="67" spans="5:104" ht="16.7" hidden="1" customHeight="1" x14ac:dyDescent="0.15">
      <c r="E67" s="668">
        <v>17.100000000000001</v>
      </c>
      <c r="F67" s="769" cm="1">
        <f t="array" aca="1" ref="F67" ca="1">OFFSET(G67,-1,-1)</f>
        <v>0</v>
      </c>
      <c r="L67" s="769" t="b" cm="1">
        <f t="array" aca="1" ref="L67" ca="1">OFFSET(M67,-1,-1)</f>
        <v>0</v>
      </c>
      <c r="S67" s="107" t="b" cm="1">
        <f t="array" aca="1" ref="S67" ca="1">OFFSET(T67,-1,-1)</f>
        <v>0</v>
      </c>
      <c r="T67" s="107" t="b">
        <f>AD67&lt;&gt;"22.0"</f>
        <v>0</v>
      </c>
      <c r="U67" s="690" t="b">
        <f t="shared" ca="1" si="4"/>
        <v>0</v>
      </c>
      <c r="X67" s="107" t="s">
        <v>237</v>
      </c>
      <c r="Y67" s="1428"/>
      <c r="Z67" s="1428"/>
      <c r="AB67" s="1536"/>
      <c r="AD67" s="108" t="s">
        <v>825</v>
      </c>
      <c r="AE67" s="811"/>
      <c r="AF67" s="516"/>
      <c r="AG67" s="843" t="s">
        <v>521</v>
      </c>
      <c r="AH67" s="44"/>
      <c r="AI67" s="45"/>
      <c r="AJ67" s="45"/>
      <c r="AK67" s="45"/>
      <c r="AL67" s="863"/>
      <c r="AM67" s="45"/>
      <c r="AN67" s="45"/>
      <c r="AO67" s="863"/>
      <c r="AP67" s="1247"/>
      <c r="AQ67" s="1247"/>
      <c r="AR67" s="863"/>
      <c r="AS67" s="1247"/>
      <c r="AT67" s="1247"/>
      <c r="AU67" s="863"/>
      <c r="AV67" s="45"/>
      <c r="AW67" s="45"/>
      <c r="AX67" s="863"/>
      <c r="AY67" s="45"/>
      <c r="AZ67" s="45"/>
      <c r="BA67" s="863"/>
      <c r="BB67" s="45"/>
      <c r="BC67" s="45"/>
      <c r="BD67" s="863"/>
      <c r="BE67" s="45"/>
      <c r="BF67" s="45"/>
      <c r="BG67" s="863"/>
      <c r="BH67" s="45"/>
      <c r="BI67" s="45"/>
      <c r="BJ67" s="863"/>
      <c r="BK67" s="45"/>
      <c r="BL67" s="45"/>
      <c r="BM67" s="863"/>
      <c r="BN67" s="45"/>
      <c r="BO67" s="45"/>
      <c r="BP67" s="863"/>
      <c r="BQ67" s="862"/>
      <c r="BR67" s="862"/>
      <c r="BS67" s="863"/>
      <c r="BT67" s="1247"/>
      <c r="BU67" s="1247"/>
      <c r="BV67" s="863"/>
      <c r="BW67" s="1247"/>
      <c r="BX67" s="1247"/>
      <c r="BY67" s="863"/>
      <c r="BZ67" s="45"/>
      <c r="CA67" s="45"/>
      <c r="CB67" s="863"/>
      <c r="CC67" s="45"/>
      <c r="CD67" s="45"/>
      <c r="CE67" s="863"/>
      <c r="CF67" s="45"/>
      <c r="CG67" s="45"/>
      <c r="CH67" s="863"/>
      <c r="CI67" s="45"/>
      <c r="CJ67" s="45"/>
      <c r="CK67" s="863"/>
      <c r="CL67" s="45"/>
      <c r="CM67" s="45"/>
      <c r="CN67" s="863"/>
      <c r="CO67" s="45"/>
      <c r="CP67" s="45"/>
      <c r="CQ67" s="863"/>
      <c r="CR67" s="45"/>
      <c r="CS67" s="45"/>
      <c r="CT67" s="25"/>
      <c r="CW67" s="960" t="s">
        <v>824</v>
      </c>
      <c r="CX67" s="965" t="s">
        <v>812</v>
      </c>
      <c r="CY67" s="969" cm="1">
        <f t="array" ref="CY67">AE67</f>
        <v>0</v>
      </c>
      <c r="CZ67" s="969" cm="1">
        <f t="array" ref="CZ67">AF67</f>
        <v>0</v>
      </c>
    </row>
    <row r="68" spans="5:104" ht="17.25" hidden="1" customHeight="1" x14ac:dyDescent="0.15">
      <c r="E68" s="668">
        <v>0</v>
      </c>
      <c r="F68" s="769" cm="1">
        <f t="array" aca="1" ref="F68" ca="1">OFFSET(G68,-1,-1)</f>
        <v>0</v>
      </c>
      <c r="L68" s="769" t="b" cm="1">
        <f t="array" aca="1" ref="L68" ca="1">OFFSET(M68,-1,-1)</f>
        <v>0</v>
      </c>
      <c r="S68" s="107" t="b" cm="1">
        <f t="array" aca="1" ref="S68" ca="1">OFFSET(T68,-1,-1)</f>
        <v>0</v>
      </c>
      <c r="U68" s="690" t="b">
        <f t="shared" ca="1" si="4"/>
        <v>0</v>
      </c>
      <c r="X68" s="810" t="str">
        <f>"{                  
         funcDyn: 'msg1',
         blok: 'blok_2',
         wsCross: 'Топливо 4.4',
         linkFormula: 'AE-AE#AF-AF',
         levelDyn: "&amp;Y28&amp;"
}"</f>
        <v>{                  
         funcDyn: 'msg1',
         blok: 'blok_2',
         wsCross: 'Топливо 4.4',
         linkFormula: 'AE-AE#AF-AF',
         levelDyn: 0
}</v>
      </c>
      <c r="Y68" s="1428"/>
      <c r="Z68" s="1428"/>
      <c r="AB68" s="1536"/>
      <c r="AD68" s="813"/>
      <c r="AE68" s="812" t="s">
        <v>239</v>
      </c>
      <c r="AF68" s="736"/>
      <c r="AG68" s="843"/>
      <c r="AH68" s="726"/>
      <c r="AI68" s="728"/>
      <c r="AJ68" s="728"/>
      <c r="AK68" s="728"/>
      <c r="AL68" s="728"/>
      <c r="AM68" s="728"/>
      <c r="AN68" s="728"/>
      <c r="AO68" s="728"/>
      <c r="AP68" s="728"/>
      <c r="AQ68" s="728"/>
      <c r="AR68" s="728"/>
      <c r="AS68" s="728"/>
      <c r="AT68" s="728"/>
      <c r="AU68" s="728"/>
      <c r="AV68" s="728"/>
      <c r="AW68" s="728"/>
      <c r="AX68" s="728"/>
      <c r="AY68" s="728"/>
      <c r="AZ68" s="728"/>
      <c r="BA68" s="728"/>
      <c r="BB68" s="728"/>
      <c r="BC68" s="728"/>
      <c r="BD68" s="728"/>
      <c r="BE68" s="728"/>
      <c r="BF68" s="728"/>
      <c r="BG68" s="728"/>
      <c r="BH68" s="728"/>
      <c r="BI68" s="728"/>
      <c r="BJ68" s="728"/>
      <c r="BK68" s="728"/>
      <c r="BL68" s="728"/>
      <c r="BM68" s="728"/>
      <c r="BN68" s="728"/>
      <c r="BO68" s="728"/>
      <c r="BP68" s="728"/>
      <c r="BQ68" s="728"/>
      <c r="BR68" s="728"/>
      <c r="BS68" s="728"/>
      <c r="BT68" s="728"/>
      <c r="BU68" s="728"/>
      <c r="BV68" s="728"/>
      <c r="BW68" s="728"/>
      <c r="BX68" s="728"/>
      <c r="BY68" s="728"/>
      <c r="BZ68" s="728"/>
      <c r="CA68" s="728"/>
      <c r="CB68" s="728"/>
      <c r="CC68" s="728"/>
      <c r="CD68" s="728"/>
      <c r="CE68" s="728"/>
      <c r="CF68" s="728"/>
      <c r="CG68" s="728"/>
      <c r="CH68" s="728"/>
      <c r="CI68" s="728"/>
      <c r="CJ68" s="728"/>
      <c r="CK68" s="728"/>
      <c r="CL68" s="728"/>
      <c r="CM68" s="728"/>
      <c r="CN68" s="728"/>
      <c r="CO68" s="728"/>
      <c r="CP68" s="728"/>
      <c r="CQ68" s="728"/>
      <c r="CR68" s="728"/>
      <c r="CS68" s="728"/>
      <c r="CT68" s="43"/>
      <c r="CW68" s="960" t="str">
        <f>IF(AND(ISNUMBER(VALUE(TRIM(SUBSTITUTE(AD68,".","")))),TRIM(SUBSTITUTE(AD68,".",""))&lt;&gt;""),"P"&amp;SUBSTITUTE(AD68,".",""),"")</f>
        <v/>
      </c>
    </row>
    <row r="69" spans="5:104" ht="16.7" hidden="1" customHeight="1" x14ac:dyDescent="0.15">
      <c r="E69" s="668">
        <v>17.100000000000001</v>
      </c>
      <c r="F69" s="769" cm="1">
        <f t="array" aca="1" ref="F69" ca="1">OFFSET(G69,-1,-1)</f>
        <v>0</v>
      </c>
      <c r="L69" s="769" t="b" cm="1">
        <f t="array" aca="1" ref="L69" ca="1">OFFSET(M69,-1,-1)</f>
        <v>0</v>
      </c>
      <c r="S69" s="107" t="b" cm="1">
        <f t="array" aca="1" ref="S69" ca="1">OFFSET(T69,-1,-1)</f>
        <v>0</v>
      </c>
      <c r="U69" s="690" t="b">
        <f t="shared" ca="1" si="4"/>
        <v>0</v>
      </c>
      <c r="Y69" s="1428"/>
      <c r="Z69" s="1428"/>
      <c r="AB69" s="1536"/>
      <c r="AD69" s="108">
        <v>23</v>
      </c>
      <c r="AE69" s="1511" t="s">
        <v>826</v>
      </c>
      <c r="AF69" s="1512"/>
      <c r="AG69" s="614"/>
      <c r="AH69" s="726"/>
      <c r="AI69" s="728"/>
      <c r="AJ69" s="728"/>
      <c r="AK69" s="728"/>
      <c r="AL69" s="728"/>
      <c r="AM69" s="728"/>
      <c r="AN69" s="728"/>
      <c r="AO69" s="728"/>
      <c r="AP69" s="728"/>
      <c r="AQ69" s="728"/>
      <c r="AR69" s="728"/>
      <c r="AS69" s="728"/>
      <c r="AT69" s="728"/>
      <c r="AU69" s="728"/>
      <c r="AV69" s="728"/>
      <c r="AW69" s="728"/>
      <c r="AX69" s="728"/>
      <c r="AY69" s="728"/>
      <c r="AZ69" s="728"/>
      <c r="BA69" s="728"/>
      <c r="BB69" s="728"/>
      <c r="BC69" s="728"/>
      <c r="BD69" s="728"/>
      <c r="BE69" s="728"/>
      <c r="BF69" s="728"/>
      <c r="BG69" s="728"/>
      <c r="BH69" s="728"/>
      <c r="BI69" s="728"/>
      <c r="BJ69" s="728"/>
      <c r="BK69" s="728"/>
      <c r="BL69" s="728"/>
      <c r="BM69" s="728"/>
      <c r="BN69" s="728"/>
      <c r="BO69" s="728"/>
      <c r="BP69" s="728"/>
      <c r="BQ69" s="728"/>
      <c r="BR69" s="728"/>
      <c r="BS69" s="728"/>
      <c r="BT69" s="728"/>
      <c r="BU69" s="728"/>
      <c r="BV69" s="728"/>
      <c r="BW69" s="728"/>
      <c r="BX69" s="728"/>
      <c r="BY69" s="728"/>
      <c r="BZ69" s="728"/>
      <c r="CA69" s="728"/>
      <c r="CB69" s="728"/>
      <c r="CC69" s="728"/>
      <c r="CD69" s="728"/>
      <c r="CE69" s="728"/>
      <c r="CF69" s="728"/>
      <c r="CG69" s="728"/>
      <c r="CH69" s="728"/>
      <c r="CI69" s="728"/>
      <c r="CJ69" s="728"/>
      <c r="CK69" s="728"/>
      <c r="CL69" s="728"/>
      <c r="CM69" s="728"/>
      <c r="CN69" s="728"/>
      <c r="CO69" s="728"/>
      <c r="CP69" s="728"/>
      <c r="CQ69" s="728"/>
      <c r="CR69" s="728"/>
      <c r="CS69" s="728"/>
      <c r="CT69" s="25"/>
      <c r="CW69" s="960" t="s">
        <v>827</v>
      </c>
    </row>
    <row r="70" spans="5:104" ht="16.7" hidden="1" customHeight="1" x14ac:dyDescent="0.15">
      <c r="E70" s="668">
        <v>17.100000000000001</v>
      </c>
      <c r="F70" s="769" cm="1">
        <f t="array" aca="1" ref="F70" ca="1">OFFSET(G70,-1,-1)</f>
        <v>0</v>
      </c>
      <c r="L70" s="769" t="b" cm="1">
        <f t="array" aca="1" ref="L70" ca="1">OFFSET(M70,-1,-1)</f>
        <v>0</v>
      </c>
      <c r="S70" s="107" t="b" cm="1">
        <f t="array" aca="1" ref="S70" ca="1">OFFSET(T70,-1,-1)</f>
        <v>0</v>
      </c>
      <c r="T70" s="107" t="b">
        <f>AD70&lt;&gt;"23.0"</f>
        <v>0</v>
      </c>
      <c r="U70" s="690" t="b">
        <f t="shared" ca="1" si="4"/>
        <v>0</v>
      </c>
      <c r="X70" s="107" t="s">
        <v>237</v>
      </c>
      <c r="Y70" s="1428"/>
      <c r="Z70" s="1428"/>
      <c r="AB70" s="1536"/>
      <c r="AD70" s="108" t="s">
        <v>828</v>
      </c>
      <c r="AE70" s="811"/>
      <c r="AF70" s="516"/>
      <c r="AG70" s="884" t="str">
        <f>"руб./"&amp;IFERROR(INDEX(fuel_ed_izm_list,MATCH(AE70,fuel_list,0)),"")</f>
        <v>руб./</v>
      </c>
      <c r="AH70" s="38">
        <f>IFERROR(AH74/AH64,0)*1000</f>
        <v>0</v>
      </c>
      <c r="AI70" s="39">
        <f>IFERROR(AI74/AI64,0)*1000</f>
        <v>0</v>
      </c>
      <c r="AJ70" s="39">
        <f>IFERROR(AJ74/AJ64,0)*1000</f>
        <v>0</v>
      </c>
      <c r="AK70" s="39">
        <f>IFERROR(AK74/AK64,0)*1000</f>
        <v>0</v>
      </c>
      <c r="AL70" s="727">
        <f ca="1">IFERROR(AL74/AL64,0)*1000</f>
        <v>0</v>
      </c>
      <c r="AM70" s="39"/>
      <c r="AN70" s="39"/>
      <c r="AO70" s="727">
        <f ca="1">IFERROR(AO74/AO64,0)*1000</f>
        <v>0</v>
      </c>
      <c r="AP70" s="1244"/>
      <c r="AQ70" s="1244"/>
      <c r="AR70" s="727">
        <f ca="1">IFERROR(AR74/AR64,0)*1000</f>
        <v>0</v>
      </c>
      <c r="AS70" s="1244"/>
      <c r="AT70" s="1244"/>
      <c r="AU70" s="727">
        <f ca="1">IFERROR(AU74/AU64,0)*1000</f>
        <v>0</v>
      </c>
      <c r="AV70" s="39"/>
      <c r="AW70" s="39"/>
      <c r="AX70" s="727">
        <f ca="1">IFERROR(AX74/AX64,0)*1000</f>
        <v>0</v>
      </c>
      <c r="AY70" s="39"/>
      <c r="AZ70" s="39"/>
      <c r="BA70" s="727">
        <f ca="1">IFERROR(BA74/BA64,0)*1000</f>
        <v>0</v>
      </c>
      <c r="BB70" s="39"/>
      <c r="BC70" s="39"/>
      <c r="BD70" s="727">
        <f ca="1">IFERROR(BD74/BD64,0)*1000</f>
        <v>0</v>
      </c>
      <c r="BE70" s="39"/>
      <c r="BF70" s="39"/>
      <c r="BG70" s="727">
        <f ca="1">IFERROR(BG74/BG64,0)*1000</f>
        <v>0</v>
      </c>
      <c r="BH70" s="39"/>
      <c r="BI70" s="39"/>
      <c r="BJ70" s="727">
        <f ca="1">IFERROR(BJ74/BJ64,0)*1000</f>
        <v>0</v>
      </c>
      <c r="BK70" s="39"/>
      <c r="BL70" s="39"/>
      <c r="BM70" s="727">
        <f ca="1">IFERROR(BM74/BM64,0)*1000</f>
        <v>0</v>
      </c>
      <c r="BN70" s="39"/>
      <c r="BO70" s="39"/>
      <c r="BP70" s="727">
        <f ca="1">IFERROR(BP74/BP64,0)*1000</f>
        <v>0</v>
      </c>
      <c r="BQ70" s="816"/>
      <c r="BR70" s="816"/>
      <c r="BS70" s="727">
        <f ca="1">IFERROR(BS74/BS64,0)*1000</f>
        <v>0</v>
      </c>
      <c r="BT70" s="1244"/>
      <c r="BU70" s="1244"/>
      <c r="BV70" s="727">
        <f ca="1">IFERROR(BV74/BV64,0)*1000</f>
        <v>0</v>
      </c>
      <c r="BW70" s="1244"/>
      <c r="BX70" s="1244"/>
      <c r="BY70" s="727">
        <f ca="1">IFERROR(BY74/BY64,0)*1000</f>
        <v>0</v>
      </c>
      <c r="BZ70" s="39"/>
      <c r="CA70" s="39"/>
      <c r="CB70" s="727">
        <f ca="1">IFERROR(CB74/CB64,0)*1000</f>
        <v>0</v>
      </c>
      <c r="CC70" s="39"/>
      <c r="CD70" s="39"/>
      <c r="CE70" s="727">
        <f ca="1">IFERROR(CE74/CE64,0)*1000</f>
        <v>0</v>
      </c>
      <c r="CF70" s="39"/>
      <c r="CG70" s="39"/>
      <c r="CH70" s="727">
        <f ca="1">IFERROR(CH74/CH64,0)*1000</f>
        <v>0</v>
      </c>
      <c r="CI70" s="39"/>
      <c r="CJ70" s="39"/>
      <c r="CK70" s="727">
        <f ca="1">IFERROR(CK74/CK64,0)*1000</f>
        <v>0</v>
      </c>
      <c r="CL70" s="39"/>
      <c r="CM70" s="39"/>
      <c r="CN70" s="727">
        <f ca="1">IFERROR(CN74/CN64,0)*1000</f>
        <v>0</v>
      </c>
      <c r="CO70" s="39"/>
      <c r="CP70" s="39"/>
      <c r="CQ70" s="727">
        <f ca="1">IFERROR(CQ74/CQ64,0)*1000</f>
        <v>0</v>
      </c>
      <c r="CR70" s="39"/>
      <c r="CS70" s="39"/>
      <c r="CT70" s="25"/>
      <c r="CW70" s="960" t="s">
        <v>827</v>
      </c>
      <c r="CX70" s="965" t="s">
        <v>812</v>
      </c>
      <c r="CY70" s="969" cm="1">
        <f t="array" ref="CY70">AE70</f>
        <v>0</v>
      </c>
      <c r="CZ70" s="969" cm="1">
        <f t="array" ref="CZ70">AF70</f>
        <v>0</v>
      </c>
    </row>
    <row r="71" spans="5:104" ht="17.25" hidden="1" customHeight="1" x14ac:dyDescent="0.15">
      <c r="E71" s="668">
        <v>0</v>
      </c>
      <c r="F71" s="769" cm="1">
        <f t="array" aca="1" ref="F71" ca="1">OFFSET(G71,-1,-1)</f>
        <v>0</v>
      </c>
      <c r="L71" s="769" t="b" cm="1">
        <f t="array" aca="1" ref="L71" ca="1">OFFSET(M71,-1,-1)</f>
        <v>0</v>
      </c>
      <c r="S71" s="107" t="b" cm="1">
        <f t="array" aca="1" ref="S71" ca="1">OFFSET(T71,-1,-1)</f>
        <v>0</v>
      </c>
      <c r="U71" s="690" t="b">
        <f t="shared" ca="1" si="4"/>
        <v>0</v>
      </c>
      <c r="X71" s="810" t="str">
        <f>"{                  
         funcDyn: 'msg1',
         blok: 'blok_2',
         wsCross: 'Топливо 4.4',
         linkFormula: 'AE-AE#AF-AF',
         levelDyn: "&amp;Y28&amp;"
}"</f>
        <v>{                  
         funcDyn: 'msg1',
         blok: 'blok_2',
         wsCross: 'Топливо 4.4',
         linkFormula: 'AE-AE#AF-AF',
         levelDyn: 0
}</v>
      </c>
      <c r="Y71" s="1428"/>
      <c r="Z71" s="1428"/>
      <c r="AB71" s="1536"/>
      <c r="AD71" s="813"/>
      <c r="AE71" s="812" t="s">
        <v>239</v>
      </c>
      <c r="AF71" s="736"/>
      <c r="AG71" s="843"/>
      <c r="AH71" s="726"/>
      <c r="AI71" s="728"/>
      <c r="AJ71" s="728"/>
      <c r="AK71" s="728"/>
      <c r="AL71" s="728"/>
      <c r="AM71" s="728"/>
      <c r="AN71" s="728"/>
      <c r="AO71" s="728"/>
      <c r="AP71" s="728"/>
      <c r="AQ71" s="728"/>
      <c r="AR71" s="728"/>
      <c r="AS71" s="728"/>
      <c r="AT71" s="728"/>
      <c r="AU71" s="728"/>
      <c r="AV71" s="728"/>
      <c r="AW71" s="728"/>
      <c r="AX71" s="728"/>
      <c r="AY71" s="728"/>
      <c r="AZ71" s="728"/>
      <c r="BA71" s="728"/>
      <c r="BB71" s="728"/>
      <c r="BC71" s="728"/>
      <c r="BD71" s="728"/>
      <c r="BE71" s="728"/>
      <c r="BF71" s="728"/>
      <c r="BG71" s="728"/>
      <c r="BH71" s="728"/>
      <c r="BI71" s="728"/>
      <c r="BJ71" s="728"/>
      <c r="BK71" s="728"/>
      <c r="BL71" s="728"/>
      <c r="BM71" s="728"/>
      <c r="BN71" s="728"/>
      <c r="BO71" s="728"/>
      <c r="BP71" s="728"/>
      <c r="BQ71" s="728"/>
      <c r="BR71" s="728"/>
      <c r="BS71" s="728"/>
      <c r="BT71" s="728"/>
      <c r="BU71" s="728"/>
      <c r="BV71" s="728"/>
      <c r="BW71" s="728"/>
      <c r="BX71" s="728"/>
      <c r="BY71" s="728"/>
      <c r="BZ71" s="728"/>
      <c r="CA71" s="728"/>
      <c r="CB71" s="728"/>
      <c r="CC71" s="728"/>
      <c r="CD71" s="728"/>
      <c r="CE71" s="728"/>
      <c r="CF71" s="728"/>
      <c r="CG71" s="728"/>
      <c r="CH71" s="728"/>
      <c r="CI71" s="728"/>
      <c r="CJ71" s="728"/>
      <c r="CK71" s="728"/>
      <c r="CL71" s="728"/>
      <c r="CM71" s="728"/>
      <c r="CN71" s="728"/>
      <c r="CO71" s="728"/>
      <c r="CP71" s="728"/>
      <c r="CQ71" s="728"/>
      <c r="CR71" s="728"/>
      <c r="CS71" s="728"/>
      <c r="CT71" s="43"/>
      <c r="CW71" s="960" t="str">
        <f>IF(AND(ISNUMBER(VALUE(TRIM(SUBSTITUTE(AD71,".","")))),TRIM(SUBSTITUTE(AD71,".",""))&lt;&gt;""),"P"&amp;SUBSTITUTE(AD71,".",""),"")</f>
        <v/>
      </c>
    </row>
    <row r="72" spans="5:104" ht="16.7" hidden="1" customHeight="1" x14ac:dyDescent="0.15">
      <c r="E72" s="668">
        <v>17.100000000000001</v>
      </c>
      <c r="F72" s="769" cm="1">
        <f t="array" aca="1" ref="F72" ca="1">OFFSET(G72,-1,-1)</f>
        <v>0</v>
      </c>
      <c r="L72" s="769" t="b" cm="1">
        <f t="array" aca="1" ref="L72" ca="1">OFFSET(M72,-1,-1)</f>
        <v>0</v>
      </c>
      <c r="S72" s="107" t="b" cm="1">
        <f t="array" aca="1" ref="S72" ca="1">OFFSET(T72,-1,-1)</f>
        <v>0</v>
      </c>
      <c r="U72" s="690" t="b">
        <f t="shared" ca="1" si="4"/>
        <v>0</v>
      </c>
      <c r="Y72" s="1428"/>
      <c r="Z72" s="1428"/>
      <c r="AB72" s="1536"/>
      <c r="AD72" s="108">
        <v>24</v>
      </c>
      <c r="AE72" s="1511" t="s">
        <v>829</v>
      </c>
      <c r="AF72" s="1512"/>
      <c r="AG72" s="843" t="s">
        <v>830</v>
      </c>
      <c r="AH72" s="725">
        <f t="shared" ref="AH72:BM72" si="27">SUM(AH74:AH75)</f>
        <v>0</v>
      </c>
      <c r="AI72" s="725">
        <f t="shared" si="27"/>
        <v>0</v>
      </c>
      <c r="AJ72" s="725">
        <f t="shared" si="27"/>
        <v>0</v>
      </c>
      <c r="AK72" s="725">
        <f t="shared" si="27"/>
        <v>0</v>
      </c>
      <c r="AL72" s="725">
        <f t="shared" ca="1" si="27"/>
        <v>0</v>
      </c>
      <c r="AM72" s="725">
        <f t="shared" si="27"/>
        <v>0</v>
      </c>
      <c r="AN72" s="725">
        <f t="shared" ca="1" si="27"/>
        <v>0</v>
      </c>
      <c r="AO72" s="725">
        <f t="shared" ca="1" si="27"/>
        <v>0</v>
      </c>
      <c r="AP72" s="725">
        <f t="shared" si="27"/>
        <v>0</v>
      </c>
      <c r="AQ72" s="725">
        <f t="shared" ca="1" si="27"/>
        <v>0</v>
      </c>
      <c r="AR72" s="725">
        <f t="shared" ca="1" si="27"/>
        <v>0</v>
      </c>
      <c r="AS72" s="725">
        <f t="shared" si="27"/>
        <v>0</v>
      </c>
      <c r="AT72" s="725">
        <f t="shared" ca="1" si="27"/>
        <v>0</v>
      </c>
      <c r="AU72" s="725">
        <f t="shared" ca="1" si="27"/>
        <v>0</v>
      </c>
      <c r="AV72" s="725">
        <f t="shared" si="27"/>
        <v>0</v>
      </c>
      <c r="AW72" s="725">
        <f t="shared" ca="1" si="27"/>
        <v>0</v>
      </c>
      <c r="AX72" s="725">
        <f t="shared" ca="1" si="27"/>
        <v>0</v>
      </c>
      <c r="AY72" s="725">
        <f t="shared" si="27"/>
        <v>0</v>
      </c>
      <c r="AZ72" s="725">
        <f t="shared" ca="1" si="27"/>
        <v>0</v>
      </c>
      <c r="BA72" s="725">
        <f t="shared" ca="1" si="27"/>
        <v>0</v>
      </c>
      <c r="BB72" s="725">
        <f t="shared" si="27"/>
        <v>0</v>
      </c>
      <c r="BC72" s="725">
        <f t="shared" ca="1" si="27"/>
        <v>0</v>
      </c>
      <c r="BD72" s="725">
        <f t="shared" ca="1" si="27"/>
        <v>0</v>
      </c>
      <c r="BE72" s="725">
        <f t="shared" si="27"/>
        <v>0</v>
      </c>
      <c r="BF72" s="725">
        <f t="shared" ca="1" si="27"/>
        <v>0</v>
      </c>
      <c r="BG72" s="725">
        <f t="shared" ca="1" si="27"/>
        <v>0</v>
      </c>
      <c r="BH72" s="725">
        <f t="shared" si="27"/>
        <v>0</v>
      </c>
      <c r="BI72" s="725">
        <f t="shared" ca="1" si="27"/>
        <v>0</v>
      </c>
      <c r="BJ72" s="725">
        <f t="shared" ca="1" si="27"/>
        <v>0</v>
      </c>
      <c r="BK72" s="725">
        <f t="shared" si="27"/>
        <v>0</v>
      </c>
      <c r="BL72" s="725">
        <f t="shared" ca="1" si="27"/>
        <v>0</v>
      </c>
      <c r="BM72" s="725">
        <f t="shared" ca="1" si="27"/>
        <v>0</v>
      </c>
      <c r="BN72" s="725">
        <f t="shared" ref="BN72:CS72" si="28">SUM(BN74:BN75)</f>
        <v>0</v>
      </c>
      <c r="BO72" s="725">
        <f t="shared" ca="1" si="28"/>
        <v>0</v>
      </c>
      <c r="BP72" s="725">
        <f t="shared" ca="1" si="28"/>
        <v>0</v>
      </c>
      <c r="BQ72" s="725">
        <f t="shared" si="28"/>
        <v>0</v>
      </c>
      <c r="BR72" s="725">
        <f t="shared" ca="1" si="28"/>
        <v>0</v>
      </c>
      <c r="BS72" s="725">
        <f t="shared" ca="1" si="28"/>
        <v>0</v>
      </c>
      <c r="BT72" s="725">
        <f t="shared" si="28"/>
        <v>0</v>
      </c>
      <c r="BU72" s="725">
        <f t="shared" ca="1" si="28"/>
        <v>0</v>
      </c>
      <c r="BV72" s="725">
        <f t="shared" ca="1" si="28"/>
        <v>0</v>
      </c>
      <c r="BW72" s="725">
        <f t="shared" si="28"/>
        <v>0</v>
      </c>
      <c r="BX72" s="725">
        <f t="shared" ca="1" si="28"/>
        <v>0</v>
      </c>
      <c r="BY72" s="725">
        <f t="shared" ca="1" si="28"/>
        <v>0</v>
      </c>
      <c r="BZ72" s="725">
        <f t="shared" si="28"/>
        <v>0</v>
      </c>
      <c r="CA72" s="725">
        <f t="shared" ca="1" si="28"/>
        <v>0</v>
      </c>
      <c r="CB72" s="725">
        <f t="shared" ca="1" si="28"/>
        <v>0</v>
      </c>
      <c r="CC72" s="725">
        <f t="shared" si="28"/>
        <v>0</v>
      </c>
      <c r="CD72" s="725">
        <f t="shared" ca="1" si="28"/>
        <v>0</v>
      </c>
      <c r="CE72" s="725">
        <f t="shared" ca="1" si="28"/>
        <v>0</v>
      </c>
      <c r="CF72" s="725">
        <f t="shared" si="28"/>
        <v>0</v>
      </c>
      <c r="CG72" s="725">
        <f t="shared" ca="1" si="28"/>
        <v>0</v>
      </c>
      <c r="CH72" s="725">
        <f t="shared" ca="1" si="28"/>
        <v>0</v>
      </c>
      <c r="CI72" s="725">
        <f t="shared" si="28"/>
        <v>0</v>
      </c>
      <c r="CJ72" s="725">
        <f t="shared" ca="1" si="28"/>
        <v>0</v>
      </c>
      <c r="CK72" s="725">
        <f t="shared" ca="1" si="28"/>
        <v>0</v>
      </c>
      <c r="CL72" s="725">
        <f t="shared" si="28"/>
        <v>0</v>
      </c>
      <c r="CM72" s="725">
        <f t="shared" ca="1" si="28"/>
        <v>0</v>
      </c>
      <c r="CN72" s="725">
        <f t="shared" ca="1" si="28"/>
        <v>0</v>
      </c>
      <c r="CO72" s="725">
        <f t="shared" si="28"/>
        <v>0</v>
      </c>
      <c r="CP72" s="725">
        <f t="shared" ca="1" si="28"/>
        <v>0</v>
      </c>
      <c r="CQ72" s="725">
        <f t="shared" ca="1" si="28"/>
        <v>0</v>
      </c>
      <c r="CR72" s="725">
        <f t="shared" si="28"/>
        <v>0</v>
      </c>
      <c r="CS72" s="725">
        <f t="shared" ca="1" si="28"/>
        <v>0</v>
      </c>
      <c r="CT72" s="25"/>
      <c r="CW72" s="960" t="s">
        <v>831</v>
      </c>
    </row>
    <row r="73" spans="5:104" ht="16.7" hidden="1" customHeight="1" x14ac:dyDescent="0.15">
      <c r="E73" s="668">
        <v>17.100000000000001</v>
      </c>
      <c r="F73" s="769" cm="1">
        <f t="array" aca="1" ref="F73" ca="1">OFFSET(G73,-1,-1)</f>
        <v>0</v>
      </c>
      <c r="L73" s="769" t="b" cm="1">
        <f t="array" aca="1" ref="L73" ca="1">OFFSET(M73,-1,-1)</f>
        <v>0</v>
      </c>
      <c r="R73" s="769" t="s">
        <v>750</v>
      </c>
      <c r="S73" s="107" t="b" cm="1">
        <f t="array" aca="1" ref="S73" ca="1">OFFSET(T73,-1,-1)</f>
        <v>0</v>
      </c>
      <c r="T73" s="769" t="b">
        <v>0</v>
      </c>
      <c r="U73" s="690" t="b">
        <f t="shared" ca="1" si="4"/>
        <v>0</v>
      </c>
      <c r="Y73" s="1428"/>
      <c r="Z73" s="1428"/>
      <c r="AB73" s="1536"/>
      <c r="AD73" s="108" t="str">
        <f>AD72&amp;".0"</f>
        <v>24.0</v>
      </c>
      <c r="AE73" s="1523" t="s">
        <v>761</v>
      </c>
      <c r="AF73" s="1524"/>
      <c r="AG73" s="843" t="s">
        <v>830</v>
      </c>
      <c r="AH73" s="38">
        <f>AH$52*AH72/1000</f>
        <v>0</v>
      </c>
      <c r="AI73" s="38">
        <f>AI$52*AI72/1000</f>
        <v>0</v>
      </c>
      <c r="AJ73" s="38">
        <f>AJ$52*AJ72/1000</f>
        <v>0</v>
      </c>
      <c r="AK73" s="38">
        <f>AK$52*AK72/1000</f>
        <v>0</v>
      </c>
      <c r="AL73" s="727">
        <f ca="1">AM73+AN73</f>
        <v>0</v>
      </c>
      <c r="AM73" s="39">
        <f>AM$52*AM72</f>
        <v>0</v>
      </c>
      <c r="AN73" s="39">
        <f ca="1">AN$52*AN72</f>
        <v>0</v>
      </c>
      <c r="AO73" s="727">
        <f ca="1">AP73+AQ73</f>
        <v>0</v>
      </c>
      <c r="AP73" s="1244">
        <f>AP$52*AP72</f>
        <v>0</v>
      </c>
      <c r="AQ73" s="1244">
        <f ca="1">AQ$52*AQ72</f>
        <v>0</v>
      </c>
      <c r="AR73" s="727">
        <f ca="1">AS73+AT73</f>
        <v>0</v>
      </c>
      <c r="AS73" s="1244">
        <f>AS$52*AS72</f>
        <v>0</v>
      </c>
      <c r="AT73" s="1244">
        <f ca="1">AT$52*AT72</f>
        <v>0</v>
      </c>
      <c r="AU73" s="727">
        <f ca="1">AV73+AW73</f>
        <v>0</v>
      </c>
      <c r="AV73" s="39">
        <f>AV$52*AV72</f>
        <v>0</v>
      </c>
      <c r="AW73" s="39">
        <f ca="1">AW$52*AW72</f>
        <v>0</v>
      </c>
      <c r="AX73" s="727">
        <f ca="1">AY73+AZ73</f>
        <v>0</v>
      </c>
      <c r="AY73" s="39">
        <f>AY$52*AY72</f>
        <v>0</v>
      </c>
      <c r="AZ73" s="39">
        <f ca="1">AZ$52*AZ72</f>
        <v>0</v>
      </c>
      <c r="BA73" s="727">
        <f ca="1">BB73+BC73</f>
        <v>0</v>
      </c>
      <c r="BB73" s="39">
        <f>BB$52*BB72</f>
        <v>0</v>
      </c>
      <c r="BC73" s="39">
        <f ca="1">BC$52*BC72</f>
        <v>0</v>
      </c>
      <c r="BD73" s="727">
        <f ca="1">BE73+BF73</f>
        <v>0</v>
      </c>
      <c r="BE73" s="39">
        <f>BE$52*BE72</f>
        <v>0</v>
      </c>
      <c r="BF73" s="39">
        <f ca="1">BF$52*BF72</f>
        <v>0</v>
      </c>
      <c r="BG73" s="727">
        <f ca="1">BH73+BI73</f>
        <v>0</v>
      </c>
      <c r="BH73" s="39">
        <f>BH$52*BH72</f>
        <v>0</v>
      </c>
      <c r="BI73" s="39">
        <f ca="1">BI$52*BI72</f>
        <v>0</v>
      </c>
      <c r="BJ73" s="727">
        <f ca="1">BK73+BL73</f>
        <v>0</v>
      </c>
      <c r="BK73" s="39">
        <f>BK$52*BK72</f>
        <v>0</v>
      </c>
      <c r="BL73" s="39">
        <f ca="1">BL$52*BL72</f>
        <v>0</v>
      </c>
      <c r="BM73" s="727">
        <f ca="1">BN73+BO73</f>
        <v>0</v>
      </c>
      <c r="BN73" s="39">
        <f>BN$52*BN72</f>
        <v>0</v>
      </c>
      <c r="BO73" s="39">
        <f ca="1">BO$52*BO72</f>
        <v>0</v>
      </c>
      <c r="BP73" s="727">
        <f ca="1">BQ73+BR73</f>
        <v>0</v>
      </c>
      <c r="BQ73" s="816">
        <f>BQ$52*BQ72</f>
        <v>0</v>
      </c>
      <c r="BR73" s="816">
        <f ca="1">BR$52*BR72</f>
        <v>0</v>
      </c>
      <c r="BS73" s="727">
        <f ca="1">BT73+BU73</f>
        <v>0</v>
      </c>
      <c r="BT73" s="1244">
        <f>BT$52*BT72</f>
        <v>0</v>
      </c>
      <c r="BU73" s="1244">
        <f ca="1">BU$52*BU72</f>
        <v>0</v>
      </c>
      <c r="BV73" s="727">
        <f ca="1">BW73+BX73</f>
        <v>0</v>
      </c>
      <c r="BW73" s="1244">
        <f>BW$52*BW72</f>
        <v>0</v>
      </c>
      <c r="BX73" s="1244">
        <f ca="1">BX$52*BX72</f>
        <v>0</v>
      </c>
      <c r="BY73" s="727">
        <f ca="1">BZ73+CA73</f>
        <v>0</v>
      </c>
      <c r="BZ73" s="39">
        <f>BZ$52*BZ72</f>
        <v>0</v>
      </c>
      <c r="CA73" s="39">
        <f ca="1">CA$52*CA72</f>
        <v>0</v>
      </c>
      <c r="CB73" s="727">
        <f ca="1">CC73+CD73</f>
        <v>0</v>
      </c>
      <c r="CC73" s="39">
        <f>CC$52*CC72</f>
        <v>0</v>
      </c>
      <c r="CD73" s="39">
        <f ca="1">CD$52*CD72</f>
        <v>0</v>
      </c>
      <c r="CE73" s="727">
        <f ca="1">CF73+CG73</f>
        <v>0</v>
      </c>
      <c r="CF73" s="39">
        <f>CF$52*CF72</f>
        <v>0</v>
      </c>
      <c r="CG73" s="39">
        <f ca="1">CG$52*CG72</f>
        <v>0</v>
      </c>
      <c r="CH73" s="727">
        <f ca="1">CI73+CJ73</f>
        <v>0</v>
      </c>
      <c r="CI73" s="39">
        <f>CI$52*CI72</f>
        <v>0</v>
      </c>
      <c r="CJ73" s="39">
        <f ca="1">CJ$52*CJ72</f>
        <v>0</v>
      </c>
      <c r="CK73" s="727">
        <f ca="1">CL73+CM73</f>
        <v>0</v>
      </c>
      <c r="CL73" s="39">
        <f>CL$52*CL72</f>
        <v>0</v>
      </c>
      <c r="CM73" s="39">
        <f ca="1">CM$52*CM72</f>
        <v>0</v>
      </c>
      <c r="CN73" s="727">
        <f ca="1">CO73+CP73</f>
        <v>0</v>
      </c>
      <c r="CO73" s="39">
        <f>CO$52*CO72</f>
        <v>0</v>
      </c>
      <c r="CP73" s="39">
        <f ca="1">CP$52*CP72</f>
        <v>0</v>
      </c>
      <c r="CQ73" s="727">
        <f ca="1">CR73+CS73</f>
        <v>0</v>
      </c>
      <c r="CR73" s="39">
        <f>CR$52*CR72</f>
        <v>0</v>
      </c>
      <c r="CS73" s="39">
        <f ca="1">CS$52*CS72</f>
        <v>0</v>
      </c>
      <c r="CT73" s="25"/>
      <c r="CW73" s="960" t="s">
        <v>832</v>
      </c>
    </row>
    <row r="74" spans="5:104" ht="16.7" hidden="1" customHeight="1" x14ac:dyDescent="0.15">
      <c r="E74" s="668">
        <v>17.100000000000001</v>
      </c>
      <c r="F74" s="769" cm="1">
        <f t="array" aca="1" ref="F74" ca="1">OFFSET(G74,-1,-1)</f>
        <v>0</v>
      </c>
      <c r="L74" s="769" t="b" cm="1">
        <f t="array" aca="1" ref="L74" ca="1">OFFSET(M74,-1,-1)</f>
        <v>0</v>
      </c>
      <c r="S74" s="107" t="b" cm="1">
        <f t="array" aca="1" ref="S74" ca="1">OFFSET(T74,-1,-1)</f>
        <v>0</v>
      </c>
      <c r="T74" s="107" t="b">
        <f>AD74&lt;&gt;"24.0"</f>
        <v>0</v>
      </c>
      <c r="U74" s="690" t="b">
        <f t="shared" ca="1" si="4"/>
        <v>0</v>
      </c>
      <c r="X74" s="107" t="s">
        <v>237</v>
      </c>
      <c r="Y74" s="1428"/>
      <c r="Z74" s="1428"/>
      <c r="AB74" s="1536"/>
      <c r="AD74" s="108" t="s">
        <v>833</v>
      </c>
      <c r="AE74" s="811"/>
      <c r="AF74" s="516"/>
      <c r="AG74" s="843" t="s">
        <v>830</v>
      </c>
      <c r="AH74" s="38"/>
      <c r="AI74" s="39"/>
      <c r="AJ74" s="39"/>
      <c r="AK74" s="39"/>
      <c r="AL74" s="727">
        <f ca="1">AM74+AN74</f>
        <v>0</v>
      </c>
      <c r="AM74" s="39">
        <f>AM70*AM64/1000</f>
        <v>0</v>
      </c>
      <c r="AN74" s="39">
        <f ca="1">AN70*AN64/1000</f>
        <v>0</v>
      </c>
      <c r="AO74" s="727">
        <f ca="1">AP74+AQ74</f>
        <v>0</v>
      </c>
      <c r="AP74" s="1244">
        <f>AP70*AP64/1000</f>
        <v>0</v>
      </c>
      <c r="AQ74" s="1244">
        <f ca="1">AQ70*AQ64/1000</f>
        <v>0</v>
      </c>
      <c r="AR74" s="727">
        <f ca="1">AS74+AT74</f>
        <v>0</v>
      </c>
      <c r="AS74" s="1244">
        <f>AS70*AS64/1000</f>
        <v>0</v>
      </c>
      <c r="AT74" s="1244">
        <f ca="1">AT70*AT64/1000</f>
        <v>0</v>
      </c>
      <c r="AU74" s="727">
        <f ca="1">AV74+AW74</f>
        <v>0</v>
      </c>
      <c r="AV74" s="39">
        <f>AV70*AV64/1000</f>
        <v>0</v>
      </c>
      <c r="AW74" s="39">
        <f ca="1">AW70*AW64/1000</f>
        <v>0</v>
      </c>
      <c r="AX74" s="727">
        <f ca="1">AY74+AZ74</f>
        <v>0</v>
      </c>
      <c r="AY74" s="39">
        <f>AY70*AY64/1000</f>
        <v>0</v>
      </c>
      <c r="AZ74" s="39">
        <f ca="1">AZ70*AZ64/1000</f>
        <v>0</v>
      </c>
      <c r="BA74" s="727">
        <f ca="1">BB74+BC74</f>
        <v>0</v>
      </c>
      <c r="BB74" s="39">
        <f>BB70*BB64/1000</f>
        <v>0</v>
      </c>
      <c r="BC74" s="39">
        <f ca="1">BC70*BC64/1000</f>
        <v>0</v>
      </c>
      <c r="BD74" s="727">
        <f ca="1">BE74+BF74</f>
        <v>0</v>
      </c>
      <c r="BE74" s="39">
        <f>BE70*BE64/1000</f>
        <v>0</v>
      </c>
      <c r="BF74" s="39">
        <f ca="1">BF70*BF64/1000</f>
        <v>0</v>
      </c>
      <c r="BG74" s="727">
        <f ca="1">BH74+BI74</f>
        <v>0</v>
      </c>
      <c r="BH74" s="39">
        <f>BH70*BH64/1000</f>
        <v>0</v>
      </c>
      <c r="BI74" s="39">
        <f ca="1">BI70*BI64/1000</f>
        <v>0</v>
      </c>
      <c r="BJ74" s="727">
        <f ca="1">BK74+BL74</f>
        <v>0</v>
      </c>
      <c r="BK74" s="39">
        <f>BK70*BK64/1000</f>
        <v>0</v>
      </c>
      <c r="BL74" s="39">
        <f ca="1">BL70*BL64/1000</f>
        <v>0</v>
      </c>
      <c r="BM74" s="727">
        <f ca="1">BN74+BO74</f>
        <v>0</v>
      </c>
      <c r="BN74" s="39">
        <f>BN70*BN64/1000</f>
        <v>0</v>
      </c>
      <c r="BO74" s="39">
        <f ca="1">BO70*BO64/1000</f>
        <v>0</v>
      </c>
      <c r="BP74" s="727">
        <f ca="1">BQ74+BR74</f>
        <v>0</v>
      </c>
      <c r="BQ74" s="816">
        <f>BQ70*BQ64/1000</f>
        <v>0</v>
      </c>
      <c r="BR74" s="816">
        <f ca="1">BR70*BR64/1000</f>
        <v>0</v>
      </c>
      <c r="BS74" s="727">
        <f ca="1">BT74+BU74</f>
        <v>0</v>
      </c>
      <c r="BT74" s="1244">
        <f>BT70*BT64/1000</f>
        <v>0</v>
      </c>
      <c r="BU74" s="1244">
        <f ca="1">BU70*BU64/1000</f>
        <v>0</v>
      </c>
      <c r="BV74" s="727">
        <f ca="1">BW74+BX74</f>
        <v>0</v>
      </c>
      <c r="BW74" s="1244">
        <f>BW70*BW64/1000</f>
        <v>0</v>
      </c>
      <c r="BX74" s="1244">
        <f ca="1">BX70*BX64/1000</f>
        <v>0</v>
      </c>
      <c r="BY74" s="727">
        <f ca="1">BZ74+CA74</f>
        <v>0</v>
      </c>
      <c r="BZ74" s="39">
        <f>BZ70*BZ64/1000</f>
        <v>0</v>
      </c>
      <c r="CA74" s="39">
        <f ca="1">CA70*CA64/1000</f>
        <v>0</v>
      </c>
      <c r="CB74" s="727">
        <f ca="1">CC74+CD74</f>
        <v>0</v>
      </c>
      <c r="CC74" s="39">
        <f>CC70*CC64/1000</f>
        <v>0</v>
      </c>
      <c r="CD74" s="39">
        <f ca="1">CD70*CD64/1000</f>
        <v>0</v>
      </c>
      <c r="CE74" s="727">
        <f ca="1">CF74+CG74</f>
        <v>0</v>
      </c>
      <c r="CF74" s="39">
        <f>CF70*CF64/1000</f>
        <v>0</v>
      </c>
      <c r="CG74" s="39">
        <f ca="1">CG70*CG64/1000</f>
        <v>0</v>
      </c>
      <c r="CH74" s="727">
        <f ca="1">CI74+CJ74</f>
        <v>0</v>
      </c>
      <c r="CI74" s="39">
        <f>CI70*CI64/1000</f>
        <v>0</v>
      </c>
      <c r="CJ74" s="39">
        <f ca="1">CJ70*CJ64/1000</f>
        <v>0</v>
      </c>
      <c r="CK74" s="727">
        <f ca="1">CL74+CM74</f>
        <v>0</v>
      </c>
      <c r="CL74" s="39">
        <f>CL70*CL64/1000</f>
        <v>0</v>
      </c>
      <c r="CM74" s="39">
        <f ca="1">CM70*CM64/1000</f>
        <v>0</v>
      </c>
      <c r="CN74" s="727">
        <f ca="1">CO74+CP74</f>
        <v>0</v>
      </c>
      <c r="CO74" s="39">
        <f>CO70*CO64/1000</f>
        <v>0</v>
      </c>
      <c r="CP74" s="39">
        <f ca="1">CP70*CP64/1000</f>
        <v>0</v>
      </c>
      <c r="CQ74" s="727">
        <f ca="1">CR74+CS74</f>
        <v>0</v>
      </c>
      <c r="CR74" s="39">
        <f>CR70*CR64/1000</f>
        <v>0</v>
      </c>
      <c r="CS74" s="39">
        <f ca="1">CS70*CS64/1000</f>
        <v>0</v>
      </c>
      <c r="CT74" s="25"/>
      <c r="CW74" s="960" t="s">
        <v>832</v>
      </c>
      <c r="CX74" s="965" t="s">
        <v>812</v>
      </c>
      <c r="CY74" s="969" cm="1">
        <f t="array" ref="CY74">AE74</f>
        <v>0</v>
      </c>
      <c r="CZ74" s="969" cm="1">
        <f t="array" ref="CZ74">AF74</f>
        <v>0</v>
      </c>
    </row>
    <row r="75" spans="5:104" ht="17.25" hidden="1" customHeight="1" x14ac:dyDescent="0.15">
      <c r="E75" s="668">
        <v>0</v>
      </c>
      <c r="F75" s="769" cm="1">
        <f t="array" aca="1" ref="F75" ca="1">OFFSET(G75,-1,-1)</f>
        <v>0</v>
      </c>
      <c r="L75" s="769" t="b" cm="1">
        <f t="array" aca="1" ref="L75" ca="1">OFFSET(M75,-1,-1)</f>
        <v>0</v>
      </c>
      <c r="S75" s="107" t="b" cm="1">
        <f t="array" aca="1" ref="S75" ca="1">OFFSET(T75,-1,-1)</f>
        <v>0</v>
      </c>
      <c r="U75" s="690" t="b">
        <f t="shared" ca="1" si="4"/>
        <v>0</v>
      </c>
      <c r="X75" s="810" t="str">
        <f>"{                  
         funcDyn: 'msg1',
         blok: 'blok_2',
         wsCross: 'Топливо 4.4',
         linkFormula: 'AE-AE#AF-AF',
         levelDyn: "&amp;Y28&amp;"
}"</f>
        <v>{                  
         funcDyn: 'msg1',
         blok: 'blok_2',
         wsCross: 'Топливо 4.4',
         linkFormula: 'AE-AE#AF-AF',
         levelDyn: 0
}</v>
      </c>
      <c r="Y75" s="1428"/>
      <c r="Z75" s="1428"/>
      <c r="AB75" s="1536"/>
      <c r="AD75" s="813"/>
      <c r="AE75" s="812" t="s">
        <v>239</v>
      </c>
      <c r="AF75" s="736"/>
      <c r="AG75" s="724"/>
      <c r="AH75" s="726"/>
      <c r="AI75" s="728"/>
      <c r="AJ75" s="728"/>
      <c r="AK75" s="728"/>
      <c r="AL75" s="728"/>
      <c r="AM75" s="728"/>
      <c r="AN75" s="728"/>
      <c r="AO75" s="728"/>
      <c r="AP75" s="728"/>
      <c r="AQ75" s="728"/>
      <c r="AR75" s="728"/>
      <c r="AS75" s="728"/>
      <c r="AT75" s="728"/>
      <c r="AU75" s="728"/>
      <c r="AV75" s="728"/>
      <c r="AW75" s="728"/>
      <c r="AX75" s="728"/>
      <c r="AY75" s="728"/>
      <c r="AZ75" s="728"/>
      <c r="BA75" s="728"/>
      <c r="BB75" s="728"/>
      <c r="BC75" s="728"/>
      <c r="BD75" s="728"/>
      <c r="BE75" s="728"/>
      <c r="BF75" s="728"/>
      <c r="BG75" s="728"/>
      <c r="BH75" s="728"/>
      <c r="BI75" s="728"/>
      <c r="BJ75" s="728"/>
      <c r="BK75" s="728"/>
      <c r="BL75" s="728"/>
      <c r="BM75" s="728"/>
      <c r="BN75" s="728"/>
      <c r="BO75" s="728"/>
      <c r="BP75" s="728"/>
      <c r="BQ75" s="728"/>
      <c r="BR75" s="728"/>
      <c r="BS75" s="728"/>
      <c r="BT75" s="728"/>
      <c r="BU75" s="728"/>
      <c r="BV75" s="728"/>
      <c r="BW75" s="728"/>
      <c r="BX75" s="728"/>
      <c r="BY75" s="728"/>
      <c r="BZ75" s="728"/>
      <c r="CA75" s="728"/>
      <c r="CB75" s="728"/>
      <c r="CC75" s="728"/>
      <c r="CD75" s="728"/>
      <c r="CE75" s="728"/>
      <c r="CF75" s="728"/>
      <c r="CG75" s="728"/>
      <c r="CH75" s="728"/>
      <c r="CI75" s="728"/>
      <c r="CJ75" s="728"/>
      <c r="CK75" s="728"/>
      <c r="CL75" s="728"/>
      <c r="CM75" s="728"/>
      <c r="CN75" s="728"/>
      <c r="CO75" s="728"/>
      <c r="CP75" s="728"/>
      <c r="CQ75" s="728"/>
      <c r="CR75" s="728"/>
      <c r="CS75" s="728"/>
      <c r="CT75" s="43"/>
      <c r="CW75" s="960" t="str">
        <f>IF(AND(ISNUMBER(VALUE(TRIM(SUBSTITUTE(AD75,".","")))),TRIM(SUBSTITUTE(AD75,".",""))&lt;&gt;""),"P"&amp;SUBSTITUTE(AD75,".",""),"")</f>
        <v/>
      </c>
    </row>
    <row r="76" spans="5:104" ht="21.95" hidden="1" customHeight="1" x14ac:dyDescent="0.15">
      <c r="E76" s="668">
        <v>22.5</v>
      </c>
      <c r="F76" s="769" cm="1">
        <f t="array" aca="1" ref="F76" ca="1">OFFSET(G76,-1,-1)</f>
        <v>0</v>
      </c>
      <c r="L76" s="769" t="b" cm="1">
        <f t="array" aca="1" ref="L76" ca="1">OFFSET(M76,-1,-1)</f>
        <v>0</v>
      </c>
      <c r="R76" s="769" t="s">
        <v>750</v>
      </c>
      <c r="S76" s="107" t="b" cm="1">
        <f t="array" aca="1" ref="S76" ca="1">OFFSET(T76,-1,-1)</f>
        <v>0</v>
      </c>
      <c r="T76" s="107" t="b" cm="1">
        <f t="array" aca="1" ref="T76" ca="1">L76</f>
        <v>0</v>
      </c>
      <c r="U76" s="690" t="b">
        <f t="shared" ca="1" si="4"/>
        <v>0</v>
      </c>
      <c r="Y76" s="1428"/>
      <c r="Z76" s="1428"/>
      <c r="AB76" s="1536"/>
      <c r="AD76" s="108">
        <v>25</v>
      </c>
      <c r="AE76" s="1521" t="s">
        <v>834</v>
      </c>
      <c r="AF76" s="1522"/>
      <c r="AG76" s="843" t="s">
        <v>830</v>
      </c>
      <c r="AH76" s="725">
        <f t="shared" ref="AH76:BM76" si="29">SUM(AH77:AH78)</f>
        <v>0</v>
      </c>
      <c r="AI76" s="725">
        <f t="shared" si="29"/>
        <v>0</v>
      </c>
      <c r="AJ76" s="725">
        <f t="shared" si="29"/>
        <v>0</v>
      </c>
      <c r="AK76" s="725">
        <f t="shared" si="29"/>
        <v>0</v>
      </c>
      <c r="AL76" s="725">
        <f t="shared" ca="1" si="29"/>
        <v>0</v>
      </c>
      <c r="AM76" s="725">
        <f t="shared" si="29"/>
        <v>0</v>
      </c>
      <c r="AN76" s="725">
        <f t="shared" ca="1" si="29"/>
        <v>0</v>
      </c>
      <c r="AO76" s="725">
        <f t="shared" ca="1" si="29"/>
        <v>0</v>
      </c>
      <c r="AP76" s="725">
        <f t="shared" si="29"/>
        <v>0</v>
      </c>
      <c r="AQ76" s="725">
        <f t="shared" ca="1" si="29"/>
        <v>0</v>
      </c>
      <c r="AR76" s="725">
        <f t="shared" ca="1" si="29"/>
        <v>0</v>
      </c>
      <c r="AS76" s="725">
        <f t="shared" si="29"/>
        <v>0</v>
      </c>
      <c r="AT76" s="725">
        <f t="shared" ca="1" si="29"/>
        <v>0</v>
      </c>
      <c r="AU76" s="725">
        <f t="shared" ca="1" si="29"/>
        <v>0</v>
      </c>
      <c r="AV76" s="725">
        <f t="shared" si="29"/>
        <v>0</v>
      </c>
      <c r="AW76" s="725">
        <f t="shared" ca="1" si="29"/>
        <v>0</v>
      </c>
      <c r="AX76" s="725">
        <f t="shared" ca="1" si="29"/>
        <v>0</v>
      </c>
      <c r="AY76" s="725">
        <f t="shared" si="29"/>
        <v>0</v>
      </c>
      <c r="AZ76" s="725">
        <f t="shared" ca="1" si="29"/>
        <v>0</v>
      </c>
      <c r="BA76" s="725">
        <f t="shared" ca="1" si="29"/>
        <v>0</v>
      </c>
      <c r="BB76" s="725">
        <f t="shared" si="29"/>
        <v>0</v>
      </c>
      <c r="BC76" s="725">
        <f t="shared" ca="1" si="29"/>
        <v>0</v>
      </c>
      <c r="BD76" s="725">
        <f t="shared" ca="1" si="29"/>
        <v>0</v>
      </c>
      <c r="BE76" s="725">
        <f t="shared" si="29"/>
        <v>0</v>
      </c>
      <c r="BF76" s="725">
        <f t="shared" ca="1" si="29"/>
        <v>0</v>
      </c>
      <c r="BG76" s="725">
        <f t="shared" ca="1" si="29"/>
        <v>0</v>
      </c>
      <c r="BH76" s="725">
        <f t="shared" si="29"/>
        <v>0</v>
      </c>
      <c r="BI76" s="725">
        <f t="shared" ca="1" si="29"/>
        <v>0</v>
      </c>
      <c r="BJ76" s="725">
        <f t="shared" ca="1" si="29"/>
        <v>0</v>
      </c>
      <c r="BK76" s="725">
        <f t="shared" si="29"/>
        <v>0</v>
      </c>
      <c r="BL76" s="725">
        <f t="shared" ca="1" si="29"/>
        <v>0</v>
      </c>
      <c r="BM76" s="725">
        <f t="shared" ca="1" si="29"/>
        <v>0</v>
      </c>
      <c r="BN76" s="725">
        <f t="shared" ref="BN76:CS76" si="30">SUM(BN77:BN78)</f>
        <v>0</v>
      </c>
      <c r="BO76" s="725">
        <f t="shared" ca="1" si="30"/>
        <v>0</v>
      </c>
      <c r="BP76" s="725">
        <f t="shared" ca="1" si="30"/>
        <v>0</v>
      </c>
      <c r="BQ76" s="725">
        <f t="shared" si="30"/>
        <v>0</v>
      </c>
      <c r="BR76" s="725">
        <f t="shared" ca="1" si="30"/>
        <v>0</v>
      </c>
      <c r="BS76" s="725">
        <f t="shared" ca="1" si="30"/>
        <v>0</v>
      </c>
      <c r="BT76" s="725">
        <f t="shared" si="30"/>
        <v>0</v>
      </c>
      <c r="BU76" s="725">
        <f t="shared" ca="1" si="30"/>
        <v>0</v>
      </c>
      <c r="BV76" s="725">
        <f t="shared" ca="1" si="30"/>
        <v>0</v>
      </c>
      <c r="BW76" s="725">
        <f t="shared" si="30"/>
        <v>0</v>
      </c>
      <c r="BX76" s="725">
        <f t="shared" ca="1" si="30"/>
        <v>0</v>
      </c>
      <c r="BY76" s="725">
        <f t="shared" ca="1" si="30"/>
        <v>0</v>
      </c>
      <c r="BZ76" s="725">
        <f t="shared" si="30"/>
        <v>0</v>
      </c>
      <c r="CA76" s="725">
        <f t="shared" ca="1" si="30"/>
        <v>0</v>
      </c>
      <c r="CB76" s="725">
        <f t="shared" ca="1" si="30"/>
        <v>0</v>
      </c>
      <c r="CC76" s="725">
        <f t="shared" si="30"/>
        <v>0</v>
      </c>
      <c r="CD76" s="725">
        <f t="shared" ca="1" si="30"/>
        <v>0</v>
      </c>
      <c r="CE76" s="725">
        <f t="shared" ca="1" si="30"/>
        <v>0</v>
      </c>
      <c r="CF76" s="725">
        <f t="shared" si="30"/>
        <v>0</v>
      </c>
      <c r="CG76" s="725">
        <f t="shared" ca="1" si="30"/>
        <v>0</v>
      </c>
      <c r="CH76" s="725">
        <f t="shared" ca="1" si="30"/>
        <v>0</v>
      </c>
      <c r="CI76" s="725">
        <f t="shared" si="30"/>
        <v>0</v>
      </c>
      <c r="CJ76" s="725">
        <f t="shared" ca="1" si="30"/>
        <v>0</v>
      </c>
      <c r="CK76" s="725">
        <f t="shared" ca="1" si="30"/>
        <v>0</v>
      </c>
      <c r="CL76" s="725">
        <f t="shared" si="30"/>
        <v>0</v>
      </c>
      <c r="CM76" s="725">
        <f t="shared" ca="1" si="30"/>
        <v>0</v>
      </c>
      <c r="CN76" s="725">
        <f t="shared" ca="1" si="30"/>
        <v>0</v>
      </c>
      <c r="CO76" s="725">
        <f t="shared" si="30"/>
        <v>0</v>
      </c>
      <c r="CP76" s="725">
        <f t="shared" ca="1" si="30"/>
        <v>0</v>
      </c>
      <c r="CQ76" s="725">
        <f t="shared" ca="1" si="30"/>
        <v>0</v>
      </c>
      <c r="CR76" s="725">
        <f t="shared" si="30"/>
        <v>0</v>
      </c>
      <c r="CS76" s="725">
        <f t="shared" ca="1" si="30"/>
        <v>0</v>
      </c>
      <c r="CT76" s="25"/>
      <c r="CW76" s="960" t="s">
        <v>835</v>
      </c>
    </row>
    <row r="77" spans="5:104" ht="16.7" hidden="1" customHeight="1" x14ac:dyDescent="0.15">
      <c r="E77" s="668">
        <v>17.100000000000001</v>
      </c>
      <c r="F77" s="769" cm="1">
        <f t="array" aca="1" ref="F77" ca="1">OFFSET(G77,-1,-1)</f>
        <v>0</v>
      </c>
      <c r="L77" s="769" t="b" cm="1">
        <f t="array" aca="1" ref="L77" ca="1">OFFSET(M77,-1,-1)</f>
        <v>0</v>
      </c>
      <c r="R77" s="769" t="s">
        <v>750</v>
      </c>
      <c r="S77" s="107" t="b" cm="1">
        <f t="array" aca="1" ref="S77" ca="1">OFFSET(T77,-1,-1)</f>
        <v>0</v>
      </c>
      <c r="T77" s="107" t="b">
        <f ca="1">AND(L77,AD77&lt;&gt;"25.0")</f>
        <v>0</v>
      </c>
      <c r="U77" s="690" t="b">
        <f t="shared" ca="1" si="4"/>
        <v>0</v>
      </c>
      <c r="X77" s="107" t="s">
        <v>237</v>
      </c>
      <c r="Y77" s="1428"/>
      <c r="Z77" s="1428"/>
      <c r="AB77" s="1536"/>
      <c r="AD77" s="108" t="s">
        <v>836</v>
      </c>
      <c r="AE77" s="811"/>
      <c r="AF77" s="516"/>
      <c r="AG77" s="843" t="s">
        <v>830</v>
      </c>
      <c r="AH77" s="38">
        <f>AH$52*AH74</f>
        <v>0</v>
      </c>
      <c r="AI77" s="39">
        <f>AI$52*AI74</f>
        <v>0</v>
      </c>
      <c r="AJ77" s="39">
        <f>AJ$52*AJ74</f>
        <v>0</v>
      </c>
      <c r="AK77" s="39">
        <f>AK$52*AK74</f>
        <v>0</v>
      </c>
      <c r="AL77" s="727">
        <f ca="1">AM77+AN77</f>
        <v>0</v>
      </c>
      <c r="AM77" s="39">
        <f>AM$52*AM74</f>
        <v>0</v>
      </c>
      <c r="AN77" s="39">
        <f ca="1">AN$52*AN74</f>
        <v>0</v>
      </c>
      <c r="AO77" s="727">
        <f ca="1">AP77+AQ77</f>
        <v>0</v>
      </c>
      <c r="AP77" s="1244">
        <f>AP$52*AP74</f>
        <v>0</v>
      </c>
      <c r="AQ77" s="1244">
        <f ca="1">AQ$52*AQ74</f>
        <v>0</v>
      </c>
      <c r="AR77" s="727">
        <f ca="1">AS77+AT77</f>
        <v>0</v>
      </c>
      <c r="AS77" s="1244">
        <f>AS$52*AS74</f>
        <v>0</v>
      </c>
      <c r="AT77" s="1244">
        <f ca="1">AT$52*AT74</f>
        <v>0</v>
      </c>
      <c r="AU77" s="727">
        <f ca="1">AV77+AW77</f>
        <v>0</v>
      </c>
      <c r="AV77" s="39">
        <f>AV$52*AV74</f>
        <v>0</v>
      </c>
      <c r="AW77" s="39">
        <f ca="1">AW$52*AW74</f>
        <v>0</v>
      </c>
      <c r="AX77" s="727">
        <f ca="1">AY77+AZ77</f>
        <v>0</v>
      </c>
      <c r="AY77" s="39">
        <f>AY$52*AY74</f>
        <v>0</v>
      </c>
      <c r="AZ77" s="39">
        <f ca="1">AZ$52*AZ74</f>
        <v>0</v>
      </c>
      <c r="BA77" s="727">
        <f ca="1">BB77+BC77</f>
        <v>0</v>
      </c>
      <c r="BB77" s="39">
        <f>BB$52*BB74</f>
        <v>0</v>
      </c>
      <c r="BC77" s="39">
        <f ca="1">BC$52*BC74</f>
        <v>0</v>
      </c>
      <c r="BD77" s="727">
        <f ca="1">BE77+BF77</f>
        <v>0</v>
      </c>
      <c r="BE77" s="39">
        <f>BE$52*BE74</f>
        <v>0</v>
      </c>
      <c r="BF77" s="39">
        <f ca="1">BF$52*BF74</f>
        <v>0</v>
      </c>
      <c r="BG77" s="727">
        <f ca="1">BH77+BI77</f>
        <v>0</v>
      </c>
      <c r="BH77" s="39">
        <f>BH$52*BH74</f>
        <v>0</v>
      </c>
      <c r="BI77" s="39">
        <f ca="1">BI$52*BI74</f>
        <v>0</v>
      </c>
      <c r="BJ77" s="727">
        <f ca="1">BK77+BL77</f>
        <v>0</v>
      </c>
      <c r="BK77" s="39">
        <f>BK$52*BK74</f>
        <v>0</v>
      </c>
      <c r="BL77" s="39">
        <f ca="1">BL$52*BL74</f>
        <v>0</v>
      </c>
      <c r="BM77" s="727">
        <f ca="1">BN77+BO77</f>
        <v>0</v>
      </c>
      <c r="BN77" s="39">
        <f>BN$52*BN74</f>
        <v>0</v>
      </c>
      <c r="BO77" s="39">
        <f ca="1">BO$52*BO74</f>
        <v>0</v>
      </c>
      <c r="BP77" s="727">
        <f ca="1">BQ77+BR77</f>
        <v>0</v>
      </c>
      <c r="BQ77" s="816">
        <f>BQ$52*BQ74</f>
        <v>0</v>
      </c>
      <c r="BR77" s="816">
        <f ca="1">BR$52*BR74</f>
        <v>0</v>
      </c>
      <c r="BS77" s="727">
        <f ca="1">BT77+BU77</f>
        <v>0</v>
      </c>
      <c r="BT77" s="1244">
        <f>BT$52*BT74</f>
        <v>0</v>
      </c>
      <c r="BU77" s="1244">
        <f ca="1">BU$52*BU74</f>
        <v>0</v>
      </c>
      <c r="BV77" s="727">
        <f ca="1">BW77+BX77</f>
        <v>0</v>
      </c>
      <c r="BW77" s="1244">
        <f>BW$52*BW74</f>
        <v>0</v>
      </c>
      <c r="BX77" s="1244">
        <f ca="1">BX$52*BX74</f>
        <v>0</v>
      </c>
      <c r="BY77" s="727">
        <f ca="1">BZ77+CA77</f>
        <v>0</v>
      </c>
      <c r="BZ77" s="39">
        <f>BZ$52*BZ74</f>
        <v>0</v>
      </c>
      <c r="CA77" s="39">
        <f ca="1">CA$52*CA74</f>
        <v>0</v>
      </c>
      <c r="CB77" s="727">
        <f ca="1">CC77+CD77</f>
        <v>0</v>
      </c>
      <c r="CC77" s="39">
        <f>CC$52*CC74</f>
        <v>0</v>
      </c>
      <c r="CD77" s="39">
        <f ca="1">CD$52*CD74</f>
        <v>0</v>
      </c>
      <c r="CE77" s="727">
        <f ca="1">CF77+CG77</f>
        <v>0</v>
      </c>
      <c r="CF77" s="39">
        <f>CF$52*CF74</f>
        <v>0</v>
      </c>
      <c r="CG77" s="39">
        <f ca="1">CG$52*CG74</f>
        <v>0</v>
      </c>
      <c r="CH77" s="727">
        <f ca="1">CI77+CJ77</f>
        <v>0</v>
      </c>
      <c r="CI77" s="39">
        <f>CI$52*CI74</f>
        <v>0</v>
      </c>
      <c r="CJ77" s="39">
        <f ca="1">CJ$52*CJ74</f>
        <v>0</v>
      </c>
      <c r="CK77" s="727">
        <f ca="1">CL77+CM77</f>
        <v>0</v>
      </c>
      <c r="CL77" s="39">
        <f>CL$52*CL74</f>
        <v>0</v>
      </c>
      <c r="CM77" s="39">
        <f ca="1">CM$52*CM74</f>
        <v>0</v>
      </c>
      <c r="CN77" s="727">
        <f ca="1">CO77+CP77</f>
        <v>0</v>
      </c>
      <c r="CO77" s="39">
        <f>CO$52*CO74</f>
        <v>0</v>
      </c>
      <c r="CP77" s="39">
        <f ca="1">CP$52*CP74</f>
        <v>0</v>
      </c>
      <c r="CQ77" s="727">
        <f ca="1">CR77+CS77</f>
        <v>0</v>
      </c>
      <c r="CR77" s="39">
        <f>CR$52*CR74</f>
        <v>0</v>
      </c>
      <c r="CS77" s="39">
        <f ca="1">CS$52*CS74</f>
        <v>0</v>
      </c>
      <c r="CT77" s="25"/>
      <c r="CW77" s="960" t="s">
        <v>835</v>
      </c>
      <c r="CX77" s="965" t="s">
        <v>812</v>
      </c>
      <c r="CY77" s="969" cm="1">
        <f t="array" ref="CY77">AE77</f>
        <v>0</v>
      </c>
      <c r="CZ77" s="969" cm="1">
        <f t="array" ref="CZ77">AF77</f>
        <v>0</v>
      </c>
    </row>
    <row r="78" spans="5:104" ht="15" hidden="1" customHeight="1" x14ac:dyDescent="0.15">
      <c r="E78" s="668">
        <v>0</v>
      </c>
      <c r="F78" s="769" cm="1">
        <f t="array" aca="1" ref="F78" ca="1">OFFSET(G78,-1,-1)</f>
        <v>0</v>
      </c>
      <c r="L78" s="769" t="b" cm="1">
        <f t="array" aca="1" ref="L78" ca="1">OFFSET(M78,-1,-1)</f>
        <v>0</v>
      </c>
      <c r="S78" s="107" t="b" cm="1">
        <f t="array" aca="1" ref="S78" ca="1">OFFSET(T78,-1,-1)</f>
        <v>0</v>
      </c>
      <c r="U78" s="690" t="b">
        <f t="shared" ca="1" si="4"/>
        <v>0</v>
      </c>
      <c r="X78" s="810" t="str">
        <f>"{                  
         funcDyn: 'msg1',
         blok: 'blok_2',
         wsCross: 'Топливо 4.4',
         linkFormula: 'AE-AE#AF-AF',
         levelDyn: "&amp;Y28&amp;"
}"</f>
        <v>{                  
         funcDyn: 'msg1',
         blok: 'blok_2',
         wsCross: 'Топливо 4.4',
         linkFormula: 'AE-AE#AF-AF',
         levelDyn: 0
}</v>
      </c>
      <c r="Y78" s="1428"/>
      <c r="Z78" s="1428"/>
      <c r="AB78" s="1537"/>
      <c r="AD78" s="813"/>
      <c r="AE78" s="812" t="s">
        <v>239</v>
      </c>
      <c r="AF78" s="736"/>
      <c r="AG78" s="843"/>
      <c r="AH78" s="726"/>
      <c r="AI78" s="728"/>
      <c r="AJ78" s="728"/>
      <c r="AK78" s="728"/>
      <c r="AL78" s="728"/>
      <c r="AM78" s="728"/>
      <c r="AN78" s="728"/>
      <c r="AO78" s="728"/>
      <c r="AP78" s="728"/>
      <c r="AQ78" s="728"/>
      <c r="AR78" s="728"/>
      <c r="AS78" s="728"/>
      <c r="AT78" s="728"/>
      <c r="AU78" s="728"/>
      <c r="AV78" s="728"/>
      <c r="AW78" s="728"/>
      <c r="AX78" s="728"/>
      <c r="AY78" s="728"/>
      <c r="AZ78" s="728"/>
      <c r="BA78" s="728"/>
      <c r="BB78" s="728"/>
      <c r="BC78" s="728"/>
      <c r="BD78" s="728"/>
      <c r="BE78" s="728"/>
      <c r="BF78" s="728"/>
      <c r="BG78" s="728"/>
      <c r="BH78" s="728"/>
      <c r="BI78" s="728"/>
      <c r="BJ78" s="728"/>
      <c r="BK78" s="728"/>
      <c r="BL78" s="728"/>
      <c r="BM78" s="728"/>
      <c r="BN78" s="728"/>
      <c r="BO78" s="728"/>
      <c r="BP78" s="728"/>
      <c r="BQ78" s="728"/>
      <c r="BR78" s="728"/>
      <c r="BS78" s="728"/>
      <c r="BT78" s="728"/>
      <c r="BU78" s="728"/>
      <c r="BV78" s="728"/>
      <c r="BW78" s="728"/>
      <c r="BX78" s="728"/>
      <c r="BY78" s="728"/>
      <c r="BZ78" s="728"/>
      <c r="CA78" s="728"/>
      <c r="CB78" s="728"/>
      <c r="CC78" s="728"/>
      <c r="CD78" s="728"/>
      <c r="CE78" s="728"/>
      <c r="CF78" s="728"/>
      <c r="CG78" s="728"/>
      <c r="CH78" s="728"/>
      <c r="CI78" s="728"/>
      <c r="CJ78" s="728"/>
      <c r="CK78" s="728"/>
      <c r="CL78" s="728"/>
      <c r="CM78" s="728"/>
      <c r="CN78" s="728"/>
      <c r="CO78" s="728"/>
      <c r="CP78" s="728"/>
      <c r="CQ78" s="728"/>
      <c r="CR78" s="728"/>
      <c r="CS78" s="728"/>
      <c r="CT78" s="43"/>
      <c r="CW78" s="960" t="str">
        <f>IF(AND(ISNUMBER(VALUE(TRIM(SUBSTITUTE(AD78,".","")))),TRIM(SUBSTITUTE(AD78,".",""))&lt;&gt;""),"P"&amp;SUBSTITUTE(AD78,".",""),"")</f>
        <v/>
      </c>
    </row>
    <row r="79" spans="5:104" ht="16.7" hidden="1" customHeight="1" x14ac:dyDescent="0.15">
      <c r="E79" s="668">
        <v>17.100000000000001</v>
      </c>
      <c r="F79" s="769" cm="1">
        <f t="array" aca="1" ref="F79" ca="1">OFFSET(G79,-1,-1)</f>
        <v>0</v>
      </c>
      <c r="L79" s="769" t="b" cm="1">
        <f t="array" aca="1" ref="L79" ca="1">OFFSET(M79,-1,-1)</f>
        <v>0</v>
      </c>
      <c r="S79" s="107" t="b" cm="1">
        <f t="array" aca="1" ref="S79" ca="1">OFFSET(T79,-1,-1)</f>
        <v>0</v>
      </c>
      <c r="U79" s="690" t="b">
        <f t="shared" ca="1" si="4"/>
        <v>0</v>
      </c>
      <c r="Y79" s="1428"/>
      <c r="Z79" s="1428"/>
      <c r="AB79" s="1541" t="s">
        <v>837</v>
      </c>
      <c r="AD79" s="121">
        <v>26</v>
      </c>
      <c r="AE79" s="1510" t="s">
        <v>838</v>
      </c>
      <c r="AF79" s="1493"/>
      <c r="AG79" s="839"/>
      <c r="AH79" s="726"/>
      <c r="AI79" s="728"/>
      <c r="AJ79" s="728"/>
      <c r="AK79" s="728"/>
      <c r="AL79" s="728"/>
      <c r="AM79" s="728"/>
      <c r="AN79" s="728"/>
      <c r="AO79" s="728"/>
      <c r="AP79" s="728"/>
      <c r="AQ79" s="728"/>
      <c r="AR79" s="728"/>
      <c r="AS79" s="728"/>
      <c r="AT79" s="728"/>
      <c r="AU79" s="728"/>
      <c r="AV79" s="728"/>
      <c r="AW79" s="728"/>
      <c r="AX79" s="728"/>
      <c r="AY79" s="728"/>
      <c r="AZ79" s="728"/>
      <c r="BA79" s="728"/>
      <c r="BB79" s="728"/>
      <c r="BC79" s="728"/>
      <c r="BD79" s="728"/>
      <c r="BE79" s="728"/>
      <c r="BF79" s="728"/>
      <c r="BG79" s="728"/>
      <c r="BH79" s="728"/>
      <c r="BI79" s="728"/>
      <c r="BJ79" s="728"/>
      <c r="BK79" s="728"/>
      <c r="BL79" s="728"/>
      <c r="BM79" s="728"/>
      <c r="BN79" s="728"/>
      <c r="BO79" s="728"/>
      <c r="BP79" s="728"/>
      <c r="BQ79" s="728"/>
      <c r="BR79" s="728"/>
      <c r="BS79" s="728"/>
      <c r="BT79" s="728"/>
      <c r="BU79" s="728"/>
      <c r="BV79" s="728"/>
      <c r="BW79" s="728"/>
      <c r="BX79" s="728"/>
      <c r="BY79" s="728"/>
      <c r="BZ79" s="728"/>
      <c r="CA79" s="728"/>
      <c r="CB79" s="728"/>
      <c r="CC79" s="728"/>
      <c r="CD79" s="728"/>
      <c r="CE79" s="728"/>
      <c r="CF79" s="728"/>
      <c r="CG79" s="728"/>
      <c r="CH79" s="728"/>
      <c r="CI79" s="728"/>
      <c r="CJ79" s="728"/>
      <c r="CK79" s="728"/>
      <c r="CL79" s="728"/>
      <c r="CM79" s="728"/>
      <c r="CN79" s="728"/>
      <c r="CO79" s="728"/>
      <c r="CP79" s="728"/>
      <c r="CQ79" s="728"/>
      <c r="CR79" s="728"/>
      <c r="CS79" s="728"/>
      <c r="CT79" s="25"/>
      <c r="CW79" s="960" t="s">
        <v>839</v>
      </c>
    </row>
    <row r="80" spans="5:104" ht="16.7" hidden="1" customHeight="1" x14ac:dyDescent="0.15">
      <c r="E80" s="668">
        <v>17.100000000000001</v>
      </c>
      <c r="F80" s="769" cm="1">
        <f t="array" aca="1" ref="F80" ca="1">OFFSET(G80,-1,-1)</f>
        <v>0</v>
      </c>
      <c r="L80" s="769" t="b" cm="1">
        <f t="array" aca="1" ref="L80" ca="1">OFFSET(M80,-1,-1)</f>
        <v>0</v>
      </c>
      <c r="S80" s="107" t="b" cm="1">
        <f t="array" aca="1" ref="S80" ca="1">OFFSET(T80,-1,-1)</f>
        <v>0</v>
      </c>
      <c r="T80" s="107" t="b">
        <f>AD80&lt;&gt;"26.0"</f>
        <v>0</v>
      </c>
      <c r="U80" s="690" t="b">
        <f t="shared" ca="1" si="4"/>
        <v>0</v>
      </c>
      <c r="X80" s="107" t="s">
        <v>237</v>
      </c>
      <c r="Y80" s="1428"/>
      <c r="Z80" s="1428"/>
      <c r="AB80" s="1542"/>
      <c r="AD80" s="108" t="s">
        <v>840</v>
      </c>
      <c r="AE80" s="811"/>
      <c r="AF80" s="516"/>
      <c r="AG80" s="724" t="s">
        <v>521</v>
      </c>
      <c r="AH80" s="42"/>
      <c r="AI80" s="46"/>
      <c r="AJ80" s="46"/>
      <c r="AK80" s="46"/>
      <c r="AL80" s="728"/>
      <c r="AM80" s="39"/>
      <c r="AN80" s="39"/>
      <c r="AO80" s="728"/>
      <c r="AP80" s="1248"/>
      <c r="AQ80" s="1248"/>
      <c r="AR80" s="728"/>
      <c r="AS80" s="1248"/>
      <c r="AT80" s="1248"/>
      <c r="AU80" s="728"/>
      <c r="AV80" s="46"/>
      <c r="AW80" s="46"/>
      <c r="AX80" s="728"/>
      <c r="AY80" s="46"/>
      <c r="AZ80" s="46"/>
      <c r="BA80" s="728"/>
      <c r="BB80" s="46"/>
      <c r="BC80" s="46"/>
      <c r="BD80" s="728"/>
      <c r="BE80" s="46"/>
      <c r="BF80" s="46"/>
      <c r="BG80" s="728"/>
      <c r="BH80" s="46"/>
      <c r="BI80" s="46"/>
      <c r="BJ80" s="728"/>
      <c r="BK80" s="46"/>
      <c r="BL80" s="46"/>
      <c r="BM80" s="728"/>
      <c r="BN80" s="46"/>
      <c r="BO80" s="46"/>
      <c r="BP80" s="728"/>
      <c r="BQ80" s="819"/>
      <c r="BR80" s="819"/>
      <c r="BS80" s="728"/>
      <c r="BT80" s="1248"/>
      <c r="BU80" s="1248"/>
      <c r="BV80" s="728"/>
      <c r="BW80" s="1248"/>
      <c r="BX80" s="1248"/>
      <c r="BY80" s="728"/>
      <c r="BZ80" s="46"/>
      <c r="CA80" s="46"/>
      <c r="CB80" s="728"/>
      <c r="CC80" s="46"/>
      <c r="CD80" s="46"/>
      <c r="CE80" s="728"/>
      <c r="CF80" s="46"/>
      <c r="CG80" s="46"/>
      <c r="CH80" s="728"/>
      <c r="CI80" s="46"/>
      <c r="CJ80" s="46"/>
      <c r="CK80" s="728"/>
      <c r="CL80" s="46"/>
      <c r="CM80" s="46"/>
      <c r="CN80" s="728"/>
      <c r="CO80" s="46"/>
      <c r="CP80" s="46"/>
      <c r="CQ80" s="728"/>
      <c r="CR80" s="46"/>
      <c r="CS80" s="46"/>
      <c r="CT80" s="25"/>
      <c r="CW80" s="960" t="s">
        <v>839</v>
      </c>
      <c r="CX80" s="965" t="s">
        <v>812</v>
      </c>
      <c r="CY80" s="969" cm="1">
        <f t="array" ref="CY80">AE80</f>
        <v>0</v>
      </c>
      <c r="CZ80" s="969" cm="1">
        <f t="array" ref="CZ80">AF80</f>
        <v>0</v>
      </c>
    </row>
    <row r="81" spans="5:104" ht="15" hidden="1" customHeight="1" x14ac:dyDescent="0.15">
      <c r="E81" s="668">
        <v>0</v>
      </c>
      <c r="F81" s="769" cm="1">
        <f t="array" aca="1" ref="F81" ca="1">OFFSET(G81,-1,-1)</f>
        <v>0</v>
      </c>
      <c r="L81" s="769" t="b" cm="1">
        <f t="array" aca="1" ref="L81" ca="1">OFFSET(M81,-1,-1)</f>
        <v>0</v>
      </c>
      <c r="S81" s="107" t="b" cm="1">
        <f t="array" aca="1" ref="S81" ca="1">OFFSET(T81,-1,-1)</f>
        <v>0</v>
      </c>
      <c r="U81" s="690" t="b">
        <f t="shared" ca="1" si="4"/>
        <v>0</v>
      </c>
      <c r="X81" s="810" t="str">
        <f>"{                  
         funcDyn: 'msg1',
         blok: 'blok_2',
         wsCross: 'Топливо 4.4',
         linkFormula: 'AE-AE#AF-AF',
         levelDyn: "&amp;Y28&amp;"
}"</f>
        <v>{                  
         funcDyn: 'msg1',
         blok: 'blok_2',
         wsCross: 'Топливо 4.4',
         linkFormula: 'AE-AE#AF-AF',
         levelDyn: 0
}</v>
      </c>
      <c r="Y81" s="1428"/>
      <c r="Z81" s="1428"/>
      <c r="AB81" s="1542"/>
      <c r="AD81" s="813"/>
      <c r="AE81" s="812" t="s">
        <v>239</v>
      </c>
      <c r="AF81" s="736"/>
      <c r="AG81" s="724"/>
      <c r="AH81" s="737"/>
      <c r="AI81" s="47"/>
      <c r="AJ81" s="47"/>
      <c r="AK81" s="47"/>
      <c r="AL81" s="728"/>
      <c r="AM81" s="47"/>
      <c r="AN81" s="47"/>
      <c r="AO81" s="728"/>
      <c r="AP81" s="47"/>
      <c r="AQ81" s="47"/>
      <c r="AR81" s="728"/>
      <c r="AS81" s="47"/>
      <c r="AT81" s="47"/>
      <c r="AU81" s="728"/>
      <c r="AV81" s="47"/>
      <c r="AW81" s="47"/>
      <c r="AX81" s="728"/>
      <c r="AY81" s="47"/>
      <c r="AZ81" s="47"/>
      <c r="BA81" s="728"/>
      <c r="BB81" s="47"/>
      <c r="BC81" s="47"/>
      <c r="BD81" s="728"/>
      <c r="BE81" s="47"/>
      <c r="BF81" s="47"/>
      <c r="BG81" s="728"/>
      <c r="BH81" s="47"/>
      <c r="BI81" s="47"/>
      <c r="BJ81" s="728"/>
      <c r="BK81" s="47"/>
      <c r="BL81" s="47"/>
      <c r="BM81" s="728"/>
      <c r="BN81" s="47"/>
      <c r="BO81" s="47"/>
      <c r="BP81" s="728"/>
      <c r="BQ81" s="47"/>
      <c r="BR81" s="47"/>
      <c r="BS81" s="728"/>
      <c r="BT81" s="47"/>
      <c r="BU81" s="47"/>
      <c r="BV81" s="728"/>
      <c r="BW81" s="47"/>
      <c r="BX81" s="47"/>
      <c r="BY81" s="728"/>
      <c r="BZ81" s="47"/>
      <c r="CA81" s="47"/>
      <c r="CB81" s="728"/>
      <c r="CC81" s="47"/>
      <c r="CD81" s="47"/>
      <c r="CE81" s="728"/>
      <c r="CF81" s="47"/>
      <c r="CG81" s="47"/>
      <c r="CH81" s="728"/>
      <c r="CI81" s="47"/>
      <c r="CJ81" s="47"/>
      <c r="CK81" s="728"/>
      <c r="CL81" s="47"/>
      <c r="CM81" s="47"/>
      <c r="CN81" s="728"/>
      <c r="CO81" s="47"/>
      <c r="CP81" s="47"/>
      <c r="CQ81" s="728"/>
      <c r="CR81" s="47"/>
      <c r="CS81" s="47"/>
      <c r="CT81" s="43"/>
      <c r="CW81" s="960" t="str">
        <f>IF(AND(ISNUMBER(VALUE(TRIM(SUBSTITUTE(AD81,".","")))),TRIM(SUBSTITUTE(AD81,".",""))&lt;&gt;""),"P"&amp;SUBSTITUTE(AD81,".",""),"")</f>
        <v/>
      </c>
    </row>
    <row r="82" spans="5:104" ht="16.7" hidden="1" customHeight="1" x14ac:dyDescent="0.15">
      <c r="E82" s="668">
        <v>17.100000000000001</v>
      </c>
      <c r="F82" s="769" cm="1">
        <f t="array" aca="1" ref="F82" ca="1">OFFSET(G82,-1,-1)</f>
        <v>0</v>
      </c>
      <c r="L82" s="769" t="b" cm="1">
        <f t="array" aca="1" ref="L82" ca="1">OFFSET(M82,-1,-1)</f>
        <v>0</v>
      </c>
      <c r="S82" s="107" t="b" cm="1">
        <f t="array" aca="1" ref="S82" ca="1">OFFSET(T82,-1,-1)</f>
        <v>0</v>
      </c>
      <c r="U82" s="690" t="b">
        <f t="shared" ca="1" si="4"/>
        <v>0</v>
      </c>
      <c r="Y82" s="1428"/>
      <c r="Z82" s="1428"/>
      <c r="AB82" s="1542"/>
      <c r="AD82" s="121">
        <v>27</v>
      </c>
      <c r="AE82" s="1510" t="s">
        <v>841</v>
      </c>
      <c r="AF82" s="1493"/>
      <c r="AG82" s="839"/>
      <c r="AH82" s="726"/>
      <c r="AI82" s="728"/>
      <c r="AJ82" s="728"/>
      <c r="AK82" s="728"/>
      <c r="AL82" s="728"/>
      <c r="AM82" s="728"/>
      <c r="AN82" s="728"/>
      <c r="AO82" s="728"/>
      <c r="AP82" s="728"/>
      <c r="AQ82" s="728"/>
      <c r="AR82" s="728"/>
      <c r="AS82" s="728"/>
      <c r="AT82" s="728"/>
      <c r="AU82" s="728"/>
      <c r="AV82" s="728"/>
      <c r="AW82" s="728"/>
      <c r="AX82" s="728"/>
      <c r="AY82" s="728"/>
      <c r="AZ82" s="728"/>
      <c r="BA82" s="728"/>
      <c r="BB82" s="728"/>
      <c r="BC82" s="728"/>
      <c r="BD82" s="728"/>
      <c r="BE82" s="728"/>
      <c r="BF82" s="728"/>
      <c r="BG82" s="728"/>
      <c r="BH82" s="728"/>
      <c r="BI82" s="728"/>
      <c r="BJ82" s="728"/>
      <c r="BK82" s="728"/>
      <c r="BL82" s="728"/>
      <c r="BM82" s="728"/>
      <c r="BN82" s="728"/>
      <c r="BO82" s="728"/>
      <c r="BP82" s="728"/>
      <c r="BQ82" s="728"/>
      <c r="BR82" s="728"/>
      <c r="BS82" s="728"/>
      <c r="BT82" s="728"/>
      <c r="BU82" s="728"/>
      <c r="BV82" s="728"/>
      <c r="BW82" s="728"/>
      <c r="BX82" s="728"/>
      <c r="BY82" s="728"/>
      <c r="BZ82" s="728"/>
      <c r="CA82" s="728"/>
      <c r="CB82" s="728"/>
      <c r="CC82" s="728"/>
      <c r="CD82" s="728"/>
      <c r="CE82" s="728"/>
      <c r="CF82" s="728"/>
      <c r="CG82" s="728"/>
      <c r="CH82" s="728"/>
      <c r="CI82" s="728"/>
      <c r="CJ82" s="728"/>
      <c r="CK82" s="728"/>
      <c r="CL82" s="728"/>
      <c r="CM82" s="728"/>
      <c r="CN82" s="728"/>
      <c r="CO82" s="728"/>
      <c r="CP82" s="728"/>
      <c r="CQ82" s="728"/>
      <c r="CR82" s="728"/>
      <c r="CS82" s="728"/>
      <c r="CT82" s="25"/>
      <c r="CW82" s="960" t="s">
        <v>842</v>
      </c>
    </row>
    <row r="83" spans="5:104" ht="16.7" hidden="1" customHeight="1" x14ac:dyDescent="0.15">
      <c r="E83" s="668">
        <v>17.100000000000001</v>
      </c>
      <c r="F83" s="769" cm="1">
        <f t="array" aca="1" ref="F83" ca="1">OFFSET(G83,-1,-1)</f>
        <v>0</v>
      </c>
      <c r="L83" s="769" t="b" cm="1">
        <f t="array" aca="1" ref="L83" ca="1">OFFSET(M83,-1,-1)</f>
        <v>0</v>
      </c>
      <c r="S83" s="107" t="b" cm="1">
        <f t="array" aca="1" ref="S83" ca="1">OFFSET(T83,-1,-1)</f>
        <v>0</v>
      </c>
      <c r="T83" s="107" t="b">
        <f>AD83&lt;&gt;"27.0"</f>
        <v>0</v>
      </c>
      <c r="U83" s="690" t="b">
        <f t="shared" ca="1" si="4"/>
        <v>0</v>
      </c>
      <c r="X83" s="107" t="s">
        <v>237</v>
      </c>
      <c r="Y83" s="1428"/>
      <c r="Z83" s="1428"/>
      <c r="AB83" s="1542"/>
      <c r="AD83" s="108" t="s">
        <v>843</v>
      </c>
      <c r="AE83" s="811"/>
      <c r="AF83" s="516"/>
      <c r="AG83" s="884" t="str">
        <f>"руб./"&amp;IFERROR(INDEX(fuel_ed_izm_list,MATCH(AE83,fuel_list,0)),"")</f>
        <v>руб./</v>
      </c>
      <c r="AH83" s="38">
        <f>IFERROR(AH87/AH64,0)*1000</f>
        <v>0</v>
      </c>
      <c r="AI83" s="38">
        <f>IFERROR(AI87/AI64,0)*1000</f>
        <v>0</v>
      </c>
      <c r="AJ83" s="38">
        <f>IFERROR(AJ87/AJ64,0)*1000</f>
        <v>0</v>
      </c>
      <c r="AK83" s="38">
        <f>IFERROR(AK87/AK64,0)*1000</f>
        <v>0</v>
      </c>
      <c r="AL83" s="727">
        <f ca="1">IFERROR(AL87/AL64,0)*1000</f>
        <v>0</v>
      </c>
      <c r="AM83" s="39"/>
      <c r="AN83" s="39"/>
      <c r="AO83" s="727">
        <f ca="1">IFERROR(AO87/AO64,0)*1000</f>
        <v>0</v>
      </c>
      <c r="AP83" s="1244"/>
      <c r="AQ83" s="1244"/>
      <c r="AR83" s="727">
        <f ca="1">IFERROR(AR87/AR64,0)*1000</f>
        <v>0</v>
      </c>
      <c r="AS83" s="1244"/>
      <c r="AT83" s="1244"/>
      <c r="AU83" s="727">
        <f ca="1">IFERROR(AU87/AU64,0)*1000</f>
        <v>0</v>
      </c>
      <c r="AV83" s="39"/>
      <c r="AW83" s="39"/>
      <c r="AX83" s="727">
        <f ca="1">IFERROR(AX87/AX64,0)*1000</f>
        <v>0</v>
      </c>
      <c r="AY83" s="39"/>
      <c r="AZ83" s="39"/>
      <c r="BA83" s="727">
        <f ca="1">IFERROR(BA87/BA64,0)*1000</f>
        <v>0</v>
      </c>
      <c r="BB83" s="39"/>
      <c r="BC83" s="39"/>
      <c r="BD83" s="727">
        <f ca="1">IFERROR(BD87/BD64,0)*1000</f>
        <v>0</v>
      </c>
      <c r="BE83" s="39"/>
      <c r="BF83" s="39"/>
      <c r="BG83" s="727">
        <f ca="1">IFERROR(BG87/BG64,0)*1000</f>
        <v>0</v>
      </c>
      <c r="BH83" s="39"/>
      <c r="BI83" s="39"/>
      <c r="BJ83" s="727">
        <f ca="1">IFERROR(BJ87/BJ64,0)*1000</f>
        <v>0</v>
      </c>
      <c r="BK83" s="39"/>
      <c r="BL83" s="39"/>
      <c r="BM83" s="727">
        <f ca="1">IFERROR(BM87/BM64,0)*1000</f>
        <v>0</v>
      </c>
      <c r="BN83" s="39"/>
      <c r="BO83" s="39"/>
      <c r="BP83" s="727">
        <f ca="1">IFERROR(BP87/BP64,0)*1000</f>
        <v>0</v>
      </c>
      <c r="BQ83" s="816"/>
      <c r="BR83" s="816"/>
      <c r="BS83" s="727">
        <f ca="1">IFERROR(BS87/BS64,0)*1000</f>
        <v>0</v>
      </c>
      <c r="BT83" s="1244"/>
      <c r="BU83" s="1244"/>
      <c r="BV83" s="727">
        <f ca="1">IFERROR(BV87/BV64,0)*1000</f>
        <v>0</v>
      </c>
      <c r="BW83" s="1244"/>
      <c r="BX83" s="1244"/>
      <c r="BY83" s="727">
        <f ca="1">IFERROR(BY87/BY64,0)*1000</f>
        <v>0</v>
      </c>
      <c r="BZ83" s="39"/>
      <c r="CA83" s="39"/>
      <c r="CB83" s="727">
        <f ca="1">IFERROR(CB87/CB64,0)*1000</f>
        <v>0</v>
      </c>
      <c r="CC83" s="39"/>
      <c r="CD83" s="39"/>
      <c r="CE83" s="727">
        <f ca="1">IFERROR(CE87/CE64,0)*1000</f>
        <v>0</v>
      </c>
      <c r="CF83" s="39"/>
      <c r="CG83" s="39"/>
      <c r="CH83" s="727">
        <f ca="1">IFERROR(CH87/CH64,0)*1000</f>
        <v>0</v>
      </c>
      <c r="CI83" s="39"/>
      <c r="CJ83" s="39"/>
      <c r="CK83" s="727">
        <f ca="1">IFERROR(CK87/CK64,0)*1000</f>
        <v>0</v>
      </c>
      <c r="CL83" s="39"/>
      <c r="CM83" s="39"/>
      <c r="CN83" s="727">
        <f ca="1">IFERROR(CN87/CN64,0)*1000</f>
        <v>0</v>
      </c>
      <c r="CO83" s="39"/>
      <c r="CP83" s="39"/>
      <c r="CQ83" s="727">
        <f ca="1">IFERROR(CQ87/CQ64,0)*1000</f>
        <v>0</v>
      </c>
      <c r="CR83" s="39"/>
      <c r="CS83" s="39"/>
      <c r="CT83" s="25"/>
      <c r="CW83" s="960" t="s">
        <v>842</v>
      </c>
      <c r="CX83" s="965" t="s">
        <v>812</v>
      </c>
      <c r="CY83" s="969" cm="1">
        <f t="array" ref="CY83">AE83</f>
        <v>0</v>
      </c>
      <c r="CZ83" s="969" cm="1">
        <f t="array" ref="CZ83">AF83</f>
        <v>0</v>
      </c>
    </row>
    <row r="84" spans="5:104" ht="15" hidden="1" customHeight="1" x14ac:dyDescent="0.15">
      <c r="E84" s="668">
        <v>0</v>
      </c>
      <c r="F84" s="769" cm="1">
        <f t="array" aca="1" ref="F84" ca="1">OFFSET(G84,-1,-1)</f>
        <v>0</v>
      </c>
      <c r="L84" s="769" t="b" cm="1">
        <f t="array" aca="1" ref="L84" ca="1">OFFSET(M84,-1,-1)</f>
        <v>0</v>
      </c>
      <c r="S84" s="107" t="b" cm="1">
        <f t="array" aca="1" ref="S84" ca="1">OFFSET(T84,-1,-1)</f>
        <v>0</v>
      </c>
      <c r="U84" s="690" t="b">
        <f t="shared" ca="1" si="4"/>
        <v>0</v>
      </c>
      <c r="X84" s="810" t="str">
        <f>"{                  
         funcDyn: 'msg1',
         blok: 'blok_2',
         wsCross: 'Топливо 4.4',
         linkFormula: 'AE-AE#AF-AF',
         levelDyn: "&amp;Y28&amp;"
}"</f>
        <v>{                  
         funcDyn: 'msg1',
         blok: 'blok_2',
         wsCross: 'Топливо 4.4',
         linkFormula: 'AE-AE#AF-AF',
         levelDyn: 0
}</v>
      </c>
      <c r="Y84" s="1428"/>
      <c r="Z84" s="1428"/>
      <c r="AB84" s="1542"/>
      <c r="AD84" s="813"/>
      <c r="AE84" s="812" t="s">
        <v>239</v>
      </c>
      <c r="AF84" s="736"/>
      <c r="AG84" s="724"/>
      <c r="AH84" s="726"/>
      <c r="AI84" s="728"/>
      <c r="AJ84" s="728"/>
      <c r="AK84" s="728"/>
      <c r="AL84" s="728"/>
      <c r="AM84" s="728"/>
      <c r="AN84" s="728"/>
      <c r="AO84" s="728"/>
      <c r="AP84" s="728"/>
      <c r="AQ84" s="728"/>
      <c r="AR84" s="728"/>
      <c r="AS84" s="728"/>
      <c r="AT84" s="728"/>
      <c r="AU84" s="728"/>
      <c r="AV84" s="728"/>
      <c r="AW84" s="728"/>
      <c r="AX84" s="728"/>
      <c r="AY84" s="728"/>
      <c r="AZ84" s="728"/>
      <c r="BA84" s="728"/>
      <c r="BB84" s="728"/>
      <c r="BC84" s="728"/>
      <c r="BD84" s="728"/>
      <c r="BE84" s="728"/>
      <c r="BF84" s="728"/>
      <c r="BG84" s="728"/>
      <c r="BH84" s="728"/>
      <c r="BI84" s="728"/>
      <c r="BJ84" s="728"/>
      <c r="BK84" s="728"/>
      <c r="BL84" s="728"/>
      <c r="BM84" s="728"/>
      <c r="BN84" s="728"/>
      <c r="BO84" s="728"/>
      <c r="BP84" s="728"/>
      <c r="BQ84" s="728"/>
      <c r="BR84" s="728"/>
      <c r="BS84" s="728"/>
      <c r="BT84" s="728"/>
      <c r="BU84" s="728"/>
      <c r="BV84" s="728"/>
      <c r="BW84" s="728"/>
      <c r="BX84" s="728"/>
      <c r="BY84" s="728"/>
      <c r="BZ84" s="728"/>
      <c r="CA84" s="728"/>
      <c r="CB84" s="728"/>
      <c r="CC84" s="728"/>
      <c r="CD84" s="728"/>
      <c r="CE84" s="728"/>
      <c r="CF84" s="728"/>
      <c r="CG84" s="728"/>
      <c r="CH84" s="728"/>
      <c r="CI84" s="728"/>
      <c r="CJ84" s="728"/>
      <c r="CK84" s="728"/>
      <c r="CL84" s="728"/>
      <c r="CM84" s="728"/>
      <c r="CN84" s="728"/>
      <c r="CO84" s="728"/>
      <c r="CP84" s="728"/>
      <c r="CQ84" s="728"/>
      <c r="CR84" s="728"/>
      <c r="CS84" s="728"/>
      <c r="CT84" s="43"/>
      <c r="CW84" s="960" t="str">
        <f>IF(AND(ISNUMBER(VALUE(TRIM(SUBSTITUTE(AD84,".","")))),TRIM(SUBSTITUTE(AD84,".",""))&lt;&gt;""),"P"&amp;SUBSTITUTE(AD84,".",""),"")</f>
        <v/>
      </c>
    </row>
    <row r="85" spans="5:104" ht="16.7" hidden="1" customHeight="1" x14ac:dyDescent="0.15">
      <c r="E85" s="668">
        <v>17.100000000000001</v>
      </c>
      <c r="F85" s="769" cm="1">
        <f t="array" aca="1" ref="F85" ca="1">OFFSET(G85,-1,-1)</f>
        <v>0</v>
      </c>
      <c r="L85" s="769" t="b" cm="1">
        <f t="array" aca="1" ref="L85" ca="1">OFFSET(M85,-1,-1)</f>
        <v>0</v>
      </c>
      <c r="S85" s="107" t="b" cm="1">
        <f t="array" aca="1" ref="S85" ca="1">OFFSET(T85,-1,-1)</f>
        <v>0</v>
      </c>
      <c r="U85" s="690" t="b">
        <f t="shared" ca="1" si="4"/>
        <v>0</v>
      </c>
      <c r="Y85" s="1428"/>
      <c r="Z85" s="1428"/>
      <c r="AB85" s="1542"/>
      <c r="AD85" s="121">
        <v>28</v>
      </c>
      <c r="AE85" s="1510" t="s">
        <v>844</v>
      </c>
      <c r="AF85" s="1493"/>
      <c r="AG85" s="724" t="s">
        <v>830</v>
      </c>
      <c r="AH85" s="725">
        <f t="shared" ref="AH85:BM85" si="31">SUM(AH87:AH88)</f>
        <v>0</v>
      </c>
      <c r="AI85" s="725">
        <f t="shared" si="31"/>
        <v>0</v>
      </c>
      <c r="AJ85" s="725">
        <f t="shared" si="31"/>
        <v>0</v>
      </c>
      <c r="AK85" s="725">
        <f t="shared" si="31"/>
        <v>0</v>
      </c>
      <c r="AL85" s="725">
        <f t="shared" ca="1" si="31"/>
        <v>0</v>
      </c>
      <c r="AM85" s="725">
        <f t="shared" si="31"/>
        <v>0</v>
      </c>
      <c r="AN85" s="725">
        <f t="shared" ca="1" si="31"/>
        <v>0</v>
      </c>
      <c r="AO85" s="725">
        <f t="shared" ca="1" si="31"/>
        <v>0</v>
      </c>
      <c r="AP85" s="725">
        <f t="shared" si="31"/>
        <v>0</v>
      </c>
      <c r="AQ85" s="725">
        <f t="shared" ca="1" si="31"/>
        <v>0</v>
      </c>
      <c r="AR85" s="725">
        <f t="shared" ca="1" si="31"/>
        <v>0</v>
      </c>
      <c r="AS85" s="725">
        <f t="shared" si="31"/>
        <v>0</v>
      </c>
      <c r="AT85" s="725">
        <f t="shared" ca="1" si="31"/>
        <v>0</v>
      </c>
      <c r="AU85" s="725">
        <f t="shared" ca="1" si="31"/>
        <v>0</v>
      </c>
      <c r="AV85" s="725">
        <f t="shared" si="31"/>
        <v>0</v>
      </c>
      <c r="AW85" s="725">
        <f t="shared" ca="1" si="31"/>
        <v>0</v>
      </c>
      <c r="AX85" s="725">
        <f t="shared" ca="1" si="31"/>
        <v>0</v>
      </c>
      <c r="AY85" s="725">
        <f t="shared" si="31"/>
        <v>0</v>
      </c>
      <c r="AZ85" s="725">
        <f t="shared" ca="1" si="31"/>
        <v>0</v>
      </c>
      <c r="BA85" s="725">
        <f t="shared" ca="1" si="31"/>
        <v>0</v>
      </c>
      <c r="BB85" s="725">
        <f t="shared" si="31"/>
        <v>0</v>
      </c>
      <c r="BC85" s="725">
        <f t="shared" ca="1" si="31"/>
        <v>0</v>
      </c>
      <c r="BD85" s="725">
        <f t="shared" ca="1" si="31"/>
        <v>0</v>
      </c>
      <c r="BE85" s="725">
        <f t="shared" si="31"/>
        <v>0</v>
      </c>
      <c r="BF85" s="725">
        <f t="shared" ca="1" si="31"/>
        <v>0</v>
      </c>
      <c r="BG85" s="725">
        <f t="shared" ca="1" si="31"/>
        <v>0</v>
      </c>
      <c r="BH85" s="725">
        <f t="shared" si="31"/>
        <v>0</v>
      </c>
      <c r="BI85" s="725">
        <f t="shared" ca="1" si="31"/>
        <v>0</v>
      </c>
      <c r="BJ85" s="725">
        <f t="shared" ca="1" si="31"/>
        <v>0</v>
      </c>
      <c r="BK85" s="725">
        <f t="shared" si="31"/>
        <v>0</v>
      </c>
      <c r="BL85" s="725">
        <f t="shared" ca="1" si="31"/>
        <v>0</v>
      </c>
      <c r="BM85" s="725">
        <f t="shared" ca="1" si="31"/>
        <v>0</v>
      </c>
      <c r="BN85" s="725">
        <f t="shared" ref="BN85:CS85" si="32">SUM(BN87:BN88)</f>
        <v>0</v>
      </c>
      <c r="BO85" s="725">
        <f t="shared" ca="1" si="32"/>
        <v>0</v>
      </c>
      <c r="BP85" s="725">
        <f t="shared" ca="1" si="32"/>
        <v>0</v>
      </c>
      <c r="BQ85" s="725">
        <f t="shared" si="32"/>
        <v>0</v>
      </c>
      <c r="BR85" s="725">
        <f t="shared" ca="1" si="32"/>
        <v>0</v>
      </c>
      <c r="BS85" s="725">
        <f t="shared" ca="1" si="32"/>
        <v>0</v>
      </c>
      <c r="BT85" s="725">
        <f t="shared" si="32"/>
        <v>0</v>
      </c>
      <c r="BU85" s="725">
        <f t="shared" ca="1" si="32"/>
        <v>0</v>
      </c>
      <c r="BV85" s="725">
        <f t="shared" ca="1" si="32"/>
        <v>0</v>
      </c>
      <c r="BW85" s="725">
        <f t="shared" si="32"/>
        <v>0</v>
      </c>
      <c r="BX85" s="725">
        <f t="shared" ca="1" si="32"/>
        <v>0</v>
      </c>
      <c r="BY85" s="725">
        <f t="shared" ca="1" si="32"/>
        <v>0</v>
      </c>
      <c r="BZ85" s="725">
        <f t="shared" si="32"/>
        <v>0</v>
      </c>
      <c r="CA85" s="725">
        <f t="shared" ca="1" si="32"/>
        <v>0</v>
      </c>
      <c r="CB85" s="725">
        <f t="shared" ca="1" si="32"/>
        <v>0</v>
      </c>
      <c r="CC85" s="725">
        <f t="shared" si="32"/>
        <v>0</v>
      </c>
      <c r="CD85" s="725">
        <f t="shared" ca="1" si="32"/>
        <v>0</v>
      </c>
      <c r="CE85" s="725">
        <f t="shared" ca="1" si="32"/>
        <v>0</v>
      </c>
      <c r="CF85" s="725">
        <f t="shared" si="32"/>
        <v>0</v>
      </c>
      <c r="CG85" s="725">
        <f t="shared" ca="1" si="32"/>
        <v>0</v>
      </c>
      <c r="CH85" s="725">
        <f t="shared" ca="1" si="32"/>
        <v>0</v>
      </c>
      <c r="CI85" s="725">
        <f t="shared" si="32"/>
        <v>0</v>
      </c>
      <c r="CJ85" s="725">
        <f t="shared" ca="1" si="32"/>
        <v>0</v>
      </c>
      <c r="CK85" s="725">
        <f t="shared" ca="1" si="32"/>
        <v>0</v>
      </c>
      <c r="CL85" s="725">
        <f t="shared" si="32"/>
        <v>0</v>
      </c>
      <c r="CM85" s="725">
        <f t="shared" ca="1" si="32"/>
        <v>0</v>
      </c>
      <c r="CN85" s="725">
        <f t="shared" ca="1" si="32"/>
        <v>0</v>
      </c>
      <c r="CO85" s="725">
        <f t="shared" si="32"/>
        <v>0</v>
      </c>
      <c r="CP85" s="725">
        <f t="shared" ca="1" si="32"/>
        <v>0</v>
      </c>
      <c r="CQ85" s="725">
        <f t="shared" ca="1" si="32"/>
        <v>0</v>
      </c>
      <c r="CR85" s="725">
        <f t="shared" si="32"/>
        <v>0</v>
      </c>
      <c r="CS85" s="725">
        <f t="shared" ca="1" si="32"/>
        <v>0</v>
      </c>
      <c r="CT85" s="25"/>
      <c r="CW85" s="960" t="s">
        <v>845</v>
      </c>
    </row>
    <row r="86" spans="5:104" ht="16.7" hidden="1" customHeight="1" x14ac:dyDescent="0.15">
      <c r="E86" s="668">
        <v>17.100000000000001</v>
      </c>
      <c r="F86" s="769" cm="1">
        <f t="array" aca="1" ref="F86" ca="1">OFFSET(G86,-1,-1)</f>
        <v>0</v>
      </c>
      <c r="L86" s="769" t="b" cm="1">
        <f t="array" aca="1" ref="L86" ca="1">OFFSET(M86,-1,-1)</f>
        <v>0</v>
      </c>
      <c r="R86" s="769" t="s">
        <v>750</v>
      </c>
      <c r="S86" s="107" t="b" cm="1">
        <f t="array" aca="1" ref="S86" ca="1">OFFSET(T86,-1,-1)</f>
        <v>0</v>
      </c>
      <c r="T86" s="769" t="b">
        <v>0</v>
      </c>
      <c r="U86" s="690" t="b">
        <f t="shared" ca="1" si="4"/>
        <v>0</v>
      </c>
      <c r="Y86" s="1428"/>
      <c r="Z86" s="1428"/>
      <c r="AB86" s="1542"/>
      <c r="AD86" s="108" t="str">
        <f>AD85&amp;".0"</f>
        <v>28.0</v>
      </c>
      <c r="AE86" s="1513" t="s">
        <v>761</v>
      </c>
      <c r="AF86" s="1514"/>
      <c r="AG86" s="724" t="s">
        <v>830</v>
      </c>
      <c r="AH86" s="38">
        <f>AH$52*AH85</f>
        <v>0</v>
      </c>
      <c r="AI86" s="39">
        <f>AI$52*AI85</f>
        <v>0</v>
      </c>
      <c r="AJ86" s="39">
        <f>AJ$52*AJ85</f>
        <v>0</v>
      </c>
      <c r="AK86" s="39">
        <f>AK$52*AK85</f>
        <v>0</v>
      </c>
      <c r="AL86" s="727">
        <f ca="1">AM86+AN86</f>
        <v>0</v>
      </c>
      <c r="AM86" s="39">
        <f>AM$52*AM85</f>
        <v>0</v>
      </c>
      <c r="AN86" s="39">
        <f ca="1">AN$52*AN85</f>
        <v>0</v>
      </c>
      <c r="AO86" s="727">
        <f ca="1">AP86+AQ86</f>
        <v>0</v>
      </c>
      <c r="AP86" s="1244">
        <f>AP$52*AP85</f>
        <v>0</v>
      </c>
      <c r="AQ86" s="1244">
        <f ca="1">AQ$52*AQ85</f>
        <v>0</v>
      </c>
      <c r="AR86" s="727">
        <f ca="1">AS86+AT86</f>
        <v>0</v>
      </c>
      <c r="AS86" s="1244">
        <f>AS$52*AS85</f>
        <v>0</v>
      </c>
      <c r="AT86" s="1244">
        <f ca="1">AT$52*AT85</f>
        <v>0</v>
      </c>
      <c r="AU86" s="727">
        <f ca="1">AV86+AW86</f>
        <v>0</v>
      </c>
      <c r="AV86" s="39">
        <f>AV$52*AV85</f>
        <v>0</v>
      </c>
      <c r="AW86" s="39">
        <f ca="1">AW$52*AW85</f>
        <v>0</v>
      </c>
      <c r="AX86" s="727">
        <f ca="1">AY86+AZ86</f>
        <v>0</v>
      </c>
      <c r="AY86" s="39">
        <f>AY$52*AY85</f>
        <v>0</v>
      </c>
      <c r="AZ86" s="39">
        <f ca="1">AZ$52*AZ85</f>
        <v>0</v>
      </c>
      <c r="BA86" s="727">
        <f ca="1">BB86+BC86</f>
        <v>0</v>
      </c>
      <c r="BB86" s="39">
        <f>BB$52*BB85</f>
        <v>0</v>
      </c>
      <c r="BC86" s="39">
        <f ca="1">BC$52*BC85</f>
        <v>0</v>
      </c>
      <c r="BD86" s="727">
        <f ca="1">BE86+BF86</f>
        <v>0</v>
      </c>
      <c r="BE86" s="39">
        <f>BE$52*BE85</f>
        <v>0</v>
      </c>
      <c r="BF86" s="39">
        <f ca="1">BF$52*BF85</f>
        <v>0</v>
      </c>
      <c r="BG86" s="727">
        <f ca="1">BH86+BI86</f>
        <v>0</v>
      </c>
      <c r="BH86" s="39">
        <f>BH$52*BH85</f>
        <v>0</v>
      </c>
      <c r="BI86" s="39">
        <f ca="1">BI$52*BI85</f>
        <v>0</v>
      </c>
      <c r="BJ86" s="727">
        <f ca="1">BK86+BL86</f>
        <v>0</v>
      </c>
      <c r="BK86" s="39">
        <f>BK$52*BK85</f>
        <v>0</v>
      </c>
      <c r="BL86" s="39">
        <f ca="1">BL$52*BL85</f>
        <v>0</v>
      </c>
      <c r="BM86" s="727">
        <f ca="1">BN86+BO86</f>
        <v>0</v>
      </c>
      <c r="BN86" s="39">
        <f>BN$52*BN85</f>
        <v>0</v>
      </c>
      <c r="BO86" s="39">
        <f ca="1">BO$52*BO85</f>
        <v>0</v>
      </c>
      <c r="BP86" s="727">
        <f ca="1">BQ86+BR86</f>
        <v>0</v>
      </c>
      <c r="BQ86" s="816">
        <f>BQ$52*BQ85</f>
        <v>0</v>
      </c>
      <c r="BR86" s="816">
        <f ca="1">BR$52*BR85</f>
        <v>0</v>
      </c>
      <c r="BS86" s="727">
        <f ca="1">BT86+BU86</f>
        <v>0</v>
      </c>
      <c r="BT86" s="1244">
        <f>BT$52*BT85</f>
        <v>0</v>
      </c>
      <c r="BU86" s="1244">
        <f ca="1">BU$52*BU85</f>
        <v>0</v>
      </c>
      <c r="BV86" s="727">
        <f ca="1">BW86+BX86</f>
        <v>0</v>
      </c>
      <c r="BW86" s="1244">
        <f>BW$52*BW85</f>
        <v>0</v>
      </c>
      <c r="BX86" s="1244">
        <f ca="1">BX$52*BX85</f>
        <v>0</v>
      </c>
      <c r="BY86" s="727">
        <f ca="1">BZ86+CA86</f>
        <v>0</v>
      </c>
      <c r="BZ86" s="39">
        <f>BZ$52*BZ85</f>
        <v>0</v>
      </c>
      <c r="CA86" s="39">
        <f ca="1">CA$52*CA85</f>
        <v>0</v>
      </c>
      <c r="CB86" s="727">
        <f ca="1">CC86+CD86</f>
        <v>0</v>
      </c>
      <c r="CC86" s="39">
        <f>CC$52*CC85</f>
        <v>0</v>
      </c>
      <c r="CD86" s="39">
        <f ca="1">CD$52*CD85</f>
        <v>0</v>
      </c>
      <c r="CE86" s="727">
        <f ca="1">CF86+CG86</f>
        <v>0</v>
      </c>
      <c r="CF86" s="39">
        <f>CF$52*CF85</f>
        <v>0</v>
      </c>
      <c r="CG86" s="39">
        <f ca="1">CG$52*CG85</f>
        <v>0</v>
      </c>
      <c r="CH86" s="727">
        <f ca="1">CI86+CJ86</f>
        <v>0</v>
      </c>
      <c r="CI86" s="39">
        <f>CI$52*CI85</f>
        <v>0</v>
      </c>
      <c r="CJ86" s="39">
        <f ca="1">CJ$52*CJ85</f>
        <v>0</v>
      </c>
      <c r="CK86" s="727">
        <f ca="1">CL86+CM86</f>
        <v>0</v>
      </c>
      <c r="CL86" s="39">
        <f>CL$52*CL85</f>
        <v>0</v>
      </c>
      <c r="CM86" s="39">
        <f ca="1">CM$52*CM85</f>
        <v>0</v>
      </c>
      <c r="CN86" s="727">
        <f ca="1">CO86+CP86</f>
        <v>0</v>
      </c>
      <c r="CO86" s="39">
        <f>CO$52*CO85</f>
        <v>0</v>
      </c>
      <c r="CP86" s="39">
        <f ca="1">CP$52*CP85</f>
        <v>0</v>
      </c>
      <c r="CQ86" s="727">
        <f ca="1">CR86+CS86</f>
        <v>0</v>
      </c>
      <c r="CR86" s="39">
        <f>CR$52*CR85</f>
        <v>0</v>
      </c>
      <c r="CS86" s="39">
        <f ca="1">CS$52*CS85</f>
        <v>0</v>
      </c>
      <c r="CT86" s="25"/>
      <c r="CW86" s="960" t="s">
        <v>846</v>
      </c>
    </row>
    <row r="87" spans="5:104" ht="16.7" hidden="1" customHeight="1" x14ac:dyDescent="0.15">
      <c r="E87" s="668">
        <v>17.100000000000001</v>
      </c>
      <c r="F87" s="769" cm="1">
        <f t="array" aca="1" ref="F87" ca="1">OFFSET(G87,-1,-1)</f>
        <v>0</v>
      </c>
      <c r="L87" s="769" t="b" cm="1">
        <f t="array" aca="1" ref="L87" ca="1">OFFSET(M87,-1,-1)</f>
        <v>0</v>
      </c>
      <c r="S87" s="107" t="b" cm="1">
        <f t="array" aca="1" ref="S87" ca="1">OFFSET(T87,-1,-1)</f>
        <v>0</v>
      </c>
      <c r="T87" s="107" t="b">
        <f>AD87&lt;&gt;"28.0"</f>
        <v>0</v>
      </c>
      <c r="U87" s="690" t="b">
        <f t="shared" ca="1" si="4"/>
        <v>0</v>
      </c>
      <c r="X87" s="107" t="s">
        <v>237</v>
      </c>
      <c r="Y87" s="1428"/>
      <c r="Z87" s="1428"/>
      <c r="AB87" s="1542"/>
      <c r="AD87" s="108" t="s">
        <v>847</v>
      </c>
      <c r="AE87" s="811"/>
      <c r="AF87" s="516"/>
      <c r="AG87" s="724" t="s">
        <v>830</v>
      </c>
      <c r="AH87" s="38"/>
      <c r="AI87" s="39"/>
      <c r="AJ87" s="39"/>
      <c r="AK87" s="39"/>
      <c r="AL87" s="727">
        <f ca="1">AM87+AN87</f>
        <v>0</v>
      </c>
      <c r="AM87" s="39">
        <f>AM83*AM64/1000</f>
        <v>0</v>
      </c>
      <c r="AN87" s="39">
        <f ca="1">AN83*AN64/1000</f>
        <v>0</v>
      </c>
      <c r="AO87" s="727">
        <f ca="1">AP87+AQ87</f>
        <v>0</v>
      </c>
      <c r="AP87" s="1244">
        <f>AP83*AP64/1000</f>
        <v>0</v>
      </c>
      <c r="AQ87" s="1244">
        <f ca="1">AQ83*AQ64/1000</f>
        <v>0</v>
      </c>
      <c r="AR87" s="727">
        <f ca="1">AS87+AT87</f>
        <v>0</v>
      </c>
      <c r="AS87" s="1244">
        <f>AS83*AS64/1000</f>
        <v>0</v>
      </c>
      <c r="AT87" s="1244">
        <f ca="1">AT83*AT64/1000</f>
        <v>0</v>
      </c>
      <c r="AU87" s="727">
        <f ca="1">AV87+AW87</f>
        <v>0</v>
      </c>
      <c r="AV87" s="39">
        <f>AV83*AV64/1000</f>
        <v>0</v>
      </c>
      <c r="AW87" s="39">
        <f ca="1">AW83*AW64/1000</f>
        <v>0</v>
      </c>
      <c r="AX87" s="727">
        <f ca="1">AY87+AZ87</f>
        <v>0</v>
      </c>
      <c r="AY87" s="39">
        <f>AY83*AY64/1000</f>
        <v>0</v>
      </c>
      <c r="AZ87" s="39">
        <f ca="1">AZ83*AZ64/1000</f>
        <v>0</v>
      </c>
      <c r="BA87" s="727">
        <f ca="1">BB87+BC87</f>
        <v>0</v>
      </c>
      <c r="BB87" s="39">
        <f>BB83*BB64/1000</f>
        <v>0</v>
      </c>
      <c r="BC87" s="39">
        <f ca="1">BC83*BC64/1000</f>
        <v>0</v>
      </c>
      <c r="BD87" s="727">
        <f ca="1">BE87+BF87</f>
        <v>0</v>
      </c>
      <c r="BE87" s="39">
        <f>BE83*BE64/1000</f>
        <v>0</v>
      </c>
      <c r="BF87" s="39">
        <f ca="1">BF83*BF64/1000</f>
        <v>0</v>
      </c>
      <c r="BG87" s="727">
        <f ca="1">BH87+BI87</f>
        <v>0</v>
      </c>
      <c r="BH87" s="39">
        <f>BH83*BH64/1000</f>
        <v>0</v>
      </c>
      <c r="BI87" s="39">
        <f ca="1">BI83*BI64/1000</f>
        <v>0</v>
      </c>
      <c r="BJ87" s="727">
        <f ca="1">BK87+BL87</f>
        <v>0</v>
      </c>
      <c r="BK87" s="39">
        <f>BK83*BK64/1000</f>
        <v>0</v>
      </c>
      <c r="BL87" s="39">
        <f ca="1">BL83*BL64/1000</f>
        <v>0</v>
      </c>
      <c r="BM87" s="727">
        <f ca="1">BN87+BO87</f>
        <v>0</v>
      </c>
      <c r="BN87" s="39">
        <f>BN83*BN64/1000</f>
        <v>0</v>
      </c>
      <c r="BO87" s="39">
        <f ca="1">BO83*BO64/1000</f>
        <v>0</v>
      </c>
      <c r="BP87" s="727">
        <f ca="1">BQ87+BR87</f>
        <v>0</v>
      </c>
      <c r="BQ87" s="816">
        <f>BQ83*BQ64/1000</f>
        <v>0</v>
      </c>
      <c r="BR87" s="816">
        <f ca="1">BR83*BR64/1000</f>
        <v>0</v>
      </c>
      <c r="BS87" s="727">
        <f ca="1">BT87+BU87</f>
        <v>0</v>
      </c>
      <c r="BT87" s="1244">
        <f>BT83*BT64/1000</f>
        <v>0</v>
      </c>
      <c r="BU87" s="1244">
        <f ca="1">BU83*BU64/1000</f>
        <v>0</v>
      </c>
      <c r="BV87" s="727">
        <f ca="1">BW87+BX87</f>
        <v>0</v>
      </c>
      <c r="BW87" s="1244">
        <f>BW83*BW64/1000</f>
        <v>0</v>
      </c>
      <c r="BX87" s="1244">
        <f ca="1">BX83*BX64/1000</f>
        <v>0</v>
      </c>
      <c r="BY87" s="727">
        <f ca="1">BZ87+CA87</f>
        <v>0</v>
      </c>
      <c r="BZ87" s="39">
        <f>BZ83*BZ64/1000</f>
        <v>0</v>
      </c>
      <c r="CA87" s="39">
        <f ca="1">CA83*CA64/1000</f>
        <v>0</v>
      </c>
      <c r="CB87" s="727">
        <f ca="1">CC87+CD87</f>
        <v>0</v>
      </c>
      <c r="CC87" s="39">
        <f>CC83*CC64/1000</f>
        <v>0</v>
      </c>
      <c r="CD87" s="39">
        <f ca="1">CD83*CD64/1000</f>
        <v>0</v>
      </c>
      <c r="CE87" s="727">
        <f ca="1">CF87+CG87</f>
        <v>0</v>
      </c>
      <c r="CF87" s="39">
        <f>CF83*CF64/1000</f>
        <v>0</v>
      </c>
      <c r="CG87" s="39">
        <f ca="1">CG83*CG64/1000</f>
        <v>0</v>
      </c>
      <c r="CH87" s="727">
        <f ca="1">CI87+CJ87</f>
        <v>0</v>
      </c>
      <c r="CI87" s="39">
        <f>CI83*CI64/1000</f>
        <v>0</v>
      </c>
      <c r="CJ87" s="39">
        <f ca="1">CJ83*CJ64/1000</f>
        <v>0</v>
      </c>
      <c r="CK87" s="727">
        <f ca="1">CL87+CM87</f>
        <v>0</v>
      </c>
      <c r="CL87" s="39">
        <f>CL83*CL64/1000</f>
        <v>0</v>
      </c>
      <c r="CM87" s="39">
        <f ca="1">CM83*CM64/1000</f>
        <v>0</v>
      </c>
      <c r="CN87" s="727">
        <f ca="1">CO87+CP87</f>
        <v>0</v>
      </c>
      <c r="CO87" s="39">
        <f>CO83*CO64/1000</f>
        <v>0</v>
      </c>
      <c r="CP87" s="39">
        <f ca="1">CP83*CP64/1000</f>
        <v>0</v>
      </c>
      <c r="CQ87" s="727">
        <f ca="1">CR87+CS87</f>
        <v>0</v>
      </c>
      <c r="CR87" s="39">
        <f>CR83*CR64/1000</f>
        <v>0</v>
      </c>
      <c r="CS87" s="39">
        <f ca="1">CS83*CS64/1000</f>
        <v>0</v>
      </c>
      <c r="CT87" s="25"/>
      <c r="CW87" s="960" t="s">
        <v>846</v>
      </c>
      <c r="CX87" s="965" t="s">
        <v>812</v>
      </c>
      <c r="CY87" s="969" cm="1">
        <f t="array" ref="CY87">AE87</f>
        <v>0</v>
      </c>
      <c r="CZ87" s="969" cm="1">
        <f t="array" ref="CZ87">AF87</f>
        <v>0</v>
      </c>
    </row>
    <row r="88" spans="5:104" ht="15" hidden="1" customHeight="1" x14ac:dyDescent="0.15">
      <c r="E88" s="668">
        <v>0</v>
      </c>
      <c r="F88" s="769" cm="1">
        <f t="array" aca="1" ref="F88" ca="1">OFFSET(G88,-1,-1)</f>
        <v>0</v>
      </c>
      <c r="L88" s="769" t="b" cm="1">
        <f t="array" aca="1" ref="L88" ca="1">OFFSET(M88,-1,-1)</f>
        <v>0</v>
      </c>
      <c r="S88" s="107" t="b" cm="1">
        <f t="array" aca="1" ref="S88" ca="1">OFFSET(T88,-1,-1)</f>
        <v>0</v>
      </c>
      <c r="U88" s="690" t="b">
        <f t="shared" ca="1" si="4"/>
        <v>0</v>
      </c>
      <c r="X88" s="810" t="str">
        <f>"{                  
         funcDyn: 'msg1',
         blok: 'blok_2',
         wsCross: 'Топливо 4.4',
         linkFormula: 'AE-AE#AF-AF',
         levelDyn: "&amp;Y28&amp;"
}"</f>
        <v>{                  
         funcDyn: 'msg1',
         blok: 'blok_2',
         wsCross: 'Топливо 4.4',
         linkFormula: 'AE-AE#AF-AF',
         levelDyn: 0
}</v>
      </c>
      <c r="Y88" s="1428"/>
      <c r="Z88" s="1428"/>
      <c r="AB88" s="1542"/>
      <c r="AD88" s="813"/>
      <c r="AE88" s="812" t="s">
        <v>239</v>
      </c>
      <c r="AF88" s="736"/>
      <c r="AG88" s="724"/>
      <c r="AH88" s="726"/>
      <c r="AI88" s="728"/>
      <c r="AJ88" s="728"/>
      <c r="AK88" s="728"/>
      <c r="AL88" s="728"/>
      <c r="AM88" s="728"/>
      <c r="AN88" s="728"/>
      <c r="AO88" s="728"/>
      <c r="AP88" s="728"/>
      <c r="AQ88" s="728"/>
      <c r="AR88" s="728"/>
      <c r="AS88" s="728"/>
      <c r="AT88" s="728"/>
      <c r="AU88" s="728"/>
      <c r="AV88" s="728"/>
      <c r="AW88" s="728"/>
      <c r="AX88" s="728"/>
      <c r="AY88" s="728"/>
      <c r="AZ88" s="728"/>
      <c r="BA88" s="728"/>
      <c r="BB88" s="728"/>
      <c r="BC88" s="728"/>
      <c r="BD88" s="728"/>
      <c r="BE88" s="728"/>
      <c r="BF88" s="728"/>
      <c r="BG88" s="728"/>
      <c r="BH88" s="728"/>
      <c r="BI88" s="728"/>
      <c r="BJ88" s="728"/>
      <c r="BK88" s="728"/>
      <c r="BL88" s="728"/>
      <c r="BM88" s="728"/>
      <c r="BN88" s="728"/>
      <c r="BO88" s="728"/>
      <c r="BP88" s="728"/>
      <c r="BQ88" s="728"/>
      <c r="BR88" s="728"/>
      <c r="BS88" s="728"/>
      <c r="BT88" s="728"/>
      <c r="BU88" s="728"/>
      <c r="BV88" s="728"/>
      <c r="BW88" s="728"/>
      <c r="BX88" s="728"/>
      <c r="BY88" s="728"/>
      <c r="BZ88" s="728"/>
      <c r="CA88" s="728"/>
      <c r="CB88" s="728"/>
      <c r="CC88" s="728"/>
      <c r="CD88" s="728"/>
      <c r="CE88" s="728"/>
      <c r="CF88" s="728"/>
      <c r="CG88" s="728"/>
      <c r="CH88" s="728"/>
      <c r="CI88" s="728"/>
      <c r="CJ88" s="728"/>
      <c r="CK88" s="728"/>
      <c r="CL88" s="728"/>
      <c r="CM88" s="728"/>
      <c r="CN88" s="728"/>
      <c r="CO88" s="728"/>
      <c r="CP88" s="728"/>
      <c r="CQ88" s="728"/>
      <c r="CR88" s="728"/>
      <c r="CS88" s="728"/>
      <c r="CT88" s="43"/>
      <c r="CW88" s="960" t="str">
        <f>IF(AND(ISNUMBER(VALUE(TRIM(SUBSTITUTE(AD88,".","")))),TRIM(SUBSTITUTE(AD88,".",""))&lt;&gt;""),"P"&amp;SUBSTITUTE(AD88,".",""),"")</f>
        <v/>
      </c>
    </row>
    <row r="89" spans="5:104" ht="29.25" hidden="1" customHeight="1" x14ac:dyDescent="0.15">
      <c r="E89" s="668">
        <v>30</v>
      </c>
      <c r="F89" s="769" cm="1">
        <f t="array" aca="1" ref="F89" ca="1">OFFSET(G89,-1,-1)</f>
        <v>0</v>
      </c>
      <c r="L89" s="769" t="b" cm="1">
        <f t="array" aca="1" ref="L89" ca="1">OFFSET(M89,-1,-1)</f>
        <v>0</v>
      </c>
      <c r="R89" s="769" t="s">
        <v>750</v>
      </c>
      <c r="S89" s="107" t="b" cm="1">
        <f t="array" aca="1" ref="S89" ca="1">OFFSET(T89,-1,-1)</f>
        <v>0</v>
      </c>
      <c r="T89" s="107" t="b" cm="1">
        <f t="array" aca="1" ref="T89" ca="1">L89</f>
        <v>0</v>
      </c>
      <c r="U89" s="690" t="b">
        <f t="shared" ca="1" si="4"/>
        <v>0</v>
      </c>
      <c r="Y89" s="1428"/>
      <c r="Z89" s="1428"/>
      <c r="AB89" s="1542"/>
      <c r="AD89" s="121">
        <v>29</v>
      </c>
      <c r="AE89" s="1515" t="s">
        <v>848</v>
      </c>
      <c r="AF89" s="1516"/>
      <c r="AG89" s="724" t="s">
        <v>830</v>
      </c>
      <c r="AH89" s="725">
        <f t="shared" ref="AH89:BM89" si="33">SUM(AH90:AH91)</f>
        <v>0</v>
      </c>
      <c r="AI89" s="725">
        <f t="shared" si="33"/>
        <v>0</v>
      </c>
      <c r="AJ89" s="725">
        <f t="shared" si="33"/>
        <v>0</v>
      </c>
      <c r="AK89" s="725">
        <f t="shared" si="33"/>
        <v>0</v>
      </c>
      <c r="AL89" s="725">
        <f t="shared" ca="1" si="33"/>
        <v>0</v>
      </c>
      <c r="AM89" s="725">
        <f t="shared" si="33"/>
        <v>0</v>
      </c>
      <c r="AN89" s="725">
        <f t="shared" ca="1" si="33"/>
        <v>0</v>
      </c>
      <c r="AO89" s="725">
        <f t="shared" ca="1" si="33"/>
        <v>0</v>
      </c>
      <c r="AP89" s="725">
        <f t="shared" si="33"/>
        <v>0</v>
      </c>
      <c r="AQ89" s="725">
        <f t="shared" ca="1" si="33"/>
        <v>0</v>
      </c>
      <c r="AR89" s="725">
        <f t="shared" ca="1" si="33"/>
        <v>0</v>
      </c>
      <c r="AS89" s="725">
        <f t="shared" si="33"/>
        <v>0</v>
      </c>
      <c r="AT89" s="725">
        <f t="shared" ca="1" si="33"/>
        <v>0</v>
      </c>
      <c r="AU89" s="725">
        <f t="shared" ca="1" si="33"/>
        <v>0</v>
      </c>
      <c r="AV89" s="725">
        <f t="shared" si="33"/>
        <v>0</v>
      </c>
      <c r="AW89" s="725">
        <f t="shared" ca="1" si="33"/>
        <v>0</v>
      </c>
      <c r="AX89" s="725">
        <f t="shared" ca="1" si="33"/>
        <v>0</v>
      </c>
      <c r="AY89" s="725">
        <f t="shared" si="33"/>
        <v>0</v>
      </c>
      <c r="AZ89" s="725">
        <f t="shared" ca="1" si="33"/>
        <v>0</v>
      </c>
      <c r="BA89" s="725">
        <f t="shared" ca="1" si="33"/>
        <v>0</v>
      </c>
      <c r="BB89" s="725">
        <f t="shared" si="33"/>
        <v>0</v>
      </c>
      <c r="BC89" s="725">
        <f t="shared" ca="1" si="33"/>
        <v>0</v>
      </c>
      <c r="BD89" s="725">
        <f t="shared" ca="1" si="33"/>
        <v>0</v>
      </c>
      <c r="BE89" s="725">
        <f t="shared" si="33"/>
        <v>0</v>
      </c>
      <c r="BF89" s="725">
        <f t="shared" ca="1" si="33"/>
        <v>0</v>
      </c>
      <c r="BG89" s="725">
        <f t="shared" ca="1" si="33"/>
        <v>0</v>
      </c>
      <c r="BH89" s="725">
        <f t="shared" si="33"/>
        <v>0</v>
      </c>
      <c r="BI89" s="725">
        <f t="shared" ca="1" si="33"/>
        <v>0</v>
      </c>
      <c r="BJ89" s="725">
        <f t="shared" ca="1" si="33"/>
        <v>0</v>
      </c>
      <c r="BK89" s="725">
        <f t="shared" si="33"/>
        <v>0</v>
      </c>
      <c r="BL89" s="725">
        <f t="shared" ca="1" si="33"/>
        <v>0</v>
      </c>
      <c r="BM89" s="725">
        <f t="shared" ca="1" si="33"/>
        <v>0</v>
      </c>
      <c r="BN89" s="725">
        <f t="shared" ref="BN89:CS89" si="34">SUM(BN90:BN91)</f>
        <v>0</v>
      </c>
      <c r="BO89" s="725">
        <f t="shared" ca="1" si="34"/>
        <v>0</v>
      </c>
      <c r="BP89" s="725">
        <f t="shared" ca="1" si="34"/>
        <v>0</v>
      </c>
      <c r="BQ89" s="725">
        <f t="shared" si="34"/>
        <v>0</v>
      </c>
      <c r="BR89" s="725">
        <f t="shared" ca="1" si="34"/>
        <v>0</v>
      </c>
      <c r="BS89" s="725">
        <f t="shared" ca="1" si="34"/>
        <v>0</v>
      </c>
      <c r="BT89" s="725">
        <f t="shared" si="34"/>
        <v>0</v>
      </c>
      <c r="BU89" s="725">
        <f t="shared" ca="1" si="34"/>
        <v>0</v>
      </c>
      <c r="BV89" s="725">
        <f t="shared" ca="1" si="34"/>
        <v>0</v>
      </c>
      <c r="BW89" s="725">
        <f t="shared" si="34"/>
        <v>0</v>
      </c>
      <c r="BX89" s="725">
        <f t="shared" ca="1" si="34"/>
        <v>0</v>
      </c>
      <c r="BY89" s="725">
        <f t="shared" ca="1" si="34"/>
        <v>0</v>
      </c>
      <c r="BZ89" s="725">
        <f t="shared" si="34"/>
        <v>0</v>
      </c>
      <c r="CA89" s="725">
        <f t="shared" ca="1" si="34"/>
        <v>0</v>
      </c>
      <c r="CB89" s="725">
        <f t="shared" ca="1" si="34"/>
        <v>0</v>
      </c>
      <c r="CC89" s="725">
        <f t="shared" si="34"/>
        <v>0</v>
      </c>
      <c r="CD89" s="725">
        <f t="shared" ca="1" si="34"/>
        <v>0</v>
      </c>
      <c r="CE89" s="725">
        <f t="shared" ca="1" si="34"/>
        <v>0</v>
      </c>
      <c r="CF89" s="725">
        <f t="shared" si="34"/>
        <v>0</v>
      </c>
      <c r="CG89" s="725">
        <f t="shared" ca="1" si="34"/>
        <v>0</v>
      </c>
      <c r="CH89" s="725">
        <f t="shared" ca="1" si="34"/>
        <v>0</v>
      </c>
      <c r="CI89" s="725">
        <f t="shared" si="34"/>
        <v>0</v>
      </c>
      <c r="CJ89" s="725">
        <f t="shared" ca="1" si="34"/>
        <v>0</v>
      </c>
      <c r="CK89" s="725">
        <f t="shared" ca="1" si="34"/>
        <v>0</v>
      </c>
      <c r="CL89" s="725">
        <f t="shared" si="34"/>
        <v>0</v>
      </c>
      <c r="CM89" s="725">
        <f t="shared" ca="1" si="34"/>
        <v>0</v>
      </c>
      <c r="CN89" s="725">
        <f t="shared" ca="1" si="34"/>
        <v>0</v>
      </c>
      <c r="CO89" s="725">
        <f t="shared" si="34"/>
        <v>0</v>
      </c>
      <c r="CP89" s="725">
        <f t="shared" ca="1" si="34"/>
        <v>0</v>
      </c>
      <c r="CQ89" s="725">
        <f t="shared" ca="1" si="34"/>
        <v>0</v>
      </c>
      <c r="CR89" s="725">
        <f t="shared" si="34"/>
        <v>0</v>
      </c>
      <c r="CS89" s="725">
        <f t="shared" ca="1" si="34"/>
        <v>0</v>
      </c>
      <c r="CT89" s="25"/>
      <c r="CW89" s="960" t="s">
        <v>849</v>
      </c>
    </row>
    <row r="90" spans="5:104" ht="16.7" hidden="1" customHeight="1" x14ac:dyDescent="0.15">
      <c r="E90" s="668">
        <v>17.100000000000001</v>
      </c>
      <c r="F90" s="769" cm="1">
        <f t="array" aca="1" ref="F90" ca="1">OFFSET(G90,-1,-1)</f>
        <v>0</v>
      </c>
      <c r="L90" s="769" t="b" cm="1">
        <f t="array" aca="1" ref="L90" ca="1">OFFSET(M90,-1,-1)</f>
        <v>0</v>
      </c>
      <c r="R90" s="769" t="s">
        <v>750</v>
      </c>
      <c r="S90" s="107" t="b" cm="1">
        <f t="array" aca="1" ref="S90" ca="1">OFFSET(T90,-1,-1)</f>
        <v>0</v>
      </c>
      <c r="T90" s="107" t="b">
        <f ca="1">AND(L90,AD90&lt;&gt;"29.0")</f>
        <v>0</v>
      </c>
      <c r="U90" s="690" t="b">
        <f t="shared" ca="1" si="4"/>
        <v>0</v>
      </c>
      <c r="X90" s="107" t="s">
        <v>237</v>
      </c>
      <c r="Y90" s="1428"/>
      <c r="Z90" s="1428"/>
      <c r="AB90" s="1542"/>
      <c r="AD90" s="108" t="s">
        <v>850</v>
      </c>
      <c r="AE90" s="811"/>
      <c r="AF90" s="516"/>
      <c r="AG90" s="724" t="s">
        <v>830</v>
      </c>
      <c r="AH90" s="38">
        <f>AH$52*AH87</f>
        <v>0</v>
      </c>
      <c r="AI90" s="39">
        <f>AI$52*AI87</f>
        <v>0</v>
      </c>
      <c r="AJ90" s="39">
        <f>AJ$52*AJ87</f>
        <v>0</v>
      </c>
      <c r="AK90" s="39">
        <f>AK$52*AK87</f>
        <v>0</v>
      </c>
      <c r="AL90" s="727">
        <f ca="1">AM90+AN90</f>
        <v>0</v>
      </c>
      <c r="AM90" s="39">
        <f>AM$52*AM87</f>
        <v>0</v>
      </c>
      <c r="AN90" s="39">
        <f ca="1">AN$52*AN87</f>
        <v>0</v>
      </c>
      <c r="AO90" s="727">
        <f ca="1">AP90+AQ90</f>
        <v>0</v>
      </c>
      <c r="AP90" s="1244">
        <f>AP$52*AP87</f>
        <v>0</v>
      </c>
      <c r="AQ90" s="1244">
        <f ca="1">AQ$52*AQ87</f>
        <v>0</v>
      </c>
      <c r="AR90" s="727">
        <f ca="1">AS90+AT90</f>
        <v>0</v>
      </c>
      <c r="AS90" s="1244">
        <f>AS$52*AS87</f>
        <v>0</v>
      </c>
      <c r="AT90" s="1244">
        <f ca="1">AT$52*AT87</f>
        <v>0</v>
      </c>
      <c r="AU90" s="727">
        <f ca="1">AV90+AW90</f>
        <v>0</v>
      </c>
      <c r="AV90" s="39">
        <f>AV$52*AV87</f>
        <v>0</v>
      </c>
      <c r="AW90" s="39">
        <f ca="1">AW$52*AW87</f>
        <v>0</v>
      </c>
      <c r="AX90" s="727">
        <f ca="1">AY90+AZ90</f>
        <v>0</v>
      </c>
      <c r="AY90" s="39">
        <f>AY$52*AY87</f>
        <v>0</v>
      </c>
      <c r="AZ90" s="39">
        <f ca="1">AZ$52*AZ87</f>
        <v>0</v>
      </c>
      <c r="BA90" s="727">
        <f ca="1">BB90+BC90</f>
        <v>0</v>
      </c>
      <c r="BB90" s="39">
        <f>BB$52*BB87</f>
        <v>0</v>
      </c>
      <c r="BC90" s="39">
        <f ca="1">BC$52*BC87</f>
        <v>0</v>
      </c>
      <c r="BD90" s="727">
        <f ca="1">BE90+BF90</f>
        <v>0</v>
      </c>
      <c r="BE90" s="39">
        <f>BE$52*BE87</f>
        <v>0</v>
      </c>
      <c r="BF90" s="39">
        <f ca="1">BF$52*BF87</f>
        <v>0</v>
      </c>
      <c r="BG90" s="727">
        <f ca="1">BH90+BI90</f>
        <v>0</v>
      </c>
      <c r="BH90" s="39">
        <f>BH$52*BH87</f>
        <v>0</v>
      </c>
      <c r="BI90" s="39">
        <f ca="1">BI$52*BI87</f>
        <v>0</v>
      </c>
      <c r="BJ90" s="727">
        <f ca="1">BK90+BL90</f>
        <v>0</v>
      </c>
      <c r="BK90" s="39">
        <f>BK$52*BK87</f>
        <v>0</v>
      </c>
      <c r="BL90" s="39">
        <f ca="1">BL$52*BL87</f>
        <v>0</v>
      </c>
      <c r="BM90" s="727">
        <f ca="1">BN90+BO90</f>
        <v>0</v>
      </c>
      <c r="BN90" s="39">
        <f>BN$52*BN87</f>
        <v>0</v>
      </c>
      <c r="BO90" s="39">
        <f ca="1">BO$52*BO87</f>
        <v>0</v>
      </c>
      <c r="BP90" s="727">
        <f ca="1">BQ90+BR90</f>
        <v>0</v>
      </c>
      <c r="BQ90" s="816">
        <f>BQ$52*BQ87</f>
        <v>0</v>
      </c>
      <c r="BR90" s="816">
        <f ca="1">BR$52*BR87</f>
        <v>0</v>
      </c>
      <c r="BS90" s="727">
        <f ca="1">BT90+BU90</f>
        <v>0</v>
      </c>
      <c r="BT90" s="1244">
        <f>BT$52*BT87</f>
        <v>0</v>
      </c>
      <c r="BU90" s="1244">
        <f ca="1">BU$52*BU87</f>
        <v>0</v>
      </c>
      <c r="BV90" s="727">
        <f ca="1">BW90+BX90</f>
        <v>0</v>
      </c>
      <c r="BW90" s="1244">
        <f>BW$52*BW87</f>
        <v>0</v>
      </c>
      <c r="BX90" s="1244">
        <f ca="1">BX$52*BX87</f>
        <v>0</v>
      </c>
      <c r="BY90" s="727">
        <f ca="1">BZ90+CA90</f>
        <v>0</v>
      </c>
      <c r="BZ90" s="39">
        <f>BZ$52*BZ87</f>
        <v>0</v>
      </c>
      <c r="CA90" s="39">
        <f ca="1">CA$52*CA87</f>
        <v>0</v>
      </c>
      <c r="CB90" s="727">
        <f ca="1">CC90+CD90</f>
        <v>0</v>
      </c>
      <c r="CC90" s="39">
        <f>CC$52*CC87</f>
        <v>0</v>
      </c>
      <c r="CD90" s="39">
        <f ca="1">CD$52*CD87</f>
        <v>0</v>
      </c>
      <c r="CE90" s="727">
        <f ca="1">CF90+CG90</f>
        <v>0</v>
      </c>
      <c r="CF90" s="39">
        <f>CF$52*CF87</f>
        <v>0</v>
      </c>
      <c r="CG90" s="39">
        <f ca="1">CG$52*CG87</f>
        <v>0</v>
      </c>
      <c r="CH90" s="727">
        <f ca="1">CI90+CJ90</f>
        <v>0</v>
      </c>
      <c r="CI90" s="39">
        <f>CI$52*CI87</f>
        <v>0</v>
      </c>
      <c r="CJ90" s="39">
        <f ca="1">CJ$52*CJ87</f>
        <v>0</v>
      </c>
      <c r="CK90" s="727">
        <f ca="1">CL90+CM90</f>
        <v>0</v>
      </c>
      <c r="CL90" s="39">
        <f>CL$52*CL87</f>
        <v>0</v>
      </c>
      <c r="CM90" s="39">
        <f ca="1">CM$52*CM87</f>
        <v>0</v>
      </c>
      <c r="CN90" s="727">
        <f ca="1">CO90+CP90</f>
        <v>0</v>
      </c>
      <c r="CO90" s="39">
        <f>CO$52*CO87</f>
        <v>0</v>
      </c>
      <c r="CP90" s="39">
        <f ca="1">CP$52*CP87</f>
        <v>0</v>
      </c>
      <c r="CQ90" s="727">
        <f ca="1">CR90+CS90</f>
        <v>0</v>
      </c>
      <c r="CR90" s="39">
        <f>CR$52*CR87</f>
        <v>0</v>
      </c>
      <c r="CS90" s="39">
        <f ca="1">CS$52*CS87</f>
        <v>0</v>
      </c>
      <c r="CT90" s="25"/>
      <c r="CW90" s="960" t="s">
        <v>849</v>
      </c>
      <c r="CX90" s="965" t="s">
        <v>812</v>
      </c>
      <c r="CY90" s="969" cm="1">
        <f t="array" ref="CY90">AE90</f>
        <v>0</v>
      </c>
      <c r="CZ90" s="969" cm="1">
        <f t="array" ref="CZ90">AF90</f>
        <v>0</v>
      </c>
    </row>
    <row r="91" spans="5:104" ht="15" hidden="1" customHeight="1" x14ac:dyDescent="0.15">
      <c r="E91" s="668">
        <v>0</v>
      </c>
      <c r="F91" s="769" cm="1">
        <f t="array" aca="1" ref="F91" ca="1">OFFSET(G91,-1,-1)</f>
        <v>0</v>
      </c>
      <c r="L91" s="769" t="b" cm="1">
        <f t="array" aca="1" ref="L91" ca="1">OFFSET(M91,-1,-1)</f>
        <v>0</v>
      </c>
      <c r="S91" s="107" t="b" cm="1">
        <f t="array" aca="1" ref="S91" ca="1">OFFSET(T91,-1,-1)</f>
        <v>0</v>
      </c>
      <c r="U91" s="690" t="b">
        <f t="shared" ca="1" si="4"/>
        <v>0</v>
      </c>
      <c r="X91" s="810" t="str">
        <f>"{                  
         funcDyn: 'msg1',
         blok: 'blok_2',
         wsCross: 'Топливо 4.4',
         linkFormula: 'AE-AE#AF-AF',
         levelDyn: "&amp;Y28&amp;"
}"</f>
        <v>{                  
         funcDyn: 'msg1',
         blok: 'blok_2',
         wsCross: 'Топливо 4.4',
         linkFormula: 'AE-AE#AF-AF',
         levelDyn: 0
}</v>
      </c>
      <c r="Y91" s="1428"/>
      <c r="Z91" s="1428"/>
      <c r="AB91" s="1543"/>
      <c r="AD91" s="813"/>
      <c r="AE91" s="812" t="s">
        <v>239</v>
      </c>
      <c r="AF91" s="736"/>
      <c r="AG91" s="724"/>
      <c r="AH91" s="726"/>
      <c r="AI91" s="728"/>
      <c r="AJ91" s="728"/>
      <c r="AK91" s="728"/>
      <c r="AL91" s="728"/>
      <c r="AM91" s="728"/>
      <c r="AN91" s="728"/>
      <c r="AO91" s="728"/>
      <c r="AP91" s="728"/>
      <c r="AQ91" s="728"/>
      <c r="AR91" s="728"/>
      <c r="AS91" s="728"/>
      <c r="AT91" s="728"/>
      <c r="AU91" s="728"/>
      <c r="AV91" s="728"/>
      <c r="AW91" s="728"/>
      <c r="AX91" s="728"/>
      <c r="AY91" s="728"/>
      <c r="AZ91" s="728"/>
      <c r="BA91" s="728"/>
      <c r="BB91" s="728"/>
      <c r="BC91" s="728"/>
      <c r="BD91" s="728"/>
      <c r="BE91" s="728"/>
      <c r="BF91" s="728"/>
      <c r="BG91" s="728"/>
      <c r="BH91" s="728"/>
      <c r="BI91" s="728"/>
      <c r="BJ91" s="728"/>
      <c r="BK91" s="728"/>
      <c r="BL91" s="728"/>
      <c r="BM91" s="728"/>
      <c r="BN91" s="728"/>
      <c r="BO91" s="728"/>
      <c r="BP91" s="728"/>
      <c r="BQ91" s="728"/>
      <c r="BR91" s="728"/>
      <c r="BS91" s="728"/>
      <c r="BT91" s="728"/>
      <c r="BU91" s="728"/>
      <c r="BV91" s="728"/>
      <c r="BW91" s="728"/>
      <c r="BX91" s="728"/>
      <c r="BY91" s="728"/>
      <c r="BZ91" s="728"/>
      <c r="CA91" s="728"/>
      <c r="CB91" s="728"/>
      <c r="CC91" s="728"/>
      <c r="CD91" s="728"/>
      <c r="CE91" s="728"/>
      <c r="CF91" s="728"/>
      <c r="CG91" s="728"/>
      <c r="CH91" s="728"/>
      <c r="CI91" s="728"/>
      <c r="CJ91" s="728"/>
      <c r="CK91" s="728"/>
      <c r="CL91" s="728"/>
      <c r="CM91" s="728"/>
      <c r="CN91" s="728"/>
      <c r="CO91" s="728"/>
      <c r="CP91" s="728"/>
      <c r="CQ91" s="728"/>
      <c r="CR91" s="728"/>
      <c r="CS91" s="728"/>
      <c r="CT91" s="43"/>
      <c r="CW91" s="960" t="str">
        <f>IF(AND(ISNUMBER(VALUE(TRIM(SUBSTITUTE(AD91,".","")))),TRIM(SUBSTITUTE(AD91,".",""))&lt;&gt;""),"P"&amp;SUBSTITUTE(AD91,".",""),"")</f>
        <v/>
      </c>
    </row>
    <row r="92" spans="5:104" ht="16.7" hidden="1" customHeight="1" x14ac:dyDescent="0.15">
      <c r="E92" s="668">
        <v>17.100000000000001</v>
      </c>
      <c r="F92" s="769" cm="1">
        <f t="array" aca="1" ref="F92" ca="1">OFFSET(G92,-1,-1)</f>
        <v>0</v>
      </c>
      <c r="L92" s="769" t="b" cm="1">
        <f t="array" aca="1" ref="L92" ca="1">OFFSET(M92,-1,-1)</f>
        <v>0</v>
      </c>
      <c r="S92" s="107" t="b" cm="1">
        <f t="array" aca="1" ref="S92" ca="1">OFFSET(T92,-1,-1)</f>
        <v>0</v>
      </c>
      <c r="U92" s="690" t="b">
        <f t="shared" ref="U92:U155" ca="1" si="35">AND(S92,IF(ISBLANK(T92),TRUE,T92))</f>
        <v>0</v>
      </c>
      <c r="Y92" s="1428"/>
      <c r="Z92" s="1428"/>
      <c r="AB92" s="1544" t="s">
        <v>851</v>
      </c>
      <c r="AD92" s="121" t="s">
        <v>852</v>
      </c>
      <c r="AE92" s="1510" t="s">
        <v>853</v>
      </c>
      <c r="AF92" s="1493"/>
      <c r="AG92" s="839"/>
      <c r="AH92" s="726"/>
      <c r="AI92" s="728"/>
      <c r="AJ92" s="728"/>
      <c r="AK92" s="728"/>
      <c r="AL92" s="728"/>
      <c r="AM92" s="728"/>
      <c r="AN92" s="728"/>
      <c r="AO92" s="728"/>
      <c r="AP92" s="728"/>
      <c r="AQ92" s="728"/>
      <c r="AR92" s="728"/>
      <c r="AS92" s="728"/>
      <c r="AT92" s="728"/>
      <c r="AU92" s="728"/>
      <c r="AV92" s="728"/>
      <c r="AW92" s="728"/>
      <c r="AX92" s="728"/>
      <c r="AY92" s="728"/>
      <c r="AZ92" s="728"/>
      <c r="BA92" s="728"/>
      <c r="BB92" s="728"/>
      <c r="BC92" s="728"/>
      <c r="BD92" s="728"/>
      <c r="BE92" s="728"/>
      <c r="BF92" s="728"/>
      <c r="BG92" s="728"/>
      <c r="BH92" s="728"/>
      <c r="BI92" s="728"/>
      <c r="BJ92" s="728"/>
      <c r="BK92" s="728"/>
      <c r="BL92" s="728"/>
      <c r="BM92" s="728"/>
      <c r="BN92" s="728"/>
      <c r="BO92" s="728"/>
      <c r="BP92" s="728"/>
      <c r="BQ92" s="728"/>
      <c r="BR92" s="728"/>
      <c r="BS92" s="728"/>
      <c r="BT92" s="728"/>
      <c r="BU92" s="728"/>
      <c r="BV92" s="728"/>
      <c r="BW92" s="728"/>
      <c r="BX92" s="728"/>
      <c r="BY92" s="728"/>
      <c r="BZ92" s="728"/>
      <c r="CA92" s="728"/>
      <c r="CB92" s="728"/>
      <c r="CC92" s="728"/>
      <c r="CD92" s="728"/>
      <c r="CE92" s="728"/>
      <c r="CF92" s="728"/>
      <c r="CG92" s="728"/>
      <c r="CH92" s="728"/>
      <c r="CI92" s="728"/>
      <c r="CJ92" s="728"/>
      <c r="CK92" s="728"/>
      <c r="CL92" s="728"/>
      <c r="CM92" s="728"/>
      <c r="CN92" s="728"/>
      <c r="CO92" s="728"/>
      <c r="CP92" s="728"/>
      <c r="CQ92" s="728"/>
      <c r="CR92" s="728"/>
      <c r="CS92" s="728"/>
      <c r="CT92" s="25"/>
      <c r="CW92" s="960" t="s">
        <v>854</v>
      </c>
    </row>
    <row r="93" spans="5:104" ht="16.7" hidden="1" customHeight="1" x14ac:dyDescent="0.15">
      <c r="E93" s="668">
        <v>17.100000000000001</v>
      </c>
      <c r="F93" s="769" cm="1">
        <f t="array" aca="1" ref="F93" ca="1">OFFSET(G93,-1,-1)</f>
        <v>0</v>
      </c>
      <c r="L93" s="769" t="b" cm="1">
        <f t="array" aca="1" ref="L93" ca="1">OFFSET(M93,-1,-1)</f>
        <v>0</v>
      </c>
      <c r="S93" s="107" t="b" cm="1">
        <f t="array" aca="1" ref="S93" ca="1">OFFSET(T93,-1,-1)</f>
        <v>0</v>
      </c>
      <c r="T93" s="107" t="b">
        <f>AD93&lt;&gt;"30.0"</f>
        <v>0</v>
      </c>
      <c r="U93" s="690" t="b">
        <f t="shared" ca="1" si="35"/>
        <v>0</v>
      </c>
      <c r="X93" s="107" t="s">
        <v>237</v>
      </c>
      <c r="Y93" s="1428"/>
      <c r="Z93" s="1428"/>
      <c r="AB93" s="1545"/>
      <c r="AD93" s="108" t="s">
        <v>855</v>
      </c>
      <c r="AE93" s="811"/>
      <c r="AF93" s="516"/>
      <c r="AG93" s="724" t="s">
        <v>521</v>
      </c>
      <c r="AH93" s="42"/>
      <c r="AI93" s="46"/>
      <c r="AJ93" s="46"/>
      <c r="AK93" s="46"/>
      <c r="AL93" s="728"/>
      <c r="AM93" s="46"/>
      <c r="AN93" s="46"/>
      <c r="AO93" s="728"/>
      <c r="AP93" s="1248"/>
      <c r="AQ93" s="1248"/>
      <c r="AR93" s="728"/>
      <c r="AS93" s="1248"/>
      <c r="AT93" s="1248"/>
      <c r="AU93" s="728"/>
      <c r="AV93" s="46"/>
      <c r="AW93" s="46"/>
      <c r="AX93" s="728"/>
      <c r="AY93" s="46"/>
      <c r="AZ93" s="46"/>
      <c r="BA93" s="728"/>
      <c r="BB93" s="46"/>
      <c r="BC93" s="46"/>
      <c r="BD93" s="728"/>
      <c r="BE93" s="46"/>
      <c r="BF93" s="46"/>
      <c r="BG93" s="728"/>
      <c r="BH93" s="46"/>
      <c r="BI93" s="46"/>
      <c r="BJ93" s="728"/>
      <c r="BK93" s="46"/>
      <c r="BL93" s="46"/>
      <c r="BM93" s="728"/>
      <c r="BN93" s="46"/>
      <c r="BO93" s="46"/>
      <c r="BP93" s="728"/>
      <c r="BQ93" s="819"/>
      <c r="BR93" s="819"/>
      <c r="BS93" s="728"/>
      <c r="BT93" s="1248"/>
      <c r="BU93" s="1248"/>
      <c r="BV93" s="728"/>
      <c r="BW93" s="1248"/>
      <c r="BX93" s="1248"/>
      <c r="BY93" s="728"/>
      <c r="BZ93" s="46"/>
      <c r="CA93" s="46"/>
      <c r="CB93" s="728"/>
      <c r="CC93" s="46"/>
      <c r="CD93" s="46"/>
      <c r="CE93" s="728"/>
      <c r="CF93" s="46"/>
      <c r="CG93" s="46"/>
      <c r="CH93" s="728"/>
      <c r="CI93" s="46"/>
      <c r="CJ93" s="46"/>
      <c r="CK93" s="728"/>
      <c r="CL93" s="46"/>
      <c r="CM93" s="46"/>
      <c r="CN93" s="728"/>
      <c r="CO93" s="46"/>
      <c r="CP93" s="46"/>
      <c r="CQ93" s="728"/>
      <c r="CR93" s="46"/>
      <c r="CS93" s="46"/>
      <c r="CT93" s="25"/>
      <c r="CW93" s="960" t="s">
        <v>854</v>
      </c>
      <c r="CX93" s="965" t="s">
        <v>812</v>
      </c>
      <c r="CY93" s="969" cm="1">
        <f t="array" ref="CY93">AE93</f>
        <v>0</v>
      </c>
      <c r="CZ93" s="969" cm="1">
        <f t="array" ref="CZ93">AF93</f>
        <v>0</v>
      </c>
    </row>
    <row r="94" spans="5:104" ht="15" hidden="1" customHeight="1" x14ac:dyDescent="0.15">
      <c r="E94" s="668">
        <v>0</v>
      </c>
      <c r="F94" s="769" cm="1">
        <f t="array" aca="1" ref="F94" ca="1">OFFSET(G94,-1,-1)</f>
        <v>0</v>
      </c>
      <c r="L94" s="769" t="b" cm="1">
        <f t="array" aca="1" ref="L94" ca="1">OFFSET(M94,-1,-1)</f>
        <v>0</v>
      </c>
      <c r="S94" s="107" t="b" cm="1">
        <f t="array" aca="1" ref="S94" ca="1">OFFSET(T94,-1,-1)</f>
        <v>0</v>
      </c>
      <c r="U94" s="690" t="b">
        <f t="shared" ca="1" si="35"/>
        <v>0</v>
      </c>
      <c r="X94" s="810" t="str">
        <f>"{                  
         funcDyn: 'msg1',
         blok: 'blok_2',
         wsCross: 'Топливо 4.4',
         linkFormula: 'AE-AE#AF-AF',
         levelDyn: "&amp;Y28&amp;"
}"</f>
        <v>{                  
         funcDyn: 'msg1',
         blok: 'blok_2',
         wsCross: 'Топливо 4.4',
         linkFormula: 'AE-AE#AF-AF',
         levelDyn: 0
}</v>
      </c>
      <c r="Y94" s="1428"/>
      <c r="Z94" s="1428"/>
      <c r="AB94" s="1545"/>
      <c r="AD94" s="813"/>
      <c r="AE94" s="812" t="s">
        <v>239</v>
      </c>
      <c r="AF94" s="736"/>
      <c r="AG94" s="724"/>
      <c r="AH94" s="737"/>
      <c r="AI94" s="47"/>
      <c r="AJ94" s="47"/>
      <c r="AK94" s="47"/>
      <c r="AL94" s="728"/>
      <c r="AM94" s="47"/>
      <c r="AN94" s="47"/>
      <c r="AO94" s="728"/>
      <c r="AP94" s="47"/>
      <c r="AQ94" s="47"/>
      <c r="AR94" s="728"/>
      <c r="AS94" s="47"/>
      <c r="AT94" s="47"/>
      <c r="AU94" s="728"/>
      <c r="AV94" s="47"/>
      <c r="AW94" s="47"/>
      <c r="AX94" s="728"/>
      <c r="AY94" s="47"/>
      <c r="AZ94" s="47"/>
      <c r="BA94" s="728"/>
      <c r="BB94" s="47"/>
      <c r="BC94" s="47"/>
      <c r="BD94" s="728"/>
      <c r="BE94" s="47"/>
      <c r="BF94" s="47"/>
      <c r="BG94" s="728"/>
      <c r="BH94" s="47"/>
      <c r="BI94" s="47"/>
      <c r="BJ94" s="728"/>
      <c r="BK94" s="47"/>
      <c r="BL94" s="47"/>
      <c r="BM94" s="728"/>
      <c r="BN94" s="47"/>
      <c r="BO94" s="47"/>
      <c r="BP94" s="728"/>
      <c r="BQ94" s="47"/>
      <c r="BR94" s="47"/>
      <c r="BS94" s="728"/>
      <c r="BT94" s="47"/>
      <c r="BU94" s="47"/>
      <c r="BV94" s="728"/>
      <c r="BW94" s="47"/>
      <c r="BX94" s="47"/>
      <c r="BY94" s="728"/>
      <c r="BZ94" s="47"/>
      <c r="CA94" s="47"/>
      <c r="CB94" s="728"/>
      <c r="CC94" s="47"/>
      <c r="CD94" s="47"/>
      <c r="CE94" s="728"/>
      <c r="CF94" s="47"/>
      <c r="CG94" s="47"/>
      <c r="CH94" s="728"/>
      <c r="CI94" s="47"/>
      <c r="CJ94" s="47"/>
      <c r="CK94" s="728"/>
      <c r="CL94" s="47"/>
      <c r="CM94" s="47"/>
      <c r="CN94" s="728"/>
      <c r="CO94" s="47"/>
      <c r="CP94" s="47"/>
      <c r="CQ94" s="728"/>
      <c r="CR94" s="47"/>
      <c r="CS94" s="47"/>
      <c r="CT94" s="43"/>
      <c r="CW94" s="960" t="str">
        <f>IF(AND(ISNUMBER(VALUE(TRIM(SUBSTITUTE(AD94,".","")))),TRIM(SUBSTITUTE(AD94,".",""))&lt;&gt;""),"P"&amp;SUBSTITUTE(AD94,".",""),"")</f>
        <v/>
      </c>
    </row>
    <row r="95" spans="5:104" ht="16.7" hidden="1" customHeight="1" x14ac:dyDescent="0.15">
      <c r="E95" s="668">
        <v>17.100000000000001</v>
      </c>
      <c r="F95" s="769" cm="1">
        <f t="array" aca="1" ref="F95" ca="1">OFFSET(G95,-1,-1)</f>
        <v>0</v>
      </c>
      <c r="L95" s="769" t="b" cm="1">
        <f t="array" aca="1" ref="L95" ca="1">OFFSET(M95,-1,-1)</f>
        <v>0</v>
      </c>
      <c r="S95" s="107" t="b" cm="1">
        <f t="array" aca="1" ref="S95" ca="1">OFFSET(T95,-1,-1)</f>
        <v>0</v>
      </c>
      <c r="U95" s="690" t="b">
        <f t="shared" ca="1" si="35"/>
        <v>0</v>
      </c>
      <c r="Y95" s="1428"/>
      <c r="Z95" s="1428"/>
      <c r="AB95" s="1545"/>
      <c r="AD95" s="121" t="s">
        <v>856</v>
      </c>
      <c r="AE95" s="1510" t="s">
        <v>857</v>
      </c>
      <c r="AF95" s="1493"/>
      <c r="AG95" s="839"/>
      <c r="AH95" s="726"/>
      <c r="AI95" s="728"/>
      <c r="AJ95" s="728"/>
      <c r="AK95" s="728"/>
      <c r="AL95" s="728"/>
      <c r="AM95" s="728"/>
      <c r="AN95" s="728"/>
      <c r="AO95" s="728"/>
      <c r="AP95" s="728"/>
      <c r="AQ95" s="728"/>
      <c r="AR95" s="728"/>
      <c r="AS95" s="728"/>
      <c r="AT95" s="728"/>
      <c r="AU95" s="728"/>
      <c r="AV95" s="728"/>
      <c r="AW95" s="728"/>
      <c r="AX95" s="728"/>
      <c r="AY95" s="728"/>
      <c r="AZ95" s="728"/>
      <c r="BA95" s="728"/>
      <c r="BB95" s="728"/>
      <c r="BC95" s="728"/>
      <c r="BD95" s="728"/>
      <c r="BE95" s="728"/>
      <c r="BF95" s="728"/>
      <c r="BG95" s="728"/>
      <c r="BH95" s="728"/>
      <c r="BI95" s="728"/>
      <c r="BJ95" s="728"/>
      <c r="BK95" s="728"/>
      <c r="BL95" s="728"/>
      <c r="BM95" s="728"/>
      <c r="BN95" s="728"/>
      <c r="BO95" s="728"/>
      <c r="BP95" s="728"/>
      <c r="BQ95" s="728"/>
      <c r="BR95" s="728"/>
      <c r="BS95" s="728"/>
      <c r="BT95" s="728"/>
      <c r="BU95" s="728"/>
      <c r="BV95" s="728"/>
      <c r="BW95" s="728"/>
      <c r="BX95" s="728"/>
      <c r="BY95" s="728"/>
      <c r="BZ95" s="728"/>
      <c r="CA95" s="728"/>
      <c r="CB95" s="728"/>
      <c r="CC95" s="728"/>
      <c r="CD95" s="728"/>
      <c r="CE95" s="728"/>
      <c r="CF95" s="728"/>
      <c r="CG95" s="728"/>
      <c r="CH95" s="728"/>
      <c r="CI95" s="728"/>
      <c r="CJ95" s="728"/>
      <c r="CK95" s="728"/>
      <c r="CL95" s="728"/>
      <c r="CM95" s="728"/>
      <c r="CN95" s="728"/>
      <c r="CO95" s="728"/>
      <c r="CP95" s="728"/>
      <c r="CQ95" s="728"/>
      <c r="CR95" s="728"/>
      <c r="CS95" s="728"/>
      <c r="CT95" s="25"/>
      <c r="CW95" s="960" t="s">
        <v>858</v>
      </c>
    </row>
    <row r="96" spans="5:104" ht="16.7" hidden="1" customHeight="1" x14ac:dyDescent="0.15">
      <c r="E96" s="668">
        <v>17.100000000000001</v>
      </c>
      <c r="F96" s="769" cm="1">
        <f t="array" aca="1" ref="F96" ca="1">OFFSET(G96,-1,-1)</f>
        <v>0</v>
      </c>
      <c r="L96" s="769" t="b" cm="1">
        <f t="array" aca="1" ref="L96" ca="1">OFFSET(M96,-1,-1)</f>
        <v>0</v>
      </c>
      <c r="S96" s="107" t="b" cm="1">
        <f t="array" aca="1" ref="S96" ca="1">OFFSET(T96,-1,-1)</f>
        <v>0</v>
      </c>
      <c r="T96" s="107" t="b">
        <f>AD96&lt;&gt;"31.0"</f>
        <v>0</v>
      </c>
      <c r="U96" s="690" t="b">
        <f t="shared" ca="1" si="35"/>
        <v>0</v>
      </c>
      <c r="X96" s="107" t="s">
        <v>237</v>
      </c>
      <c r="Y96" s="1428"/>
      <c r="Z96" s="1428"/>
      <c r="AB96" s="1545"/>
      <c r="AD96" s="108" t="s">
        <v>859</v>
      </c>
      <c r="AE96" s="811"/>
      <c r="AF96" s="516"/>
      <c r="AG96" s="884" t="str">
        <f>"руб./"&amp;IFERROR(INDEX(fuel_ed_izm_list,MATCH(AE96,fuel_list,0)),"")</f>
        <v>руб./</v>
      </c>
      <c r="AH96" s="38">
        <f>IFERROR(AH100/AH64,0)*1000</f>
        <v>0</v>
      </c>
      <c r="AI96" s="38">
        <f>IFERROR(AI100/AI64,0)*1000</f>
        <v>0</v>
      </c>
      <c r="AJ96" s="38">
        <f>IFERROR(AJ100/AJ64,0)*1000</f>
        <v>0</v>
      </c>
      <c r="AK96" s="38">
        <f>IFERROR(AK100/AK64,0)*1000</f>
        <v>0</v>
      </c>
      <c r="AL96" s="727">
        <f ca="1">IFERROR(AL100/AL64,0)*1000</f>
        <v>0</v>
      </c>
      <c r="AM96" s="39"/>
      <c r="AN96" s="39"/>
      <c r="AO96" s="727">
        <f ca="1">IFERROR(AO100/AO64,0)*1000</f>
        <v>0</v>
      </c>
      <c r="AP96" s="1244"/>
      <c r="AQ96" s="1244"/>
      <c r="AR96" s="727">
        <f ca="1">IFERROR(AR100/AR64,0)*1000</f>
        <v>0</v>
      </c>
      <c r="AS96" s="1244"/>
      <c r="AT96" s="1244"/>
      <c r="AU96" s="727">
        <f ca="1">IFERROR(AU100/AU64,0)*1000</f>
        <v>0</v>
      </c>
      <c r="AV96" s="39"/>
      <c r="AW96" s="39"/>
      <c r="AX96" s="727">
        <f ca="1">IFERROR(AX100/AX64,0)*1000</f>
        <v>0</v>
      </c>
      <c r="AY96" s="39"/>
      <c r="AZ96" s="39"/>
      <c r="BA96" s="727">
        <f ca="1">IFERROR(BA100/BA64,0)*1000</f>
        <v>0</v>
      </c>
      <c r="BB96" s="39"/>
      <c r="BC96" s="39"/>
      <c r="BD96" s="727">
        <f ca="1">IFERROR(BD100/BD64,0)*1000</f>
        <v>0</v>
      </c>
      <c r="BE96" s="39"/>
      <c r="BF96" s="39"/>
      <c r="BG96" s="727">
        <f ca="1">IFERROR(BG100/BG64,0)*1000</f>
        <v>0</v>
      </c>
      <c r="BH96" s="39"/>
      <c r="BI96" s="39"/>
      <c r="BJ96" s="727">
        <f ca="1">IFERROR(BJ100/BJ64,0)*1000</f>
        <v>0</v>
      </c>
      <c r="BK96" s="39"/>
      <c r="BL96" s="39"/>
      <c r="BM96" s="727">
        <f ca="1">IFERROR(BM100/BM64,0)*1000</f>
        <v>0</v>
      </c>
      <c r="BN96" s="39"/>
      <c r="BO96" s="39"/>
      <c r="BP96" s="727">
        <f ca="1">IFERROR(BP100/BP64,0)*1000</f>
        <v>0</v>
      </c>
      <c r="BQ96" s="816"/>
      <c r="BR96" s="816"/>
      <c r="BS96" s="727">
        <f ca="1">IFERROR(BS100/BS64,0)*1000</f>
        <v>0</v>
      </c>
      <c r="BT96" s="1244"/>
      <c r="BU96" s="1244"/>
      <c r="BV96" s="727">
        <f ca="1">IFERROR(BV100/BV64,0)*1000</f>
        <v>0</v>
      </c>
      <c r="BW96" s="1244"/>
      <c r="BX96" s="1244"/>
      <c r="BY96" s="727">
        <f ca="1">IFERROR(BY100/BY64,0)*1000</f>
        <v>0</v>
      </c>
      <c r="BZ96" s="39"/>
      <c r="CA96" s="39"/>
      <c r="CB96" s="727">
        <f ca="1">IFERROR(CB100/CB64,0)*1000</f>
        <v>0</v>
      </c>
      <c r="CC96" s="39"/>
      <c r="CD96" s="39"/>
      <c r="CE96" s="727">
        <f ca="1">IFERROR(CE100/CE64,0)*1000</f>
        <v>0</v>
      </c>
      <c r="CF96" s="39"/>
      <c r="CG96" s="39"/>
      <c r="CH96" s="727">
        <f ca="1">IFERROR(CH100/CH64,0)*1000</f>
        <v>0</v>
      </c>
      <c r="CI96" s="39"/>
      <c r="CJ96" s="39"/>
      <c r="CK96" s="727">
        <f ca="1">IFERROR(CK100/CK64,0)*1000</f>
        <v>0</v>
      </c>
      <c r="CL96" s="39"/>
      <c r="CM96" s="39"/>
      <c r="CN96" s="727">
        <f ca="1">IFERROR(CN100/CN64,0)*1000</f>
        <v>0</v>
      </c>
      <c r="CO96" s="39"/>
      <c r="CP96" s="39"/>
      <c r="CQ96" s="727">
        <f ca="1">IFERROR(CQ100/CQ64,0)*1000</f>
        <v>0</v>
      </c>
      <c r="CR96" s="39"/>
      <c r="CS96" s="39"/>
      <c r="CT96" s="25"/>
      <c r="CW96" s="960" t="s">
        <v>858</v>
      </c>
      <c r="CX96" s="965" t="s">
        <v>812</v>
      </c>
      <c r="CY96" s="969" cm="1">
        <f t="array" ref="CY96">AE96</f>
        <v>0</v>
      </c>
      <c r="CZ96" s="969" cm="1">
        <f t="array" ref="CZ96">AF96</f>
        <v>0</v>
      </c>
    </row>
    <row r="97" spans="5:104" ht="15" hidden="1" customHeight="1" x14ac:dyDescent="0.15">
      <c r="E97" s="668">
        <v>0</v>
      </c>
      <c r="F97" s="769" cm="1">
        <f t="array" aca="1" ref="F97" ca="1">OFFSET(G97,-1,-1)</f>
        <v>0</v>
      </c>
      <c r="L97" s="769" t="b" cm="1">
        <f t="array" aca="1" ref="L97" ca="1">OFFSET(M97,-1,-1)</f>
        <v>0</v>
      </c>
      <c r="S97" s="107" t="b" cm="1">
        <f t="array" aca="1" ref="S97" ca="1">OFFSET(T97,-1,-1)</f>
        <v>0</v>
      </c>
      <c r="U97" s="690" t="b">
        <f t="shared" ca="1" si="35"/>
        <v>0</v>
      </c>
      <c r="X97" s="810" t="str">
        <f>"{                  
         funcDyn: 'msg1',
         blok: 'blok_2',
         wsCross: 'Топливо 4.4',
         linkFormula: 'AE-AE#AF-AF',
         levelDyn: "&amp;Y28&amp;"
}"</f>
        <v>{                  
         funcDyn: 'msg1',
         blok: 'blok_2',
         wsCross: 'Топливо 4.4',
         linkFormula: 'AE-AE#AF-AF',
         levelDyn: 0
}</v>
      </c>
      <c r="Y97" s="1428"/>
      <c r="Z97" s="1428"/>
      <c r="AB97" s="1545"/>
      <c r="AD97" s="813"/>
      <c r="AE97" s="812" t="s">
        <v>239</v>
      </c>
      <c r="AF97" s="736"/>
      <c r="AG97" s="724"/>
      <c r="AH97" s="728"/>
      <c r="AI97" s="728"/>
      <c r="AJ97" s="728"/>
      <c r="AK97" s="728"/>
      <c r="AL97" s="728"/>
      <c r="AM97" s="728"/>
      <c r="AN97" s="728"/>
      <c r="AO97" s="728"/>
      <c r="AP97" s="728"/>
      <c r="AQ97" s="728"/>
      <c r="AR97" s="728"/>
      <c r="AS97" s="728"/>
      <c r="AT97" s="728"/>
      <c r="AU97" s="728"/>
      <c r="AV97" s="728"/>
      <c r="AW97" s="728"/>
      <c r="AX97" s="728"/>
      <c r="AY97" s="728"/>
      <c r="AZ97" s="728"/>
      <c r="BA97" s="728"/>
      <c r="BB97" s="728"/>
      <c r="BC97" s="728"/>
      <c r="BD97" s="728"/>
      <c r="BE97" s="728"/>
      <c r="BF97" s="728"/>
      <c r="BG97" s="728"/>
      <c r="BH97" s="728"/>
      <c r="BI97" s="728"/>
      <c r="BJ97" s="728"/>
      <c r="BK97" s="728"/>
      <c r="BL97" s="728"/>
      <c r="BM97" s="728"/>
      <c r="BN97" s="728"/>
      <c r="BO97" s="728"/>
      <c r="BP97" s="728"/>
      <c r="BQ97" s="728"/>
      <c r="BR97" s="728"/>
      <c r="BS97" s="728"/>
      <c r="BT97" s="728"/>
      <c r="BU97" s="728"/>
      <c r="BV97" s="728"/>
      <c r="BW97" s="728"/>
      <c r="BX97" s="728"/>
      <c r="BY97" s="728"/>
      <c r="BZ97" s="728"/>
      <c r="CA97" s="728"/>
      <c r="CB97" s="728"/>
      <c r="CC97" s="728"/>
      <c r="CD97" s="728"/>
      <c r="CE97" s="728"/>
      <c r="CF97" s="728"/>
      <c r="CG97" s="728"/>
      <c r="CH97" s="728"/>
      <c r="CI97" s="728"/>
      <c r="CJ97" s="728"/>
      <c r="CK97" s="728"/>
      <c r="CL97" s="728"/>
      <c r="CM97" s="728"/>
      <c r="CN97" s="728"/>
      <c r="CO97" s="728"/>
      <c r="CP97" s="728"/>
      <c r="CQ97" s="728"/>
      <c r="CR97" s="728"/>
      <c r="CS97" s="728"/>
      <c r="CT97" s="43"/>
      <c r="CW97" s="960" t="str">
        <f>IF(AND(ISNUMBER(VALUE(TRIM(SUBSTITUTE(AD97,".","")))),TRIM(SUBSTITUTE(AD97,".",""))&lt;&gt;""),"P"&amp;SUBSTITUTE(AD97,".",""),"")</f>
        <v/>
      </c>
    </row>
    <row r="98" spans="5:104" ht="16.7" hidden="1" customHeight="1" x14ac:dyDescent="0.15">
      <c r="E98" s="668">
        <v>17.100000000000001</v>
      </c>
      <c r="F98" s="769" cm="1">
        <f t="array" aca="1" ref="F98" ca="1">OFFSET(G98,-1,-1)</f>
        <v>0</v>
      </c>
      <c r="L98" s="769" t="b" cm="1">
        <f t="array" aca="1" ref="L98" ca="1">OFFSET(M98,-1,-1)</f>
        <v>0</v>
      </c>
      <c r="S98" s="107" t="b" cm="1">
        <f t="array" aca="1" ref="S98" ca="1">OFFSET(T98,-1,-1)</f>
        <v>0</v>
      </c>
      <c r="U98" s="690" t="b">
        <f t="shared" ca="1" si="35"/>
        <v>0</v>
      </c>
      <c r="Y98" s="1428"/>
      <c r="Z98" s="1428"/>
      <c r="AB98" s="1545"/>
      <c r="AD98" s="121" t="s">
        <v>860</v>
      </c>
      <c r="AE98" s="1510" t="s">
        <v>861</v>
      </c>
      <c r="AF98" s="1493"/>
      <c r="AG98" s="724" t="s">
        <v>830</v>
      </c>
      <c r="AH98" s="725">
        <f t="shared" ref="AH98:BM98" si="36">SUM(AH100:AH101)</f>
        <v>0</v>
      </c>
      <c r="AI98" s="725">
        <f t="shared" si="36"/>
        <v>0</v>
      </c>
      <c r="AJ98" s="725">
        <f t="shared" si="36"/>
        <v>0</v>
      </c>
      <c r="AK98" s="725">
        <f t="shared" si="36"/>
        <v>0</v>
      </c>
      <c r="AL98" s="725">
        <f t="shared" ca="1" si="36"/>
        <v>0</v>
      </c>
      <c r="AM98" s="725">
        <f t="shared" si="36"/>
        <v>0</v>
      </c>
      <c r="AN98" s="725">
        <f t="shared" ca="1" si="36"/>
        <v>0</v>
      </c>
      <c r="AO98" s="725">
        <f t="shared" ca="1" si="36"/>
        <v>0</v>
      </c>
      <c r="AP98" s="725">
        <f t="shared" si="36"/>
        <v>0</v>
      </c>
      <c r="AQ98" s="725">
        <f t="shared" ca="1" si="36"/>
        <v>0</v>
      </c>
      <c r="AR98" s="725">
        <f t="shared" ca="1" si="36"/>
        <v>0</v>
      </c>
      <c r="AS98" s="725">
        <f t="shared" si="36"/>
        <v>0</v>
      </c>
      <c r="AT98" s="725">
        <f t="shared" ca="1" si="36"/>
        <v>0</v>
      </c>
      <c r="AU98" s="725">
        <f t="shared" ca="1" si="36"/>
        <v>0</v>
      </c>
      <c r="AV98" s="725">
        <f t="shared" si="36"/>
        <v>0</v>
      </c>
      <c r="AW98" s="725">
        <f t="shared" ca="1" si="36"/>
        <v>0</v>
      </c>
      <c r="AX98" s="725">
        <f t="shared" ca="1" si="36"/>
        <v>0</v>
      </c>
      <c r="AY98" s="725">
        <f t="shared" si="36"/>
        <v>0</v>
      </c>
      <c r="AZ98" s="725">
        <f t="shared" ca="1" si="36"/>
        <v>0</v>
      </c>
      <c r="BA98" s="725">
        <f t="shared" ca="1" si="36"/>
        <v>0</v>
      </c>
      <c r="BB98" s="725">
        <f t="shared" si="36"/>
        <v>0</v>
      </c>
      <c r="BC98" s="725">
        <f t="shared" ca="1" si="36"/>
        <v>0</v>
      </c>
      <c r="BD98" s="725">
        <f t="shared" ca="1" si="36"/>
        <v>0</v>
      </c>
      <c r="BE98" s="725">
        <f t="shared" si="36"/>
        <v>0</v>
      </c>
      <c r="BF98" s="725">
        <f t="shared" ca="1" si="36"/>
        <v>0</v>
      </c>
      <c r="BG98" s="725">
        <f t="shared" ca="1" si="36"/>
        <v>0</v>
      </c>
      <c r="BH98" s="725">
        <f t="shared" si="36"/>
        <v>0</v>
      </c>
      <c r="BI98" s="725">
        <f t="shared" ca="1" si="36"/>
        <v>0</v>
      </c>
      <c r="BJ98" s="725">
        <f t="shared" ca="1" si="36"/>
        <v>0</v>
      </c>
      <c r="BK98" s="725">
        <f t="shared" si="36"/>
        <v>0</v>
      </c>
      <c r="BL98" s="725">
        <f t="shared" ca="1" si="36"/>
        <v>0</v>
      </c>
      <c r="BM98" s="725">
        <f t="shared" ca="1" si="36"/>
        <v>0</v>
      </c>
      <c r="BN98" s="725">
        <f t="shared" ref="BN98:CS98" si="37">SUM(BN100:BN101)</f>
        <v>0</v>
      </c>
      <c r="BO98" s="725">
        <f t="shared" ca="1" si="37"/>
        <v>0</v>
      </c>
      <c r="BP98" s="725">
        <f t="shared" ca="1" si="37"/>
        <v>0</v>
      </c>
      <c r="BQ98" s="725">
        <f t="shared" si="37"/>
        <v>0</v>
      </c>
      <c r="BR98" s="725">
        <f t="shared" ca="1" si="37"/>
        <v>0</v>
      </c>
      <c r="BS98" s="725">
        <f t="shared" ca="1" si="37"/>
        <v>0</v>
      </c>
      <c r="BT98" s="725">
        <f t="shared" si="37"/>
        <v>0</v>
      </c>
      <c r="BU98" s="725">
        <f t="shared" ca="1" si="37"/>
        <v>0</v>
      </c>
      <c r="BV98" s="725">
        <f t="shared" ca="1" si="37"/>
        <v>0</v>
      </c>
      <c r="BW98" s="725">
        <f t="shared" si="37"/>
        <v>0</v>
      </c>
      <c r="BX98" s="725">
        <f t="shared" ca="1" si="37"/>
        <v>0</v>
      </c>
      <c r="BY98" s="725">
        <f t="shared" ca="1" si="37"/>
        <v>0</v>
      </c>
      <c r="BZ98" s="725">
        <f t="shared" si="37"/>
        <v>0</v>
      </c>
      <c r="CA98" s="725">
        <f t="shared" ca="1" si="37"/>
        <v>0</v>
      </c>
      <c r="CB98" s="725">
        <f t="shared" ca="1" si="37"/>
        <v>0</v>
      </c>
      <c r="CC98" s="725">
        <f t="shared" si="37"/>
        <v>0</v>
      </c>
      <c r="CD98" s="725">
        <f t="shared" ca="1" si="37"/>
        <v>0</v>
      </c>
      <c r="CE98" s="725">
        <f t="shared" ca="1" si="37"/>
        <v>0</v>
      </c>
      <c r="CF98" s="725">
        <f t="shared" si="37"/>
        <v>0</v>
      </c>
      <c r="CG98" s="725">
        <f t="shared" ca="1" si="37"/>
        <v>0</v>
      </c>
      <c r="CH98" s="725">
        <f t="shared" ca="1" si="37"/>
        <v>0</v>
      </c>
      <c r="CI98" s="725">
        <f t="shared" si="37"/>
        <v>0</v>
      </c>
      <c r="CJ98" s="725">
        <f t="shared" ca="1" si="37"/>
        <v>0</v>
      </c>
      <c r="CK98" s="725">
        <f t="shared" ca="1" si="37"/>
        <v>0</v>
      </c>
      <c r="CL98" s="725">
        <f t="shared" si="37"/>
        <v>0</v>
      </c>
      <c r="CM98" s="725">
        <f t="shared" ca="1" si="37"/>
        <v>0</v>
      </c>
      <c r="CN98" s="725">
        <f t="shared" ca="1" si="37"/>
        <v>0</v>
      </c>
      <c r="CO98" s="725">
        <f t="shared" si="37"/>
        <v>0</v>
      </c>
      <c r="CP98" s="725">
        <f t="shared" ca="1" si="37"/>
        <v>0</v>
      </c>
      <c r="CQ98" s="725">
        <f t="shared" ca="1" si="37"/>
        <v>0</v>
      </c>
      <c r="CR98" s="725">
        <f t="shared" si="37"/>
        <v>0</v>
      </c>
      <c r="CS98" s="725">
        <f t="shared" ca="1" si="37"/>
        <v>0</v>
      </c>
      <c r="CT98" s="25"/>
      <c r="CW98" s="960" t="s">
        <v>862</v>
      </c>
    </row>
    <row r="99" spans="5:104" ht="16.7" hidden="1" customHeight="1" x14ac:dyDescent="0.15">
      <c r="E99" s="668">
        <v>17.100000000000001</v>
      </c>
      <c r="F99" s="769" cm="1">
        <f t="array" aca="1" ref="F99" ca="1">OFFSET(G99,-1,-1)</f>
        <v>0</v>
      </c>
      <c r="L99" s="769" t="b" cm="1">
        <f t="array" aca="1" ref="L99" ca="1">OFFSET(M99,-1,-1)</f>
        <v>0</v>
      </c>
      <c r="R99" s="769" t="s">
        <v>750</v>
      </c>
      <c r="S99" s="107" t="b" cm="1">
        <f t="array" aca="1" ref="S99" ca="1">OFFSET(T99,-1,-1)</f>
        <v>0</v>
      </c>
      <c r="T99" s="769" t="b">
        <v>0</v>
      </c>
      <c r="U99" s="690" t="b">
        <f t="shared" ca="1" si="35"/>
        <v>0</v>
      </c>
      <c r="Y99" s="1428"/>
      <c r="Z99" s="1428"/>
      <c r="AB99" s="1545"/>
      <c r="AD99" s="108" t="str">
        <f>AD98&amp;".0"</f>
        <v>32.0</v>
      </c>
      <c r="AE99" s="1513" t="s">
        <v>761</v>
      </c>
      <c r="AF99" s="1514"/>
      <c r="AG99" s="724" t="s">
        <v>830</v>
      </c>
      <c r="AH99" s="38">
        <f>AH52*AH98</f>
        <v>0</v>
      </c>
      <c r="AI99" s="39">
        <f>AI$52*AI98</f>
        <v>0</v>
      </c>
      <c r="AJ99" s="39">
        <f>AJ$52*AJ98</f>
        <v>0</v>
      </c>
      <c r="AK99" s="39">
        <f>AK$52*AK98</f>
        <v>0</v>
      </c>
      <c r="AL99" s="727">
        <f ca="1">AM99+AN99</f>
        <v>0</v>
      </c>
      <c r="AM99" s="39">
        <f>AM$52*AM98</f>
        <v>0</v>
      </c>
      <c r="AN99" s="39">
        <f ca="1">AN$52*AN98</f>
        <v>0</v>
      </c>
      <c r="AO99" s="727">
        <f ca="1">AP99+AQ99</f>
        <v>0</v>
      </c>
      <c r="AP99" s="1244">
        <f>AP$52*AP98</f>
        <v>0</v>
      </c>
      <c r="AQ99" s="1244">
        <f ca="1">AQ$52*AQ98</f>
        <v>0</v>
      </c>
      <c r="AR99" s="727">
        <f ca="1">AS99+AT99</f>
        <v>0</v>
      </c>
      <c r="AS99" s="1244">
        <f>AS$52*AS98</f>
        <v>0</v>
      </c>
      <c r="AT99" s="1244">
        <f ca="1">AT$52*AT98</f>
        <v>0</v>
      </c>
      <c r="AU99" s="727">
        <f ca="1">AV99+AW99</f>
        <v>0</v>
      </c>
      <c r="AV99" s="39">
        <f>AV$52*AV98</f>
        <v>0</v>
      </c>
      <c r="AW99" s="39">
        <f ca="1">AW$52*AW98</f>
        <v>0</v>
      </c>
      <c r="AX99" s="727">
        <f ca="1">AY99+AZ99</f>
        <v>0</v>
      </c>
      <c r="AY99" s="39">
        <f>AY$52*AY98</f>
        <v>0</v>
      </c>
      <c r="AZ99" s="39">
        <f ca="1">AZ$52*AZ98</f>
        <v>0</v>
      </c>
      <c r="BA99" s="727">
        <f ca="1">BB99+BC99</f>
        <v>0</v>
      </c>
      <c r="BB99" s="39">
        <f>BB$52*BB98</f>
        <v>0</v>
      </c>
      <c r="BC99" s="39">
        <f ca="1">BC$52*BC98</f>
        <v>0</v>
      </c>
      <c r="BD99" s="727">
        <f ca="1">BE99+BF99</f>
        <v>0</v>
      </c>
      <c r="BE99" s="39">
        <f>BE$52*BE98</f>
        <v>0</v>
      </c>
      <c r="BF99" s="39">
        <f ca="1">BF$52*BF98</f>
        <v>0</v>
      </c>
      <c r="BG99" s="727">
        <f ca="1">BH99+BI99</f>
        <v>0</v>
      </c>
      <c r="BH99" s="39">
        <f>BH$52*BH98</f>
        <v>0</v>
      </c>
      <c r="BI99" s="39">
        <f ca="1">BI$52*BI98</f>
        <v>0</v>
      </c>
      <c r="BJ99" s="727">
        <f ca="1">BK99+BL99</f>
        <v>0</v>
      </c>
      <c r="BK99" s="39">
        <f>BK$52*BK98</f>
        <v>0</v>
      </c>
      <c r="BL99" s="39">
        <f ca="1">BL$52*BL98</f>
        <v>0</v>
      </c>
      <c r="BM99" s="727">
        <f ca="1">BN99+BO99</f>
        <v>0</v>
      </c>
      <c r="BN99" s="39">
        <f>BN$52*BN98</f>
        <v>0</v>
      </c>
      <c r="BO99" s="39">
        <f ca="1">BO$52*BO98</f>
        <v>0</v>
      </c>
      <c r="BP99" s="727">
        <f ca="1">BQ99+BR99</f>
        <v>0</v>
      </c>
      <c r="BQ99" s="816">
        <f>BQ$52*BQ98</f>
        <v>0</v>
      </c>
      <c r="BR99" s="816">
        <f ca="1">BR$52*BR98</f>
        <v>0</v>
      </c>
      <c r="BS99" s="727">
        <f ca="1">BT99+BU99</f>
        <v>0</v>
      </c>
      <c r="BT99" s="1244">
        <f>BT$52*BT98</f>
        <v>0</v>
      </c>
      <c r="BU99" s="1244">
        <f ca="1">BU$52*BU98</f>
        <v>0</v>
      </c>
      <c r="BV99" s="727">
        <f ca="1">BW99+BX99</f>
        <v>0</v>
      </c>
      <c r="BW99" s="1244">
        <f>BW$52*BW98</f>
        <v>0</v>
      </c>
      <c r="BX99" s="1244">
        <f ca="1">BX$52*BX98</f>
        <v>0</v>
      </c>
      <c r="BY99" s="727">
        <f ca="1">BZ99+CA99</f>
        <v>0</v>
      </c>
      <c r="BZ99" s="39">
        <f>BZ$52*BZ98</f>
        <v>0</v>
      </c>
      <c r="CA99" s="39">
        <f ca="1">CA$52*CA98</f>
        <v>0</v>
      </c>
      <c r="CB99" s="727">
        <f ca="1">CC99+CD99</f>
        <v>0</v>
      </c>
      <c r="CC99" s="39">
        <f>CC$52*CC98</f>
        <v>0</v>
      </c>
      <c r="CD99" s="39">
        <f ca="1">CD$52*CD98</f>
        <v>0</v>
      </c>
      <c r="CE99" s="727">
        <f ca="1">CF99+CG99</f>
        <v>0</v>
      </c>
      <c r="CF99" s="39">
        <f>CF$52*CF98</f>
        <v>0</v>
      </c>
      <c r="CG99" s="39">
        <f ca="1">CG$52*CG98</f>
        <v>0</v>
      </c>
      <c r="CH99" s="727">
        <f ca="1">CI99+CJ99</f>
        <v>0</v>
      </c>
      <c r="CI99" s="39">
        <f>CI$52*CI98</f>
        <v>0</v>
      </c>
      <c r="CJ99" s="39">
        <f ca="1">CJ$52*CJ98</f>
        <v>0</v>
      </c>
      <c r="CK99" s="727">
        <f ca="1">CL99+CM99</f>
        <v>0</v>
      </c>
      <c r="CL99" s="39">
        <f>CL$52*CL98</f>
        <v>0</v>
      </c>
      <c r="CM99" s="39">
        <f ca="1">CM$52*CM98</f>
        <v>0</v>
      </c>
      <c r="CN99" s="727">
        <f ca="1">CO99+CP99</f>
        <v>0</v>
      </c>
      <c r="CO99" s="39">
        <f>CO$52*CO98</f>
        <v>0</v>
      </c>
      <c r="CP99" s="39">
        <f ca="1">CP$52*CP98</f>
        <v>0</v>
      </c>
      <c r="CQ99" s="727">
        <f ca="1">CR99+CS99</f>
        <v>0</v>
      </c>
      <c r="CR99" s="39">
        <f>CR$52*CR98</f>
        <v>0</v>
      </c>
      <c r="CS99" s="39">
        <f ca="1">CS$52*CS98</f>
        <v>0</v>
      </c>
      <c r="CT99" s="25"/>
      <c r="CW99" s="960" t="s">
        <v>863</v>
      </c>
    </row>
    <row r="100" spans="5:104" ht="16.7" hidden="1" customHeight="1" x14ac:dyDescent="0.15">
      <c r="E100" s="668">
        <v>17.100000000000001</v>
      </c>
      <c r="F100" s="769" cm="1">
        <f t="array" aca="1" ref="F100" ca="1">OFFSET(G100,-1,-1)</f>
        <v>0</v>
      </c>
      <c r="L100" s="769" t="b" cm="1">
        <f t="array" aca="1" ref="L100" ca="1">OFFSET(M100,-1,-1)</f>
        <v>0</v>
      </c>
      <c r="S100" s="107" t="b" cm="1">
        <f t="array" aca="1" ref="S100" ca="1">OFFSET(T100,-1,-1)</f>
        <v>0</v>
      </c>
      <c r="T100" s="107" t="b">
        <f>AD100&lt;&gt;"32.0"</f>
        <v>0</v>
      </c>
      <c r="U100" s="690" t="b">
        <f t="shared" ca="1" si="35"/>
        <v>0</v>
      </c>
      <c r="X100" s="107" t="s">
        <v>237</v>
      </c>
      <c r="Y100" s="1428"/>
      <c r="Z100" s="1428"/>
      <c r="AB100" s="1545"/>
      <c r="AD100" s="108" t="s">
        <v>864</v>
      </c>
      <c r="AE100" s="811"/>
      <c r="AF100" s="516"/>
      <c r="AG100" s="724" t="s">
        <v>830</v>
      </c>
      <c r="AH100" s="38"/>
      <c r="AI100" s="39"/>
      <c r="AJ100" s="39"/>
      <c r="AK100" s="39"/>
      <c r="AL100" s="727">
        <f ca="1">AM100+AN100</f>
        <v>0</v>
      </c>
      <c r="AM100" s="39">
        <f>AM96*AM64/1000</f>
        <v>0</v>
      </c>
      <c r="AN100" s="39">
        <f ca="1">AN96*AN64/1000</f>
        <v>0</v>
      </c>
      <c r="AO100" s="727">
        <f ca="1">AP100+AQ100</f>
        <v>0</v>
      </c>
      <c r="AP100" s="1244">
        <f>AP96*AP64/1000</f>
        <v>0</v>
      </c>
      <c r="AQ100" s="1244">
        <f ca="1">AQ96*AQ64/1000</f>
        <v>0</v>
      </c>
      <c r="AR100" s="727">
        <f ca="1">AS100+AT100</f>
        <v>0</v>
      </c>
      <c r="AS100" s="1244">
        <f>AS96*AS64/1000</f>
        <v>0</v>
      </c>
      <c r="AT100" s="1244">
        <f ca="1">AT96*AT64/1000</f>
        <v>0</v>
      </c>
      <c r="AU100" s="727">
        <f ca="1">AV100+AW100</f>
        <v>0</v>
      </c>
      <c r="AV100" s="39">
        <f>AV96*AV64/1000</f>
        <v>0</v>
      </c>
      <c r="AW100" s="39">
        <f ca="1">AW96*AW64/1000</f>
        <v>0</v>
      </c>
      <c r="AX100" s="727">
        <f ca="1">AY100+AZ100</f>
        <v>0</v>
      </c>
      <c r="AY100" s="39">
        <f>AY96*AY64/1000</f>
        <v>0</v>
      </c>
      <c r="AZ100" s="39">
        <f ca="1">AZ96*AZ64/1000</f>
        <v>0</v>
      </c>
      <c r="BA100" s="727">
        <f ca="1">BB100+BC100</f>
        <v>0</v>
      </c>
      <c r="BB100" s="39">
        <f>BB96*BB64/1000</f>
        <v>0</v>
      </c>
      <c r="BC100" s="39">
        <f ca="1">BC96*BC64/1000</f>
        <v>0</v>
      </c>
      <c r="BD100" s="727">
        <f ca="1">BE100+BF100</f>
        <v>0</v>
      </c>
      <c r="BE100" s="39">
        <f>BE96*BE64/1000</f>
        <v>0</v>
      </c>
      <c r="BF100" s="39">
        <f ca="1">BF96*BF64/1000</f>
        <v>0</v>
      </c>
      <c r="BG100" s="727">
        <f ca="1">BH100+BI100</f>
        <v>0</v>
      </c>
      <c r="BH100" s="39">
        <f>BH96*BH64/1000</f>
        <v>0</v>
      </c>
      <c r="BI100" s="39">
        <f ca="1">BI96*BI64/1000</f>
        <v>0</v>
      </c>
      <c r="BJ100" s="727">
        <f ca="1">BK100+BL100</f>
        <v>0</v>
      </c>
      <c r="BK100" s="39">
        <f>BK96*BK64/1000</f>
        <v>0</v>
      </c>
      <c r="BL100" s="39">
        <f ca="1">BL96*BL64/1000</f>
        <v>0</v>
      </c>
      <c r="BM100" s="727">
        <f ca="1">BN100+BO100</f>
        <v>0</v>
      </c>
      <c r="BN100" s="39">
        <f>BN96*BN64/1000</f>
        <v>0</v>
      </c>
      <c r="BO100" s="39">
        <f ca="1">BO96*BO64/1000</f>
        <v>0</v>
      </c>
      <c r="BP100" s="727">
        <f ca="1">BQ100+BR100</f>
        <v>0</v>
      </c>
      <c r="BQ100" s="816">
        <f>BQ96*BQ64/1000</f>
        <v>0</v>
      </c>
      <c r="BR100" s="816">
        <f ca="1">BR96*BR64/1000</f>
        <v>0</v>
      </c>
      <c r="BS100" s="727">
        <f ca="1">BT100+BU100</f>
        <v>0</v>
      </c>
      <c r="BT100" s="1244">
        <f>BT96*BT64/1000</f>
        <v>0</v>
      </c>
      <c r="BU100" s="1244">
        <f ca="1">BU96*BU64/1000</f>
        <v>0</v>
      </c>
      <c r="BV100" s="727">
        <f ca="1">BW100+BX100</f>
        <v>0</v>
      </c>
      <c r="BW100" s="1244">
        <f>BW96*BW64/1000</f>
        <v>0</v>
      </c>
      <c r="BX100" s="1244">
        <f ca="1">BX96*BX64/1000</f>
        <v>0</v>
      </c>
      <c r="BY100" s="727">
        <f ca="1">BZ100+CA100</f>
        <v>0</v>
      </c>
      <c r="BZ100" s="39">
        <f>BZ96*BZ64/1000</f>
        <v>0</v>
      </c>
      <c r="CA100" s="39">
        <f ca="1">CA96*CA64/1000</f>
        <v>0</v>
      </c>
      <c r="CB100" s="727">
        <f ca="1">CC100+CD100</f>
        <v>0</v>
      </c>
      <c r="CC100" s="39">
        <f>CC96*CC64/1000</f>
        <v>0</v>
      </c>
      <c r="CD100" s="39">
        <f ca="1">CD96*CD64/1000</f>
        <v>0</v>
      </c>
      <c r="CE100" s="727">
        <f ca="1">CF100+CG100</f>
        <v>0</v>
      </c>
      <c r="CF100" s="39">
        <f>CF96*CF64/1000</f>
        <v>0</v>
      </c>
      <c r="CG100" s="39">
        <f ca="1">CG96*CG64/1000</f>
        <v>0</v>
      </c>
      <c r="CH100" s="727">
        <f ca="1">CI100+CJ100</f>
        <v>0</v>
      </c>
      <c r="CI100" s="39">
        <f>CI96*CI64/1000</f>
        <v>0</v>
      </c>
      <c r="CJ100" s="39">
        <f ca="1">CJ96*CJ64/1000</f>
        <v>0</v>
      </c>
      <c r="CK100" s="727">
        <f ca="1">CL100+CM100</f>
        <v>0</v>
      </c>
      <c r="CL100" s="39">
        <f>CL96*CL64/1000</f>
        <v>0</v>
      </c>
      <c r="CM100" s="39">
        <f ca="1">CM96*CM64/1000</f>
        <v>0</v>
      </c>
      <c r="CN100" s="727">
        <f ca="1">CO100+CP100</f>
        <v>0</v>
      </c>
      <c r="CO100" s="39">
        <f>CO96*CO64/1000</f>
        <v>0</v>
      </c>
      <c r="CP100" s="39">
        <f ca="1">CP96*CP64/1000</f>
        <v>0</v>
      </c>
      <c r="CQ100" s="727">
        <f ca="1">CR100+CS100</f>
        <v>0</v>
      </c>
      <c r="CR100" s="39">
        <f>CR96*CR64/1000</f>
        <v>0</v>
      </c>
      <c r="CS100" s="39">
        <f ca="1">CS96*CS64/1000</f>
        <v>0</v>
      </c>
      <c r="CT100" s="25"/>
      <c r="CW100" s="960" t="s">
        <v>863</v>
      </c>
      <c r="CX100" s="965" t="s">
        <v>812</v>
      </c>
      <c r="CY100" s="969" cm="1">
        <f t="array" ref="CY100">AE100</f>
        <v>0</v>
      </c>
      <c r="CZ100" s="969" cm="1">
        <f t="array" ref="CZ100">AF100</f>
        <v>0</v>
      </c>
    </row>
    <row r="101" spans="5:104" ht="15" hidden="1" customHeight="1" x14ac:dyDescent="0.15">
      <c r="E101" s="668">
        <v>0</v>
      </c>
      <c r="F101" s="769" cm="1">
        <f t="array" aca="1" ref="F101" ca="1">OFFSET(G101,-1,-1)</f>
        <v>0</v>
      </c>
      <c r="L101" s="769" t="b" cm="1">
        <f t="array" aca="1" ref="L101" ca="1">OFFSET(M101,-1,-1)</f>
        <v>0</v>
      </c>
      <c r="S101" s="107" t="b" cm="1">
        <f t="array" aca="1" ref="S101" ca="1">OFFSET(T101,-1,-1)</f>
        <v>0</v>
      </c>
      <c r="U101" s="690" t="b">
        <f t="shared" ca="1" si="35"/>
        <v>0</v>
      </c>
      <c r="X101" s="810" t="str">
        <f>"{                  
         funcDyn: 'msg1',
         blok: 'blok_2',
         wsCross: 'Топливо 4.4',
         linkFormula: 'AE-AE#AF-AF',
         levelDyn: "&amp;Y28&amp;"
}"</f>
        <v>{                  
         funcDyn: 'msg1',
         blok: 'blok_2',
         wsCross: 'Топливо 4.4',
         linkFormula: 'AE-AE#AF-AF',
         levelDyn: 0
}</v>
      </c>
      <c r="Y101" s="1428"/>
      <c r="Z101" s="1428"/>
      <c r="AB101" s="1545"/>
      <c r="AD101" s="813"/>
      <c r="AE101" s="812" t="s">
        <v>239</v>
      </c>
      <c r="AF101" s="736"/>
      <c r="AG101" s="724"/>
      <c r="AH101" s="726"/>
      <c r="AI101" s="728"/>
      <c r="AJ101" s="728"/>
      <c r="AK101" s="728"/>
      <c r="AL101" s="728"/>
      <c r="AM101" s="728"/>
      <c r="AN101" s="728"/>
      <c r="AO101" s="728"/>
      <c r="AP101" s="728"/>
      <c r="AQ101" s="728"/>
      <c r="AR101" s="728"/>
      <c r="AS101" s="728"/>
      <c r="AT101" s="728"/>
      <c r="AU101" s="728"/>
      <c r="AV101" s="728"/>
      <c r="AW101" s="728"/>
      <c r="AX101" s="728"/>
      <c r="AY101" s="728"/>
      <c r="AZ101" s="728"/>
      <c r="BA101" s="728"/>
      <c r="BB101" s="728"/>
      <c r="BC101" s="728"/>
      <c r="BD101" s="728"/>
      <c r="BE101" s="728"/>
      <c r="BF101" s="728"/>
      <c r="BG101" s="728"/>
      <c r="BH101" s="728"/>
      <c r="BI101" s="728"/>
      <c r="BJ101" s="728"/>
      <c r="BK101" s="728"/>
      <c r="BL101" s="728"/>
      <c r="BM101" s="728"/>
      <c r="BN101" s="728"/>
      <c r="BO101" s="728"/>
      <c r="BP101" s="728"/>
      <c r="BQ101" s="728"/>
      <c r="BR101" s="728"/>
      <c r="BS101" s="728"/>
      <c r="BT101" s="728"/>
      <c r="BU101" s="728"/>
      <c r="BV101" s="728"/>
      <c r="BW101" s="728"/>
      <c r="BX101" s="728"/>
      <c r="BY101" s="728"/>
      <c r="BZ101" s="728"/>
      <c r="CA101" s="728"/>
      <c r="CB101" s="728"/>
      <c r="CC101" s="728"/>
      <c r="CD101" s="728"/>
      <c r="CE101" s="728"/>
      <c r="CF101" s="728"/>
      <c r="CG101" s="728"/>
      <c r="CH101" s="728"/>
      <c r="CI101" s="728"/>
      <c r="CJ101" s="728"/>
      <c r="CK101" s="728"/>
      <c r="CL101" s="728"/>
      <c r="CM101" s="728"/>
      <c r="CN101" s="728"/>
      <c r="CO101" s="728"/>
      <c r="CP101" s="728"/>
      <c r="CQ101" s="728"/>
      <c r="CR101" s="728"/>
      <c r="CS101" s="728"/>
      <c r="CT101" s="43"/>
      <c r="CW101" s="960" t="str">
        <f>IF(AND(ISNUMBER(VALUE(TRIM(SUBSTITUTE(AD101,".","")))),TRIM(SUBSTITUTE(AD101,".",""))&lt;&gt;""),"P"&amp;SUBSTITUTE(AD101,".",""),"")</f>
        <v/>
      </c>
    </row>
    <row r="102" spans="5:104" ht="29.25" hidden="1" customHeight="1" x14ac:dyDescent="0.15">
      <c r="E102" s="668">
        <v>30</v>
      </c>
      <c r="F102" s="769" cm="1">
        <f t="array" aca="1" ref="F102" ca="1">OFFSET(G102,-1,-1)</f>
        <v>0</v>
      </c>
      <c r="L102" s="769" t="b" cm="1">
        <f t="array" aca="1" ref="L102" ca="1">OFFSET(M102,-1,-1)</f>
        <v>0</v>
      </c>
      <c r="R102" s="769" t="s">
        <v>750</v>
      </c>
      <c r="S102" s="107" t="b" cm="1">
        <f t="array" aca="1" ref="S102" ca="1">OFFSET(T102,-1,-1)</f>
        <v>0</v>
      </c>
      <c r="T102" s="107" t="b" cm="1">
        <f t="array" aca="1" ref="T102" ca="1">L102</f>
        <v>0</v>
      </c>
      <c r="U102" s="690" t="b">
        <f t="shared" ca="1" si="35"/>
        <v>0</v>
      </c>
      <c r="Y102" s="1428"/>
      <c r="Z102" s="1428"/>
      <c r="AB102" s="1545"/>
      <c r="AD102" s="121" t="s">
        <v>865</v>
      </c>
      <c r="AE102" s="1515" t="s">
        <v>866</v>
      </c>
      <c r="AF102" s="1516"/>
      <c r="AG102" s="724" t="s">
        <v>830</v>
      </c>
      <c r="AH102" s="725">
        <f t="shared" ref="AH102:BM102" si="38">SUM(AH103:AH104)</f>
        <v>0</v>
      </c>
      <c r="AI102" s="725">
        <f t="shared" si="38"/>
        <v>0</v>
      </c>
      <c r="AJ102" s="725">
        <f t="shared" si="38"/>
        <v>0</v>
      </c>
      <c r="AK102" s="725">
        <f t="shared" si="38"/>
        <v>0</v>
      </c>
      <c r="AL102" s="725">
        <f t="shared" ca="1" si="38"/>
        <v>0</v>
      </c>
      <c r="AM102" s="725">
        <f t="shared" si="38"/>
        <v>0</v>
      </c>
      <c r="AN102" s="725">
        <f t="shared" ca="1" si="38"/>
        <v>0</v>
      </c>
      <c r="AO102" s="725">
        <f t="shared" ca="1" si="38"/>
        <v>0</v>
      </c>
      <c r="AP102" s="725">
        <f t="shared" si="38"/>
        <v>0</v>
      </c>
      <c r="AQ102" s="725">
        <f t="shared" ca="1" si="38"/>
        <v>0</v>
      </c>
      <c r="AR102" s="725">
        <f t="shared" ca="1" si="38"/>
        <v>0</v>
      </c>
      <c r="AS102" s="725">
        <f t="shared" si="38"/>
        <v>0</v>
      </c>
      <c r="AT102" s="725">
        <f t="shared" ca="1" si="38"/>
        <v>0</v>
      </c>
      <c r="AU102" s="725">
        <f t="shared" ca="1" si="38"/>
        <v>0</v>
      </c>
      <c r="AV102" s="725">
        <f t="shared" si="38"/>
        <v>0</v>
      </c>
      <c r="AW102" s="725">
        <f t="shared" ca="1" si="38"/>
        <v>0</v>
      </c>
      <c r="AX102" s="725">
        <f t="shared" ca="1" si="38"/>
        <v>0</v>
      </c>
      <c r="AY102" s="725">
        <f t="shared" si="38"/>
        <v>0</v>
      </c>
      <c r="AZ102" s="725">
        <f t="shared" ca="1" si="38"/>
        <v>0</v>
      </c>
      <c r="BA102" s="725">
        <f t="shared" ca="1" si="38"/>
        <v>0</v>
      </c>
      <c r="BB102" s="725">
        <f t="shared" si="38"/>
        <v>0</v>
      </c>
      <c r="BC102" s="725">
        <f t="shared" ca="1" si="38"/>
        <v>0</v>
      </c>
      <c r="BD102" s="725">
        <f t="shared" ca="1" si="38"/>
        <v>0</v>
      </c>
      <c r="BE102" s="725">
        <f t="shared" si="38"/>
        <v>0</v>
      </c>
      <c r="BF102" s="725">
        <f t="shared" ca="1" si="38"/>
        <v>0</v>
      </c>
      <c r="BG102" s="725">
        <f t="shared" ca="1" si="38"/>
        <v>0</v>
      </c>
      <c r="BH102" s="725">
        <f t="shared" si="38"/>
        <v>0</v>
      </c>
      <c r="BI102" s="725">
        <f t="shared" ca="1" si="38"/>
        <v>0</v>
      </c>
      <c r="BJ102" s="725">
        <f t="shared" ca="1" si="38"/>
        <v>0</v>
      </c>
      <c r="BK102" s="725">
        <f t="shared" si="38"/>
        <v>0</v>
      </c>
      <c r="BL102" s="725">
        <f t="shared" ca="1" si="38"/>
        <v>0</v>
      </c>
      <c r="BM102" s="725">
        <f t="shared" ca="1" si="38"/>
        <v>0</v>
      </c>
      <c r="BN102" s="725">
        <f t="shared" ref="BN102:CS102" si="39">SUM(BN103:BN104)</f>
        <v>0</v>
      </c>
      <c r="BO102" s="725">
        <f t="shared" ca="1" si="39"/>
        <v>0</v>
      </c>
      <c r="BP102" s="725">
        <f t="shared" ca="1" si="39"/>
        <v>0</v>
      </c>
      <c r="BQ102" s="725">
        <f t="shared" si="39"/>
        <v>0</v>
      </c>
      <c r="BR102" s="725">
        <f t="shared" ca="1" si="39"/>
        <v>0</v>
      </c>
      <c r="BS102" s="725">
        <f t="shared" ca="1" si="39"/>
        <v>0</v>
      </c>
      <c r="BT102" s="725">
        <f t="shared" si="39"/>
        <v>0</v>
      </c>
      <c r="BU102" s="725">
        <f t="shared" ca="1" si="39"/>
        <v>0</v>
      </c>
      <c r="BV102" s="725">
        <f t="shared" ca="1" si="39"/>
        <v>0</v>
      </c>
      <c r="BW102" s="725">
        <f t="shared" si="39"/>
        <v>0</v>
      </c>
      <c r="BX102" s="725">
        <f t="shared" ca="1" si="39"/>
        <v>0</v>
      </c>
      <c r="BY102" s="725">
        <f t="shared" ca="1" si="39"/>
        <v>0</v>
      </c>
      <c r="BZ102" s="725">
        <f t="shared" si="39"/>
        <v>0</v>
      </c>
      <c r="CA102" s="725">
        <f t="shared" ca="1" si="39"/>
        <v>0</v>
      </c>
      <c r="CB102" s="725">
        <f t="shared" ca="1" si="39"/>
        <v>0</v>
      </c>
      <c r="CC102" s="725">
        <f t="shared" si="39"/>
        <v>0</v>
      </c>
      <c r="CD102" s="725">
        <f t="shared" ca="1" si="39"/>
        <v>0</v>
      </c>
      <c r="CE102" s="725">
        <f t="shared" ca="1" si="39"/>
        <v>0</v>
      </c>
      <c r="CF102" s="725">
        <f t="shared" si="39"/>
        <v>0</v>
      </c>
      <c r="CG102" s="725">
        <f t="shared" ca="1" si="39"/>
        <v>0</v>
      </c>
      <c r="CH102" s="725">
        <f t="shared" ca="1" si="39"/>
        <v>0</v>
      </c>
      <c r="CI102" s="725">
        <f t="shared" si="39"/>
        <v>0</v>
      </c>
      <c r="CJ102" s="725">
        <f t="shared" ca="1" si="39"/>
        <v>0</v>
      </c>
      <c r="CK102" s="725">
        <f t="shared" ca="1" si="39"/>
        <v>0</v>
      </c>
      <c r="CL102" s="725">
        <f t="shared" si="39"/>
        <v>0</v>
      </c>
      <c r="CM102" s="725">
        <f t="shared" ca="1" si="39"/>
        <v>0</v>
      </c>
      <c r="CN102" s="725">
        <f t="shared" ca="1" si="39"/>
        <v>0</v>
      </c>
      <c r="CO102" s="725">
        <f t="shared" si="39"/>
        <v>0</v>
      </c>
      <c r="CP102" s="725">
        <f t="shared" ca="1" si="39"/>
        <v>0</v>
      </c>
      <c r="CQ102" s="725">
        <f t="shared" ca="1" si="39"/>
        <v>0</v>
      </c>
      <c r="CR102" s="725">
        <f t="shared" si="39"/>
        <v>0</v>
      </c>
      <c r="CS102" s="725">
        <f t="shared" ca="1" si="39"/>
        <v>0</v>
      </c>
      <c r="CT102" s="25"/>
      <c r="CW102" s="960" t="s">
        <v>867</v>
      </c>
    </row>
    <row r="103" spans="5:104" ht="16.7" hidden="1" customHeight="1" x14ac:dyDescent="0.15">
      <c r="E103" s="668">
        <v>17.100000000000001</v>
      </c>
      <c r="F103" s="769" cm="1">
        <f t="array" aca="1" ref="F103" ca="1">OFFSET(G103,-1,-1)</f>
        <v>0</v>
      </c>
      <c r="L103" s="769" t="b" cm="1">
        <f t="array" aca="1" ref="L103" ca="1">OFFSET(M103,-1,-1)</f>
        <v>0</v>
      </c>
      <c r="R103" s="769" t="s">
        <v>750</v>
      </c>
      <c r="S103" s="107" t="b" cm="1">
        <f t="array" aca="1" ref="S103" ca="1">OFFSET(T103,-1,-1)</f>
        <v>0</v>
      </c>
      <c r="T103" s="107" t="b">
        <f ca="1">AND(L103,AD103&lt;&gt;"33.0")</f>
        <v>0</v>
      </c>
      <c r="U103" s="690" t="b">
        <f t="shared" ca="1" si="35"/>
        <v>0</v>
      </c>
      <c r="X103" s="107" t="s">
        <v>237</v>
      </c>
      <c r="Y103" s="1428"/>
      <c r="Z103" s="1428"/>
      <c r="AB103" s="1545"/>
      <c r="AD103" s="108" t="s">
        <v>868</v>
      </c>
      <c r="AE103" s="811"/>
      <c r="AF103" s="516"/>
      <c r="AG103" s="724" t="s">
        <v>830</v>
      </c>
      <c r="AH103" s="38">
        <f>AH$52*AH100</f>
        <v>0</v>
      </c>
      <c r="AI103" s="39">
        <f>AI$52*AI100</f>
        <v>0</v>
      </c>
      <c r="AJ103" s="39">
        <f>AJ$52*AJ100</f>
        <v>0</v>
      </c>
      <c r="AK103" s="39">
        <f>AK$52*AK100</f>
        <v>0</v>
      </c>
      <c r="AL103" s="727">
        <f ca="1">AM103+AN103</f>
        <v>0</v>
      </c>
      <c r="AM103" s="39">
        <f>AM$52*AM100</f>
        <v>0</v>
      </c>
      <c r="AN103" s="39">
        <f ca="1">AN$52*AN100</f>
        <v>0</v>
      </c>
      <c r="AO103" s="727">
        <f ca="1">AP103+AQ103</f>
        <v>0</v>
      </c>
      <c r="AP103" s="1244">
        <f>AP$52*AP100</f>
        <v>0</v>
      </c>
      <c r="AQ103" s="1244">
        <f ca="1">AQ$52*AQ100</f>
        <v>0</v>
      </c>
      <c r="AR103" s="727">
        <f ca="1">AS103+AT103</f>
        <v>0</v>
      </c>
      <c r="AS103" s="1244">
        <f>AS$52*AS100</f>
        <v>0</v>
      </c>
      <c r="AT103" s="1244">
        <f ca="1">AT$52*AT100</f>
        <v>0</v>
      </c>
      <c r="AU103" s="727">
        <f ca="1">AV103+AW103</f>
        <v>0</v>
      </c>
      <c r="AV103" s="39">
        <f>AV$52*AV100</f>
        <v>0</v>
      </c>
      <c r="AW103" s="39">
        <f ca="1">AW$52*AW100</f>
        <v>0</v>
      </c>
      <c r="AX103" s="727">
        <f ca="1">AY103+AZ103</f>
        <v>0</v>
      </c>
      <c r="AY103" s="39">
        <f>AY$52*AY100</f>
        <v>0</v>
      </c>
      <c r="AZ103" s="39">
        <f ca="1">AZ$52*AZ100</f>
        <v>0</v>
      </c>
      <c r="BA103" s="727">
        <f ca="1">BB103+BC103</f>
        <v>0</v>
      </c>
      <c r="BB103" s="39">
        <f>BB$52*BB100</f>
        <v>0</v>
      </c>
      <c r="BC103" s="39">
        <f ca="1">BC$52*BC100</f>
        <v>0</v>
      </c>
      <c r="BD103" s="727">
        <f ca="1">BE103+BF103</f>
        <v>0</v>
      </c>
      <c r="BE103" s="39">
        <f>BE$52*BE100</f>
        <v>0</v>
      </c>
      <c r="BF103" s="39">
        <f ca="1">BF$52*BF100</f>
        <v>0</v>
      </c>
      <c r="BG103" s="727">
        <f ca="1">BH103+BI103</f>
        <v>0</v>
      </c>
      <c r="BH103" s="39">
        <f>BH$52*BH100</f>
        <v>0</v>
      </c>
      <c r="BI103" s="39">
        <f ca="1">BI$52*BI100</f>
        <v>0</v>
      </c>
      <c r="BJ103" s="727">
        <f ca="1">BK103+BL103</f>
        <v>0</v>
      </c>
      <c r="BK103" s="39">
        <f>BK$52*BK100</f>
        <v>0</v>
      </c>
      <c r="BL103" s="39">
        <f ca="1">BL$52*BL100</f>
        <v>0</v>
      </c>
      <c r="BM103" s="727">
        <f ca="1">BN103+BO103</f>
        <v>0</v>
      </c>
      <c r="BN103" s="39">
        <f>BN$52*BN100</f>
        <v>0</v>
      </c>
      <c r="BO103" s="39">
        <f ca="1">BO$52*BO100</f>
        <v>0</v>
      </c>
      <c r="BP103" s="727">
        <f ca="1">BQ103+BR103</f>
        <v>0</v>
      </c>
      <c r="BQ103" s="816">
        <f>BQ$52*BQ100</f>
        <v>0</v>
      </c>
      <c r="BR103" s="816">
        <f ca="1">BR$52*BR100</f>
        <v>0</v>
      </c>
      <c r="BS103" s="727">
        <f ca="1">BT103+BU103</f>
        <v>0</v>
      </c>
      <c r="BT103" s="1244">
        <f>BT$52*BT100</f>
        <v>0</v>
      </c>
      <c r="BU103" s="1244">
        <f ca="1">BU$52*BU100</f>
        <v>0</v>
      </c>
      <c r="BV103" s="727">
        <f ca="1">BW103+BX103</f>
        <v>0</v>
      </c>
      <c r="BW103" s="1244">
        <f>BW$52*BW100</f>
        <v>0</v>
      </c>
      <c r="BX103" s="1244">
        <f ca="1">BX$52*BX100</f>
        <v>0</v>
      </c>
      <c r="BY103" s="727">
        <f ca="1">BZ103+CA103</f>
        <v>0</v>
      </c>
      <c r="BZ103" s="39">
        <f>BZ$52*BZ100</f>
        <v>0</v>
      </c>
      <c r="CA103" s="39">
        <f ca="1">CA$52*CA100</f>
        <v>0</v>
      </c>
      <c r="CB103" s="727">
        <f ca="1">CC103+CD103</f>
        <v>0</v>
      </c>
      <c r="CC103" s="39">
        <f>CC$52*CC100</f>
        <v>0</v>
      </c>
      <c r="CD103" s="39">
        <f ca="1">CD$52*CD100</f>
        <v>0</v>
      </c>
      <c r="CE103" s="727">
        <f ca="1">CF103+CG103</f>
        <v>0</v>
      </c>
      <c r="CF103" s="39">
        <f>CF$52*CF100</f>
        <v>0</v>
      </c>
      <c r="CG103" s="39">
        <f ca="1">CG$52*CG100</f>
        <v>0</v>
      </c>
      <c r="CH103" s="727">
        <f ca="1">CI103+CJ103</f>
        <v>0</v>
      </c>
      <c r="CI103" s="39">
        <f>CI$52*CI100</f>
        <v>0</v>
      </c>
      <c r="CJ103" s="39">
        <f ca="1">CJ$52*CJ100</f>
        <v>0</v>
      </c>
      <c r="CK103" s="727">
        <f ca="1">CL103+CM103</f>
        <v>0</v>
      </c>
      <c r="CL103" s="39">
        <f>CL$52*CL100</f>
        <v>0</v>
      </c>
      <c r="CM103" s="39">
        <f ca="1">CM$52*CM100</f>
        <v>0</v>
      </c>
      <c r="CN103" s="727">
        <f ca="1">CO103+CP103</f>
        <v>0</v>
      </c>
      <c r="CO103" s="39">
        <f>CO$52*CO100</f>
        <v>0</v>
      </c>
      <c r="CP103" s="39">
        <f ca="1">CP$52*CP100</f>
        <v>0</v>
      </c>
      <c r="CQ103" s="727">
        <f ca="1">CR103+CS103</f>
        <v>0</v>
      </c>
      <c r="CR103" s="39">
        <f>CR$52*CR100</f>
        <v>0</v>
      </c>
      <c r="CS103" s="39">
        <f ca="1">CS$52*CS100</f>
        <v>0</v>
      </c>
      <c r="CT103" s="25"/>
      <c r="CW103" s="960" t="s">
        <v>867</v>
      </c>
      <c r="CX103" s="965" t="s">
        <v>812</v>
      </c>
      <c r="CY103" s="969" cm="1">
        <f t="array" ref="CY103">AE103</f>
        <v>0</v>
      </c>
      <c r="CZ103" s="969" cm="1">
        <f t="array" ref="CZ103">AF103</f>
        <v>0</v>
      </c>
    </row>
    <row r="104" spans="5:104" ht="15" hidden="1" customHeight="1" x14ac:dyDescent="0.15">
      <c r="E104" s="668">
        <v>0</v>
      </c>
      <c r="F104" s="769" cm="1">
        <f t="array" aca="1" ref="F104" ca="1">OFFSET(G104,-1,-1)</f>
        <v>0</v>
      </c>
      <c r="L104" s="769" t="b" cm="1">
        <f t="array" aca="1" ref="L104" ca="1">OFFSET(M104,-1,-1)</f>
        <v>0</v>
      </c>
      <c r="S104" s="107" t="b" cm="1">
        <f t="array" aca="1" ref="S104" ca="1">OFFSET(T104,-1,-1)</f>
        <v>0</v>
      </c>
      <c r="U104" s="690" t="b">
        <f t="shared" ca="1" si="35"/>
        <v>0</v>
      </c>
      <c r="X104" s="810" t="str">
        <f>"{                  
         funcDyn: 'msg1',
         blok: 'blok_2',
         wsCross: 'Топливо 4.4',
         linkFormula: 'AE-AE#AF-AF',
         levelDyn: "&amp;Y28&amp;"
}"</f>
        <v>{                  
         funcDyn: 'msg1',
         blok: 'blok_2',
         wsCross: 'Топливо 4.4',
         linkFormula: 'AE-AE#AF-AF',
         levelDyn: 0
}</v>
      </c>
      <c r="Y104" s="1428"/>
      <c r="Z104" s="1428"/>
      <c r="AB104" s="1546"/>
      <c r="AD104" s="813"/>
      <c r="AE104" s="812" t="s">
        <v>239</v>
      </c>
      <c r="AF104" s="736"/>
      <c r="AG104" s="724"/>
      <c r="AH104" s="726"/>
      <c r="AI104" s="728"/>
      <c r="AJ104" s="728"/>
      <c r="AK104" s="728"/>
      <c r="AL104" s="728"/>
      <c r="AM104" s="728"/>
      <c r="AN104" s="728"/>
      <c r="AO104" s="728"/>
      <c r="AP104" s="728"/>
      <c r="AQ104" s="728"/>
      <c r="AR104" s="728"/>
      <c r="AS104" s="728"/>
      <c r="AT104" s="728"/>
      <c r="AU104" s="728"/>
      <c r="AV104" s="728"/>
      <c r="AW104" s="728"/>
      <c r="AX104" s="728"/>
      <c r="AY104" s="728"/>
      <c r="AZ104" s="728"/>
      <c r="BA104" s="728"/>
      <c r="BB104" s="728"/>
      <c r="BC104" s="728"/>
      <c r="BD104" s="728"/>
      <c r="BE104" s="728"/>
      <c r="BF104" s="728"/>
      <c r="BG104" s="728"/>
      <c r="BH104" s="728"/>
      <c r="BI104" s="728"/>
      <c r="BJ104" s="728"/>
      <c r="BK104" s="728"/>
      <c r="BL104" s="728"/>
      <c r="BM104" s="728"/>
      <c r="BN104" s="728"/>
      <c r="BO104" s="728"/>
      <c r="BP104" s="728"/>
      <c r="BQ104" s="728"/>
      <c r="BR104" s="728"/>
      <c r="BS104" s="728"/>
      <c r="BT104" s="728"/>
      <c r="BU104" s="728"/>
      <c r="BV104" s="728"/>
      <c r="BW104" s="728"/>
      <c r="BX104" s="728"/>
      <c r="BY104" s="728"/>
      <c r="BZ104" s="728"/>
      <c r="CA104" s="728"/>
      <c r="CB104" s="728"/>
      <c r="CC104" s="728"/>
      <c r="CD104" s="728"/>
      <c r="CE104" s="728"/>
      <c r="CF104" s="728"/>
      <c r="CG104" s="728"/>
      <c r="CH104" s="728"/>
      <c r="CI104" s="728"/>
      <c r="CJ104" s="728"/>
      <c r="CK104" s="728"/>
      <c r="CL104" s="728"/>
      <c r="CM104" s="728"/>
      <c r="CN104" s="728"/>
      <c r="CO104" s="728"/>
      <c r="CP104" s="728"/>
      <c r="CQ104" s="728"/>
      <c r="CR104" s="728"/>
      <c r="CS104" s="728"/>
      <c r="CT104" s="43"/>
      <c r="CW104" s="960" t="str">
        <f>IF(AND(ISNUMBER(VALUE(TRIM(SUBSTITUTE(AD104,".","")))),TRIM(SUBSTITUTE(AD104,".",""))&lt;&gt;""),"P"&amp;SUBSTITUTE(AD104,".",""),"")</f>
        <v/>
      </c>
    </row>
    <row r="105" spans="5:104" ht="16.7" hidden="1" customHeight="1" x14ac:dyDescent="0.15">
      <c r="E105" s="668">
        <v>17.100000000000001</v>
      </c>
      <c r="F105" s="769" cm="1">
        <f t="array" aca="1" ref="F105" ca="1">OFFSET(G105,-1,-1)</f>
        <v>0</v>
      </c>
      <c r="L105" s="769" t="b" cm="1">
        <f t="array" aca="1" ref="L105" ca="1">OFFSET(M105,-1,-1)</f>
        <v>0</v>
      </c>
      <c r="S105" s="107" t="b" cm="1">
        <f t="array" aca="1" ref="S105" ca="1">OFFSET(T105,-1,-1)</f>
        <v>0</v>
      </c>
      <c r="U105" s="690" t="b">
        <f t="shared" ca="1" si="35"/>
        <v>0</v>
      </c>
      <c r="Y105" s="1428"/>
      <c r="Z105" s="1428"/>
      <c r="AB105" s="1535" t="s">
        <v>869</v>
      </c>
      <c r="AD105" s="121" t="s">
        <v>870</v>
      </c>
      <c r="AE105" s="1510" t="s">
        <v>871</v>
      </c>
      <c r="AF105" s="1493"/>
      <c r="AG105" s="839"/>
      <c r="AH105" s="726"/>
      <c r="AI105" s="728"/>
      <c r="AJ105" s="728"/>
      <c r="AK105" s="728"/>
      <c r="AL105" s="728"/>
      <c r="AM105" s="728"/>
      <c r="AN105" s="728"/>
      <c r="AO105" s="728"/>
      <c r="AP105" s="728"/>
      <c r="AQ105" s="728"/>
      <c r="AR105" s="728"/>
      <c r="AS105" s="728"/>
      <c r="AT105" s="728"/>
      <c r="AU105" s="728"/>
      <c r="AV105" s="728"/>
      <c r="AW105" s="728"/>
      <c r="AX105" s="728"/>
      <c r="AY105" s="728"/>
      <c r="AZ105" s="728"/>
      <c r="BA105" s="728"/>
      <c r="BB105" s="728"/>
      <c r="BC105" s="728"/>
      <c r="BD105" s="728"/>
      <c r="BE105" s="728"/>
      <c r="BF105" s="728"/>
      <c r="BG105" s="728"/>
      <c r="BH105" s="728"/>
      <c r="BI105" s="728"/>
      <c r="BJ105" s="728"/>
      <c r="BK105" s="728"/>
      <c r="BL105" s="728"/>
      <c r="BM105" s="728"/>
      <c r="BN105" s="728"/>
      <c r="BO105" s="728"/>
      <c r="BP105" s="728"/>
      <c r="BQ105" s="728"/>
      <c r="BR105" s="728"/>
      <c r="BS105" s="728"/>
      <c r="BT105" s="728"/>
      <c r="BU105" s="728"/>
      <c r="BV105" s="728"/>
      <c r="BW105" s="728"/>
      <c r="BX105" s="728"/>
      <c r="BY105" s="728"/>
      <c r="BZ105" s="728"/>
      <c r="CA105" s="728"/>
      <c r="CB105" s="728"/>
      <c r="CC105" s="728"/>
      <c r="CD105" s="728"/>
      <c r="CE105" s="728"/>
      <c r="CF105" s="728"/>
      <c r="CG105" s="728"/>
      <c r="CH105" s="728"/>
      <c r="CI105" s="728"/>
      <c r="CJ105" s="728"/>
      <c r="CK105" s="728"/>
      <c r="CL105" s="728"/>
      <c r="CM105" s="728"/>
      <c r="CN105" s="728"/>
      <c r="CO105" s="728"/>
      <c r="CP105" s="728"/>
      <c r="CQ105" s="728"/>
      <c r="CR105" s="728"/>
      <c r="CS105" s="728"/>
      <c r="CT105" s="25"/>
      <c r="CW105" s="960" t="s">
        <v>872</v>
      </c>
    </row>
    <row r="106" spans="5:104" ht="16.7" hidden="1" customHeight="1" x14ac:dyDescent="0.15">
      <c r="E106" s="668">
        <v>17.100000000000001</v>
      </c>
      <c r="F106" s="769" cm="1">
        <f t="array" aca="1" ref="F106" ca="1">OFFSET(G106,-1,-1)</f>
        <v>0</v>
      </c>
      <c r="L106" s="769" t="b" cm="1">
        <f t="array" aca="1" ref="L106" ca="1">OFFSET(M106,-1,-1)</f>
        <v>0</v>
      </c>
      <c r="S106" s="107" t="b" cm="1">
        <f t="array" aca="1" ref="S106" ca="1">OFFSET(T106,-1,-1)</f>
        <v>0</v>
      </c>
      <c r="T106" s="107" t="b">
        <f>AD106&lt;&gt;"34.0"</f>
        <v>0</v>
      </c>
      <c r="U106" s="690" t="b">
        <f t="shared" ca="1" si="35"/>
        <v>0</v>
      </c>
      <c r="X106" s="107" t="s">
        <v>237</v>
      </c>
      <c r="Y106" s="1428"/>
      <c r="Z106" s="1428"/>
      <c r="AB106" s="1536"/>
      <c r="AD106" s="108" t="s">
        <v>873</v>
      </c>
      <c r="AE106" s="811"/>
      <c r="AF106" s="516"/>
      <c r="AG106" s="724" t="s">
        <v>521</v>
      </c>
      <c r="AH106" s="42"/>
      <c r="AI106" s="46"/>
      <c r="AJ106" s="46"/>
      <c r="AK106" s="46"/>
      <c r="AL106" s="728"/>
      <c r="AM106" s="46"/>
      <c r="AN106" s="46"/>
      <c r="AO106" s="728"/>
      <c r="AP106" s="1248"/>
      <c r="AQ106" s="1248"/>
      <c r="AR106" s="728"/>
      <c r="AS106" s="1248"/>
      <c r="AT106" s="1248"/>
      <c r="AU106" s="728"/>
      <c r="AV106" s="46"/>
      <c r="AW106" s="46"/>
      <c r="AX106" s="728"/>
      <c r="AY106" s="46"/>
      <c r="AZ106" s="46"/>
      <c r="BA106" s="728"/>
      <c r="BB106" s="46"/>
      <c r="BC106" s="46"/>
      <c r="BD106" s="728"/>
      <c r="BE106" s="46"/>
      <c r="BF106" s="46"/>
      <c r="BG106" s="728"/>
      <c r="BH106" s="46"/>
      <c r="BI106" s="46"/>
      <c r="BJ106" s="728"/>
      <c r="BK106" s="46"/>
      <c r="BL106" s="46"/>
      <c r="BM106" s="728"/>
      <c r="BN106" s="46"/>
      <c r="BO106" s="46"/>
      <c r="BP106" s="728"/>
      <c r="BQ106" s="819"/>
      <c r="BR106" s="819"/>
      <c r="BS106" s="728"/>
      <c r="BT106" s="1248"/>
      <c r="BU106" s="1248"/>
      <c r="BV106" s="728"/>
      <c r="BW106" s="1248"/>
      <c r="BX106" s="1248"/>
      <c r="BY106" s="728"/>
      <c r="BZ106" s="46"/>
      <c r="CA106" s="46"/>
      <c r="CB106" s="728"/>
      <c r="CC106" s="46"/>
      <c r="CD106" s="46"/>
      <c r="CE106" s="728"/>
      <c r="CF106" s="46"/>
      <c r="CG106" s="46"/>
      <c r="CH106" s="728"/>
      <c r="CI106" s="46"/>
      <c r="CJ106" s="46"/>
      <c r="CK106" s="728"/>
      <c r="CL106" s="46"/>
      <c r="CM106" s="46"/>
      <c r="CN106" s="728"/>
      <c r="CO106" s="46"/>
      <c r="CP106" s="46"/>
      <c r="CQ106" s="728"/>
      <c r="CR106" s="46"/>
      <c r="CS106" s="46"/>
      <c r="CT106" s="25"/>
      <c r="CW106" s="960" t="s">
        <v>872</v>
      </c>
      <c r="CX106" s="965" t="s">
        <v>812</v>
      </c>
      <c r="CY106" s="969" cm="1">
        <f t="array" ref="CY106">AE106</f>
        <v>0</v>
      </c>
      <c r="CZ106" s="969" cm="1">
        <f t="array" ref="CZ106">AF106</f>
        <v>0</v>
      </c>
    </row>
    <row r="107" spans="5:104" ht="15" hidden="1" customHeight="1" x14ac:dyDescent="0.15">
      <c r="E107" s="668">
        <v>0</v>
      </c>
      <c r="F107" s="769" cm="1">
        <f t="array" aca="1" ref="F107" ca="1">OFFSET(G107,-1,-1)</f>
        <v>0</v>
      </c>
      <c r="L107" s="769" t="b" cm="1">
        <f t="array" aca="1" ref="L107" ca="1">OFFSET(M107,-1,-1)</f>
        <v>0</v>
      </c>
      <c r="S107" s="107" t="b" cm="1">
        <f t="array" aca="1" ref="S107" ca="1">OFFSET(T107,-1,-1)</f>
        <v>0</v>
      </c>
      <c r="U107" s="690" t="b">
        <f t="shared" ca="1" si="35"/>
        <v>0</v>
      </c>
      <c r="X107" s="810" t="str">
        <f>"{                  
         funcDyn: 'msg1',
         blok: 'blok_2',
         wsCross: 'Топливо 4.4',
         linkFormula: 'AE-AE#AF-AF',
         levelDyn: "&amp;Y28&amp;"
}"</f>
        <v>{                  
         funcDyn: 'msg1',
         blok: 'blok_2',
         wsCross: 'Топливо 4.4',
         linkFormula: 'AE-AE#AF-AF',
         levelDyn: 0
}</v>
      </c>
      <c r="Y107" s="1428"/>
      <c r="Z107" s="1428"/>
      <c r="AB107" s="1536"/>
      <c r="AD107" s="813"/>
      <c r="AE107" s="812" t="s">
        <v>239</v>
      </c>
      <c r="AF107" s="736"/>
      <c r="AG107" s="724"/>
      <c r="AH107" s="737"/>
      <c r="AI107" s="47"/>
      <c r="AJ107" s="47"/>
      <c r="AK107" s="47"/>
      <c r="AL107" s="728"/>
      <c r="AM107" s="47"/>
      <c r="AN107" s="47"/>
      <c r="AO107" s="728"/>
      <c r="AP107" s="47"/>
      <c r="AQ107" s="47"/>
      <c r="AR107" s="728"/>
      <c r="AS107" s="47"/>
      <c r="AT107" s="47"/>
      <c r="AU107" s="728"/>
      <c r="AV107" s="47"/>
      <c r="AW107" s="47"/>
      <c r="AX107" s="728"/>
      <c r="AY107" s="47"/>
      <c r="AZ107" s="47"/>
      <c r="BA107" s="728"/>
      <c r="BB107" s="47"/>
      <c r="BC107" s="47"/>
      <c r="BD107" s="728"/>
      <c r="BE107" s="47"/>
      <c r="BF107" s="47"/>
      <c r="BG107" s="728"/>
      <c r="BH107" s="47"/>
      <c r="BI107" s="47"/>
      <c r="BJ107" s="728"/>
      <c r="BK107" s="47"/>
      <c r="BL107" s="47"/>
      <c r="BM107" s="728"/>
      <c r="BN107" s="47"/>
      <c r="BO107" s="47"/>
      <c r="BP107" s="728"/>
      <c r="BQ107" s="47"/>
      <c r="BR107" s="47"/>
      <c r="BS107" s="728"/>
      <c r="BT107" s="47"/>
      <c r="BU107" s="47"/>
      <c r="BV107" s="728"/>
      <c r="BW107" s="47"/>
      <c r="BX107" s="47"/>
      <c r="BY107" s="728"/>
      <c r="BZ107" s="47"/>
      <c r="CA107" s="47"/>
      <c r="CB107" s="728"/>
      <c r="CC107" s="47"/>
      <c r="CD107" s="47"/>
      <c r="CE107" s="728"/>
      <c r="CF107" s="47"/>
      <c r="CG107" s="47"/>
      <c r="CH107" s="728"/>
      <c r="CI107" s="47"/>
      <c r="CJ107" s="47"/>
      <c r="CK107" s="728"/>
      <c r="CL107" s="47"/>
      <c r="CM107" s="47"/>
      <c r="CN107" s="728"/>
      <c r="CO107" s="47"/>
      <c r="CP107" s="47"/>
      <c r="CQ107" s="728"/>
      <c r="CR107" s="47"/>
      <c r="CS107" s="47"/>
      <c r="CT107" s="43"/>
      <c r="CW107" s="960" t="str">
        <f>IF(AND(ISNUMBER(VALUE(TRIM(SUBSTITUTE(AD107,".","")))),TRIM(SUBSTITUTE(AD107,".",""))&lt;&gt;""),"P"&amp;SUBSTITUTE(AD107,".",""),"")</f>
        <v/>
      </c>
    </row>
    <row r="108" spans="5:104" ht="16.7" hidden="1" customHeight="1" x14ac:dyDescent="0.15">
      <c r="E108" s="668">
        <v>17.100000000000001</v>
      </c>
      <c r="F108" s="769" cm="1">
        <f t="array" aca="1" ref="F108" ca="1">OFFSET(G108,-1,-1)</f>
        <v>0</v>
      </c>
      <c r="L108" s="769" t="b" cm="1">
        <f t="array" aca="1" ref="L108" ca="1">OFFSET(M108,-1,-1)</f>
        <v>0</v>
      </c>
      <c r="S108" s="107" t="b" cm="1">
        <f t="array" aca="1" ref="S108" ca="1">OFFSET(T108,-1,-1)</f>
        <v>0</v>
      </c>
      <c r="U108" s="690" t="b">
        <f t="shared" ca="1" si="35"/>
        <v>0</v>
      </c>
      <c r="Y108" s="1428"/>
      <c r="Z108" s="1428"/>
      <c r="AB108" s="1536"/>
      <c r="AD108" s="121" t="s">
        <v>874</v>
      </c>
      <c r="AE108" s="1510" t="s">
        <v>875</v>
      </c>
      <c r="AF108" s="1493"/>
      <c r="AG108" s="839"/>
      <c r="AH108" s="726"/>
      <c r="AI108" s="728"/>
      <c r="AJ108" s="728"/>
      <c r="AK108" s="728"/>
      <c r="AL108" s="728"/>
      <c r="AM108" s="728"/>
      <c r="AN108" s="728"/>
      <c r="AO108" s="728"/>
      <c r="AP108" s="728"/>
      <c r="AQ108" s="728"/>
      <c r="AR108" s="728"/>
      <c r="AS108" s="728"/>
      <c r="AT108" s="728"/>
      <c r="AU108" s="728"/>
      <c r="AV108" s="728"/>
      <c r="AW108" s="728"/>
      <c r="AX108" s="728"/>
      <c r="AY108" s="728"/>
      <c r="AZ108" s="728"/>
      <c r="BA108" s="728"/>
      <c r="BB108" s="728"/>
      <c r="BC108" s="728"/>
      <c r="BD108" s="728"/>
      <c r="BE108" s="728"/>
      <c r="BF108" s="728"/>
      <c r="BG108" s="728"/>
      <c r="BH108" s="728"/>
      <c r="BI108" s="728"/>
      <c r="BJ108" s="728"/>
      <c r="BK108" s="728"/>
      <c r="BL108" s="728"/>
      <c r="BM108" s="728"/>
      <c r="BN108" s="728"/>
      <c r="BO108" s="728"/>
      <c r="BP108" s="728"/>
      <c r="BQ108" s="728"/>
      <c r="BR108" s="728"/>
      <c r="BS108" s="728"/>
      <c r="BT108" s="728"/>
      <c r="BU108" s="728"/>
      <c r="BV108" s="728"/>
      <c r="BW108" s="728"/>
      <c r="BX108" s="728"/>
      <c r="BY108" s="728"/>
      <c r="BZ108" s="728"/>
      <c r="CA108" s="728"/>
      <c r="CB108" s="728"/>
      <c r="CC108" s="728"/>
      <c r="CD108" s="728"/>
      <c r="CE108" s="728"/>
      <c r="CF108" s="728"/>
      <c r="CG108" s="728"/>
      <c r="CH108" s="728"/>
      <c r="CI108" s="728"/>
      <c r="CJ108" s="728"/>
      <c r="CK108" s="728"/>
      <c r="CL108" s="728"/>
      <c r="CM108" s="728"/>
      <c r="CN108" s="728"/>
      <c r="CO108" s="728"/>
      <c r="CP108" s="728"/>
      <c r="CQ108" s="728"/>
      <c r="CR108" s="728"/>
      <c r="CS108" s="728"/>
      <c r="CT108" s="25"/>
      <c r="CW108" s="960" t="s">
        <v>876</v>
      </c>
    </row>
    <row r="109" spans="5:104" ht="16.7" hidden="1" customHeight="1" x14ac:dyDescent="0.15">
      <c r="E109" s="668">
        <v>17.100000000000001</v>
      </c>
      <c r="F109" s="769" cm="1">
        <f t="array" aca="1" ref="F109" ca="1">OFFSET(G109,-1,-1)</f>
        <v>0</v>
      </c>
      <c r="L109" s="769" t="b" cm="1">
        <f t="array" aca="1" ref="L109" ca="1">OFFSET(M109,-1,-1)</f>
        <v>0</v>
      </c>
      <c r="S109" s="107" t="b" cm="1">
        <f t="array" aca="1" ref="S109" ca="1">OFFSET(T109,-1,-1)</f>
        <v>0</v>
      </c>
      <c r="T109" s="107" t="b">
        <f>AD109&lt;&gt;"35.0"</f>
        <v>0</v>
      </c>
      <c r="U109" s="690" t="b">
        <f t="shared" ca="1" si="35"/>
        <v>0</v>
      </c>
      <c r="X109" s="107" t="s">
        <v>237</v>
      </c>
      <c r="Y109" s="1428"/>
      <c r="Z109" s="1428"/>
      <c r="AB109" s="1536"/>
      <c r="AD109" s="108" t="s">
        <v>877</v>
      </c>
      <c r="AE109" s="811"/>
      <c r="AF109" s="516"/>
      <c r="AG109" s="884" t="str">
        <f>"руб./"&amp;IFERROR(INDEX(fuel_ed_izm_list,MATCH(AE109,fuel_list,0)),"")</f>
        <v>руб./</v>
      </c>
      <c r="AH109" s="38">
        <f>IFERROR(AH113/AH64,0)*1000</f>
        <v>0</v>
      </c>
      <c r="AI109" s="38">
        <f>IFERROR(AI113/AI64,0)*1000</f>
        <v>0</v>
      </c>
      <c r="AJ109" s="38">
        <f>IFERROR(AJ113/AJ64,0)*1000</f>
        <v>0</v>
      </c>
      <c r="AK109" s="38">
        <f>IFERROR(AK113/AK64,0)*1000</f>
        <v>0</v>
      </c>
      <c r="AL109" s="727">
        <f ca="1">IFERROR(AL113/AL64,0)*1000</f>
        <v>0</v>
      </c>
      <c r="AM109" s="39"/>
      <c r="AN109" s="39"/>
      <c r="AO109" s="727">
        <f ca="1">IFERROR(AO113/AO64,0)*1000</f>
        <v>0</v>
      </c>
      <c r="AP109" s="1244"/>
      <c r="AQ109" s="1244"/>
      <c r="AR109" s="727">
        <f ca="1">IFERROR(AR113/AR64,0)*1000</f>
        <v>0</v>
      </c>
      <c r="AS109" s="1244"/>
      <c r="AT109" s="1244"/>
      <c r="AU109" s="727">
        <f ca="1">IFERROR(AU113/AU64,0)*1000</f>
        <v>0</v>
      </c>
      <c r="AV109" s="39"/>
      <c r="AW109" s="39"/>
      <c r="AX109" s="727">
        <f ca="1">IFERROR(AX113/AX64,0)*1000</f>
        <v>0</v>
      </c>
      <c r="AY109" s="39"/>
      <c r="AZ109" s="39"/>
      <c r="BA109" s="727">
        <f ca="1">IFERROR(BA113/BA64,0)*1000</f>
        <v>0</v>
      </c>
      <c r="BB109" s="39"/>
      <c r="BC109" s="39"/>
      <c r="BD109" s="727">
        <f ca="1">IFERROR(BD113/BD64,0)*1000</f>
        <v>0</v>
      </c>
      <c r="BE109" s="39"/>
      <c r="BF109" s="39"/>
      <c r="BG109" s="727">
        <f ca="1">IFERROR(BG113/BG64,0)*1000</f>
        <v>0</v>
      </c>
      <c r="BH109" s="39"/>
      <c r="BI109" s="39"/>
      <c r="BJ109" s="727">
        <f ca="1">IFERROR(BJ113/BJ64,0)*1000</f>
        <v>0</v>
      </c>
      <c r="BK109" s="39"/>
      <c r="BL109" s="39"/>
      <c r="BM109" s="727">
        <f ca="1">IFERROR(BM113/BM64,0)*1000</f>
        <v>0</v>
      </c>
      <c r="BN109" s="39"/>
      <c r="BO109" s="39"/>
      <c r="BP109" s="727">
        <f ca="1">IFERROR(BP113/BP64,0)*1000</f>
        <v>0</v>
      </c>
      <c r="BQ109" s="816"/>
      <c r="BR109" s="816"/>
      <c r="BS109" s="727">
        <f ca="1">IFERROR(BS113/BS64,0)*1000</f>
        <v>0</v>
      </c>
      <c r="BT109" s="1244"/>
      <c r="BU109" s="1244"/>
      <c r="BV109" s="727">
        <f ca="1">IFERROR(BV113/BV64,0)*1000</f>
        <v>0</v>
      </c>
      <c r="BW109" s="1244"/>
      <c r="BX109" s="1244"/>
      <c r="BY109" s="727">
        <f ca="1">IFERROR(BY113/BY64,0)*1000</f>
        <v>0</v>
      </c>
      <c r="BZ109" s="39"/>
      <c r="CA109" s="39"/>
      <c r="CB109" s="727">
        <f ca="1">IFERROR(CB113/CB64,0)*1000</f>
        <v>0</v>
      </c>
      <c r="CC109" s="39"/>
      <c r="CD109" s="39"/>
      <c r="CE109" s="727">
        <f ca="1">IFERROR(CE113/CE64,0)*1000</f>
        <v>0</v>
      </c>
      <c r="CF109" s="39"/>
      <c r="CG109" s="39"/>
      <c r="CH109" s="727">
        <f ca="1">IFERROR(CH113/CH64,0)*1000</f>
        <v>0</v>
      </c>
      <c r="CI109" s="39"/>
      <c r="CJ109" s="39"/>
      <c r="CK109" s="727">
        <f ca="1">IFERROR(CK113/CK64,0)*1000</f>
        <v>0</v>
      </c>
      <c r="CL109" s="39"/>
      <c r="CM109" s="39"/>
      <c r="CN109" s="727">
        <f ca="1">IFERROR(CN113/CN64,0)*1000</f>
        <v>0</v>
      </c>
      <c r="CO109" s="39"/>
      <c r="CP109" s="39"/>
      <c r="CQ109" s="727">
        <f ca="1">IFERROR(CQ113/CQ64,0)*1000</f>
        <v>0</v>
      </c>
      <c r="CR109" s="39"/>
      <c r="CS109" s="39"/>
      <c r="CT109" s="25"/>
      <c r="CW109" s="960" t="s">
        <v>876</v>
      </c>
      <c r="CX109" s="965" t="s">
        <v>812</v>
      </c>
      <c r="CY109" s="969" cm="1">
        <f t="array" ref="CY109">AE109</f>
        <v>0</v>
      </c>
      <c r="CZ109" s="969" cm="1">
        <f t="array" ref="CZ109">AF109</f>
        <v>0</v>
      </c>
    </row>
    <row r="110" spans="5:104" ht="15" hidden="1" customHeight="1" x14ac:dyDescent="0.15">
      <c r="E110" s="668">
        <v>0</v>
      </c>
      <c r="F110" s="769" cm="1">
        <f t="array" aca="1" ref="F110" ca="1">OFFSET(G110,-1,-1)</f>
        <v>0</v>
      </c>
      <c r="L110" s="769" t="b" cm="1">
        <f t="array" aca="1" ref="L110" ca="1">OFFSET(M110,-1,-1)</f>
        <v>0</v>
      </c>
      <c r="S110" s="107" t="b" cm="1">
        <f t="array" aca="1" ref="S110" ca="1">OFFSET(T110,-1,-1)</f>
        <v>0</v>
      </c>
      <c r="U110" s="690" t="b">
        <f t="shared" ca="1" si="35"/>
        <v>0</v>
      </c>
      <c r="X110" s="810" t="str">
        <f>"{                  
         funcDyn: 'msg1',
         blok: 'blok_2',
         wsCross: 'Топливо 4.4',
         linkFormula: 'AE-AE#AF-AF',
         levelDyn: "&amp;Y28&amp;"
}"</f>
        <v>{                  
         funcDyn: 'msg1',
         blok: 'blok_2',
         wsCross: 'Топливо 4.4',
         linkFormula: 'AE-AE#AF-AF',
         levelDyn: 0
}</v>
      </c>
      <c r="Y110" s="1428"/>
      <c r="Z110" s="1428"/>
      <c r="AB110" s="1536"/>
      <c r="AD110" s="813"/>
      <c r="AE110" s="812" t="s">
        <v>239</v>
      </c>
      <c r="AF110" s="736"/>
      <c r="AG110" s="724"/>
      <c r="AH110" s="726"/>
      <c r="AI110" s="728"/>
      <c r="AJ110" s="728"/>
      <c r="AK110" s="728"/>
      <c r="AL110" s="728"/>
      <c r="AM110" s="728"/>
      <c r="AN110" s="728"/>
      <c r="AO110" s="728"/>
      <c r="AP110" s="728"/>
      <c r="AQ110" s="728"/>
      <c r="AR110" s="728"/>
      <c r="AS110" s="728"/>
      <c r="AT110" s="728"/>
      <c r="AU110" s="728"/>
      <c r="AV110" s="728"/>
      <c r="AW110" s="728"/>
      <c r="AX110" s="728"/>
      <c r="AY110" s="728"/>
      <c r="AZ110" s="728"/>
      <c r="BA110" s="728"/>
      <c r="BB110" s="728"/>
      <c r="BC110" s="728"/>
      <c r="BD110" s="728"/>
      <c r="BE110" s="728"/>
      <c r="BF110" s="728"/>
      <c r="BG110" s="728"/>
      <c r="BH110" s="728"/>
      <c r="BI110" s="728"/>
      <c r="BJ110" s="728"/>
      <c r="BK110" s="728"/>
      <c r="BL110" s="728"/>
      <c r="BM110" s="728"/>
      <c r="BN110" s="728"/>
      <c r="BO110" s="728"/>
      <c r="BP110" s="728"/>
      <c r="BQ110" s="728"/>
      <c r="BR110" s="728"/>
      <c r="BS110" s="728"/>
      <c r="BT110" s="728"/>
      <c r="BU110" s="728"/>
      <c r="BV110" s="728"/>
      <c r="BW110" s="728"/>
      <c r="BX110" s="728"/>
      <c r="BY110" s="728"/>
      <c r="BZ110" s="728"/>
      <c r="CA110" s="728"/>
      <c r="CB110" s="728"/>
      <c r="CC110" s="728"/>
      <c r="CD110" s="728"/>
      <c r="CE110" s="728"/>
      <c r="CF110" s="728"/>
      <c r="CG110" s="728"/>
      <c r="CH110" s="728"/>
      <c r="CI110" s="728"/>
      <c r="CJ110" s="728"/>
      <c r="CK110" s="728"/>
      <c r="CL110" s="728"/>
      <c r="CM110" s="728"/>
      <c r="CN110" s="728"/>
      <c r="CO110" s="728"/>
      <c r="CP110" s="728"/>
      <c r="CQ110" s="728"/>
      <c r="CR110" s="728"/>
      <c r="CS110" s="728"/>
      <c r="CT110" s="43"/>
      <c r="CW110" s="960" t="str">
        <f>IF(AND(ISNUMBER(VALUE(TRIM(SUBSTITUTE(AD110,".","")))),TRIM(SUBSTITUTE(AD110,".",""))&lt;&gt;""),"P"&amp;SUBSTITUTE(AD110,".",""),"")</f>
        <v/>
      </c>
    </row>
    <row r="111" spans="5:104" ht="16.7" hidden="1" customHeight="1" x14ac:dyDescent="0.15">
      <c r="E111" s="668">
        <v>17.100000000000001</v>
      </c>
      <c r="F111" s="769" cm="1">
        <f t="array" aca="1" ref="F111" ca="1">OFFSET(G111,-1,-1)</f>
        <v>0</v>
      </c>
      <c r="L111" s="769" t="b" cm="1">
        <f t="array" aca="1" ref="L111" ca="1">OFFSET(M111,-1,-1)</f>
        <v>0</v>
      </c>
      <c r="S111" s="107" t="b" cm="1">
        <f t="array" aca="1" ref="S111" ca="1">OFFSET(T111,-1,-1)</f>
        <v>0</v>
      </c>
      <c r="U111" s="690" t="b">
        <f t="shared" ca="1" si="35"/>
        <v>0</v>
      </c>
      <c r="Y111" s="1428"/>
      <c r="Z111" s="1428"/>
      <c r="AB111" s="1536"/>
      <c r="AD111" s="121" t="s">
        <v>878</v>
      </c>
      <c r="AE111" s="1510" t="s">
        <v>879</v>
      </c>
      <c r="AF111" s="1493"/>
      <c r="AG111" s="724" t="s">
        <v>830</v>
      </c>
      <c r="AH111" s="725">
        <f t="shared" ref="AH111:BM111" si="40">SUM(AH113:AH114)</f>
        <v>0</v>
      </c>
      <c r="AI111" s="725">
        <f t="shared" si="40"/>
        <v>0</v>
      </c>
      <c r="AJ111" s="725">
        <f t="shared" si="40"/>
        <v>0</v>
      </c>
      <c r="AK111" s="725">
        <f t="shared" si="40"/>
        <v>0</v>
      </c>
      <c r="AL111" s="725">
        <f t="shared" ca="1" si="40"/>
        <v>0</v>
      </c>
      <c r="AM111" s="725">
        <f t="shared" si="40"/>
        <v>0</v>
      </c>
      <c r="AN111" s="725">
        <f t="shared" ca="1" si="40"/>
        <v>0</v>
      </c>
      <c r="AO111" s="725">
        <f t="shared" ca="1" si="40"/>
        <v>0</v>
      </c>
      <c r="AP111" s="725">
        <f t="shared" si="40"/>
        <v>0</v>
      </c>
      <c r="AQ111" s="725">
        <f t="shared" ca="1" si="40"/>
        <v>0</v>
      </c>
      <c r="AR111" s="725">
        <f t="shared" ca="1" si="40"/>
        <v>0</v>
      </c>
      <c r="AS111" s="725">
        <f t="shared" si="40"/>
        <v>0</v>
      </c>
      <c r="AT111" s="725">
        <f t="shared" ca="1" si="40"/>
        <v>0</v>
      </c>
      <c r="AU111" s="725">
        <f t="shared" ca="1" si="40"/>
        <v>0</v>
      </c>
      <c r="AV111" s="725">
        <f t="shared" si="40"/>
        <v>0</v>
      </c>
      <c r="AW111" s="725">
        <f t="shared" ca="1" si="40"/>
        <v>0</v>
      </c>
      <c r="AX111" s="725">
        <f t="shared" ca="1" si="40"/>
        <v>0</v>
      </c>
      <c r="AY111" s="725">
        <f t="shared" si="40"/>
        <v>0</v>
      </c>
      <c r="AZ111" s="725">
        <f t="shared" ca="1" si="40"/>
        <v>0</v>
      </c>
      <c r="BA111" s="725">
        <f t="shared" ca="1" si="40"/>
        <v>0</v>
      </c>
      <c r="BB111" s="725">
        <f t="shared" si="40"/>
        <v>0</v>
      </c>
      <c r="BC111" s="725">
        <f t="shared" ca="1" si="40"/>
        <v>0</v>
      </c>
      <c r="BD111" s="725">
        <f t="shared" ca="1" si="40"/>
        <v>0</v>
      </c>
      <c r="BE111" s="725">
        <f t="shared" si="40"/>
        <v>0</v>
      </c>
      <c r="BF111" s="725">
        <f t="shared" ca="1" si="40"/>
        <v>0</v>
      </c>
      <c r="BG111" s="725">
        <f t="shared" ca="1" si="40"/>
        <v>0</v>
      </c>
      <c r="BH111" s="725">
        <f t="shared" si="40"/>
        <v>0</v>
      </c>
      <c r="BI111" s="725">
        <f t="shared" ca="1" si="40"/>
        <v>0</v>
      </c>
      <c r="BJ111" s="725">
        <f t="shared" ca="1" si="40"/>
        <v>0</v>
      </c>
      <c r="BK111" s="725">
        <f t="shared" si="40"/>
        <v>0</v>
      </c>
      <c r="BL111" s="725">
        <f t="shared" ca="1" si="40"/>
        <v>0</v>
      </c>
      <c r="BM111" s="725">
        <f t="shared" ca="1" si="40"/>
        <v>0</v>
      </c>
      <c r="BN111" s="725">
        <f t="shared" ref="BN111:CS111" si="41">SUM(BN113:BN114)</f>
        <v>0</v>
      </c>
      <c r="BO111" s="725">
        <f t="shared" ca="1" si="41"/>
        <v>0</v>
      </c>
      <c r="BP111" s="725">
        <f t="shared" ca="1" si="41"/>
        <v>0</v>
      </c>
      <c r="BQ111" s="725">
        <f t="shared" si="41"/>
        <v>0</v>
      </c>
      <c r="BR111" s="725">
        <f t="shared" ca="1" si="41"/>
        <v>0</v>
      </c>
      <c r="BS111" s="725">
        <f t="shared" ca="1" si="41"/>
        <v>0</v>
      </c>
      <c r="BT111" s="725">
        <f t="shared" si="41"/>
        <v>0</v>
      </c>
      <c r="BU111" s="725">
        <f t="shared" ca="1" si="41"/>
        <v>0</v>
      </c>
      <c r="BV111" s="725">
        <f t="shared" ca="1" si="41"/>
        <v>0</v>
      </c>
      <c r="BW111" s="725">
        <f t="shared" si="41"/>
        <v>0</v>
      </c>
      <c r="BX111" s="725">
        <f t="shared" ca="1" si="41"/>
        <v>0</v>
      </c>
      <c r="BY111" s="725">
        <f t="shared" ca="1" si="41"/>
        <v>0</v>
      </c>
      <c r="BZ111" s="725">
        <f t="shared" si="41"/>
        <v>0</v>
      </c>
      <c r="CA111" s="725">
        <f t="shared" ca="1" si="41"/>
        <v>0</v>
      </c>
      <c r="CB111" s="725">
        <f t="shared" ca="1" si="41"/>
        <v>0</v>
      </c>
      <c r="CC111" s="725">
        <f t="shared" si="41"/>
        <v>0</v>
      </c>
      <c r="CD111" s="725">
        <f t="shared" ca="1" si="41"/>
        <v>0</v>
      </c>
      <c r="CE111" s="725">
        <f t="shared" ca="1" si="41"/>
        <v>0</v>
      </c>
      <c r="CF111" s="725">
        <f t="shared" si="41"/>
        <v>0</v>
      </c>
      <c r="CG111" s="725">
        <f t="shared" ca="1" si="41"/>
        <v>0</v>
      </c>
      <c r="CH111" s="725">
        <f t="shared" ca="1" si="41"/>
        <v>0</v>
      </c>
      <c r="CI111" s="725">
        <f t="shared" si="41"/>
        <v>0</v>
      </c>
      <c r="CJ111" s="725">
        <f t="shared" ca="1" si="41"/>
        <v>0</v>
      </c>
      <c r="CK111" s="725">
        <f t="shared" ca="1" si="41"/>
        <v>0</v>
      </c>
      <c r="CL111" s="725">
        <f t="shared" si="41"/>
        <v>0</v>
      </c>
      <c r="CM111" s="725">
        <f t="shared" ca="1" si="41"/>
        <v>0</v>
      </c>
      <c r="CN111" s="725">
        <f t="shared" ca="1" si="41"/>
        <v>0</v>
      </c>
      <c r="CO111" s="725">
        <f t="shared" si="41"/>
        <v>0</v>
      </c>
      <c r="CP111" s="725">
        <f t="shared" ca="1" si="41"/>
        <v>0</v>
      </c>
      <c r="CQ111" s="725">
        <f t="shared" ca="1" si="41"/>
        <v>0</v>
      </c>
      <c r="CR111" s="725">
        <f t="shared" si="41"/>
        <v>0</v>
      </c>
      <c r="CS111" s="725">
        <f t="shared" ca="1" si="41"/>
        <v>0</v>
      </c>
      <c r="CT111" s="25"/>
      <c r="CW111" s="960" t="s">
        <v>880</v>
      </c>
    </row>
    <row r="112" spans="5:104" ht="16.7" hidden="1" customHeight="1" x14ac:dyDescent="0.15">
      <c r="E112" s="668">
        <v>17.100000000000001</v>
      </c>
      <c r="F112" s="769" cm="1">
        <f t="array" aca="1" ref="F112" ca="1">OFFSET(G112,-1,-1)</f>
        <v>0</v>
      </c>
      <c r="L112" s="769" t="b" cm="1">
        <f t="array" aca="1" ref="L112" ca="1">OFFSET(M112,-1,-1)</f>
        <v>0</v>
      </c>
      <c r="R112" s="769" t="s">
        <v>750</v>
      </c>
      <c r="S112" s="107" t="b" cm="1">
        <f t="array" aca="1" ref="S112" ca="1">OFFSET(T112,-1,-1)</f>
        <v>0</v>
      </c>
      <c r="T112" s="769" t="b">
        <v>0</v>
      </c>
      <c r="U112" s="690" t="b">
        <f t="shared" ca="1" si="35"/>
        <v>0</v>
      </c>
      <c r="Y112" s="1428"/>
      <c r="Z112" s="1428"/>
      <c r="AB112" s="1536"/>
      <c r="AD112" s="108" t="str">
        <f>AD111&amp;".0"</f>
        <v>36.0</v>
      </c>
      <c r="AE112" s="1513" t="s">
        <v>761</v>
      </c>
      <c r="AF112" s="1514"/>
      <c r="AG112" s="724" t="s">
        <v>830</v>
      </c>
      <c r="AH112" s="38">
        <f>AH$52*AH111</f>
        <v>0</v>
      </c>
      <c r="AI112" s="39">
        <f>AI$52*AI111</f>
        <v>0</v>
      </c>
      <c r="AJ112" s="39">
        <f>AJ$52*AJ111</f>
        <v>0</v>
      </c>
      <c r="AK112" s="39">
        <f>AK$52*AK111</f>
        <v>0</v>
      </c>
      <c r="AL112" s="727">
        <f ca="1">AM112+AN112</f>
        <v>0</v>
      </c>
      <c r="AM112" s="39">
        <f>AM$52*AM111</f>
        <v>0</v>
      </c>
      <c r="AN112" s="39">
        <f ca="1">AN$52*AN111</f>
        <v>0</v>
      </c>
      <c r="AO112" s="727">
        <f ca="1">AP112+AQ112</f>
        <v>0</v>
      </c>
      <c r="AP112" s="1244">
        <f>AP$52*AP111</f>
        <v>0</v>
      </c>
      <c r="AQ112" s="1244">
        <f ca="1">AQ$52*AQ111</f>
        <v>0</v>
      </c>
      <c r="AR112" s="727">
        <f ca="1">AS112+AT112</f>
        <v>0</v>
      </c>
      <c r="AS112" s="1244">
        <f>AS$52*AS111</f>
        <v>0</v>
      </c>
      <c r="AT112" s="1244">
        <f ca="1">AT$52*AT111</f>
        <v>0</v>
      </c>
      <c r="AU112" s="727">
        <f ca="1">AV112+AW112</f>
        <v>0</v>
      </c>
      <c r="AV112" s="39">
        <f>AV$52*AV111</f>
        <v>0</v>
      </c>
      <c r="AW112" s="39">
        <f ca="1">AW$52*AW111</f>
        <v>0</v>
      </c>
      <c r="AX112" s="727">
        <f ca="1">AY112+AZ112</f>
        <v>0</v>
      </c>
      <c r="AY112" s="39">
        <f>AY$52*AY111</f>
        <v>0</v>
      </c>
      <c r="AZ112" s="39">
        <f ca="1">AZ$52*AZ111</f>
        <v>0</v>
      </c>
      <c r="BA112" s="727">
        <f ca="1">BB112+BC112</f>
        <v>0</v>
      </c>
      <c r="BB112" s="39">
        <f>BB$52*BB111</f>
        <v>0</v>
      </c>
      <c r="BC112" s="39">
        <f ca="1">BC$52*BC111</f>
        <v>0</v>
      </c>
      <c r="BD112" s="727">
        <f ca="1">BE112+BF112</f>
        <v>0</v>
      </c>
      <c r="BE112" s="39">
        <f>BE$52*BE111</f>
        <v>0</v>
      </c>
      <c r="BF112" s="39">
        <f ca="1">BF$52*BF111</f>
        <v>0</v>
      </c>
      <c r="BG112" s="727">
        <f ca="1">BH112+BI112</f>
        <v>0</v>
      </c>
      <c r="BH112" s="39">
        <f>BH$52*BH111</f>
        <v>0</v>
      </c>
      <c r="BI112" s="39">
        <f ca="1">BI$52*BI111</f>
        <v>0</v>
      </c>
      <c r="BJ112" s="727">
        <f ca="1">BK112+BL112</f>
        <v>0</v>
      </c>
      <c r="BK112" s="39">
        <f>BK$52*BK111</f>
        <v>0</v>
      </c>
      <c r="BL112" s="39">
        <f ca="1">BL$52*BL111</f>
        <v>0</v>
      </c>
      <c r="BM112" s="727">
        <f ca="1">BN112+BO112</f>
        <v>0</v>
      </c>
      <c r="BN112" s="39">
        <f>BN$52*BN111</f>
        <v>0</v>
      </c>
      <c r="BO112" s="39">
        <f ca="1">BO$52*BO111</f>
        <v>0</v>
      </c>
      <c r="BP112" s="727">
        <f ca="1">BQ112+BR112</f>
        <v>0</v>
      </c>
      <c r="BQ112" s="816">
        <f>BQ$52*BQ111</f>
        <v>0</v>
      </c>
      <c r="BR112" s="816">
        <f ca="1">BR$52*BR111</f>
        <v>0</v>
      </c>
      <c r="BS112" s="727">
        <f ca="1">BT112+BU112</f>
        <v>0</v>
      </c>
      <c r="BT112" s="1244">
        <f>BT$52*BT111</f>
        <v>0</v>
      </c>
      <c r="BU112" s="1244">
        <f ca="1">BU$52*BU111</f>
        <v>0</v>
      </c>
      <c r="BV112" s="727">
        <f ca="1">BW112+BX112</f>
        <v>0</v>
      </c>
      <c r="BW112" s="1244">
        <f>BW$52*BW111</f>
        <v>0</v>
      </c>
      <c r="BX112" s="1244">
        <f ca="1">BX$52*BX111</f>
        <v>0</v>
      </c>
      <c r="BY112" s="727">
        <f ca="1">BZ112+CA112</f>
        <v>0</v>
      </c>
      <c r="BZ112" s="39">
        <f>BZ$52*BZ111</f>
        <v>0</v>
      </c>
      <c r="CA112" s="39">
        <f ca="1">CA$52*CA111</f>
        <v>0</v>
      </c>
      <c r="CB112" s="727">
        <f ca="1">CC112+CD112</f>
        <v>0</v>
      </c>
      <c r="CC112" s="39">
        <f>CC$52*CC111</f>
        <v>0</v>
      </c>
      <c r="CD112" s="39">
        <f ca="1">CD$52*CD111</f>
        <v>0</v>
      </c>
      <c r="CE112" s="727">
        <f ca="1">CF112+CG112</f>
        <v>0</v>
      </c>
      <c r="CF112" s="39">
        <f>CF$52*CF111</f>
        <v>0</v>
      </c>
      <c r="CG112" s="39">
        <f ca="1">CG$52*CG111</f>
        <v>0</v>
      </c>
      <c r="CH112" s="727">
        <f ca="1">CI112+CJ112</f>
        <v>0</v>
      </c>
      <c r="CI112" s="39">
        <f>CI$52*CI111</f>
        <v>0</v>
      </c>
      <c r="CJ112" s="39">
        <f ca="1">CJ$52*CJ111</f>
        <v>0</v>
      </c>
      <c r="CK112" s="727">
        <f ca="1">CL112+CM112</f>
        <v>0</v>
      </c>
      <c r="CL112" s="39">
        <f>CL$52*CL111</f>
        <v>0</v>
      </c>
      <c r="CM112" s="39">
        <f ca="1">CM$52*CM111</f>
        <v>0</v>
      </c>
      <c r="CN112" s="727">
        <f ca="1">CO112+CP112</f>
        <v>0</v>
      </c>
      <c r="CO112" s="39">
        <f>CO$52*CO111</f>
        <v>0</v>
      </c>
      <c r="CP112" s="39">
        <f ca="1">CP$52*CP111</f>
        <v>0</v>
      </c>
      <c r="CQ112" s="727">
        <f ca="1">CR112+CS112</f>
        <v>0</v>
      </c>
      <c r="CR112" s="39">
        <f>CR$52*CR111</f>
        <v>0</v>
      </c>
      <c r="CS112" s="39">
        <f ca="1">CS$52*CS111</f>
        <v>0</v>
      </c>
      <c r="CT112" s="25"/>
      <c r="CW112" s="960" t="s">
        <v>881</v>
      </c>
    </row>
    <row r="113" spans="5:104" ht="16.7" hidden="1" customHeight="1" x14ac:dyDescent="0.15">
      <c r="E113" s="668">
        <v>17.100000000000001</v>
      </c>
      <c r="F113" s="769" cm="1">
        <f t="array" aca="1" ref="F113" ca="1">OFFSET(G113,-1,-1)</f>
        <v>0</v>
      </c>
      <c r="L113" s="769" t="b" cm="1">
        <f t="array" aca="1" ref="L113" ca="1">OFFSET(M113,-1,-1)</f>
        <v>0</v>
      </c>
      <c r="S113" s="107" t="b" cm="1">
        <f t="array" aca="1" ref="S113" ca="1">OFFSET(T113,-1,-1)</f>
        <v>0</v>
      </c>
      <c r="T113" s="107" t="b">
        <f>AD113&lt;&gt;"36.0"</f>
        <v>0</v>
      </c>
      <c r="U113" s="690" t="b">
        <f t="shared" ca="1" si="35"/>
        <v>0</v>
      </c>
      <c r="X113" s="107" t="s">
        <v>237</v>
      </c>
      <c r="Y113" s="1428"/>
      <c r="Z113" s="1428"/>
      <c r="AB113" s="1536"/>
      <c r="AD113" s="108" t="s">
        <v>882</v>
      </c>
      <c r="AE113" s="811"/>
      <c r="AF113" s="516"/>
      <c r="AG113" s="724" t="s">
        <v>830</v>
      </c>
      <c r="AH113" s="38"/>
      <c r="AI113" s="39"/>
      <c r="AJ113" s="39"/>
      <c r="AK113" s="39"/>
      <c r="AL113" s="727">
        <f ca="1">AM113+AN113</f>
        <v>0</v>
      </c>
      <c r="AM113" s="39">
        <f>AM109*AM64/1000</f>
        <v>0</v>
      </c>
      <c r="AN113" s="39">
        <f ca="1">AN109*AN64/1000</f>
        <v>0</v>
      </c>
      <c r="AO113" s="727">
        <f ca="1">AP113+AQ113</f>
        <v>0</v>
      </c>
      <c r="AP113" s="1244">
        <f>AP109*AP64/1000</f>
        <v>0</v>
      </c>
      <c r="AQ113" s="1244">
        <f ca="1">AQ109*AQ64/1000</f>
        <v>0</v>
      </c>
      <c r="AR113" s="727">
        <f ca="1">AS113+AT113</f>
        <v>0</v>
      </c>
      <c r="AS113" s="1244">
        <f>AS109*AS64/1000</f>
        <v>0</v>
      </c>
      <c r="AT113" s="1244">
        <f ca="1">AT109*AT64/1000</f>
        <v>0</v>
      </c>
      <c r="AU113" s="727">
        <f ca="1">AV113+AW113</f>
        <v>0</v>
      </c>
      <c r="AV113" s="39">
        <f>AV109*AV64/1000</f>
        <v>0</v>
      </c>
      <c r="AW113" s="39">
        <f ca="1">AW109*AW64/1000</f>
        <v>0</v>
      </c>
      <c r="AX113" s="727">
        <f ca="1">AY113+AZ113</f>
        <v>0</v>
      </c>
      <c r="AY113" s="39">
        <f>AY109*AY64/1000</f>
        <v>0</v>
      </c>
      <c r="AZ113" s="39">
        <f ca="1">AZ109*AZ64/1000</f>
        <v>0</v>
      </c>
      <c r="BA113" s="727">
        <f ca="1">BB113+BC113</f>
        <v>0</v>
      </c>
      <c r="BB113" s="39">
        <f>BB109*BB64/1000</f>
        <v>0</v>
      </c>
      <c r="BC113" s="39">
        <f ca="1">BC109*BC64/1000</f>
        <v>0</v>
      </c>
      <c r="BD113" s="727">
        <f ca="1">BE113+BF113</f>
        <v>0</v>
      </c>
      <c r="BE113" s="39">
        <f>BE109*BE64/1000</f>
        <v>0</v>
      </c>
      <c r="BF113" s="39">
        <f ca="1">BF109*BF64/1000</f>
        <v>0</v>
      </c>
      <c r="BG113" s="727">
        <f ca="1">BH113+BI113</f>
        <v>0</v>
      </c>
      <c r="BH113" s="39">
        <f>BH109*BH64/1000</f>
        <v>0</v>
      </c>
      <c r="BI113" s="39">
        <f ca="1">BI109*BI64/1000</f>
        <v>0</v>
      </c>
      <c r="BJ113" s="727">
        <f ca="1">BK113+BL113</f>
        <v>0</v>
      </c>
      <c r="BK113" s="39">
        <f>BK109*BK64/1000</f>
        <v>0</v>
      </c>
      <c r="BL113" s="39">
        <f ca="1">BL109*BL64/1000</f>
        <v>0</v>
      </c>
      <c r="BM113" s="727">
        <f ca="1">BN113+BO113</f>
        <v>0</v>
      </c>
      <c r="BN113" s="39">
        <f>BN109*BN64/1000</f>
        <v>0</v>
      </c>
      <c r="BO113" s="39">
        <f ca="1">BO109*BO64/1000</f>
        <v>0</v>
      </c>
      <c r="BP113" s="727">
        <f ca="1">BQ113+BR113</f>
        <v>0</v>
      </c>
      <c r="BQ113" s="816">
        <f>BQ109*BQ64/1000</f>
        <v>0</v>
      </c>
      <c r="BR113" s="816">
        <f ca="1">BR109*BR64/1000</f>
        <v>0</v>
      </c>
      <c r="BS113" s="727">
        <f ca="1">BT113+BU113</f>
        <v>0</v>
      </c>
      <c r="BT113" s="1244">
        <f>BT109*BT64/1000</f>
        <v>0</v>
      </c>
      <c r="BU113" s="1244">
        <f ca="1">BU109*BU64/1000</f>
        <v>0</v>
      </c>
      <c r="BV113" s="727">
        <f ca="1">BW113+BX113</f>
        <v>0</v>
      </c>
      <c r="BW113" s="1244">
        <f>BW109*BW64/1000</f>
        <v>0</v>
      </c>
      <c r="BX113" s="1244">
        <f ca="1">BX109*BX64/1000</f>
        <v>0</v>
      </c>
      <c r="BY113" s="727">
        <f ca="1">BZ113+CA113</f>
        <v>0</v>
      </c>
      <c r="BZ113" s="39">
        <f>BZ109*BZ64/1000</f>
        <v>0</v>
      </c>
      <c r="CA113" s="39">
        <f ca="1">CA109*CA64/1000</f>
        <v>0</v>
      </c>
      <c r="CB113" s="727">
        <f ca="1">CC113+CD113</f>
        <v>0</v>
      </c>
      <c r="CC113" s="39">
        <f>CC109*CC64/1000</f>
        <v>0</v>
      </c>
      <c r="CD113" s="39">
        <f ca="1">CD109*CD64/1000</f>
        <v>0</v>
      </c>
      <c r="CE113" s="727">
        <f ca="1">CF113+CG113</f>
        <v>0</v>
      </c>
      <c r="CF113" s="39">
        <f>CF109*CF64/1000</f>
        <v>0</v>
      </c>
      <c r="CG113" s="39">
        <f ca="1">CG109*CG64/1000</f>
        <v>0</v>
      </c>
      <c r="CH113" s="727">
        <f ca="1">CI113+CJ113</f>
        <v>0</v>
      </c>
      <c r="CI113" s="39">
        <f>CI109*CI64/1000</f>
        <v>0</v>
      </c>
      <c r="CJ113" s="39">
        <f ca="1">CJ109*CJ64/1000</f>
        <v>0</v>
      </c>
      <c r="CK113" s="727">
        <f ca="1">CL113+CM113</f>
        <v>0</v>
      </c>
      <c r="CL113" s="39">
        <f>CL109*CL64/1000</f>
        <v>0</v>
      </c>
      <c r="CM113" s="39">
        <f ca="1">CM109*CM64/1000</f>
        <v>0</v>
      </c>
      <c r="CN113" s="727">
        <f ca="1">CO113+CP113</f>
        <v>0</v>
      </c>
      <c r="CO113" s="39">
        <f>CO109*CO64/1000</f>
        <v>0</v>
      </c>
      <c r="CP113" s="39">
        <f ca="1">CP109*CP64/1000</f>
        <v>0</v>
      </c>
      <c r="CQ113" s="727">
        <f ca="1">CR113+CS113</f>
        <v>0</v>
      </c>
      <c r="CR113" s="39">
        <f>CR109*CR64/1000</f>
        <v>0</v>
      </c>
      <c r="CS113" s="39">
        <f ca="1">CS109*CS64/1000</f>
        <v>0</v>
      </c>
      <c r="CT113" s="25"/>
      <c r="CW113" s="960" t="s">
        <v>881</v>
      </c>
      <c r="CX113" s="965" t="s">
        <v>812</v>
      </c>
      <c r="CY113" s="969" cm="1">
        <f t="array" ref="CY113">AE113</f>
        <v>0</v>
      </c>
      <c r="CZ113" s="969" cm="1">
        <f t="array" ref="CZ113">AF113</f>
        <v>0</v>
      </c>
    </row>
    <row r="114" spans="5:104" ht="15" hidden="1" customHeight="1" x14ac:dyDescent="0.15">
      <c r="E114" s="668">
        <v>0</v>
      </c>
      <c r="F114" s="769" cm="1">
        <f t="array" aca="1" ref="F114" ca="1">OFFSET(G114,-1,-1)</f>
        <v>0</v>
      </c>
      <c r="L114" s="769" t="b" cm="1">
        <f t="array" aca="1" ref="L114" ca="1">OFFSET(M114,-1,-1)</f>
        <v>0</v>
      </c>
      <c r="S114" s="107" t="b" cm="1">
        <f t="array" aca="1" ref="S114" ca="1">OFFSET(T114,-1,-1)</f>
        <v>0</v>
      </c>
      <c r="U114" s="690" t="b">
        <f t="shared" ca="1" si="35"/>
        <v>0</v>
      </c>
      <c r="X114" s="810" t="str">
        <f>"{                  
         funcDyn: 'msg1',
         blok: 'blok_2',
         wsCross: 'Топливо 4.4',
         linkFormula: 'AE-AE#AF-AF',
         levelDyn: "&amp;Y28&amp;"
}"</f>
        <v>{                  
         funcDyn: 'msg1',
         blok: 'blok_2',
         wsCross: 'Топливо 4.4',
         linkFormula: 'AE-AE#AF-AF',
         levelDyn: 0
}</v>
      </c>
      <c r="Y114" s="1428"/>
      <c r="Z114" s="1428"/>
      <c r="AB114" s="1536"/>
      <c r="AD114" s="813"/>
      <c r="AE114" s="812" t="s">
        <v>239</v>
      </c>
      <c r="AF114" s="736"/>
      <c r="AG114" s="724"/>
      <c r="AH114" s="726"/>
      <c r="AI114" s="728"/>
      <c r="AJ114" s="728"/>
      <c r="AK114" s="728"/>
      <c r="AL114" s="728"/>
      <c r="AM114" s="728"/>
      <c r="AN114" s="728"/>
      <c r="AO114" s="728"/>
      <c r="AP114" s="728"/>
      <c r="AQ114" s="728"/>
      <c r="AR114" s="728"/>
      <c r="AS114" s="728"/>
      <c r="AT114" s="728"/>
      <c r="AU114" s="728"/>
      <c r="AV114" s="728"/>
      <c r="AW114" s="728"/>
      <c r="AX114" s="728"/>
      <c r="AY114" s="728"/>
      <c r="AZ114" s="728"/>
      <c r="BA114" s="728"/>
      <c r="BB114" s="728"/>
      <c r="BC114" s="728"/>
      <c r="BD114" s="728"/>
      <c r="BE114" s="728"/>
      <c r="BF114" s="728"/>
      <c r="BG114" s="728"/>
      <c r="BH114" s="728"/>
      <c r="BI114" s="728"/>
      <c r="BJ114" s="728"/>
      <c r="BK114" s="728"/>
      <c r="BL114" s="728"/>
      <c r="BM114" s="728"/>
      <c r="BN114" s="728"/>
      <c r="BO114" s="728"/>
      <c r="BP114" s="728"/>
      <c r="BQ114" s="728"/>
      <c r="BR114" s="728"/>
      <c r="BS114" s="728"/>
      <c r="BT114" s="728"/>
      <c r="BU114" s="728"/>
      <c r="BV114" s="728"/>
      <c r="BW114" s="728"/>
      <c r="BX114" s="728"/>
      <c r="BY114" s="728"/>
      <c r="BZ114" s="728"/>
      <c r="CA114" s="728"/>
      <c r="CB114" s="728"/>
      <c r="CC114" s="728"/>
      <c r="CD114" s="728"/>
      <c r="CE114" s="728"/>
      <c r="CF114" s="728"/>
      <c r="CG114" s="728"/>
      <c r="CH114" s="728"/>
      <c r="CI114" s="728"/>
      <c r="CJ114" s="728"/>
      <c r="CK114" s="728"/>
      <c r="CL114" s="728"/>
      <c r="CM114" s="728"/>
      <c r="CN114" s="728"/>
      <c r="CO114" s="728"/>
      <c r="CP114" s="728"/>
      <c r="CQ114" s="728"/>
      <c r="CR114" s="728"/>
      <c r="CS114" s="728"/>
      <c r="CT114" s="43"/>
      <c r="CW114" s="960" t="str">
        <f>IF(AND(ISNUMBER(VALUE(TRIM(SUBSTITUTE(AD114,".","")))),TRIM(SUBSTITUTE(AD114,".",""))&lt;&gt;""),"P"&amp;SUBSTITUTE(AD114,".",""),"")</f>
        <v/>
      </c>
    </row>
    <row r="115" spans="5:104" ht="29.25" hidden="1" customHeight="1" x14ac:dyDescent="0.15">
      <c r="E115" s="668">
        <v>30</v>
      </c>
      <c r="F115" s="769" cm="1">
        <f t="array" aca="1" ref="F115" ca="1">OFFSET(G115,-1,-1)</f>
        <v>0</v>
      </c>
      <c r="L115" s="769" t="b" cm="1">
        <f t="array" aca="1" ref="L115" ca="1">OFFSET(M115,-1,-1)</f>
        <v>0</v>
      </c>
      <c r="R115" s="769" t="s">
        <v>750</v>
      </c>
      <c r="S115" s="107" t="b" cm="1">
        <f t="array" aca="1" ref="S115" ca="1">OFFSET(T115,-1,-1)</f>
        <v>0</v>
      </c>
      <c r="T115" s="107" t="b" cm="1">
        <f t="array" aca="1" ref="T115" ca="1">L115</f>
        <v>0</v>
      </c>
      <c r="U115" s="690" t="b">
        <f t="shared" ca="1" si="35"/>
        <v>0</v>
      </c>
      <c r="Y115" s="1428"/>
      <c r="Z115" s="1428"/>
      <c r="AB115" s="1536"/>
      <c r="AD115" s="121" t="s">
        <v>883</v>
      </c>
      <c r="AE115" s="1515" t="s">
        <v>884</v>
      </c>
      <c r="AF115" s="1516"/>
      <c r="AG115" s="724" t="s">
        <v>830</v>
      </c>
      <c r="AH115" s="725">
        <f t="shared" ref="AH115:BM115" si="42">SUM(AH116:AH117)</f>
        <v>0</v>
      </c>
      <c r="AI115" s="725">
        <f t="shared" si="42"/>
        <v>0</v>
      </c>
      <c r="AJ115" s="725">
        <f t="shared" si="42"/>
        <v>0</v>
      </c>
      <c r="AK115" s="725">
        <f t="shared" si="42"/>
        <v>0</v>
      </c>
      <c r="AL115" s="725">
        <f t="shared" ca="1" si="42"/>
        <v>0</v>
      </c>
      <c r="AM115" s="725">
        <f t="shared" si="42"/>
        <v>0</v>
      </c>
      <c r="AN115" s="725">
        <f t="shared" ca="1" si="42"/>
        <v>0</v>
      </c>
      <c r="AO115" s="725">
        <f t="shared" ca="1" si="42"/>
        <v>0</v>
      </c>
      <c r="AP115" s="725">
        <f t="shared" si="42"/>
        <v>0</v>
      </c>
      <c r="AQ115" s="725">
        <f t="shared" ca="1" si="42"/>
        <v>0</v>
      </c>
      <c r="AR115" s="725">
        <f t="shared" ca="1" si="42"/>
        <v>0</v>
      </c>
      <c r="AS115" s="725">
        <f t="shared" si="42"/>
        <v>0</v>
      </c>
      <c r="AT115" s="725">
        <f t="shared" ca="1" si="42"/>
        <v>0</v>
      </c>
      <c r="AU115" s="725">
        <f t="shared" ca="1" si="42"/>
        <v>0</v>
      </c>
      <c r="AV115" s="725">
        <f t="shared" si="42"/>
        <v>0</v>
      </c>
      <c r="AW115" s="725">
        <f t="shared" ca="1" si="42"/>
        <v>0</v>
      </c>
      <c r="AX115" s="725">
        <f t="shared" ca="1" si="42"/>
        <v>0</v>
      </c>
      <c r="AY115" s="725">
        <f t="shared" si="42"/>
        <v>0</v>
      </c>
      <c r="AZ115" s="725">
        <f t="shared" ca="1" si="42"/>
        <v>0</v>
      </c>
      <c r="BA115" s="725">
        <f t="shared" ca="1" si="42"/>
        <v>0</v>
      </c>
      <c r="BB115" s="725">
        <f t="shared" si="42"/>
        <v>0</v>
      </c>
      <c r="BC115" s="725">
        <f t="shared" ca="1" si="42"/>
        <v>0</v>
      </c>
      <c r="BD115" s="725">
        <f t="shared" ca="1" si="42"/>
        <v>0</v>
      </c>
      <c r="BE115" s="725">
        <f t="shared" si="42"/>
        <v>0</v>
      </c>
      <c r="BF115" s="725">
        <f t="shared" ca="1" si="42"/>
        <v>0</v>
      </c>
      <c r="BG115" s="725">
        <f t="shared" ca="1" si="42"/>
        <v>0</v>
      </c>
      <c r="BH115" s="725">
        <f t="shared" si="42"/>
        <v>0</v>
      </c>
      <c r="BI115" s="725">
        <f t="shared" ca="1" si="42"/>
        <v>0</v>
      </c>
      <c r="BJ115" s="725">
        <f t="shared" ca="1" si="42"/>
        <v>0</v>
      </c>
      <c r="BK115" s="725">
        <f t="shared" si="42"/>
        <v>0</v>
      </c>
      <c r="BL115" s="725">
        <f t="shared" ca="1" si="42"/>
        <v>0</v>
      </c>
      <c r="BM115" s="725">
        <f t="shared" ca="1" si="42"/>
        <v>0</v>
      </c>
      <c r="BN115" s="725">
        <f t="shared" ref="BN115:CS115" si="43">SUM(BN116:BN117)</f>
        <v>0</v>
      </c>
      <c r="BO115" s="725">
        <f t="shared" ca="1" si="43"/>
        <v>0</v>
      </c>
      <c r="BP115" s="725">
        <f t="shared" ca="1" si="43"/>
        <v>0</v>
      </c>
      <c r="BQ115" s="725">
        <f t="shared" si="43"/>
        <v>0</v>
      </c>
      <c r="BR115" s="725">
        <f t="shared" ca="1" si="43"/>
        <v>0</v>
      </c>
      <c r="BS115" s="725">
        <f t="shared" ca="1" si="43"/>
        <v>0</v>
      </c>
      <c r="BT115" s="725">
        <f t="shared" si="43"/>
        <v>0</v>
      </c>
      <c r="BU115" s="725">
        <f t="shared" ca="1" si="43"/>
        <v>0</v>
      </c>
      <c r="BV115" s="725">
        <f t="shared" ca="1" si="43"/>
        <v>0</v>
      </c>
      <c r="BW115" s="725">
        <f t="shared" si="43"/>
        <v>0</v>
      </c>
      <c r="BX115" s="725">
        <f t="shared" ca="1" si="43"/>
        <v>0</v>
      </c>
      <c r="BY115" s="725">
        <f t="shared" ca="1" si="43"/>
        <v>0</v>
      </c>
      <c r="BZ115" s="725">
        <f t="shared" si="43"/>
        <v>0</v>
      </c>
      <c r="CA115" s="725">
        <f t="shared" ca="1" si="43"/>
        <v>0</v>
      </c>
      <c r="CB115" s="725">
        <f t="shared" ca="1" si="43"/>
        <v>0</v>
      </c>
      <c r="CC115" s="725">
        <f t="shared" si="43"/>
        <v>0</v>
      </c>
      <c r="CD115" s="725">
        <f t="shared" ca="1" si="43"/>
        <v>0</v>
      </c>
      <c r="CE115" s="725">
        <f t="shared" ca="1" si="43"/>
        <v>0</v>
      </c>
      <c r="CF115" s="725">
        <f t="shared" si="43"/>
        <v>0</v>
      </c>
      <c r="CG115" s="725">
        <f t="shared" ca="1" si="43"/>
        <v>0</v>
      </c>
      <c r="CH115" s="725">
        <f t="shared" ca="1" si="43"/>
        <v>0</v>
      </c>
      <c r="CI115" s="725">
        <f t="shared" si="43"/>
        <v>0</v>
      </c>
      <c r="CJ115" s="725">
        <f t="shared" ca="1" si="43"/>
        <v>0</v>
      </c>
      <c r="CK115" s="725">
        <f t="shared" ca="1" si="43"/>
        <v>0</v>
      </c>
      <c r="CL115" s="725">
        <f t="shared" si="43"/>
        <v>0</v>
      </c>
      <c r="CM115" s="725">
        <f t="shared" ca="1" si="43"/>
        <v>0</v>
      </c>
      <c r="CN115" s="725">
        <f t="shared" ca="1" si="43"/>
        <v>0</v>
      </c>
      <c r="CO115" s="725">
        <f t="shared" si="43"/>
        <v>0</v>
      </c>
      <c r="CP115" s="725">
        <f t="shared" ca="1" si="43"/>
        <v>0</v>
      </c>
      <c r="CQ115" s="725">
        <f t="shared" ca="1" si="43"/>
        <v>0</v>
      </c>
      <c r="CR115" s="725">
        <f t="shared" si="43"/>
        <v>0</v>
      </c>
      <c r="CS115" s="725">
        <f t="shared" ca="1" si="43"/>
        <v>0</v>
      </c>
      <c r="CT115" s="25"/>
      <c r="CW115" s="960" t="s">
        <v>885</v>
      </c>
    </row>
    <row r="116" spans="5:104" ht="16.7" hidden="1" customHeight="1" x14ac:dyDescent="0.15">
      <c r="E116" s="668">
        <v>17.100000000000001</v>
      </c>
      <c r="F116" s="769" cm="1">
        <f t="array" aca="1" ref="F116" ca="1">OFFSET(G116,-1,-1)</f>
        <v>0</v>
      </c>
      <c r="L116" s="769" t="b" cm="1">
        <f t="array" aca="1" ref="L116" ca="1">OFFSET(M116,-1,-1)</f>
        <v>0</v>
      </c>
      <c r="R116" s="769" t="s">
        <v>750</v>
      </c>
      <c r="S116" s="107" t="b" cm="1">
        <f t="array" aca="1" ref="S116" ca="1">OFFSET(T116,-1,-1)</f>
        <v>0</v>
      </c>
      <c r="T116" s="107" t="b">
        <f ca="1">AND(L116,AD116&lt;&gt;"37.0")</f>
        <v>0</v>
      </c>
      <c r="U116" s="690" t="b">
        <f t="shared" ca="1" si="35"/>
        <v>0</v>
      </c>
      <c r="X116" s="107" t="s">
        <v>237</v>
      </c>
      <c r="Y116" s="1428"/>
      <c r="Z116" s="1428"/>
      <c r="AB116" s="1536"/>
      <c r="AD116" s="108" t="s">
        <v>886</v>
      </c>
      <c r="AE116" s="811"/>
      <c r="AF116" s="516"/>
      <c r="AG116" s="724" t="s">
        <v>830</v>
      </c>
      <c r="AH116" s="38">
        <f>AH$52*AH113</f>
        <v>0</v>
      </c>
      <c r="AI116" s="39">
        <f>AI$52*AI113</f>
        <v>0</v>
      </c>
      <c r="AJ116" s="39">
        <f>AJ$52*AJ113</f>
        <v>0</v>
      </c>
      <c r="AK116" s="39">
        <f>AK$52*AK113</f>
        <v>0</v>
      </c>
      <c r="AL116" s="727">
        <f ca="1">AM116+AN116</f>
        <v>0</v>
      </c>
      <c r="AM116" s="39">
        <f>AM$52*AM113</f>
        <v>0</v>
      </c>
      <c r="AN116" s="39">
        <f ca="1">AN$52*AN113</f>
        <v>0</v>
      </c>
      <c r="AO116" s="727">
        <f ca="1">AP116+AQ116</f>
        <v>0</v>
      </c>
      <c r="AP116" s="1244">
        <f>AP$52*AP113</f>
        <v>0</v>
      </c>
      <c r="AQ116" s="1244">
        <f ca="1">AQ$52*AQ113</f>
        <v>0</v>
      </c>
      <c r="AR116" s="727">
        <f ca="1">AS116+AT116</f>
        <v>0</v>
      </c>
      <c r="AS116" s="1244">
        <f>AS$52*AS113</f>
        <v>0</v>
      </c>
      <c r="AT116" s="1244">
        <f ca="1">AT$52*AT113</f>
        <v>0</v>
      </c>
      <c r="AU116" s="727">
        <f ca="1">AV116+AW116</f>
        <v>0</v>
      </c>
      <c r="AV116" s="39">
        <f>AV$52*AV113</f>
        <v>0</v>
      </c>
      <c r="AW116" s="39">
        <f ca="1">AW$52*AW113</f>
        <v>0</v>
      </c>
      <c r="AX116" s="727">
        <f ca="1">AY116+AZ116</f>
        <v>0</v>
      </c>
      <c r="AY116" s="39">
        <f>AY$52*AY113</f>
        <v>0</v>
      </c>
      <c r="AZ116" s="39">
        <f ca="1">AZ$52*AZ113</f>
        <v>0</v>
      </c>
      <c r="BA116" s="727">
        <f ca="1">BB116+BC116</f>
        <v>0</v>
      </c>
      <c r="BB116" s="39">
        <f>BB$52*BB113</f>
        <v>0</v>
      </c>
      <c r="BC116" s="39">
        <f ca="1">BC$52*BC113</f>
        <v>0</v>
      </c>
      <c r="BD116" s="727">
        <f ca="1">BE116+BF116</f>
        <v>0</v>
      </c>
      <c r="BE116" s="39">
        <f>BE$52*BE113</f>
        <v>0</v>
      </c>
      <c r="BF116" s="39">
        <f ca="1">BF$52*BF113</f>
        <v>0</v>
      </c>
      <c r="BG116" s="727">
        <f ca="1">BH116+BI116</f>
        <v>0</v>
      </c>
      <c r="BH116" s="39">
        <f>BH$52*BH113</f>
        <v>0</v>
      </c>
      <c r="BI116" s="39">
        <f ca="1">BI$52*BI113</f>
        <v>0</v>
      </c>
      <c r="BJ116" s="727">
        <f ca="1">BK116+BL116</f>
        <v>0</v>
      </c>
      <c r="BK116" s="39">
        <f>BK$52*BK113</f>
        <v>0</v>
      </c>
      <c r="BL116" s="39">
        <f ca="1">BL$52*BL113</f>
        <v>0</v>
      </c>
      <c r="BM116" s="727">
        <f ca="1">BN116+BO116</f>
        <v>0</v>
      </c>
      <c r="BN116" s="39">
        <f>BN$52*BN113</f>
        <v>0</v>
      </c>
      <c r="BO116" s="39">
        <f ca="1">BO$52*BO113</f>
        <v>0</v>
      </c>
      <c r="BP116" s="727">
        <f ca="1">BQ116+BR116</f>
        <v>0</v>
      </c>
      <c r="BQ116" s="816">
        <f>BQ$52*BQ113</f>
        <v>0</v>
      </c>
      <c r="BR116" s="816">
        <f ca="1">BR$52*BR113</f>
        <v>0</v>
      </c>
      <c r="BS116" s="727">
        <f ca="1">BT116+BU116</f>
        <v>0</v>
      </c>
      <c r="BT116" s="1244">
        <f>BT$52*BT113</f>
        <v>0</v>
      </c>
      <c r="BU116" s="1244">
        <f ca="1">BU$52*BU113</f>
        <v>0</v>
      </c>
      <c r="BV116" s="727">
        <f ca="1">BW116+BX116</f>
        <v>0</v>
      </c>
      <c r="BW116" s="1244">
        <f>BW$52*BW113</f>
        <v>0</v>
      </c>
      <c r="BX116" s="1244">
        <f ca="1">BX$52*BX113</f>
        <v>0</v>
      </c>
      <c r="BY116" s="727">
        <f ca="1">BZ116+CA116</f>
        <v>0</v>
      </c>
      <c r="BZ116" s="39">
        <f>BZ$52*BZ113</f>
        <v>0</v>
      </c>
      <c r="CA116" s="39">
        <f ca="1">CA$52*CA113</f>
        <v>0</v>
      </c>
      <c r="CB116" s="727">
        <f ca="1">CC116+CD116</f>
        <v>0</v>
      </c>
      <c r="CC116" s="39">
        <f>CC$52*CC113</f>
        <v>0</v>
      </c>
      <c r="CD116" s="39">
        <f ca="1">CD$52*CD113</f>
        <v>0</v>
      </c>
      <c r="CE116" s="727">
        <f ca="1">CF116+CG116</f>
        <v>0</v>
      </c>
      <c r="CF116" s="39">
        <f>CF$52*CF113</f>
        <v>0</v>
      </c>
      <c r="CG116" s="39">
        <f ca="1">CG$52*CG113</f>
        <v>0</v>
      </c>
      <c r="CH116" s="727">
        <f ca="1">CI116+CJ116</f>
        <v>0</v>
      </c>
      <c r="CI116" s="39">
        <f>CI$52*CI113</f>
        <v>0</v>
      </c>
      <c r="CJ116" s="39">
        <f ca="1">CJ$52*CJ113</f>
        <v>0</v>
      </c>
      <c r="CK116" s="727">
        <f ca="1">CL116+CM116</f>
        <v>0</v>
      </c>
      <c r="CL116" s="39">
        <f>CL$52*CL113</f>
        <v>0</v>
      </c>
      <c r="CM116" s="39">
        <f ca="1">CM$52*CM113</f>
        <v>0</v>
      </c>
      <c r="CN116" s="727">
        <f ca="1">CO116+CP116</f>
        <v>0</v>
      </c>
      <c r="CO116" s="39">
        <f>CO$52*CO113</f>
        <v>0</v>
      </c>
      <c r="CP116" s="39">
        <f ca="1">CP$52*CP113</f>
        <v>0</v>
      </c>
      <c r="CQ116" s="727">
        <f ca="1">CR116+CS116</f>
        <v>0</v>
      </c>
      <c r="CR116" s="39">
        <f>CR$52*CR113</f>
        <v>0</v>
      </c>
      <c r="CS116" s="39">
        <f ca="1">CS$52*CS113</f>
        <v>0</v>
      </c>
      <c r="CT116" s="25"/>
      <c r="CW116" s="960" t="s">
        <v>885</v>
      </c>
      <c r="CX116" s="965" t="s">
        <v>812</v>
      </c>
      <c r="CY116" s="969" cm="1">
        <f t="array" ref="CY116">AE116</f>
        <v>0</v>
      </c>
      <c r="CZ116" s="969" cm="1">
        <f t="array" ref="CZ116">AF116</f>
        <v>0</v>
      </c>
    </row>
    <row r="117" spans="5:104" ht="15" hidden="1" customHeight="1" x14ac:dyDescent="0.15">
      <c r="E117" s="668">
        <v>0</v>
      </c>
      <c r="F117" s="769" cm="1">
        <f t="array" aca="1" ref="F117" ca="1">OFFSET(G117,-1,-1)</f>
        <v>0</v>
      </c>
      <c r="L117" s="769" t="b" cm="1">
        <f t="array" aca="1" ref="L117" ca="1">OFFSET(M117,-1,-1)</f>
        <v>0</v>
      </c>
      <c r="S117" s="107" t="b" cm="1">
        <f t="array" aca="1" ref="S117" ca="1">OFFSET(T117,-1,-1)</f>
        <v>0</v>
      </c>
      <c r="U117" s="690" t="b">
        <f t="shared" ca="1" si="35"/>
        <v>0</v>
      </c>
      <c r="X117" s="810" t="str">
        <f>"{                  
         funcDyn: 'msg1',
         blok: 'blok_2',
         wsCross: 'Топливо 4.4',
         linkFormula: 'AE-AE#AF-AF',
         levelDyn: "&amp;Y28&amp;"
}"</f>
        <v>{                  
         funcDyn: 'msg1',
         blok: 'blok_2',
         wsCross: 'Топливо 4.4',
         linkFormula: 'AE-AE#AF-AF',
         levelDyn: 0
}</v>
      </c>
      <c r="Y117" s="1428"/>
      <c r="Z117" s="1428"/>
      <c r="AB117" s="1537"/>
      <c r="AD117" s="813"/>
      <c r="AE117" s="812" t="s">
        <v>239</v>
      </c>
      <c r="AF117" s="736"/>
      <c r="AG117" s="724"/>
      <c r="AH117" s="726"/>
      <c r="AI117" s="728"/>
      <c r="AJ117" s="728"/>
      <c r="AK117" s="728"/>
      <c r="AL117" s="728"/>
      <c r="AM117" s="728"/>
      <c r="AN117" s="728"/>
      <c r="AO117" s="728"/>
      <c r="AP117" s="728"/>
      <c r="AQ117" s="728"/>
      <c r="AR117" s="728"/>
      <c r="AS117" s="728"/>
      <c r="AT117" s="728"/>
      <c r="AU117" s="728"/>
      <c r="AV117" s="728"/>
      <c r="AW117" s="728"/>
      <c r="AX117" s="728"/>
      <c r="AY117" s="728"/>
      <c r="AZ117" s="728"/>
      <c r="BA117" s="728"/>
      <c r="BB117" s="728"/>
      <c r="BC117" s="728"/>
      <c r="BD117" s="728"/>
      <c r="BE117" s="728"/>
      <c r="BF117" s="728"/>
      <c r="BG117" s="728"/>
      <c r="BH117" s="728"/>
      <c r="BI117" s="728"/>
      <c r="BJ117" s="728"/>
      <c r="BK117" s="728"/>
      <c r="BL117" s="728"/>
      <c r="BM117" s="728"/>
      <c r="BN117" s="728"/>
      <c r="BO117" s="728"/>
      <c r="BP117" s="728"/>
      <c r="BQ117" s="728"/>
      <c r="BR117" s="728"/>
      <c r="BS117" s="728"/>
      <c r="BT117" s="728"/>
      <c r="BU117" s="728"/>
      <c r="BV117" s="728"/>
      <c r="BW117" s="728"/>
      <c r="BX117" s="728"/>
      <c r="BY117" s="728"/>
      <c r="BZ117" s="728"/>
      <c r="CA117" s="728"/>
      <c r="CB117" s="728"/>
      <c r="CC117" s="728"/>
      <c r="CD117" s="728"/>
      <c r="CE117" s="728"/>
      <c r="CF117" s="728"/>
      <c r="CG117" s="728"/>
      <c r="CH117" s="728"/>
      <c r="CI117" s="728"/>
      <c r="CJ117" s="728"/>
      <c r="CK117" s="728"/>
      <c r="CL117" s="728"/>
      <c r="CM117" s="728"/>
      <c r="CN117" s="728"/>
      <c r="CO117" s="728"/>
      <c r="CP117" s="728"/>
      <c r="CQ117" s="728"/>
      <c r="CR117" s="728"/>
      <c r="CS117" s="728"/>
      <c r="CT117" s="43"/>
      <c r="CW117" s="960" t="str">
        <f>IF(AND(ISNUMBER(VALUE(TRIM(SUBSTITUTE(AD117,".","")))),TRIM(SUBSTITUTE(AD117,".",""))&lt;&gt;""),"P"&amp;SUBSTITUTE(AD117,".",""),"")</f>
        <v/>
      </c>
    </row>
    <row r="118" spans="5:104" ht="16.7" hidden="1" customHeight="1" x14ac:dyDescent="0.15">
      <c r="E118" s="668">
        <v>17.100000000000001</v>
      </c>
      <c r="F118" s="769" cm="1">
        <f t="array" aca="1" ref="F118" ca="1">OFFSET(G118,-1,-1)</f>
        <v>0</v>
      </c>
      <c r="L118" s="769" t="b" cm="1">
        <f t="array" aca="1" ref="L118" ca="1">OFFSET(M118,-1,-1)</f>
        <v>0</v>
      </c>
      <c r="S118" s="107" t="b" cm="1">
        <f t="array" aca="1" ref="S118" ca="1">OFFSET(T118,-1,-1)</f>
        <v>0</v>
      </c>
      <c r="U118" s="690" t="b">
        <f t="shared" ca="1" si="35"/>
        <v>0</v>
      </c>
      <c r="Y118" s="1428"/>
      <c r="Z118" s="1428"/>
      <c r="AB118" s="1535" t="s">
        <v>887</v>
      </c>
      <c r="AD118" s="121" t="s">
        <v>888</v>
      </c>
      <c r="AE118" s="1510" t="s">
        <v>889</v>
      </c>
      <c r="AF118" s="1493"/>
      <c r="AG118" s="724" t="s">
        <v>830</v>
      </c>
      <c r="AH118" s="725">
        <f t="shared" ref="AH118:BM118" si="44">SUM(AH120:AH121)</f>
        <v>0</v>
      </c>
      <c r="AI118" s="725">
        <f t="shared" si="44"/>
        <v>0</v>
      </c>
      <c r="AJ118" s="725">
        <f t="shared" si="44"/>
        <v>0</v>
      </c>
      <c r="AK118" s="725">
        <f t="shared" si="44"/>
        <v>0</v>
      </c>
      <c r="AL118" s="725">
        <f t="shared" si="44"/>
        <v>0</v>
      </c>
      <c r="AM118" s="725">
        <f t="shared" si="44"/>
        <v>0</v>
      </c>
      <c r="AN118" s="725">
        <f t="shared" si="44"/>
        <v>0</v>
      </c>
      <c r="AO118" s="725">
        <f t="shared" si="44"/>
        <v>0</v>
      </c>
      <c r="AP118" s="725">
        <f t="shared" si="44"/>
        <v>0</v>
      </c>
      <c r="AQ118" s="725">
        <f t="shared" si="44"/>
        <v>0</v>
      </c>
      <c r="AR118" s="725">
        <f t="shared" si="44"/>
        <v>0</v>
      </c>
      <c r="AS118" s="725">
        <f t="shared" si="44"/>
        <v>0</v>
      </c>
      <c r="AT118" s="725">
        <f t="shared" si="44"/>
        <v>0</v>
      </c>
      <c r="AU118" s="725">
        <f t="shared" si="44"/>
        <v>0</v>
      </c>
      <c r="AV118" s="725">
        <f t="shared" si="44"/>
        <v>0</v>
      </c>
      <c r="AW118" s="725">
        <f t="shared" si="44"/>
        <v>0</v>
      </c>
      <c r="AX118" s="725">
        <f t="shared" si="44"/>
        <v>0</v>
      </c>
      <c r="AY118" s="725">
        <f t="shared" si="44"/>
        <v>0</v>
      </c>
      <c r="AZ118" s="725">
        <f t="shared" si="44"/>
        <v>0</v>
      </c>
      <c r="BA118" s="725">
        <f t="shared" si="44"/>
        <v>0</v>
      </c>
      <c r="BB118" s="725">
        <f t="shared" si="44"/>
        <v>0</v>
      </c>
      <c r="BC118" s="725">
        <f t="shared" si="44"/>
        <v>0</v>
      </c>
      <c r="BD118" s="725">
        <f t="shared" si="44"/>
        <v>0</v>
      </c>
      <c r="BE118" s="725">
        <f t="shared" si="44"/>
        <v>0</v>
      </c>
      <c r="BF118" s="725">
        <f t="shared" si="44"/>
        <v>0</v>
      </c>
      <c r="BG118" s="725">
        <f t="shared" si="44"/>
        <v>0</v>
      </c>
      <c r="BH118" s="725">
        <f t="shared" si="44"/>
        <v>0</v>
      </c>
      <c r="BI118" s="725">
        <f t="shared" si="44"/>
        <v>0</v>
      </c>
      <c r="BJ118" s="725">
        <f t="shared" si="44"/>
        <v>0</v>
      </c>
      <c r="BK118" s="725">
        <f t="shared" si="44"/>
        <v>0</v>
      </c>
      <c r="BL118" s="725">
        <f t="shared" si="44"/>
        <v>0</v>
      </c>
      <c r="BM118" s="725">
        <f t="shared" si="44"/>
        <v>0</v>
      </c>
      <c r="BN118" s="725">
        <f t="shared" ref="BN118:CS118" si="45">SUM(BN120:BN121)</f>
        <v>0</v>
      </c>
      <c r="BO118" s="725">
        <f t="shared" si="45"/>
        <v>0</v>
      </c>
      <c r="BP118" s="725">
        <f t="shared" si="45"/>
        <v>0</v>
      </c>
      <c r="BQ118" s="725">
        <f t="shared" si="45"/>
        <v>0</v>
      </c>
      <c r="BR118" s="725">
        <f t="shared" si="45"/>
        <v>0</v>
      </c>
      <c r="BS118" s="725">
        <f t="shared" si="45"/>
        <v>0</v>
      </c>
      <c r="BT118" s="725">
        <f t="shared" si="45"/>
        <v>0</v>
      </c>
      <c r="BU118" s="725">
        <f t="shared" si="45"/>
        <v>0</v>
      </c>
      <c r="BV118" s="725">
        <f t="shared" si="45"/>
        <v>0</v>
      </c>
      <c r="BW118" s="725">
        <f t="shared" si="45"/>
        <v>0</v>
      </c>
      <c r="BX118" s="725">
        <f t="shared" si="45"/>
        <v>0</v>
      </c>
      <c r="BY118" s="725">
        <f t="shared" si="45"/>
        <v>0</v>
      </c>
      <c r="BZ118" s="725">
        <f t="shared" si="45"/>
        <v>0</v>
      </c>
      <c r="CA118" s="725">
        <f t="shared" si="45"/>
        <v>0</v>
      </c>
      <c r="CB118" s="725">
        <f t="shared" si="45"/>
        <v>0</v>
      </c>
      <c r="CC118" s="725">
        <f t="shared" si="45"/>
        <v>0</v>
      </c>
      <c r="CD118" s="725">
        <f t="shared" si="45"/>
        <v>0</v>
      </c>
      <c r="CE118" s="725">
        <f t="shared" si="45"/>
        <v>0</v>
      </c>
      <c r="CF118" s="725">
        <f t="shared" si="45"/>
        <v>0</v>
      </c>
      <c r="CG118" s="725">
        <f t="shared" si="45"/>
        <v>0</v>
      </c>
      <c r="CH118" s="725">
        <f t="shared" si="45"/>
        <v>0</v>
      </c>
      <c r="CI118" s="725">
        <f t="shared" si="45"/>
        <v>0</v>
      </c>
      <c r="CJ118" s="725">
        <f t="shared" si="45"/>
        <v>0</v>
      </c>
      <c r="CK118" s="725">
        <f t="shared" si="45"/>
        <v>0</v>
      </c>
      <c r="CL118" s="725">
        <f t="shared" si="45"/>
        <v>0</v>
      </c>
      <c r="CM118" s="725">
        <f t="shared" si="45"/>
        <v>0</v>
      </c>
      <c r="CN118" s="725">
        <f t="shared" si="45"/>
        <v>0</v>
      </c>
      <c r="CO118" s="725">
        <f t="shared" si="45"/>
        <v>0</v>
      </c>
      <c r="CP118" s="725">
        <f t="shared" si="45"/>
        <v>0</v>
      </c>
      <c r="CQ118" s="725">
        <f t="shared" si="45"/>
        <v>0</v>
      </c>
      <c r="CR118" s="725">
        <f t="shared" si="45"/>
        <v>0</v>
      </c>
      <c r="CS118" s="725">
        <f t="shared" si="45"/>
        <v>0</v>
      </c>
      <c r="CT118" s="25"/>
      <c r="CW118" s="960" t="s">
        <v>890</v>
      </c>
    </row>
    <row r="119" spans="5:104" ht="16.7" hidden="1" customHeight="1" x14ac:dyDescent="0.15">
      <c r="E119" s="668">
        <v>17.100000000000001</v>
      </c>
      <c r="F119" s="769" cm="1">
        <f t="array" aca="1" ref="F119" ca="1">OFFSET(G119,-1,-1)</f>
        <v>0</v>
      </c>
      <c r="L119" s="769" t="b" cm="1">
        <f t="array" aca="1" ref="L119" ca="1">OFFSET(M119,-1,-1)</f>
        <v>0</v>
      </c>
      <c r="R119" s="769" t="s">
        <v>750</v>
      </c>
      <c r="S119" s="107" t="b" cm="1">
        <f t="array" aca="1" ref="S119" ca="1">OFFSET(T119,-1,-1)</f>
        <v>0</v>
      </c>
      <c r="T119" s="769" t="b">
        <v>0</v>
      </c>
      <c r="U119" s="690" t="b">
        <f t="shared" ca="1" si="35"/>
        <v>0</v>
      </c>
      <c r="Y119" s="1428"/>
      <c r="Z119" s="1428"/>
      <c r="AB119" s="1536"/>
      <c r="AD119" s="108" t="str">
        <f>AD118&amp;".0"</f>
        <v>38.0</v>
      </c>
      <c r="AE119" s="1513" t="s">
        <v>761</v>
      </c>
      <c r="AF119" s="1514"/>
      <c r="AG119" s="724" t="s">
        <v>830</v>
      </c>
      <c r="AH119" s="38">
        <f>AH$52*AH118</f>
        <v>0</v>
      </c>
      <c r="AI119" s="39">
        <f>AI$52*AI118</f>
        <v>0</v>
      </c>
      <c r="AJ119" s="39">
        <f>AJ$52*AJ118</f>
        <v>0</v>
      </c>
      <c r="AK119" s="39">
        <f>AK$52*AK118</f>
        <v>0</v>
      </c>
      <c r="AL119" s="727">
        <f ca="1">AM119+AN119</f>
        <v>0</v>
      </c>
      <c r="AM119" s="39">
        <f>AM$52*AM118</f>
        <v>0</v>
      </c>
      <c r="AN119" s="39">
        <f ca="1">AN$52*AN118</f>
        <v>0</v>
      </c>
      <c r="AO119" s="727">
        <f ca="1">AP119+AQ119</f>
        <v>0</v>
      </c>
      <c r="AP119" s="1244">
        <f>AP$52*AP118</f>
        <v>0</v>
      </c>
      <c r="AQ119" s="1244">
        <f ca="1">AQ$52*AQ118</f>
        <v>0</v>
      </c>
      <c r="AR119" s="727">
        <f ca="1">AS119+AT119</f>
        <v>0</v>
      </c>
      <c r="AS119" s="1244">
        <f>AS$52*AS118</f>
        <v>0</v>
      </c>
      <c r="AT119" s="1244">
        <f ca="1">AT$52*AT118</f>
        <v>0</v>
      </c>
      <c r="AU119" s="727">
        <f ca="1">AV119+AW119</f>
        <v>0</v>
      </c>
      <c r="AV119" s="39">
        <f>AV$52*AV118</f>
        <v>0</v>
      </c>
      <c r="AW119" s="39">
        <f ca="1">AW$52*AW118</f>
        <v>0</v>
      </c>
      <c r="AX119" s="727">
        <f ca="1">AY119+AZ119</f>
        <v>0</v>
      </c>
      <c r="AY119" s="39">
        <f>AY$52*AY118</f>
        <v>0</v>
      </c>
      <c r="AZ119" s="39">
        <f ca="1">AZ$52*AZ118</f>
        <v>0</v>
      </c>
      <c r="BA119" s="727">
        <f ca="1">BB119+BC119</f>
        <v>0</v>
      </c>
      <c r="BB119" s="39">
        <f>BB$52*BB118</f>
        <v>0</v>
      </c>
      <c r="BC119" s="39">
        <f ca="1">BC$52*BC118</f>
        <v>0</v>
      </c>
      <c r="BD119" s="727">
        <f ca="1">BE119+BF119</f>
        <v>0</v>
      </c>
      <c r="BE119" s="39">
        <f>BE$52*BE118</f>
        <v>0</v>
      </c>
      <c r="BF119" s="39">
        <f ca="1">BF$52*BF118</f>
        <v>0</v>
      </c>
      <c r="BG119" s="727">
        <f ca="1">BH119+BI119</f>
        <v>0</v>
      </c>
      <c r="BH119" s="39">
        <f>BH$52*BH118</f>
        <v>0</v>
      </c>
      <c r="BI119" s="39">
        <f ca="1">BI$52*BI118</f>
        <v>0</v>
      </c>
      <c r="BJ119" s="727">
        <f ca="1">BK119+BL119</f>
        <v>0</v>
      </c>
      <c r="BK119" s="39">
        <f>BK$52*BK118</f>
        <v>0</v>
      </c>
      <c r="BL119" s="39">
        <f ca="1">BL$52*BL118</f>
        <v>0</v>
      </c>
      <c r="BM119" s="727">
        <f ca="1">BN119+BO119</f>
        <v>0</v>
      </c>
      <c r="BN119" s="39">
        <f>BN$52*BN118</f>
        <v>0</v>
      </c>
      <c r="BO119" s="39">
        <f ca="1">BO$52*BO118</f>
        <v>0</v>
      </c>
      <c r="BP119" s="727">
        <f ca="1">BQ119+BR119</f>
        <v>0</v>
      </c>
      <c r="BQ119" s="816">
        <f>BQ$52*BQ118</f>
        <v>0</v>
      </c>
      <c r="BR119" s="816">
        <f ca="1">BR$52*BR118</f>
        <v>0</v>
      </c>
      <c r="BS119" s="727">
        <f ca="1">BT119+BU119</f>
        <v>0</v>
      </c>
      <c r="BT119" s="1244">
        <f>BT$52*BT118</f>
        <v>0</v>
      </c>
      <c r="BU119" s="1244">
        <f ca="1">BU$52*BU118</f>
        <v>0</v>
      </c>
      <c r="BV119" s="727">
        <f ca="1">BW119+BX119</f>
        <v>0</v>
      </c>
      <c r="BW119" s="1244">
        <f>BW$52*BW118</f>
        <v>0</v>
      </c>
      <c r="BX119" s="1244">
        <f ca="1">BX$52*BX118</f>
        <v>0</v>
      </c>
      <c r="BY119" s="727">
        <f ca="1">BZ119+CA119</f>
        <v>0</v>
      </c>
      <c r="BZ119" s="39">
        <f>BZ$52*BZ118</f>
        <v>0</v>
      </c>
      <c r="CA119" s="39">
        <f ca="1">CA$52*CA118</f>
        <v>0</v>
      </c>
      <c r="CB119" s="727">
        <f ca="1">CC119+CD119</f>
        <v>0</v>
      </c>
      <c r="CC119" s="39">
        <f>CC$52*CC118</f>
        <v>0</v>
      </c>
      <c r="CD119" s="39">
        <f ca="1">CD$52*CD118</f>
        <v>0</v>
      </c>
      <c r="CE119" s="727">
        <f ca="1">CF119+CG119</f>
        <v>0</v>
      </c>
      <c r="CF119" s="39">
        <f>CF$52*CF118</f>
        <v>0</v>
      </c>
      <c r="CG119" s="39">
        <f ca="1">CG$52*CG118</f>
        <v>0</v>
      </c>
      <c r="CH119" s="727">
        <f ca="1">CI119+CJ119</f>
        <v>0</v>
      </c>
      <c r="CI119" s="39">
        <f>CI$52*CI118</f>
        <v>0</v>
      </c>
      <c r="CJ119" s="39">
        <f ca="1">CJ$52*CJ118</f>
        <v>0</v>
      </c>
      <c r="CK119" s="727">
        <f ca="1">CL119+CM119</f>
        <v>0</v>
      </c>
      <c r="CL119" s="39">
        <f>CL$52*CL118</f>
        <v>0</v>
      </c>
      <c r="CM119" s="39">
        <f ca="1">CM$52*CM118</f>
        <v>0</v>
      </c>
      <c r="CN119" s="727">
        <f ca="1">CO119+CP119</f>
        <v>0</v>
      </c>
      <c r="CO119" s="39">
        <f>CO$52*CO118</f>
        <v>0</v>
      </c>
      <c r="CP119" s="39">
        <f ca="1">CP$52*CP118</f>
        <v>0</v>
      </c>
      <c r="CQ119" s="727">
        <f ca="1">CR119+CS119</f>
        <v>0</v>
      </c>
      <c r="CR119" s="39">
        <f>CR$52*CR118</f>
        <v>0</v>
      </c>
      <c r="CS119" s="39">
        <f ca="1">CS$52*CS118</f>
        <v>0</v>
      </c>
      <c r="CT119" s="25"/>
      <c r="CW119" s="960" t="s">
        <v>891</v>
      </c>
    </row>
    <row r="120" spans="5:104" ht="16.7" hidden="1" customHeight="1" x14ac:dyDescent="0.15">
      <c r="E120" s="668">
        <v>17.100000000000001</v>
      </c>
      <c r="F120" s="769" cm="1">
        <f t="array" aca="1" ref="F120" ca="1">OFFSET(G120,-1,-1)</f>
        <v>0</v>
      </c>
      <c r="L120" s="769" t="b" cm="1">
        <f t="array" aca="1" ref="L120" ca="1">OFFSET(M120,-1,-1)</f>
        <v>0</v>
      </c>
      <c r="S120" s="107" t="b" cm="1">
        <f t="array" aca="1" ref="S120" ca="1">OFFSET(T120,-1,-1)</f>
        <v>0</v>
      </c>
      <c r="T120" s="107" t="b">
        <f>AD120&lt;&gt;"38.0"</f>
        <v>0</v>
      </c>
      <c r="U120" s="690" t="b">
        <f t="shared" ca="1" si="35"/>
        <v>0</v>
      </c>
      <c r="X120" s="107" t="s">
        <v>237</v>
      </c>
      <c r="Y120" s="1428"/>
      <c r="Z120" s="1428"/>
      <c r="AB120" s="1536"/>
      <c r="AD120" s="108" t="s">
        <v>892</v>
      </c>
      <c r="AE120" s="811"/>
      <c r="AF120" s="516"/>
      <c r="AG120" s="724" t="s">
        <v>830</v>
      </c>
      <c r="AH120" s="38"/>
      <c r="AI120" s="39"/>
      <c r="AJ120" s="39"/>
      <c r="AK120" s="39"/>
      <c r="AL120" s="727">
        <f>AM120+AN120</f>
        <v>0</v>
      </c>
      <c r="AM120" s="39"/>
      <c r="AN120" s="39"/>
      <c r="AO120" s="727">
        <f>AP120+AQ120</f>
        <v>0</v>
      </c>
      <c r="AP120" s="1244"/>
      <c r="AQ120" s="1244"/>
      <c r="AR120" s="727">
        <f>AS120+AT120</f>
        <v>0</v>
      </c>
      <c r="AS120" s="1244"/>
      <c r="AT120" s="1244"/>
      <c r="AU120" s="727">
        <f>AV120+AW120</f>
        <v>0</v>
      </c>
      <c r="AV120" s="39"/>
      <c r="AW120" s="39"/>
      <c r="AX120" s="727">
        <f>AY120+AZ120</f>
        <v>0</v>
      </c>
      <c r="AY120" s="39"/>
      <c r="AZ120" s="39"/>
      <c r="BA120" s="727">
        <f>BB120+BC120</f>
        <v>0</v>
      </c>
      <c r="BB120" s="39"/>
      <c r="BC120" s="39"/>
      <c r="BD120" s="727">
        <f>BE120+BF120</f>
        <v>0</v>
      </c>
      <c r="BE120" s="39"/>
      <c r="BF120" s="39"/>
      <c r="BG120" s="727">
        <f>BH120+BI120</f>
        <v>0</v>
      </c>
      <c r="BH120" s="39"/>
      <c r="BI120" s="39"/>
      <c r="BJ120" s="727">
        <f>BK120+BL120</f>
        <v>0</v>
      </c>
      <c r="BK120" s="39"/>
      <c r="BL120" s="39"/>
      <c r="BM120" s="727">
        <f>BN120+BO120</f>
        <v>0</v>
      </c>
      <c r="BN120" s="39"/>
      <c r="BO120" s="39"/>
      <c r="BP120" s="727">
        <f>BQ120+BR120</f>
        <v>0</v>
      </c>
      <c r="BQ120" s="816"/>
      <c r="BR120" s="816"/>
      <c r="BS120" s="727">
        <f>BT120+BU120</f>
        <v>0</v>
      </c>
      <c r="BT120" s="1244"/>
      <c r="BU120" s="1244"/>
      <c r="BV120" s="727">
        <f>BW120+BX120</f>
        <v>0</v>
      </c>
      <c r="BW120" s="1244"/>
      <c r="BX120" s="1244"/>
      <c r="BY120" s="727">
        <f>BZ120+CA120</f>
        <v>0</v>
      </c>
      <c r="BZ120" s="39"/>
      <c r="CA120" s="39"/>
      <c r="CB120" s="727">
        <f>CC120+CD120</f>
        <v>0</v>
      </c>
      <c r="CC120" s="39"/>
      <c r="CD120" s="39"/>
      <c r="CE120" s="727">
        <f>CF120+CG120</f>
        <v>0</v>
      </c>
      <c r="CF120" s="39"/>
      <c r="CG120" s="39"/>
      <c r="CH120" s="727">
        <f>CI120+CJ120</f>
        <v>0</v>
      </c>
      <c r="CI120" s="39"/>
      <c r="CJ120" s="39"/>
      <c r="CK120" s="727">
        <f>CL120+CM120</f>
        <v>0</v>
      </c>
      <c r="CL120" s="39"/>
      <c r="CM120" s="39"/>
      <c r="CN120" s="727">
        <f>CO120+CP120</f>
        <v>0</v>
      </c>
      <c r="CO120" s="39"/>
      <c r="CP120" s="39"/>
      <c r="CQ120" s="727">
        <f>CR120+CS120</f>
        <v>0</v>
      </c>
      <c r="CR120" s="39"/>
      <c r="CS120" s="39"/>
      <c r="CT120" s="25"/>
      <c r="CW120" s="960" t="s">
        <v>891</v>
      </c>
      <c r="CX120" s="965" t="s">
        <v>812</v>
      </c>
      <c r="CY120" s="969" cm="1">
        <f t="array" ref="CY120">AE120</f>
        <v>0</v>
      </c>
      <c r="CZ120" s="969" cm="1">
        <f t="array" ref="CZ120">AF120</f>
        <v>0</v>
      </c>
    </row>
    <row r="121" spans="5:104" ht="15" hidden="1" customHeight="1" x14ac:dyDescent="0.15">
      <c r="E121" s="668">
        <v>0</v>
      </c>
      <c r="F121" s="769" cm="1">
        <f t="array" aca="1" ref="F121" ca="1">OFFSET(G121,-1,-1)</f>
        <v>0</v>
      </c>
      <c r="L121" s="769" t="b" cm="1">
        <f t="array" aca="1" ref="L121" ca="1">OFFSET(M121,-1,-1)</f>
        <v>0</v>
      </c>
      <c r="S121" s="107" t="b" cm="1">
        <f t="array" aca="1" ref="S121" ca="1">OFFSET(T121,-1,-1)</f>
        <v>0</v>
      </c>
      <c r="U121" s="690" t="b">
        <f t="shared" ca="1" si="35"/>
        <v>0</v>
      </c>
      <c r="X121" s="810" t="str">
        <f>"{                  
         funcDyn: 'msg1',
         blok: 'blok_2',
         wsCross: 'Топливо 4.4',
         linkFormula: 'AE-AE#AF-AF',
         levelDyn: "&amp;Y28&amp;"
}"</f>
        <v>{                  
         funcDyn: 'msg1',
         blok: 'blok_2',
         wsCross: 'Топливо 4.4',
         linkFormula: 'AE-AE#AF-AF',
         levelDyn: 0
}</v>
      </c>
      <c r="Y121" s="1428"/>
      <c r="Z121" s="1428"/>
      <c r="AB121" s="1536"/>
      <c r="AD121" s="813"/>
      <c r="AE121" s="812" t="s">
        <v>239</v>
      </c>
      <c r="AF121" s="736"/>
      <c r="AG121" s="724"/>
      <c r="AH121" s="726"/>
      <c r="AI121" s="728"/>
      <c r="AJ121" s="728"/>
      <c r="AK121" s="728"/>
      <c r="AL121" s="728"/>
      <c r="AM121" s="728"/>
      <c r="AN121" s="728"/>
      <c r="AO121" s="728"/>
      <c r="AP121" s="728"/>
      <c r="AQ121" s="728"/>
      <c r="AR121" s="728"/>
      <c r="AS121" s="728"/>
      <c r="AT121" s="728"/>
      <c r="AU121" s="728"/>
      <c r="AV121" s="728"/>
      <c r="AW121" s="728"/>
      <c r="AX121" s="728"/>
      <c r="AY121" s="728"/>
      <c r="AZ121" s="728"/>
      <c r="BA121" s="728"/>
      <c r="BB121" s="728"/>
      <c r="BC121" s="728"/>
      <c r="BD121" s="728"/>
      <c r="BE121" s="728"/>
      <c r="BF121" s="728"/>
      <c r="BG121" s="728"/>
      <c r="BH121" s="728"/>
      <c r="BI121" s="728"/>
      <c r="BJ121" s="728"/>
      <c r="BK121" s="728"/>
      <c r="BL121" s="728"/>
      <c r="BM121" s="728"/>
      <c r="BN121" s="728"/>
      <c r="BO121" s="728"/>
      <c r="BP121" s="728"/>
      <c r="BQ121" s="728"/>
      <c r="BR121" s="728"/>
      <c r="BS121" s="728"/>
      <c r="BT121" s="728"/>
      <c r="BU121" s="728"/>
      <c r="BV121" s="728"/>
      <c r="BW121" s="728"/>
      <c r="BX121" s="728"/>
      <c r="BY121" s="728"/>
      <c r="BZ121" s="728"/>
      <c r="CA121" s="728"/>
      <c r="CB121" s="728"/>
      <c r="CC121" s="728"/>
      <c r="CD121" s="728"/>
      <c r="CE121" s="728"/>
      <c r="CF121" s="728"/>
      <c r="CG121" s="728"/>
      <c r="CH121" s="728"/>
      <c r="CI121" s="728"/>
      <c r="CJ121" s="728"/>
      <c r="CK121" s="728"/>
      <c r="CL121" s="728"/>
      <c r="CM121" s="728"/>
      <c r="CN121" s="728"/>
      <c r="CO121" s="728"/>
      <c r="CP121" s="728"/>
      <c r="CQ121" s="728"/>
      <c r="CR121" s="728"/>
      <c r="CS121" s="728"/>
      <c r="CT121" s="43"/>
      <c r="CW121" s="960" t="str">
        <f>IF(AND(ISNUMBER(VALUE(TRIM(SUBSTITUTE(AD121,".","")))),TRIM(SUBSTITUTE(AD121,".",""))&lt;&gt;""),"P"&amp;SUBSTITUTE(AD121,".",""),"")</f>
        <v/>
      </c>
    </row>
    <row r="122" spans="5:104" ht="29.25" hidden="1" customHeight="1" x14ac:dyDescent="0.15">
      <c r="E122" s="668">
        <v>30</v>
      </c>
      <c r="F122" s="769" cm="1">
        <f t="array" aca="1" ref="F122" ca="1">OFFSET(G122,-1,-1)</f>
        <v>0</v>
      </c>
      <c r="L122" s="769" t="b" cm="1">
        <f t="array" aca="1" ref="L122" ca="1">OFFSET(M122,-1,-1)</f>
        <v>0</v>
      </c>
      <c r="R122" s="769" t="s">
        <v>750</v>
      </c>
      <c r="S122" s="107" t="b" cm="1">
        <f t="array" aca="1" ref="S122" ca="1">OFFSET(T122,-1,-1)</f>
        <v>0</v>
      </c>
      <c r="T122" s="107" t="b" cm="1">
        <f t="array" aca="1" ref="T122" ca="1">L122</f>
        <v>0</v>
      </c>
      <c r="U122" s="690" t="b">
        <f t="shared" ca="1" si="35"/>
        <v>0</v>
      </c>
      <c r="Y122" s="1428"/>
      <c r="Z122" s="1428"/>
      <c r="AB122" s="1536"/>
      <c r="AD122" s="121" t="s">
        <v>893</v>
      </c>
      <c r="AE122" s="1515" t="s">
        <v>894</v>
      </c>
      <c r="AF122" s="1516"/>
      <c r="AG122" s="724" t="s">
        <v>830</v>
      </c>
      <c r="AH122" s="725">
        <f t="shared" ref="AH122:BM122" si="46">SUM(AH123:AH124)</f>
        <v>0</v>
      </c>
      <c r="AI122" s="725">
        <f t="shared" si="46"/>
        <v>0</v>
      </c>
      <c r="AJ122" s="725">
        <f t="shared" si="46"/>
        <v>0</v>
      </c>
      <c r="AK122" s="725">
        <f t="shared" si="46"/>
        <v>0</v>
      </c>
      <c r="AL122" s="725">
        <f t="shared" ca="1" si="46"/>
        <v>0</v>
      </c>
      <c r="AM122" s="725">
        <f t="shared" si="46"/>
        <v>0</v>
      </c>
      <c r="AN122" s="725">
        <f t="shared" ca="1" si="46"/>
        <v>0</v>
      </c>
      <c r="AO122" s="725">
        <f t="shared" ca="1" si="46"/>
        <v>0</v>
      </c>
      <c r="AP122" s="725">
        <f t="shared" si="46"/>
        <v>0</v>
      </c>
      <c r="AQ122" s="725">
        <f t="shared" ca="1" si="46"/>
        <v>0</v>
      </c>
      <c r="AR122" s="725">
        <f t="shared" ca="1" si="46"/>
        <v>0</v>
      </c>
      <c r="AS122" s="725">
        <f t="shared" si="46"/>
        <v>0</v>
      </c>
      <c r="AT122" s="725">
        <f t="shared" ca="1" si="46"/>
        <v>0</v>
      </c>
      <c r="AU122" s="725">
        <f t="shared" ca="1" si="46"/>
        <v>0</v>
      </c>
      <c r="AV122" s="725">
        <f t="shared" si="46"/>
        <v>0</v>
      </c>
      <c r="AW122" s="725">
        <f t="shared" ca="1" si="46"/>
        <v>0</v>
      </c>
      <c r="AX122" s="725">
        <f t="shared" ca="1" si="46"/>
        <v>0</v>
      </c>
      <c r="AY122" s="725">
        <f t="shared" si="46"/>
        <v>0</v>
      </c>
      <c r="AZ122" s="725">
        <f t="shared" ca="1" si="46"/>
        <v>0</v>
      </c>
      <c r="BA122" s="725">
        <f t="shared" ca="1" si="46"/>
        <v>0</v>
      </c>
      <c r="BB122" s="725">
        <f t="shared" si="46"/>
        <v>0</v>
      </c>
      <c r="BC122" s="725">
        <f t="shared" ca="1" si="46"/>
        <v>0</v>
      </c>
      <c r="BD122" s="725">
        <f t="shared" ca="1" si="46"/>
        <v>0</v>
      </c>
      <c r="BE122" s="725">
        <f t="shared" si="46"/>
        <v>0</v>
      </c>
      <c r="BF122" s="725">
        <f t="shared" ca="1" si="46"/>
        <v>0</v>
      </c>
      <c r="BG122" s="725">
        <f t="shared" ca="1" si="46"/>
        <v>0</v>
      </c>
      <c r="BH122" s="725">
        <f t="shared" si="46"/>
        <v>0</v>
      </c>
      <c r="BI122" s="725">
        <f t="shared" ca="1" si="46"/>
        <v>0</v>
      </c>
      <c r="BJ122" s="725">
        <f t="shared" ca="1" si="46"/>
        <v>0</v>
      </c>
      <c r="BK122" s="725">
        <f t="shared" si="46"/>
        <v>0</v>
      </c>
      <c r="BL122" s="725">
        <f t="shared" ca="1" si="46"/>
        <v>0</v>
      </c>
      <c r="BM122" s="725">
        <f t="shared" ca="1" si="46"/>
        <v>0</v>
      </c>
      <c r="BN122" s="725">
        <f t="shared" ref="BN122:CS122" si="47">SUM(BN123:BN124)</f>
        <v>0</v>
      </c>
      <c r="BO122" s="725">
        <f t="shared" ca="1" si="47"/>
        <v>0</v>
      </c>
      <c r="BP122" s="725">
        <f t="shared" ca="1" si="47"/>
        <v>0</v>
      </c>
      <c r="BQ122" s="725">
        <f t="shared" si="47"/>
        <v>0</v>
      </c>
      <c r="BR122" s="725">
        <f t="shared" ca="1" si="47"/>
        <v>0</v>
      </c>
      <c r="BS122" s="725">
        <f t="shared" ca="1" si="47"/>
        <v>0</v>
      </c>
      <c r="BT122" s="725">
        <f t="shared" si="47"/>
        <v>0</v>
      </c>
      <c r="BU122" s="725">
        <f t="shared" ca="1" si="47"/>
        <v>0</v>
      </c>
      <c r="BV122" s="725">
        <f t="shared" ca="1" si="47"/>
        <v>0</v>
      </c>
      <c r="BW122" s="725">
        <f t="shared" si="47"/>
        <v>0</v>
      </c>
      <c r="BX122" s="725">
        <f t="shared" ca="1" si="47"/>
        <v>0</v>
      </c>
      <c r="BY122" s="725">
        <f t="shared" ca="1" si="47"/>
        <v>0</v>
      </c>
      <c r="BZ122" s="725">
        <f t="shared" si="47"/>
        <v>0</v>
      </c>
      <c r="CA122" s="725">
        <f t="shared" ca="1" si="47"/>
        <v>0</v>
      </c>
      <c r="CB122" s="725">
        <f t="shared" ca="1" si="47"/>
        <v>0</v>
      </c>
      <c r="CC122" s="725">
        <f t="shared" si="47"/>
        <v>0</v>
      </c>
      <c r="CD122" s="725">
        <f t="shared" ca="1" si="47"/>
        <v>0</v>
      </c>
      <c r="CE122" s="725">
        <f t="shared" ca="1" si="47"/>
        <v>0</v>
      </c>
      <c r="CF122" s="725">
        <f t="shared" si="47"/>
        <v>0</v>
      </c>
      <c r="CG122" s="725">
        <f t="shared" ca="1" si="47"/>
        <v>0</v>
      </c>
      <c r="CH122" s="725">
        <f t="shared" ca="1" si="47"/>
        <v>0</v>
      </c>
      <c r="CI122" s="725">
        <f t="shared" si="47"/>
        <v>0</v>
      </c>
      <c r="CJ122" s="725">
        <f t="shared" ca="1" si="47"/>
        <v>0</v>
      </c>
      <c r="CK122" s="725">
        <f t="shared" ca="1" si="47"/>
        <v>0</v>
      </c>
      <c r="CL122" s="725">
        <f t="shared" si="47"/>
        <v>0</v>
      </c>
      <c r="CM122" s="725">
        <f t="shared" ca="1" si="47"/>
        <v>0</v>
      </c>
      <c r="CN122" s="725">
        <f t="shared" ca="1" si="47"/>
        <v>0</v>
      </c>
      <c r="CO122" s="725">
        <f t="shared" si="47"/>
        <v>0</v>
      </c>
      <c r="CP122" s="725">
        <f t="shared" ca="1" si="47"/>
        <v>0</v>
      </c>
      <c r="CQ122" s="725">
        <f t="shared" ca="1" si="47"/>
        <v>0</v>
      </c>
      <c r="CR122" s="725">
        <f t="shared" si="47"/>
        <v>0</v>
      </c>
      <c r="CS122" s="725">
        <f t="shared" ca="1" si="47"/>
        <v>0</v>
      </c>
      <c r="CT122" s="25"/>
      <c r="CW122" s="960" t="s">
        <v>895</v>
      </c>
    </row>
    <row r="123" spans="5:104" ht="16.7" hidden="1" customHeight="1" x14ac:dyDescent="0.15">
      <c r="E123" s="668">
        <v>17.100000000000001</v>
      </c>
      <c r="F123" s="769" cm="1">
        <f t="array" aca="1" ref="F123" ca="1">OFFSET(G123,-1,-1)</f>
        <v>0</v>
      </c>
      <c r="L123" s="769" t="b" cm="1">
        <f t="array" aca="1" ref="L123" ca="1">OFFSET(M123,-1,-1)</f>
        <v>0</v>
      </c>
      <c r="R123" s="769" t="s">
        <v>750</v>
      </c>
      <c r="S123" s="107" t="b" cm="1">
        <f t="array" aca="1" ref="S123" ca="1">OFFSET(T123,-1,-1)</f>
        <v>0</v>
      </c>
      <c r="T123" s="107" t="b">
        <f ca="1">AND(L123,AD123&lt;&gt;"39.0")</f>
        <v>0</v>
      </c>
      <c r="U123" s="690" t="b">
        <f t="shared" ca="1" si="35"/>
        <v>0</v>
      </c>
      <c r="X123" s="107" t="s">
        <v>237</v>
      </c>
      <c r="Y123" s="1428"/>
      <c r="Z123" s="1428"/>
      <c r="AB123" s="1536"/>
      <c r="AD123" s="108" t="s">
        <v>896</v>
      </c>
      <c r="AE123" s="811"/>
      <c r="AF123" s="516"/>
      <c r="AG123" s="724" t="s">
        <v>830</v>
      </c>
      <c r="AH123" s="38">
        <f>AH$52*AH120</f>
        <v>0</v>
      </c>
      <c r="AI123" s="39">
        <f>AI$52*AI120</f>
        <v>0</v>
      </c>
      <c r="AJ123" s="39">
        <f>AJ$52*AJ120</f>
        <v>0</v>
      </c>
      <c r="AK123" s="39">
        <f>AK$52*AK120</f>
        <v>0</v>
      </c>
      <c r="AL123" s="727">
        <f ca="1">AM123+AN123</f>
        <v>0</v>
      </c>
      <c r="AM123" s="39">
        <f>AM$52*AM120</f>
        <v>0</v>
      </c>
      <c r="AN123" s="39">
        <f ca="1">AN$52*AN120</f>
        <v>0</v>
      </c>
      <c r="AO123" s="727">
        <f ca="1">AP123+AQ123</f>
        <v>0</v>
      </c>
      <c r="AP123" s="1244">
        <f>AP$52*AP120</f>
        <v>0</v>
      </c>
      <c r="AQ123" s="1244">
        <f ca="1">AQ$52*AQ120</f>
        <v>0</v>
      </c>
      <c r="AR123" s="727">
        <f ca="1">AS123+AT123</f>
        <v>0</v>
      </c>
      <c r="AS123" s="1244">
        <f>AS$52*AS120</f>
        <v>0</v>
      </c>
      <c r="AT123" s="1244">
        <f ca="1">AT$52*AT120</f>
        <v>0</v>
      </c>
      <c r="AU123" s="727">
        <f ca="1">AV123+AW123</f>
        <v>0</v>
      </c>
      <c r="AV123" s="39">
        <f>AV$52*AV120</f>
        <v>0</v>
      </c>
      <c r="AW123" s="39">
        <f ca="1">AW$52*AW120</f>
        <v>0</v>
      </c>
      <c r="AX123" s="727">
        <f ca="1">AY123+AZ123</f>
        <v>0</v>
      </c>
      <c r="AY123" s="39">
        <f>AY$52*AY120</f>
        <v>0</v>
      </c>
      <c r="AZ123" s="39">
        <f ca="1">AZ$52*AZ120</f>
        <v>0</v>
      </c>
      <c r="BA123" s="727">
        <f ca="1">BB123+BC123</f>
        <v>0</v>
      </c>
      <c r="BB123" s="39">
        <f>BB$52*BB120</f>
        <v>0</v>
      </c>
      <c r="BC123" s="39">
        <f ca="1">BC$52*BC120</f>
        <v>0</v>
      </c>
      <c r="BD123" s="727">
        <f ca="1">BE123+BF123</f>
        <v>0</v>
      </c>
      <c r="BE123" s="39">
        <f>BE$52*BE120</f>
        <v>0</v>
      </c>
      <c r="BF123" s="39">
        <f ca="1">BF$52*BF120</f>
        <v>0</v>
      </c>
      <c r="BG123" s="727">
        <f ca="1">BH123+BI123</f>
        <v>0</v>
      </c>
      <c r="BH123" s="39">
        <f>BH$52*BH120</f>
        <v>0</v>
      </c>
      <c r="BI123" s="39">
        <f ca="1">BI$52*BI120</f>
        <v>0</v>
      </c>
      <c r="BJ123" s="727">
        <f ca="1">BK123+BL123</f>
        <v>0</v>
      </c>
      <c r="BK123" s="39">
        <f>BK$52*BK120</f>
        <v>0</v>
      </c>
      <c r="BL123" s="39">
        <f ca="1">BL$52*BL120</f>
        <v>0</v>
      </c>
      <c r="BM123" s="727">
        <f ca="1">BN123+BO123</f>
        <v>0</v>
      </c>
      <c r="BN123" s="39">
        <f>BN$52*BN120</f>
        <v>0</v>
      </c>
      <c r="BO123" s="39">
        <f ca="1">BO$52*BO120</f>
        <v>0</v>
      </c>
      <c r="BP123" s="727">
        <f ca="1">BQ123+BR123</f>
        <v>0</v>
      </c>
      <c r="BQ123" s="816">
        <f>BQ$52*BQ120</f>
        <v>0</v>
      </c>
      <c r="BR123" s="816">
        <f ca="1">BR$52*BR120</f>
        <v>0</v>
      </c>
      <c r="BS123" s="727">
        <f ca="1">BT123+BU123</f>
        <v>0</v>
      </c>
      <c r="BT123" s="1244">
        <f>BT$52*BT120</f>
        <v>0</v>
      </c>
      <c r="BU123" s="1244">
        <f ca="1">BU$52*BU120</f>
        <v>0</v>
      </c>
      <c r="BV123" s="727">
        <f ca="1">BW123+BX123</f>
        <v>0</v>
      </c>
      <c r="BW123" s="1244">
        <f>BW$52*BW120</f>
        <v>0</v>
      </c>
      <c r="BX123" s="1244">
        <f ca="1">BX$52*BX120</f>
        <v>0</v>
      </c>
      <c r="BY123" s="727">
        <f ca="1">BZ123+CA123</f>
        <v>0</v>
      </c>
      <c r="BZ123" s="39">
        <f>BZ$52*BZ120</f>
        <v>0</v>
      </c>
      <c r="CA123" s="39">
        <f ca="1">CA$52*CA120</f>
        <v>0</v>
      </c>
      <c r="CB123" s="727">
        <f ca="1">CC123+CD123</f>
        <v>0</v>
      </c>
      <c r="CC123" s="39">
        <f>CC$52*CC120</f>
        <v>0</v>
      </c>
      <c r="CD123" s="39">
        <f ca="1">CD$52*CD120</f>
        <v>0</v>
      </c>
      <c r="CE123" s="727">
        <f ca="1">CF123+CG123</f>
        <v>0</v>
      </c>
      <c r="CF123" s="39">
        <f>CF$52*CF120</f>
        <v>0</v>
      </c>
      <c r="CG123" s="39">
        <f ca="1">CG$52*CG120</f>
        <v>0</v>
      </c>
      <c r="CH123" s="727">
        <f ca="1">CI123+CJ123</f>
        <v>0</v>
      </c>
      <c r="CI123" s="39">
        <f>CI$52*CI120</f>
        <v>0</v>
      </c>
      <c r="CJ123" s="39">
        <f ca="1">CJ$52*CJ120</f>
        <v>0</v>
      </c>
      <c r="CK123" s="727">
        <f ca="1">CL123+CM123</f>
        <v>0</v>
      </c>
      <c r="CL123" s="39">
        <f>CL$52*CL120</f>
        <v>0</v>
      </c>
      <c r="CM123" s="39">
        <f ca="1">CM$52*CM120</f>
        <v>0</v>
      </c>
      <c r="CN123" s="727">
        <f ca="1">CO123+CP123</f>
        <v>0</v>
      </c>
      <c r="CO123" s="39">
        <f>CO$52*CO120</f>
        <v>0</v>
      </c>
      <c r="CP123" s="39">
        <f ca="1">CP$52*CP120</f>
        <v>0</v>
      </c>
      <c r="CQ123" s="727">
        <f ca="1">CR123+CS123</f>
        <v>0</v>
      </c>
      <c r="CR123" s="39">
        <f>CR$52*CR120</f>
        <v>0</v>
      </c>
      <c r="CS123" s="39">
        <f ca="1">CS$52*CS120</f>
        <v>0</v>
      </c>
      <c r="CT123" s="25"/>
      <c r="CW123" s="960" t="s">
        <v>895</v>
      </c>
      <c r="CX123" s="965" t="s">
        <v>812</v>
      </c>
      <c r="CY123" s="969" cm="1">
        <f t="array" ref="CY123">AE123</f>
        <v>0</v>
      </c>
      <c r="CZ123" s="969" cm="1">
        <f t="array" ref="CZ123">AF123</f>
        <v>0</v>
      </c>
    </row>
    <row r="124" spans="5:104" ht="15" hidden="1" customHeight="1" x14ac:dyDescent="0.15">
      <c r="E124" s="668">
        <v>0</v>
      </c>
      <c r="F124" s="769" cm="1">
        <f t="array" aca="1" ref="F124" ca="1">OFFSET(G124,-1,-1)</f>
        <v>0</v>
      </c>
      <c r="L124" s="769" t="b" cm="1">
        <f t="array" aca="1" ref="L124" ca="1">OFFSET(M124,-1,-1)</f>
        <v>0</v>
      </c>
      <c r="S124" s="107" t="b" cm="1">
        <f t="array" aca="1" ref="S124" ca="1">OFFSET(T124,-1,-1)</f>
        <v>0</v>
      </c>
      <c r="U124" s="690" t="b">
        <f t="shared" ca="1" si="35"/>
        <v>0</v>
      </c>
      <c r="X124" s="810" t="str">
        <f>"{                  
         funcDyn: 'msg1',
         blok: 'blok_2',
         wsCross: 'Топливо 4.4',
         linkFormula: 'AE-AE#AF-AF',
         levelDyn: "&amp;Y28&amp;"
}"</f>
        <v>{                  
         funcDyn: 'msg1',
         blok: 'blok_2',
         wsCross: 'Топливо 4.4',
         linkFormula: 'AE-AE#AF-AF',
         levelDyn: 0
}</v>
      </c>
      <c r="Y124" s="1428"/>
      <c r="Z124" s="1428"/>
      <c r="AB124" s="1537"/>
      <c r="AD124" s="813"/>
      <c r="AE124" s="812" t="s">
        <v>239</v>
      </c>
      <c r="AF124" s="736"/>
      <c r="AG124" s="724"/>
      <c r="AH124" s="726"/>
      <c r="AI124" s="728"/>
      <c r="AJ124" s="728"/>
      <c r="AK124" s="728"/>
      <c r="AL124" s="728"/>
      <c r="AM124" s="728"/>
      <c r="AN124" s="728"/>
      <c r="AO124" s="728"/>
      <c r="AP124" s="728"/>
      <c r="AQ124" s="728"/>
      <c r="AR124" s="728"/>
      <c r="AS124" s="728"/>
      <c r="AT124" s="728"/>
      <c r="AU124" s="728"/>
      <c r="AV124" s="728"/>
      <c r="AW124" s="728"/>
      <c r="AX124" s="728"/>
      <c r="AY124" s="728"/>
      <c r="AZ124" s="728"/>
      <c r="BA124" s="728"/>
      <c r="BB124" s="728"/>
      <c r="BC124" s="728"/>
      <c r="BD124" s="728"/>
      <c r="BE124" s="728"/>
      <c r="BF124" s="728"/>
      <c r="BG124" s="728"/>
      <c r="BH124" s="728"/>
      <c r="BI124" s="728"/>
      <c r="BJ124" s="728"/>
      <c r="BK124" s="728"/>
      <c r="BL124" s="728"/>
      <c r="BM124" s="728"/>
      <c r="BN124" s="728"/>
      <c r="BO124" s="728"/>
      <c r="BP124" s="728"/>
      <c r="BQ124" s="728"/>
      <c r="BR124" s="728"/>
      <c r="BS124" s="728"/>
      <c r="BT124" s="728"/>
      <c r="BU124" s="728"/>
      <c r="BV124" s="728"/>
      <c r="BW124" s="728"/>
      <c r="BX124" s="728"/>
      <c r="BY124" s="728"/>
      <c r="BZ124" s="728"/>
      <c r="CA124" s="728"/>
      <c r="CB124" s="728"/>
      <c r="CC124" s="728"/>
      <c r="CD124" s="728"/>
      <c r="CE124" s="728"/>
      <c r="CF124" s="728"/>
      <c r="CG124" s="728"/>
      <c r="CH124" s="728"/>
      <c r="CI124" s="728"/>
      <c r="CJ124" s="728"/>
      <c r="CK124" s="728"/>
      <c r="CL124" s="728"/>
      <c r="CM124" s="728"/>
      <c r="CN124" s="728"/>
      <c r="CO124" s="728"/>
      <c r="CP124" s="728"/>
      <c r="CQ124" s="728"/>
      <c r="CR124" s="728"/>
      <c r="CS124" s="728"/>
      <c r="CT124" s="43"/>
      <c r="CW124" s="960" t="str">
        <f>IF(AND(ISNUMBER(VALUE(TRIM(SUBSTITUTE(AD124,".","")))),TRIM(SUBSTITUTE(AD124,".",""))&lt;&gt;""),"P"&amp;SUBSTITUTE(AD124,".",""),"")</f>
        <v/>
      </c>
    </row>
    <row r="125" spans="5:104" ht="16.7" hidden="1" customHeight="1" x14ac:dyDescent="0.15">
      <c r="E125" s="668">
        <v>17.100000000000001</v>
      </c>
      <c r="F125" s="769" cm="1">
        <f t="array" aca="1" ref="F125" ca="1">OFFSET(G125,-1,-1)</f>
        <v>0</v>
      </c>
      <c r="L125" s="769" t="b" cm="1">
        <f t="array" aca="1" ref="L125" ca="1">OFFSET(M125,-1,-1)</f>
        <v>0</v>
      </c>
      <c r="S125" s="107" t="b" cm="1">
        <f t="array" aca="1" ref="S125" ca="1">OFFSET(T125,-1,-1)</f>
        <v>0</v>
      </c>
      <c r="U125" s="690" t="b">
        <f t="shared" ca="1" si="35"/>
        <v>0</v>
      </c>
      <c r="Y125" s="1428"/>
      <c r="Z125" s="1428"/>
      <c r="AB125" s="1550" t="s">
        <v>897</v>
      </c>
      <c r="AD125" s="121" t="s">
        <v>898</v>
      </c>
      <c r="AE125" s="1515" t="s">
        <v>899</v>
      </c>
      <c r="AF125" s="1516"/>
      <c r="AG125" s="724" t="s">
        <v>830</v>
      </c>
      <c r="AH125" s="725">
        <f t="shared" ref="AH125:BM125" si="48">SUM(AH129:AH130)</f>
        <v>0</v>
      </c>
      <c r="AI125" s="725">
        <f t="shared" si="48"/>
        <v>0</v>
      </c>
      <c r="AJ125" s="725">
        <f t="shared" si="48"/>
        <v>0</v>
      </c>
      <c r="AK125" s="725">
        <f t="shared" si="48"/>
        <v>0</v>
      </c>
      <c r="AL125" s="725">
        <f t="shared" ca="1" si="48"/>
        <v>0</v>
      </c>
      <c r="AM125" s="725">
        <f t="shared" si="48"/>
        <v>0</v>
      </c>
      <c r="AN125" s="725">
        <f t="shared" ca="1" si="48"/>
        <v>0</v>
      </c>
      <c r="AO125" s="725">
        <f t="shared" ca="1" si="48"/>
        <v>0</v>
      </c>
      <c r="AP125" s="725">
        <f t="shared" si="48"/>
        <v>0</v>
      </c>
      <c r="AQ125" s="725">
        <f t="shared" ca="1" si="48"/>
        <v>0</v>
      </c>
      <c r="AR125" s="725">
        <f t="shared" ca="1" si="48"/>
        <v>0</v>
      </c>
      <c r="AS125" s="725">
        <f t="shared" si="48"/>
        <v>0</v>
      </c>
      <c r="AT125" s="725">
        <f t="shared" ca="1" si="48"/>
        <v>0</v>
      </c>
      <c r="AU125" s="725">
        <f t="shared" ca="1" si="48"/>
        <v>0</v>
      </c>
      <c r="AV125" s="725">
        <f t="shared" si="48"/>
        <v>0</v>
      </c>
      <c r="AW125" s="725">
        <f t="shared" ca="1" si="48"/>
        <v>0</v>
      </c>
      <c r="AX125" s="725">
        <f t="shared" ca="1" si="48"/>
        <v>0</v>
      </c>
      <c r="AY125" s="725">
        <f t="shared" si="48"/>
        <v>0</v>
      </c>
      <c r="AZ125" s="725">
        <f t="shared" ca="1" si="48"/>
        <v>0</v>
      </c>
      <c r="BA125" s="725">
        <f t="shared" ca="1" si="48"/>
        <v>0</v>
      </c>
      <c r="BB125" s="725">
        <f t="shared" si="48"/>
        <v>0</v>
      </c>
      <c r="BC125" s="725">
        <f t="shared" ca="1" si="48"/>
        <v>0</v>
      </c>
      <c r="BD125" s="725">
        <f t="shared" ca="1" si="48"/>
        <v>0</v>
      </c>
      <c r="BE125" s="725">
        <f t="shared" si="48"/>
        <v>0</v>
      </c>
      <c r="BF125" s="725">
        <f t="shared" ca="1" si="48"/>
        <v>0</v>
      </c>
      <c r="BG125" s="725">
        <f t="shared" ca="1" si="48"/>
        <v>0</v>
      </c>
      <c r="BH125" s="725">
        <f t="shared" si="48"/>
        <v>0</v>
      </c>
      <c r="BI125" s="725">
        <f t="shared" ca="1" si="48"/>
        <v>0</v>
      </c>
      <c r="BJ125" s="725">
        <f t="shared" ca="1" si="48"/>
        <v>0</v>
      </c>
      <c r="BK125" s="725">
        <f t="shared" si="48"/>
        <v>0</v>
      </c>
      <c r="BL125" s="725">
        <f t="shared" ca="1" si="48"/>
        <v>0</v>
      </c>
      <c r="BM125" s="725">
        <f t="shared" ca="1" si="48"/>
        <v>0</v>
      </c>
      <c r="BN125" s="725">
        <f t="shared" ref="BN125:CS125" si="49">SUM(BN129:BN130)</f>
        <v>0</v>
      </c>
      <c r="BO125" s="725">
        <f t="shared" ca="1" si="49"/>
        <v>0</v>
      </c>
      <c r="BP125" s="725">
        <f t="shared" ca="1" si="49"/>
        <v>0</v>
      </c>
      <c r="BQ125" s="725">
        <f t="shared" si="49"/>
        <v>0</v>
      </c>
      <c r="BR125" s="725">
        <f t="shared" ca="1" si="49"/>
        <v>0</v>
      </c>
      <c r="BS125" s="725">
        <f t="shared" ca="1" si="49"/>
        <v>0</v>
      </c>
      <c r="BT125" s="725">
        <f t="shared" si="49"/>
        <v>0</v>
      </c>
      <c r="BU125" s="725">
        <f t="shared" ca="1" si="49"/>
        <v>0</v>
      </c>
      <c r="BV125" s="725">
        <f t="shared" ca="1" si="49"/>
        <v>0</v>
      </c>
      <c r="BW125" s="725">
        <f t="shared" si="49"/>
        <v>0</v>
      </c>
      <c r="BX125" s="725">
        <f t="shared" ca="1" si="49"/>
        <v>0</v>
      </c>
      <c r="BY125" s="725">
        <f t="shared" ca="1" si="49"/>
        <v>0</v>
      </c>
      <c r="BZ125" s="725">
        <f t="shared" si="49"/>
        <v>0</v>
      </c>
      <c r="CA125" s="725">
        <f t="shared" ca="1" si="49"/>
        <v>0</v>
      </c>
      <c r="CB125" s="725">
        <f t="shared" ca="1" si="49"/>
        <v>0</v>
      </c>
      <c r="CC125" s="725">
        <f t="shared" si="49"/>
        <v>0</v>
      </c>
      <c r="CD125" s="725">
        <f t="shared" ca="1" si="49"/>
        <v>0</v>
      </c>
      <c r="CE125" s="725">
        <f t="shared" ca="1" si="49"/>
        <v>0</v>
      </c>
      <c r="CF125" s="725">
        <f t="shared" si="49"/>
        <v>0</v>
      </c>
      <c r="CG125" s="725">
        <f t="shared" ca="1" si="49"/>
        <v>0</v>
      </c>
      <c r="CH125" s="725">
        <f t="shared" ca="1" si="49"/>
        <v>0</v>
      </c>
      <c r="CI125" s="725">
        <f t="shared" si="49"/>
        <v>0</v>
      </c>
      <c r="CJ125" s="725">
        <f t="shared" ca="1" si="49"/>
        <v>0</v>
      </c>
      <c r="CK125" s="725">
        <f t="shared" ca="1" si="49"/>
        <v>0</v>
      </c>
      <c r="CL125" s="725">
        <f t="shared" si="49"/>
        <v>0</v>
      </c>
      <c r="CM125" s="725">
        <f t="shared" ca="1" si="49"/>
        <v>0</v>
      </c>
      <c r="CN125" s="725">
        <f t="shared" ca="1" si="49"/>
        <v>0</v>
      </c>
      <c r="CO125" s="725">
        <f t="shared" si="49"/>
        <v>0</v>
      </c>
      <c r="CP125" s="725">
        <f t="shared" ca="1" si="49"/>
        <v>0</v>
      </c>
      <c r="CQ125" s="725">
        <f t="shared" ca="1" si="49"/>
        <v>0</v>
      </c>
      <c r="CR125" s="725">
        <f t="shared" si="49"/>
        <v>0</v>
      </c>
      <c r="CS125" s="725">
        <f t="shared" ca="1" si="49"/>
        <v>0</v>
      </c>
      <c r="CT125" s="25"/>
      <c r="CW125" s="960" t="s">
        <v>900</v>
      </c>
    </row>
    <row r="126" spans="5:104" ht="16.7" hidden="1" customHeight="1" x14ac:dyDescent="0.15">
      <c r="E126" s="668">
        <v>17.100000000000001</v>
      </c>
      <c r="F126" s="769" cm="1">
        <f t="array" aca="1" ref="F126" ca="1">OFFSET(G126,-1,-1)</f>
        <v>0</v>
      </c>
      <c r="G126" s="612" t="str">
        <f>IF(J28="вода+пар","топливо","")</f>
        <v/>
      </c>
      <c r="L126" s="769" t="b" cm="1">
        <f t="array" aca="1" ref="L126" ca="1">OFFSET(M126,-1,-1)</f>
        <v>0</v>
      </c>
      <c r="R126" s="769" t="s">
        <v>750</v>
      </c>
      <c r="S126" s="107" t="b" cm="1">
        <f t="array" aca="1" ref="S126" ca="1">OFFSET(T126,-1,-1)</f>
        <v>0</v>
      </c>
      <c r="T126" s="107" t="b" cm="1">
        <f t="array" aca="1" ref="T126" ca="1">L126</f>
        <v>0</v>
      </c>
      <c r="U126" s="690" t="b">
        <f t="shared" ca="1" si="35"/>
        <v>0</v>
      </c>
      <c r="Y126" s="1428"/>
      <c r="Z126" s="1428"/>
      <c r="AB126" s="1551"/>
      <c r="AD126" s="108" t="str">
        <f>AD125&amp;".0"</f>
        <v>40.0</v>
      </c>
      <c r="AE126" s="1517" t="s">
        <v>761</v>
      </c>
      <c r="AF126" s="1518"/>
      <c r="AG126" s="724" t="s">
        <v>830</v>
      </c>
      <c r="AH126" s="38">
        <f>AH$52*AH125</f>
        <v>0</v>
      </c>
      <c r="AI126" s="39">
        <f>AI$52*AI125</f>
        <v>0</v>
      </c>
      <c r="AJ126" s="39">
        <f>AJ$52*AJ125</f>
        <v>0</v>
      </c>
      <c r="AK126" s="39">
        <f>AK$52*AK125</f>
        <v>0</v>
      </c>
      <c r="AL126" s="727">
        <f ca="1">AM126+AN126</f>
        <v>0</v>
      </c>
      <c r="AM126" s="39">
        <f>AM$52*AM125</f>
        <v>0</v>
      </c>
      <c r="AN126" s="39">
        <f ca="1">AN$52*AN125</f>
        <v>0</v>
      </c>
      <c r="AO126" s="727">
        <f ca="1">AP126+AQ126</f>
        <v>0</v>
      </c>
      <c r="AP126" s="1244">
        <f>AP$52*AP125</f>
        <v>0</v>
      </c>
      <c r="AQ126" s="1244">
        <f ca="1">AQ$52*AQ125</f>
        <v>0</v>
      </c>
      <c r="AR126" s="727">
        <f ca="1">AS126+AT126</f>
        <v>0</v>
      </c>
      <c r="AS126" s="1244">
        <f>AS$52*AS125</f>
        <v>0</v>
      </c>
      <c r="AT126" s="1244">
        <f ca="1">AT$52*AT125</f>
        <v>0</v>
      </c>
      <c r="AU126" s="727">
        <f ca="1">AV126+AW126</f>
        <v>0</v>
      </c>
      <c r="AV126" s="39">
        <f>AV$52*AV125</f>
        <v>0</v>
      </c>
      <c r="AW126" s="39">
        <f ca="1">AW$52*AW125</f>
        <v>0</v>
      </c>
      <c r="AX126" s="727">
        <f ca="1">AY126+AZ126</f>
        <v>0</v>
      </c>
      <c r="AY126" s="39">
        <f>AY$52*AY125</f>
        <v>0</v>
      </c>
      <c r="AZ126" s="39">
        <f ca="1">AZ$52*AZ125</f>
        <v>0</v>
      </c>
      <c r="BA126" s="727">
        <f ca="1">BB126+BC126</f>
        <v>0</v>
      </c>
      <c r="BB126" s="39">
        <f>BB$52*BB125</f>
        <v>0</v>
      </c>
      <c r="BC126" s="39">
        <f ca="1">BC$52*BC125</f>
        <v>0</v>
      </c>
      <c r="BD126" s="727">
        <f ca="1">BE126+BF126</f>
        <v>0</v>
      </c>
      <c r="BE126" s="39">
        <f>BE$52*BE125</f>
        <v>0</v>
      </c>
      <c r="BF126" s="39">
        <f ca="1">BF$52*BF125</f>
        <v>0</v>
      </c>
      <c r="BG126" s="727">
        <f ca="1">BH126+BI126</f>
        <v>0</v>
      </c>
      <c r="BH126" s="39">
        <f>BH$52*BH125</f>
        <v>0</v>
      </c>
      <c r="BI126" s="39">
        <f ca="1">BI$52*BI125</f>
        <v>0</v>
      </c>
      <c r="BJ126" s="727">
        <f ca="1">BK126+BL126</f>
        <v>0</v>
      </c>
      <c r="BK126" s="39">
        <f>BK$52*BK125</f>
        <v>0</v>
      </c>
      <c r="BL126" s="39">
        <f ca="1">BL$52*BL125</f>
        <v>0</v>
      </c>
      <c r="BM126" s="727">
        <f ca="1">BN126+BO126</f>
        <v>0</v>
      </c>
      <c r="BN126" s="39">
        <f>BN$52*BN125</f>
        <v>0</v>
      </c>
      <c r="BO126" s="39">
        <f ca="1">BO$52*BO125</f>
        <v>0</v>
      </c>
      <c r="BP126" s="727">
        <f ca="1">BQ126+BR126</f>
        <v>0</v>
      </c>
      <c r="BQ126" s="816">
        <f>BQ$52*BQ125</f>
        <v>0</v>
      </c>
      <c r="BR126" s="816">
        <f ca="1">BR$52*BR125</f>
        <v>0</v>
      </c>
      <c r="BS126" s="727">
        <f ca="1">BT126+BU126</f>
        <v>0</v>
      </c>
      <c r="BT126" s="1244">
        <f>BT$52*BT125</f>
        <v>0</v>
      </c>
      <c r="BU126" s="1244">
        <f ca="1">BU$52*BU125</f>
        <v>0</v>
      </c>
      <c r="BV126" s="727">
        <f ca="1">BW126+BX126</f>
        <v>0</v>
      </c>
      <c r="BW126" s="1244">
        <f>BW$52*BW125</f>
        <v>0</v>
      </c>
      <c r="BX126" s="1244">
        <f ca="1">BX$52*BX125</f>
        <v>0</v>
      </c>
      <c r="BY126" s="727">
        <f ca="1">BZ126+CA126</f>
        <v>0</v>
      </c>
      <c r="BZ126" s="39">
        <f>BZ$52*BZ125</f>
        <v>0</v>
      </c>
      <c r="CA126" s="39">
        <f ca="1">CA$52*CA125</f>
        <v>0</v>
      </c>
      <c r="CB126" s="727">
        <f ca="1">CC126+CD126</f>
        <v>0</v>
      </c>
      <c r="CC126" s="39">
        <f>CC$52*CC125</f>
        <v>0</v>
      </c>
      <c r="CD126" s="39">
        <f ca="1">CD$52*CD125</f>
        <v>0</v>
      </c>
      <c r="CE126" s="727">
        <f ca="1">CF126+CG126</f>
        <v>0</v>
      </c>
      <c r="CF126" s="39">
        <f>CF$52*CF125</f>
        <v>0</v>
      </c>
      <c r="CG126" s="39">
        <f ca="1">CG$52*CG125</f>
        <v>0</v>
      </c>
      <c r="CH126" s="727">
        <f ca="1">CI126+CJ126</f>
        <v>0</v>
      </c>
      <c r="CI126" s="39">
        <f>CI$52*CI125</f>
        <v>0</v>
      </c>
      <c r="CJ126" s="39">
        <f ca="1">CJ$52*CJ125</f>
        <v>0</v>
      </c>
      <c r="CK126" s="727">
        <f ca="1">CL126+CM126</f>
        <v>0</v>
      </c>
      <c r="CL126" s="39">
        <f>CL$52*CL125</f>
        <v>0</v>
      </c>
      <c r="CM126" s="39">
        <f ca="1">CM$52*CM125</f>
        <v>0</v>
      </c>
      <c r="CN126" s="727">
        <f ca="1">CO126+CP126</f>
        <v>0</v>
      </c>
      <c r="CO126" s="39">
        <f>CO$52*CO125</f>
        <v>0</v>
      </c>
      <c r="CP126" s="39">
        <f ca="1">CP$52*CP125</f>
        <v>0</v>
      </c>
      <c r="CQ126" s="727">
        <f ca="1">CR126+CS126</f>
        <v>0</v>
      </c>
      <c r="CR126" s="39">
        <f>CR$52*CR125</f>
        <v>0</v>
      </c>
      <c r="CS126" s="39">
        <f ca="1">CS$52*CS125</f>
        <v>0</v>
      </c>
      <c r="CT126" s="25"/>
      <c r="CW126" s="960" t="s">
        <v>901</v>
      </c>
    </row>
    <row r="127" spans="5:104" ht="16.7" hidden="1" customHeight="1" x14ac:dyDescent="0.15">
      <c r="E127" s="668">
        <v>17.100000000000001</v>
      </c>
      <c r="F127" s="769" cm="1">
        <f t="array" aca="1" ref="F127" ca="1">OFFSET(G127,-1,-1)</f>
        <v>0</v>
      </c>
      <c r="G127" s="612" t="str">
        <f>IF(J28="вода","топливо","")</f>
        <v/>
      </c>
      <c r="L127" s="769" t="b" cm="1">
        <f t="array" aca="1" ref="L127" ca="1">OFFSET(M127,-1,-1)</f>
        <v>0</v>
      </c>
      <c r="S127" s="107" t="b" cm="1">
        <f t="array" aca="1" ref="S127" ca="1">OFFSET(T127,-1,-1)</f>
        <v>0</v>
      </c>
      <c r="U127" s="690" t="b">
        <f t="shared" ca="1" si="35"/>
        <v>0</v>
      </c>
      <c r="Y127" s="1428"/>
      <c r="Z127" s="1428"/>
      <c r="AB127" s="1551"/>
      <c r="AD127" s="814" t="s">
        <v>902</v>
      </c>
      <c r="AE127" s="1519" t="s">
        <v>626</v>
      </c>
      <c r="AF127" s="1520"/>
      <c r="AG127" s="842" t="s">
        <v>830</v>
      </c>
      <c r="AH127" s="729">
        <f t="shared" ref="AH127:BM127" si="50">AH126-AH128</f>
        <v>0</v>
      </c>
      <c r="AI127" s="729">
        <f t="shared" si="50"/>
        <v>0</v>
      </c>
      <c r="AJ127" s="729">
        <f t="shared" si="50"/>
        <v>0</v>
      </c>
      <c r="AK127" s="729">
        <f t="shared" si="50"/>
        <v>0</v>
      </c>
      <c r="AL127" s="729">
        <f t="shared" ca="1" si="50"/>
        <v>0</v>
      </c>
      <c r="AM127" s="729">
        <f t="shared" si="50"/>
        <v>0</v>
      </c>
      <c r="AN127" s="729">
        <f t="shared" ca="1" si="50"/>
        <v>0</v>
      </c>
      <c r="AO127" s="729">
        <f t="shared" ca="1" si="50"/>
        <v>0</v>
      </c>
      <c r="AP127" s="729">
        <f t="shared" si="50"/>
        <v>0</v>
      </c>
      <c r="AQ127" s="729">
        <f t="shared" ca="1" si="50"/>
        <v>0</v>
      </c>
      <c r="AR127" s="729">
        <f t="shared" ca="1" si="50"/>
        <v>0</v>
      </c>
      <c r="AS127" s="729">
        <f t="shared" si="50"/>
        <v>0</v>
      </c>
      <c r="AT127" s="729">
        <f t="shared" ca="1" si="50"/>
        <v>0</v>
      </c>
      <c r="AU127" s="729">
        <f t="shared" ca="1" si="50"/>
        <v>0</v>
      </c>
      <c r="AV127" s="729">
        <f t="shared" si="50"/>
        <v>0</v>
      </c>
      <c r="AW127" s="729">
        <f t="shared" ca="1" si="50"/>
        <v>0</v>
      </c>
      <c r="AX127" s="729">
        <f t="shared" ca="1" si="50"/>
        <v>0</v>
      </c>
      <c r="AY127" s="729">
        <f t="shared" si="50"/>
        <v>0</v>
      </c>
      <c r="AZ127" s="729">
        <f t="shared" ca="1" si="50"/>
        <v>0</v>
      </c>
      <c r="BA127" s="729">
        <f t="shared" ca="1" si="50"/>
        <v>0</v>
      </c>
      <c r="BB127" s="729">
        <f t="shared" si="50"/>
        <v>0</v>
      </c>
      <c r="BC127" s="729">
        <f t="shared" ca="1" si="50"/>
        <v>0</v>
      </c>
      <c r="BD127" s="729">
        <f t="shared" ca="1" si="50"/>
        <v>0</v>
      </c>
      <c r="BE127" s="729">
        <f t="shared" si="50"/>
        <v>0</v>
      </c>
      <c r="BF127" s="729">
        <f t="shared" ca="1" si="50"/>
        <v>0</v>
      </c>
      <c r="BG127" s="729">
        <f t="shared" ca="1" si="50"/>
        <v>0</v>
      </c>
      <c r="BH127" s="729">
        <f t="shared" si="50"/>
        <v>0</v>
      </c>
      <c r="BI127" s="729">
        <f t="shared" ca="1" si="50"/>
        <v>0</v>
      </c>
      <c r="BJ127" s="729">
        <f t="shared" ca="1" si="50"/>
        <v>0</v>
      </c>
      <c r="BK127" s="729">
        <f t="shared" si="50"/>
        <v>0</v>
      </c>
      <c r="BL127" s="729">
        <f t="shared" ca="1" si="50"/>
        <v>0</v>
      </c>
      <c r="BM127" s="729">
        <f t="shared" ca="1" si="50"/>
        <v>0</v>
      </c>
      <c r="BN127" s="729">
        <f t="shared" ref="BN127:CS127" si="51">BN126-BN128</f>
        <v>0</v>
      </c>
      <c r="BO127" s="729">
        <f t="shared" ca="1" si="51"/>
        <v>0</v>
      </c>
      <c r="BP127" s="729">
        <f t="shared" ca="1" si="51"/>
        <v>0</v>
      </c>
      <c r="BQ127" s="729">
        <f t="shared" si="51"/>
        <v>0</v>
      </c>
      <c r="BR127" s="729">
        <f t="shared" ca="1" si="51"/>
        <v>0</v>
      </c>
      <c r="BS127" s="729">
        <f t="shared" ca="1" si="51"/>
        <v>0</v>
      </c>
      <c r="BT127" s="729">
        <f t="shared" si="51"/>
        <v>0</v>
      </c>
      <c r="BU127" s="729">
        <f t="shared" ca="1" si="51"/>
        <v>0</v>
      </c>
      <c r="BV127" s="729">
        <f t="shared" ca="1" si="51"/>
        <v>0</v>
      </c>
      <c r="BW127" s="729">
        <f t="shared" si="51"/>
        <v>0</v>
      </c>
      <c r="BX127" s="729">
        <f t="shared" ca="1" si="51"/>
        <v>0</v>
      </c>
      <c r="BY127" s="729">
        <f t="shared" ca="1" si="51"/>
        <v>0</v>
      </c>
      <c r="BZ127" s="729">
        <f t="shared" si="51"/>
        <v>0</v>
      </c>
      <c r="CA127" s="729">
        <f t="shared" ca="1" si="51"/>
        <v>0</v>
      </c>
      <c r="CB127" s="729">
        <f t="shared" ca="1" si="51"/>
        <v>0</v>
      </c>
      <c r="CC127" s="729">
        <f t="shared" si="51"/>
        <v>0</v>
      </c>
      <c r="CD127" s="729">
        <f t="shared" ca="1" si="51"/>
        <v>0</v>
      </c>
      <c r="CE127" s="729">
        <f t="shared" ca="1" si="51"/>
        <v>0</v>
      </c>
      <c r="CF127" s="729">
        <f t="shared" si="51"/>
        <v>0</v>
      </c>
      <c r="CG127" s="729">
        <f t="shared" ca="1" si="51"/>
        <v>0</v>
      </c>
      <c r="CH127" s="729">
        <f t="shared" ca="1" si="51"/>
        <v>0</v>
      </c>
      <c r="CI127" s="729">
        <f t="shared" si="51"/>
        <v>0</v>
      </c>
      <c r="CJ127" s="729">
        <f t="shared" ca="1" si="51"/>
        <v>0</v>
      </c>
      <c r="CK127" s="729">
        <f t="shared" ca="1" si="51"/>
        <v>0</v>
      </c>
      <c r="CL127" s="729">
        <f t="shared" si="51"/>
        <v>0</v>
      </c>
      <c r="CM127" s="729">
        <f t="shared" ca="1" si="51"/>
        <v>0</v>
      </c>
      <c r="CN127" s="729">
        <f t="shared" ca="1" si="51"/>
        <v>0</v>
      </c>
      <c r="CO127" s="729">
        <f t="shared" si="51"/>
        <v>0</v>
      </c>
      <c r="CP127" s="729">
        <f t="shared" ca="1" si="51"/>
        <v>0</v>
      </c>
      <c r="CQ127" s="729">
        <f t="shared" ca="1" si="51"/>
        <v>0</v>
      </c>
      <c r="CR127" s="729">
        <f t="shared" si="51"/>
        <v>0</v>
      </c>
      <c r="CS127" s="729">
        <f t="shared" ca="1" si="51"/>
        <v>0</v>
      </c>
      <c r="CT127" s="25"/>
      <c r="CW127" s="960" t="s">
        <v>903</v>
      </c>
    </row>
    <row r="128" spans="5:104" ht="16.7" hidden="1" customHeight="1" x14ac:dyDescent="0.15">
      <c r="E128" s="668">
        <v>17.100000000000001</v>
      </c>
      <c r="F128" s="769" cm="1">
        <f t="array" aca="1" ref="F128" ca="1">OFFSET(G128,-1,-1)</f>
        <v>0</v>
      </c>
      <c r="G128" s="612" t="str">
        <f>IF(J28="пар","топливо","")</f>
        <v/>
      </c>
      <c r="L128" s="769" t="b" cm="1">
        <f t="array" aca="1" ref="L128" ca="1">OFFSET(M128,-1,-1)</f>
        <v>0</v>
      </c>
      <c r="S128" s="107" t="b" cm="1">
        <f t="array" aca="1" ref="S128" ca="1">OFFSET(T128,-1,-1)</f>
        <v>0</v>
      </c>
      <c r="U128" s="690" t="b">
        <f t="shared" ca="1" si="35"/>
        <v>0</v>
      </c>
      <c r="Y128" s="1428"/>
      <c r="Z128" s="1428"/>
      <c r="AB128" s="1551"/>
      <c r="AD128" s="814" t="s">
        <v>904</v>
      </c>
      <c r="AE128" s="1519" t="s">
        <v>628</v>
      </c>
      <c r="AF128" s="1520"/>
      <c r="AG128" s="842" t="s">
        <v>830</v>
      </c>
      <c r="AH128" s="48"/>
      <c r="AI128" s="48"/>
      <c r="AJ128" s="48"/>
      <c r="AK128" s="48"/>
      <c r="AL128" s="48"/>
      <c r="AM128" s="48"/>
      <c r="AN128" s="48"/>
      <c r="AO128" s="1249"/>
      <c r="AP128" s="1249"/>
      <c r="AQ128" s="1249"/>
      <c r="AR128" s="1249"/>
      <c r="AS128" s="1249"/>
      <c r="AT128" s="1249"/>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820"/>
      <c r="BQ128" s="820"/>
      <c r="BR128" s="820"/>
      <c r="BS128" s="1249"/>
      <c r="BT128" s="1249"/>
      <c r="BU128" s="1249"/>
      <c r="BV128" s="1249"/>
      <c r="BW128" s="1249"/>
      <c r="BX128" s="1249"/>
      <c r="BY128" s="48"/>
      <c r="BZ128" s="48"/>
      <c r="CA128" s="48"/>
      <c r="CB128" s="48"/>
      <c r="CC128" s="48"/>
      <c r="CD128" s="48"/>
      <c r="CE128" s="48"/>
      <c r="CF128" s="48"/>
      <c r="CG128" s="48"/>
      <c r="CH128" s="48"/>
      <c r="CI128" s="48"/>
      <c r="CJ128" s="48"/>
      <c r="CK128" s="48"/>
      <c r="CL128" s="48"/>
      <c r="CM128" s="48"/>
      <c r="CN128" s="48"/>
      <c r="CO128" s="48"/>
      <c r="CP128" s="48"/>
      <c r="CQ128" s="48"/>
      <c r="CR128" s="48"/>
      <c r="CS128" s="48"/>
      <c r="CT128" s="25"/>
      <c r="CW128" s="960" t="s">
        <v>905</v>
      </c>
    </row>
    <row r="129" spans="1:106" ht="16.7" hidden="1" customHeight="1" x14ac:dyDescent="0.15">
      <c r="E129" s="668">
        <v>17.100000000000001</v>
      </c>
      <c r="F129" s="769" cm="1">
        <f t="array" aca="1" ref="F129" ca="1">OFFSET(G129,-1,-1)</f>
        <v>0</v>
      </c>
      <c r="L129" s="769" t="b" cm="1">
        <f t="array" aca="1" ref="L129" ca="1">OFFSET(M129,-1,-1)</f>
        <v>0</v>
      </c>
      <c r="S129" s="107" t="b" cm="1">
        <f t="array" aca="1" ref="S129" ca="1">OFFSET(T129,-1,-1)</f>
        <v>0</v>
      </c>
      <c r="T129" s="107" t="b">
        <f>AD129&lt;&gt;"40.0"</f>
        <v>0</v>
      </c>
      <c r="U129" s="690" t="b">
        <f t="shared" ca="1" si="35"/>
        <v>0</v>
      </c>
      <c r="X129" s="107" t="s">
        <v>237</v>
      </c>
      <c r="Y129" s="1428"/>
      <c r="Z129" s="1428"/>
      <c r="AB129" s="1551"/>
      <c r="AD129" s="108" t="s">
        <v>906</v>
      </c>
      <c r="AE129" s="811"/>
      <c r="AF129" s="516"/>
      <c r="AG129" s="724" t="s">
        <v>830</v>
      </c>
      <c r="AH129" s="725">
        <f t="shared" ref="AH129:BM129" si="52">AH74+AH87+AH100+AH113+AH120</f>
        <v>0</v>
      </c>
      <c r="AI129" s="725">
        <f t="shared" si="52"/>
        <v>0</v>
      </c>
      <c r="AJ129" s="725">
        <f t="shared" si="52"/>
        <v>0</v>
      </c>
      <c r="AK129" s="725">
        <f t="shared" si="52"/>
        <v>0</v>
      </c>
      <c r="AL129" s="725">
        <f t="shared" ca="1" si="52"/>
        <v>0</v>
      </c>
      <c r="AM129" s="725">
        <f t="shared" si="52"/>
        <v>0</v>
      </c>
      <c r="AN129" s="725">
        <f t="shared" ca="1" si="52"/>
        <v>0</v>
      </c>
      <c r="AO129" s="725">
        <f t="shared" ca="1" si="52"/>
        <v>0</v>
      </c>
      <c r="AP129" s="725">
        <f t="shared" si="52"/>
        <v>0</v>
      </c>
      <c r="AQ129" s="725">
        <f t="shared" ca="1" si="52"/>
        <v>0</v>
      </c>
      <c r="AR129" s="725">
        <f t="shared" ca="1" si="52"/>
        <v>0</v>
      </c>
      <c r="AS129" s="725">
        <f t="shared" si="52"/>
        <v>0</v>
      </c>
      <c r="AT129" s="725">
        <f t="shared" ca="1" si="52"/>
        <v>0</v>
      </c>
      <c r="AU129" s="725">
        <f t="shared" ca="1" si="52"/>
        <v>0</v>
      </c>
      <c r="AV129" s="725">
        <f t="shared" si="52"/>
        <v>0</v>
      </c>
      <c r="AW129" s="725">
        <f t="shared" ca="1" si="52"/>
        <v>0</v>
      </c>
      <c r="AX129" s="725">
        <f t="shared" ca="1" si="52"/>
        <v>0</v>
      </c>
      <c r="AY129" s="725">
        <f t="shared" si="52"/>
        <v>0</v>
      </c>
      <c r="AZ129" s="725">
        <f t="shared" ca="1" si="52"/>
        <v>0</v>
      </c>
      <c r="BA129" s="725">
        <f t="shared" ca="1" si="52"/>
        <v>0</v>
      </c>
      <c r="BB129" s="725">
        <f t="shared" si="52"/>
        <v>0</v>
      </c>
      <c r="BC129" s="725">
        <f t="shared" ca="1" si="52"/>
        <v>0</v>
      </c>
      <c r="BD129" s="725">
        <f t="shared" ca="1" si="52"/>
        <v>0</v>
      </c>
      <c r="BE129" s="725">
        <f t="shared" si="52"/>
        <v>0</v>
      </c>
      <c r="BF129" s="725">
        <f t="shared" ca="1" si="52"/>
        <v>0</v>
      </c>
      <c r="BG129" s="725">
        <f t="shared" ca="1" si="52"/>
        <v>0</v>
      </c>
      <c r="BH129" s="725">
        <f t="shared" si="52"/>
        <v>0</v>
      </c>
      <c r="BI129" s="725">
        <f t="shared" ca="1" si="52"/>
        <v>0</v>
      </c>
      <c r="BJ129" s="725">
        <f t="shared" ca="1" si="52"/>
        <v>0</v>
      </c>
      <c r="BK129" s="725">
        <f t="shared" si="52"/>
        <v>0</v>
      </c>
      <c r="BL129" s="725">
        <f t="shared" ca="1" si="52"/>
        <v>0</v>
      </c>
      <c r="BM129" s="725">
        <f t="shared" ca="1" si="52"/>
        <v>0</v>
      </c>
      <c r="BN129" s="725">
        <f t="shared" ref="BN129:CS129" si="53">BN74+BN87+BN100+BN113+BN120</f>
        <v>0</v>
      </c>
      <c r="BO129" s="725">
        <f t="shared" ca="1" si="53"/>
        <v>0</v>
      </c>
      <c r="BP129" s="725">
        <f t="shared" ca="1" si="53"/>
        <v>0</v>
      </c>
      <c r="BQ129" s="725">
        <f t="shared" si="53"/>
        <v>0</v>
      </c>
      <c r="BR129" s="725">
        <f t="shared" ca="1" si="53"/>
        <v>0</v>
      </c>
      <c r="BS129" s="725">
        <f t="shared" ca="1" si="53"/>
        <v>0</v>
      </c>
      <c r="BT129" s="725">
        <f t="shared" si="53"/>
        <v>0</v>
      </c>
      <c r="BU129" s="725">
        <f t="shared" ca="1" si="53"/>
        <v>0</v>
      </c>
      <c r="BV129" s="725">
        <f t="shared" ca="1" si="53"/>
        <v>0</v>
      </c>
      <c r="BW129" s="725">
        <f t="shared" si="53"/>
        <v>0</v>
      </c>
      <c r="BX129" s="725">
        <f t="shared" ca="1" si="53"/>
        <v>0</v>
      </c>
      <c r="BY129" s="725">
        <f t="shared" ca="1" si="53"/>
        <v>0</v>
      </c>
      <c r="BZ129" s="725">
        <f t="shared" si="53"/>
        <v>0</v>
      </c>
      <c r="CA129" s="725">
        <f t="shared" ca="1" si="53"/>
        <v>0</v>
      </c>
      <c r="CB129" s="725">
        <f t="shared" ca="1" si="53"/>
        <v>0</v>
      </c>
      <c r="CC129" s="725">
        <f t="shared" si="53"/>
        <v>0</v>
      </c>
      <c r="CD129" s="725">
        <f t="shared" ca="1" si="53"/>
        <v>0</v>
      </c>
      <c r="CE129" s="725">
        <f t="shared" ca="1" si="53"/>
        <v>0</v>
      </c>
      <c r="CF129" s="725">
        <f t="shared" si="53"/>
        <v>0</v>
      </c>
      <c r="CG129" s="725">
        <f t="shared" ca="1" si="53"/>
        <v>0</v>
      </c>
      <c r="CH129" s="725">
        <f t="shared" ca="1" si="53"/>
        <v>0</v>
      </c>
      <c r="CI129" s="725">
        <f t="shared" si="53"/>
        <v>0</v>
      </c>
      <c r="CJ129" s="725">
        <f t="shared" ca="1" si="53"/>
        <v>0</v>
      </c>
      <c r="CK129" s="725">
        <f t="shared" ca="1" si="53"/>
        <v>0</v>
      </c>
      <c r="CL129" s="725">
        <f t="shared" si="53"/>
        <v>0</v>
      </c>
      <c r="CM129" s="725">
        <f t="shared" ca="1" si="53"/>
        <v>0</v>
      </c>
      <c r="CN129" s="725">
        <f t="shared" ca="1" si="53"/>
        <v>0</v>
      </c>
      <c r="CO129" s="725">
        <f t="shared" si="53"/>
        <v>0</v>
      </c>
      <c r="CP129" s="725">
        <f t="shared" ca="1" si="53"/>
        <v>0</v>
      </c>
      <c r="CQ129" s="725">
        <f t="shared" ca="1" si="53"/>
        <v>0</v>
      </c>
      <c r="CR129" s="725">
        <f t="shared" si="53"/>
        <v>0</v>
      </c>
      <c r="CS129" s="725">
        <f t="shared" ca="1" si="53"/>
        <v>0</v>
      </c>
      <c r="CT129" s="25"/>
      <c r="CW129" s="960" t="s">
        <v>907</v>
      </c>
      <c r="CX129" s="965" t="s">
        <v>812</v>
      </c>
      <c r="CY129" s="969" cm="1">
        <f t="array" ref="CY129">AE129</f>
        <v>0</v>
      </c>
      <c r="CZ129" s="969" cm="1">
        <f t="array" ref="CZ129">AF129</f>
        <v>0</v>
      </c>
    </row>
    <row r="130" spans="1:106" ht="15" hidden="1" customHeight="1" x14ac:dyDescent="0.15">
      <c r="E130" s="668">
        <v>0</v>
      </c>
      <c r="F130" s="769" cm="1">
        <f t="array" aca="1" ref="F130" ca="1">OFFSET(G130,-1,-1)</f>
        <v>0</v>
      </c>
      <c r="L130" s="769" t="b" cm="1">
        <f t="array" aca="1" ref="L130" ca="1">OFFSET(M130,-1,-1)</f>
        <v>0</v>
      </c>
      <c r="S130" s="107" t="b" cm="1">
        <f t="array" aca="1" ref="S130" ca="1">OFFSET(T130,-1,-1)</f>
        <v>0</v>
      </c>
      <c r="U130" s="690" t="b">
        <f t="shared" ca="1" si="35"/>
        <v>0</v>
      </c>
      <c r="X130" s="810" t="str">
        <f>"{                  
         funcDyn: 'msg1',
         blok: 'blok_2',
         wsCross: 'Топливо 4.4',
         linkFormula: 'AE-AE#AF-AF',
         levelDyn: "&amp;Y28&amp;"
}"</f>
        <v>{                  
         funcDyn: 'msg1',
         blok: 'blok_2',
         wsCross: 'Топливо 4.4',
         linkFormula: 'AE-AE#AF-AF',
         levelDyn: 0
}</v>
      </c>
      <c r="Y130" s="1428"/>
      <c r="Z130" s="1428"/>
      <c r="AB130" s="1551"/>
      <c r="AD130" s="813"/>
      <c r="AE130" s="812" t="s">
        <v>239</v>
      </c>
      <c r="AF130" s="736"/>
      <c r="AG130" s="724"/>
      <c r="AH130" s="726"/>
      <c r="AI130" s="728"/>
      <c r="AJ130" s="728"/>
      <c r="AK130" s="728"/>
      <c r="AL130" s="728"/>
      <c r="AM130" s="728"/>
      <c r="AN130" s="728"/>
      <c r="AO130" s="728"/>
      <c r="AP130" s="728"/>
      <c r="AQ130" s="728"/>
      <c r="AR130" s="728"/>
      <c r="AS130" s="728"/>
      <c r="AT130" s="728"/>
      <c r="AU130" s="728"/>
      <c r="AV130" s="728"/>
      <c r="AW130" s="728"/>
      <c r="AX130" s="728"/>
      <c r="AY130" s="728"/>
      <c r="AZ130" s="728"/>
      <c r="BA130" s="728"/>
      <c r="BB130" s="728"/>
      <c r="BC130" s="728"/>
      <c r="BD130" s="728"/>
      <c r="BE130" s="728"/>
      <c r="BF130" s="728"/>
      <c r="BG130" s="728"/>
      <c r="BH130" s="728"/>
      <c r="BI130" s="728"/>
      <c r="BJ130" s="728"/>
      <c r="BK130" s="728"/>
      <c r="BL130" s="728"/>
      <c r="BM130" s="728"/>
      <c r="BN130" s="728"/>
      <c r="BO130" s="728"/>
      <c r="BP130" s="728"/>
      <c r="BQ130" s="728"/>
      <c r="BR130" s="728"/>
      <c r="BS130" s="728"/>
      <c r="BT130" s="728"/>
      <c r="BU130" s="728"/>
      <c r="BV130" s="728"/>
      <c r="BW130" s="728"/>
      <c r="BX130" s="728"/>
      <c r="BY130" s="728"/>
      <c r="BZ130" s="728"/>
      <c r="CA130" s="728"/>
      <c r="CB130" s="728"/>
      <c r="CC130" s="728"/>
      <c r="CD130" s="728"/>
      <c r="CE130" s="728"/>
      <c r="CF130" s="728"/>
      <c r="CG130" s="728"/>
      <c r="CH130" s="728"/>
      <c r="CI130" s="728"/>
      <c r="CJ130" s="728"/>
      <c r="CK130" s="728"/>
      <c r="CL130" s="728"/>
      <c r="CM130" s="728"/>
      <c r="CN130" s="728"/>
      <c r="CO130" s="728"/>
      <c r="CP130" s="728"/>
      <c r="CQ130" s="728"/>
      <c r="CR130" s="728"/>
      <c r="CS130" s="728"/>
      <c r="CT130" s="43"/>
      <c r="CW130" s="960" t="str">
        <f>IF(AND(ISNUMBER(VALUE(TRIM(SUBSTITUTE(AD130,".","")))),TRIM(SUBSTITUTE(AD130,".",""))&lt;&gt;""),"P"&amp;SUBSTITUTE(AD130,".",""),"")</f>
        <v/>
      </c>
    </row>
    <row r="131" spans="1:106" ht="16.7" hidden="1" customHeight="1" x14ac:dyDescent="0.15">
      <c r="E131" s="668">
        <v>17.100000000000001</v>
      </c>
      <c r="F131" s="769" cm="1">
        <f t="array" aca="1" ref="F131" ca="1">OFFSET(G131,-1,-1)</f>
        <v>0</v>
      </c>
      <c r="L131" s="769" t="b" cm="1">
        <f t="array" aca="1" ref="L131" ca="1">OFFSET(M131,-1,-1)</f>
        <v>0</v>
      </c>
      <c r="S131" s="107" t="b" cm="1">
        <f t="array" aca="1" ref="S131" ca="1">OFFSET(T131,-1,-1)</f>
        <v>0</v>
      </c>
      <c r="U131" s="690" t="b">
        <f t="shared" ca="1" si="35"/>
        <v>0</v>
      </c>
      <c r="Y131" s="1428"/>
      <c r="Z131" s="1428"/>
      <c r="AB131" s="1551"/>
      <c r="AD131" s="121" t="s">
        <v>908</v>
      </c>
      <c r="AE131" s="1510" t="s">
        <v>909</v>
      </c>
      <c r="AF131" s="1493"/>
      <c r="AG131" s="724" t="s">
        <v>910</v>
      </c>
      <c r="AH131" s="725">
        <f t="shared" ref="AH131:BM131" si="54">IFERROR(AH125/AH53,0)*1000</f>
        <v>0</v>
      </c>
      <c r="AI131" s="725">
        <f t="shared" si="54"/>
        <v>0</v>
      </c>
      <c r="AJ131" s="725">
        <f t="shared" si="54"/>
        <v>0</v>
      </c>
      <c r="AK131" s="725">
        <f t="shared" si="54"/>
        <v>0</v>
      </c>
      <c r="AL131" s="725">
        <f t="shared" ca="1" si="54"/>
        <v>0</v>
      </c>
      <c r="AM131" s="725">
        <f t="shared" si="54"/>
        <v>0</v>
      </c>
      <c r="AN131" s="725">
        <f t="shared" ca="1" si="54"/>
        <v>0</v>
      </c>
      <c r="AO131" s="725">
        <f t="shared" ca="1" si="54"/>
        <v>0</v>
      </c>
      <c r="AP131" s="725">
        <f t="shared" si="54"/>
        <v>0</v>
      </c>
      <c r="AQ131" s="725">
        <f t="shared" ca="1" si="54"/>
        <v>0</v>
      </c>
      <c r="AR131" s="725">
        <f t="shared" ca="1" si="54"/>
        <v>0</v>
      </c>
      <c r="AS131" s="725">
        <f t="shared" si="54"/>
        <v>0</v>
      </c>
      <c r="AT131" s="725">
        <f t="shared" ca="1" si="54"/>
        <v>0</v>
      </c>
      <c r="AU131" s="725">
        <f t="shared" ca="1" si="54"/>
        <v>0</v>
      </c>
      <c r="AV131" s="725">
        <f t="shared" si="54"/>
        <v>0</v>
      </c>
      <c r="AW131" s="725">
        <f t="shared" ca="1" si="54"/>
        <v>0</v>
      </c>
      <c r="AX131" s="725">
        <f t="shared" ca="1" si="54"/>
        <v>0</v>
      </c>
      <c r="AY131" s="725">
        <f t="shared" si="54"/>
        <v>0</v>
      </c>
      <c r="AZ131" s="725">
        <f t="shared" ca="1" si="54"/>
        <v>0</v>
      </c>
      <c r="BA131" s="725">
        <f t="shared" ca="1" si="54"/>
        <v>0</v>
      </c>
      <c r="BB131" s="725">
        <f t="shared" si="54"/>
        <v>0</v>
      </c>
      <c r="BC131" s="725">
        <f t="shared" ca="1" si="54"/>
        <v>0</v>
      </c>
      <c r="BD131" s="725">
        <f t="shared" ca="1" si="54"/>
        <v>0</v>
      </c>
      <c r="BE131" s="725">
        <f t="shared" si="54"/>
        <v>0</v>
      </c>
      <c r="BF131" s="725">
        <f t="shared" ca="1" si="54"/>
        <v>0</v>
      </c>
      <c r="BG131" s="725">
        <f t="shared" ca="1" si="54"/>
        <v>0</v>
      </c>
      <c r="BH131" s="725">
        <f t="shared" si="54"/>
        <v>0</v>
      </c>
      <c r="BI131" s="725">
        <f t="shared" ca="1" si="54"/>
        <v>0</v>
      </c>
      <c r="BJ131" s="725">
        <f t="shared" ca="1" si="54"/>
        <v>0</v>
      </c>
      <c r="BK131" s="725">
        <f t="shared" si="54"/>
        <v>0</v>
      </c>
      <c r="BL131" s="725">
        <f t="shared" ca="1" si="54"/>
        <v>0</v>
      </c>
      <c r="BM131" s="725">
        <f t="shared" ca="1" si="54"/>
        <v>0</v>
      </c>
      <c r="BN131" s="725">
        <f t="shared" ref="BN131:CS131" si="55">IFERROR(BN125/BN53,0)*1000</f>
        <v>0</v>
      </c>
      <c r="BO131" s="725">
        <f t="shared" ca="1" si="55"/>
        <v>0</v>
      </c>
      <c r="BP131" s="725">
        <f t="shared" ca="1" si="55"/>
        <v>0</v>
      </c>
      <c r="BQ131" s="725">
        <f t="shared" si="55"/>
        <v>0</v>
      </c>
      <c r="BR131" s="725">
        <f t="shared" ca="1" si="55"/>
        <v>0</v>
      </c>
      <c r="BS131" s="725">
        <f t="shared" ca="1" si="55"/>
        <v>0</v>
      </c>
      <c r="BT131" s="725">
        <f t="shared" si="55"/>
        <v>0</v>
      </c>
      <c r="BU131" s="725">
        <f t="shared" ca="1" si="55"/>
        <v>0</v>
      </c>
      <c r="BV131" s="725">
        <f t="shared" ca="1" si="55"/>
        <v>0</v>
      </c>
      <c r="BW131" s="725">
        <f t="shared" si="55"/>
        <v>0</v>
      </c>
      <c r="BX131" s="725">
        <f t="shared" ca="1" si="55"/>
        <v>0</v>
      </c>
      <c r="BY131" s="725">
        <f t="shared" ca="1" si="55"/>
        <v>0</v>
      </c>
      <c r="BZ131" s="725">
        <f t="shared" si="55"/>
        <v>0</v>
      </c>
      <c r="CA131" s="725">
        <f t="shared" ca="1" si="55"/>
        <v>0</v>
      </c>
      <c r="CB131" s="725">
        <f t="shared" ca="1" si="55"/>
        <v>0</v>
      </c>
      <c r="CC131" s="725">
        <f t="shared" si="55"/>
        <v>0</v>
      </c>
      <c r="CD131" s="725">
        <f t="shared" ca="1" si="55"/>
        <v>0</v>
      </c>
      <c r="CE131" s="725">
        <f t="shared" ca="1" si="55"/>
        <v>0</v>
      </c>
      <c r="CF131" s="725">
        <f t="shared" si="55"/>
        <v>0</v>
      </c>
      <c r="CG131" s="725">
        <f t="shared" ca="1" si="55"/>
        <v>0</v>
      </c>
      <c r="CH131" s="725">
        <f t="shared" ca="1" si="55"/>
        <v>0</v>
      </c>
      <c r="CI131" s="725">
        <f t="shared" si="55"/>
        <v>0</v>
      </c>
      <c r="CJ131" s="725">
        <f t="shared" ca="1" si="55"/>
        <v>0</v>
      </c>
      <c r="CK131" s="725">
        <f t="shared" ca="1" si="55"/>
        <v>0</v>
      </c>
      <c r="CL131" s="725">
        <f t="shared" si="55"/>
        <v>0</v>
      </c>
      <c r="CM131" s="725">
        <f t="shared" ca="1" si="55"/>
        <v>0</v>
      </c>
      <c r="CN131" s="725">
        <f t="shared" ca="1" si="55"/>
        <v>0</v>
      </c>
      <c r="CO131" s="725">
        <f t="shared" si="55"/>
        <v>0</v>
      </c>
      <c r="CP131" s="725">
        <f t="shared" ca="1" si="55"/>
        <v>0</v>
      </c>
      <c r="CQ131" s="725">
        <f t="shared" ca="1" si="55"/>
        <v>0</v>
      </c>
      <c r="CR131" s="725">
        <f t="shared" si="55"/>
        <v>0</v>
      </c>
      <c r="CS131" s="725">
        <f t="shared" ca="1" si="55"/>
        <v>0</v>
      </c>
      <c r="CT131" s="25"/>
      <c r="CW131" s="960" t="s">
        <v>911</v>
      </c>
    </row>
    <row r="132" spans="1:106" ht="16.7" hidden="1" customHeight="1" x14ac:dyDescent="0.15">
      <c r="E132" s="668">
        <v>17.100000000000001</v>
      </c>
      <c r="F132" s="769" cm="1">
        <f t="array" aca="1" ref="F132" ca="1">OFFSET(G132,-1,-1)</f>
        <v>0</v>
      </c>
      <c r="L132" s="769" t="b" cm="1">
        <f t="array" aca="1" ref="L132" ca="1">OFFSET(M132,-1,-1)</f>
        <v>0</v>
      </c>
      <c r="R132" s="769" t="s">
        <v>750</v>
      </c>
      <c r="S132" s="107" t="b" cm="1">
        <f t="array" aca="1" ref="S132" ca="1">OFFSET(T132,-1,-1)</f>
        <v>0</v>
      </c>
      <c r="T132" s="107" t="b" cm="1">
        <f t="array" aca="1" ref="T132" ca="1">L132</f>
        <v>0</v>
      </c>
      <c r="U132" s="690" t="b">
        <f t="shared" ca="1" si="35"/>
        <v>0</v>
      </c>
      <c r="Y132" s="1428"/>
      <c r="Z132" s="1428"/>
      <c r="AB132" s="1551"/>
      <c r="AD132" s="108" t="str">
        <f>AD131&amp;".0"</f>
        <v>41.0</v>
      </c>
      <c r="AE132" s="1513" t="s">
        <v>761</v>
      </c>
      <c r="AF132" s="1514"/>
      <c r="AG132" s="724" t="s">
        <v>910</v>
      </c>
      <c r="AH132" s="725">
        <f t="shared" ref="AH132:BM132" si="56">IFERROR(AH126/AH54,0)*1000</f>
        <v>0</v>
      </c>
      <c r="AI132" s="725">
        <f t="shared" si="56"/>
        <v>0</v>
      </c>
      <c r="AJ132" s="725">
        <f t="shared" si="56"/>
        <v>0</v>
      </c>
      <c r="AK132" s="725">
        <f t="shared" si="56"/>
        <v>0</v>
      </c>
      <c r="AL132" s="725">
        <f t="shared" ca="1" si="56"/>
        <v>0</v>
      </c>
      <c r="AM132" s="725">
        <f t="shared" si="56"/>
        <v>0</v>
      </c>
      <c r="AN132" s="725">
        <f t="shared" ca="1" si="56"/>
        <v>0</v>
      </c>
      <c r="AO132" s="725">
        <f t="shared" ca="1" si="56"/>
        <v>0</v>
      </c>
      <c r="AP132" s="725">
        <f t="shared" si="56"/>
        <v>0</v>
      </c>
      <c r="AQ132" s="725">
        <f t="shared" ca="1" si="56"/>
        <v>0</v>
      </c>
      <c r="AR132" s="725">
        <f t="shared" ca="1" si="56"/>
        <v>0</v>
      </c>
      <c r="AS132" s="725">
        <f t="shared" si="56"/>
        <v>0</v>
      </c>
      <c r="AT132" s="725">
        <f t="shared" ca="1" si="56"/>
        <v>0</v>
      </c>
      <c r="AU132" s="725">
        <f t="shared" ca="1" si="56"/>
        <v>0</v>
      </c>
      <c r="AV132" s="725">
        <f t="shared" si="56"/>
        <v>0</v>
      </c>
      <c r="AW132" s="725">
        <f t="shared" ca="1" si="56"/>
        <v>0</v>
      </c>
      <c r="AX132" s="725">
        <f t="shared" ca="1" si="56"/>
        <v>0</v>
      </c>
      <c r="AY132" s="725">
        <f t="shared" si="56"/>
        <v>0</v>
      </c>
      <c r="AZ132" s="725">
        <f t="shared" ca="1" si="56"/>
        <v>0</v>
      </c>
      <c r="BA132" s="725">
        <f t="shared" ca="1" si="56"/>
        <v>0</v>
      </c>
      <c r="BB132" s="725">
        <f t="shared" si="56"/>
        <v>0</v>
      </c>
      <c r="BC132" s="725">
        <f t="shared" ca="1" si="56"/>
        <v>0</v>
      </c>
      <c r="BD132" s="725">
        <f t="shared" ca="1" si="56"/>
        <v>0</v>
      </c>
      <c r="BE132" s="725">
        <f t="shared" si="56"/>
        <v>0</v>
      </c>
      <c r="BF132" s="725">
        <f t="shared" ca="1" si="56"/>
        <v>0</v>
      </c>
      <c r="BG132" s="725">
        <f t="shared" ca="1" si="56"/>
        <v>0</v>
      </c>
      <c r="BH132" s="725">
        <f t="shared" si="56"/>
        <v>0</v>
      </c>
      <c r="BI132" s="725">
        <f t="shared" ca="1" si="56"/>
        <v>0</v>
      </c>
      <c r="BJ132" s="725">
        <f t="shared" ca="1" si="56"/>
        <v>0</v>
      </c>
      <c r="BK132" s="725">
        <f t="shared" si="56"/>
        <v>0</v>
      </c>
      <c r="BL132" s="725">
        <f t="shared" ca="1" si="56"/>
        <v>0</v>
      </c>
      <c r="BM132" s="725">
        <f t="shared" ca="1" si="56"/>
        <v>0</v>
      </c>
      <c r="BN132" s="725">
        <f t="shared" ref="BN132:CS132" si="57">IFERROR(BN126/BN54,0)*1000</f>
        <v>0</v>
      </c>
      <c r="BO132" s="725">
        <f t="shared" ca="1" si="57"/>
        <v>0</v>
      </c>
      <c r="BP132" s="725">
        <f t="shared" ca="1" si="57"/>
        <v>0</v>
      </c>
      <c r="BQ132" s="725">
        <f t="shared" si="57"/>
        <v>0</v>
      </c>
      <c r="BR132" s="725">
        <f t="shared" ca="1" si="57"/>
        <v>0</v>
      </c>
      <c r="BS132" s="725">
        <f t="shared" ca="1" si="57"/>
        <v>0</v>
      </c>
      <c r="BT132" s="725">
        <f t="shared" si="57"/>
        <v>0</v>
      </c>
      <c r="BU132" s="725">
        <f t="shared" ca="1" si="57"/>
        <v>0</v>
      </c>
      <c r="BV132" s="725">
        <f t="shared" ca="1" si="57"/>
        <v>0</v>
      </c>
      <c r="BW132" s="725">
        <f t="shared" si="57"/>
        <v>0</v>
      </c>
      <c r="BX132" s="725">
        <f t="shared" ca="1" si="57"/>
        <v>0</v>
      </c>
      <c r="BY132" s="725">
        <f t="shared" ca="1" si="57"/>
        <v>0</v>
      </c>
      <c r="BZ132" s="725">
        <f t="shared" si="57"/>
        <v>0</v>
      </c>
      <c r="CA132" s="725">
        <f t="shared" ca="1" si="57"/>
        <v>0</v>
      </c>
      <c r="CB132" s="725">
        <f t="shared" ca="1" si="57"/>
        <v>0</v>
      </c>
      <c r="CC132" s="725">
        <f t="shared" si="57"/>
        <v>0</v>
      </c>
      <c r="CD132" s="725">
        <f t="shared" ca="1" si="57"/>
        <v>0</v>
      </c>
      <c r="CE132" s="725">
        <f t="shared" ca="1" si="57"/>
        <v>0</v>
      </c>
      <c r="CF132" s="725">
        <f t="shared" si="57"/>
        <v>0</v>
      </c>
      <c r="CG132" s="725">
        <f t="shared" ca="1" si="57"/>
        <v>0</v>
      </c>
      <c r="CH132" s="725">
        <f t="shared" ca="1" si="57"/>
        <v>0</v>
      </c>
      <c r="CI132" s="725">
        <f t="shared" si="57"/>
        <v>0</v>
      </c>
      <c r="CJ132" s="725">
        <f t="shared" ca="1" si="57"/>
        <v>0</v>
      </c>
      <c r="CK132" s="725">
        <f t="shared" ca="1" si="57"/>
        <v>0</v>
      </c>
      <c r="CL132" s="725">
        <f t="shared" si="57"/>
        <v>0</v>
      </c>
      <c r="CM132" s="725">
        <f t="shared" ca="1" si="57"/>
        <v>0</v>
      </c>
      <c r="CN132" s="725">
        <f t="shared" ca="1" si="57"/>
        <v>0</v>
      </c>
      <c r="CO132" s="725">
        <f t="shared" si="57"/>
        <v>0</v>
      </c>
      <c r="CP132" s="725">
        <f t="shared" ca="1" si="57"/>
        <v>0</v>
      </c>
      <c r="CQ132" s="725">
        <f t="shared" ca="1" si="57"/>
        <v>0</v>
      </c>
      <c r="CR132" s="725">
        <f t="shared" si="57"/>
        <v>0</v>
      </c>
      <c r="CS132" s="725">
        <f t="shared" ca="1" si="57"/>
        <v>0</v>
      </c>
      <c r="CT132" s="25"/>
      <c r="CW132" s="960" t="s">
        <v>912</v>
      </c>
    </row>
    <row r="133" spans="1:106" ht="16.7" hidden="1" customHeight="1" x14ac:dyDescent="0.15">
      <c r="E133" s="668">
        <v>17.100000000000001</v>
      </c>
      <c r="F133" s="769" cm="1">
        <f t="array" aca="1" ref="F133" ca="1">OFFSET(G133,-1,-1)</f>
        <v>0</v>
      </c>
      <c r="L133" s="769" t="b" cm="1">
        <f t="array" aca="1" ref="L133" ca="1">OFFSET(M133,-1,-1)</f>
        <v>0</v>
      </c>
      <c r="S133" s="107" t="b" cm="1">
        <f t="array" aca="1" ref="S133" ca="1">OFFSET(T133,-1,-1)</f>
        <v>0</v>
      </c>
      <c r="T133" s="107" t="b">
        <f>AD133&lt;&gt;"41.0"</f>
        <v>0</v>
      </c>
      <c r="U133" s="690" t="b">
        <f t="shared" ca="1" si="35"/>
        <v>0</v>
      </c>
      <c r="X133" s="107" t="s">
        <v>237</v>
      </c>
      <c r="Y133" s="1428"/>
      <c r="Z133" s="1428"/>
      <c r="AB133" s="1551"/>
      <c r="AD133" s="108" t="s">
        <v>913</v>
      </c>
      <c r="AE133" s="811"/>
      <c r="AF133" s="516"/>
      <c r="AG133" s="724" t="s">
        <v>910</v>
      </c>
      <c r="AH133" s="725">
        <f t="shared" ref="AH133:BM133" si="58">IFERROR(AH129/AH55,0)*1000</f>
        <v>0</v>
      </c>
      <c r="AI133" s="725">
        <f t="shared" si="58"/>
        <v>0</v>
      </c>
      <c r="AJ133" s="725">
        <f t="shared" si="58"/>
        <v>0</v>
      </c>
      <c r="AK133" s="725">
        <f t="shared" si="58"/>
        <v>0</v>
      </c>
      <c r="AL133" s="725">
        <f t="shared" ca="1" si="58"/>
        <v>0</v>
      </c>
      <c r="AM133" s="725">
        <f t="shared" si="58"/>
        <v>0</v>
      </c>
      <c r="AN133" s="725">
        <f t="shared" ca="1" si="58"/>
        <v>0</v>
      </c>
      <c r="AO133" s="725">
        <f t="shared" ca="1" si="58"/>
        <v>0</v>
      </c>
      <c r="AP133" s="725">
        <f t="shared" si="58"/>
        <v>0</v>
      </c>
      <c r="AQ133" s="725">
        <f t="shared" ca="1" si="58"/>
        <v>0</v>
      </c>
      <c r="AR133" s="725">
        <f t="shared" ca="1" si="58"/>
        <v>0</v>
      </c>
      <c r="AS133" s="725">
        <f t="shared" si="58"/>
        <v>0</v>
      </c>
      <c r="AT133" s="725">
        <f t="shared" ca="1" si="58"/>
        <v>0</v>
      </c>
      <c r="AU133" s="725">
        <f t="shared" ca="1" si="58"/>
        <v>0</v>
      </c>
      <c r="AV133" s="725">
        <f t="shared" si="58"/>
        <v>0</v>
      </c>
      <c r="AW133" s="725">
        <f t="shared" ca="1" si="58"/>
        <v>0</v>
      </c>
      <c r="AX133" s="725">
        <f t="shared" ca="1" si="58"/>
        <v>0</v>
      </c>
      <c r="AY133" s="725">
        <f t="shared" si="58"/>
        <v>0</v>
      </c>
      <c r="AZ133" s="725">
        <f t="shared" ca="1" si="58"/>
        <v>0</v>
      </c>
      <c r="BA133" s="725">
        <f t="shared" ca="1" si="58"/>
        <v>0</v>
      </c>
      <c r="BB133" s="725">
        <f t="shared" si="58"/>
        <v>0</v>
      </c>
      <c r="BC133" s="725">
        <f t="shared" ca="1" si="58"/>
        <v>0</v>
      </c>
      <c r="BD133" s="725">
        <f t="shared" ca="1" si="58"/>
        <v>0</v>
      </c>
      <c r="BE133" s="725">
        <f t="shared" si="58"/>
        <v>0</v>
      </c>
      <c r="BF133" s="725">
        <f t="shared" ca="1" si="58"/>
        <v>0</v>
      </c>
      <c r="BG133" s="725">
        <f t="shared" ca="1" si="58"/>
        <v>0</v>
      </c>
      <c r="BH133" s="725">
        <f t="shared" si="58"/>
        <v>0</v>
      </c>
      <c r="BI133" s="725">
        <f t="shared" ca="1" si="58"/>
        <v>0</v>
      </c>
      <c r="BJ133" s="725">
        <f t="shared" ca="1" si="58"/>
        <v>0</v>
      </c>
      <c r="BK133" s="725">
        <f t="shared" si="58"/>
        <v>0</v>
      </c>
      <c r="BL133" s="725">
        <f t="shared" ca="1" si="58"/>
        <v>0</v>
      </c>
      <c r="BM133" s="725">
        <f t="shared" ca="1" si="58"/>
        <v>0</v>
      </c>
      <c r="BN133" s="725">
        <f t="shared" ref="BN133:CS133" si="59">IFERROR(BN129/BN55,0)*1000</f>
        <v>0</v>
      </c>
      <c r="BO133" s="725">
        <f t="shared" ca="1" si="59"/>
        <v>0</v>
      </c>
      <c r="BP133" s="725">
        <f t="shared" ca="1" si="59"/>
        <v>0</v>
      </c>
      <c r="BQ133" s="725">
        <f t="shared" si="59"/>
        <v>0</v>
      </c>
      <c r="BR133" s="725">
        <f t="shared" ca="1" si="59"/>
        <v>0</v>
      </c>
      <c r="BS133" s="725">
        <f t="shared" ca="1" si="59"/>
        <v>0</v>
      </c>
      <c r="BT133" s="725">
        <f t="shared" si="59"/>
        <v>0</v>
      </c>
      <c r="BU133" s="725">
        <f t="shared" ca="1" si="59"/>
        <v>0</v>
      </c>
      <c r="BV133" s="725">
        <f t="shared" ca="1" si="59"/>
        <v>0</v>
      </c>
      <c r="BW133" s="725">
        <f t="shared" si="59"/>
        <v>0</v>
      </c>
      <c r="BX133" s="725">
        <f t="shared" ca="1" si="59"/>
        <v>0</v>
      </c>
      <c r="BY133" s="725">
        <f t="shared" ca="1" si="59"/>
        <v>0</v>
      </c>
      <c r="BZ133" s="725">
        <f t="shared" si="59"/>
        <v>0</v>
      </c>
      <c r="CA133" s="725">
        <f t="shared" ca="1" si="59"/>
        <v>0</v>
      </c>
      <c r="CB133" s="725">
        <f t="shared" ca="1" si="59"/>
        <v>0</v>
      </c>
      <c r="CC133" s="725">
        <f t="shared" si="59"/>
        <v>0</v>
      </c>
      <c r="CD133" s="725">
        <f t="shared" ca="1" si="59"/>
        <v>0</v>
      </c>
      <c r="CE133" s="725">
        <f t="shared" ca="1" si="59"/>
        <v>0</v>
      </c>
      <c r="CF133" s="725">
        <f t="shared" si="59"/>
        <v>0</v>
      </c>
      <c r="CG133" s="725">
        <f t="shared" ca="1" si="59"/>
        <v>0</v>
      </c>
      <c r="CH133" s="725">
        <f t="shared" ca="1" si="59"/>
        <v>0</v>
      </c>
      <c r="CI133" s="725">
        <f t="shared" si="59"/>
        <v>0</v>
      </c>
      <c r="CJ133" s="725">
        <f t="shared" ca="1" si="59"/>
        <v>0</v>
      </c>
      <c r="CK133" s="725">
        <f t="shared" ca="1" si="59"/>
        <v>0</v>
      </c>
      <c r="CL133" s="725">
        <f t="shared" si="59"/>
        <v>0</v>
      </c>
      <c r="CM133" s="725">
        <f t="shared" ca="1" si="59"/>
        <v>0</v>
      </c>
      <c r="CN133" s="725">
        <f t="shared" ca="1" si="59"/>
        <v>0</v>
      </c>
      <c r="CO133" s="725">
        <f t="shared" si="59"/>
        <v>0</v>
      </c>
      <c r="CP133" s="725">
        <f t="shared" ca="1" si="59"/>
        <v>0</v>
      </c>
      <c r="CQ133" s="725">
        <f t="shared" ca="1" si="59"/>
        <v>0</v>
      </c>
      <c r="CR133" s="725">
        <f t="shared" si="59"/>
        <v>0</v>
      </c>
      <c r="CS133" s="725">
        <f t="shared" ca="1" si="59"/>
        <v>0</v>
      </c>
      <c r="CT133" s="25"/>
      <c r="CW133" s="960" t="s">
        <v>912</v>
      </c>
      <c r="CX133" s="965" t="s">
        <v>812</v>
      </c>
      <c r="CY133" s="969" cm="1">
        <f t="array" ref="CY133">AE133</f>
        <v>0</v>
      </c>
      <c r="CZ133" s="969" cm="1">
        <f t="array" ref="CZ133">AF133</f>
        <v>0</v>
      </c>
    </row>
    <row r="134" spans="1:106" ht="15" hidden="1" customHeight="1" x14ac:dyDescent="0.15">
      <c r="E134" s="668">
        <v>0</v>
      </c>
      <c r="F134" s="769" cm="1">
        <f t="array" aca="1" ref="F134" ca="1">OFFSET(G134,-1,-1)</f>
        <v>0</v>
      </c>
      <c r="L134" s="769" t="b" cm="1">
        <f t="array" aca="1" ref="L134" ca="1">OFFSET(M134,-1,-1)</f>
        <v>0</v>
      </c>
      <c r="S134" s="107" t="b" cm="1">
        <f t="array" aca="1" ref="S134" ca="1">OFFSET(T134,-1,-1)</f>
        <v>0</v>
      </c>
      <c r="U134" s="690" t="b">
        <f t="shared" ca="1" si="35"/>
        <v>0</v>
      </c>
      <c r="X134" s="810" t="str">
        <f>"{                  
         funcDyn: 'msg1',
         blok: 'blok_2',
         wsCross: 'Топливо 4.4',
         linkFormula: 'AE-AE#AF-AF',
         levelDyn: "&amp;Y28&amp;"
}"</f>
        <v>{                  
         funcDyn: 'msg1',
         blok: 'blok_2',
         wsCross: 'Топливо 4.4',
         linkFormula: 'AE-AE#AF-AF',
         levelDyn: 0
}</v>
      </c>
      <c r="Y134" s="1428"/>
      <c r="Z134" s="1428"/>
      <c r="AB134" s="1551"/>
      <c r="AD134" s="813"/>
      <c r="AE134" s="812" t="s">
        <v>239</v>
      </c>
      <c r="AF134" s="736"/>
      <c r="AG134" s="724"/>
      <c r="AH134" s="726"/>
      <c r="AI134" s="728"/>
      <c r="AJ134" s="728"/>
      <c r="AK134" s="728"/>
      <c r="AL134" s="728"/>
      <c r="AM134" s="728"/>
      <c r="AN134" s="728"/>
      <c r="AO134" s="728"/>
      <c r="AP134" s="728"/>
      <c r="AQ134" s="728"/>
      <c r="AR134" s="728"/>
      <c r="AS134" s="728"/>
      <c r="AT134" s="728"/>
      <c r="AU134" s="728"/>
      <c r="AV134" s="728"/>
      <c r="AW134" s="728"/>
      <c r="AX134" s="728"/>
      <c r="AY134" s="728"/>
      <c r="AZ134" s="728"/>
      <c r="BA134" s="728"/>
      <c r="BB134" s="728"/>
      <c r="BC134" s="728"/>
      <c r="BD134" s="728"/>
      <c r="BE134" s="728"/>
      <c r="BF134" s="728"/>
      <c r="BG134" s="728"/>
      <c r="BH134" s="728"/>
      <c r="BI134" s="728"/>
      <c r="BJ134" s="728"/>
      <c r="BK134" s="728"/>
      <c r="BL134" s="728"/>
      <c r="BM134" s="728"/>
      <c r="BN134" s="728"/>
      <c r="BO134" s="728"/>
      <c r="BP134" s="728"/>
      <c r="BQ134" s="728"/>
      <c r="BR134" s="728"/>
      <c r="BS134" s="728"/>
      <c r="BT134" s="728"/>
      <c r="BU134" s="728"/>
      <c r="BV134" s="728"/>
      <c r="BW134" s="728"/>
      <c r="BX134" s="728"/>
      <c r="BY134" s="728"/>
      <c r="BZ134" s="728"/>
      <c r="CA134" s="728"/>
      <c r="CB134" s="728"/>
      <c r="CC134" s="728"/>
      <c r="CD134" s="728"/>
      <c r="CE134" s="728"/>
      <c r="CF134" s="728"/>
      <c r="CG134" s="728"/>
      <c r="CH134" s="728"/>
      <c r="CI134" s="728"/>
      <c r="CJ134" s="728"/>
      <c r="CK134" s="728"/>
      <c r="CL134" s="728"/>
      <c r="CM134" s="728"/>
      <c r="CN134" s="728"/>
      <c r="CO134" s="728"/>
      <c r="CP134" s="728"/>
      <c r="CQ134" s="728"/>
      <c r="CR134" s="728"/>
      <c r="CS134" s="728"/>
      <c r="CT134" s="43"/>
      <c r="CW134" s="960" t="str">
        <f>IF(AND(ISNUMBER(VALUE(TRIM(SUBSTITUTE(AD134,".","")))),TRIM(SUBSTITUTE(AD134,".",""))&lt;&gt;""),"P"&amp;SUBSTITUTE(AD134,".",""),"")</f>
        <v/>
      </c>
    </row>
    <row r="135" spans="1:106" ht="16.7" hidden="1" customHeight="1" x14ac:dyDescent="0.15">
      <c r="E135" s="668">
        <v>17.100000000000001</v>
      </c>
      <c r="F135" s="769" cm="1">
        <f t="array" aca="1" ref="F135" ca="1">OFFSET(G135,-1,-1)</f>
        <v>0</v>
      </c>
      <c r="L135" s="769" t="b" cm="1">
        <f t="array" aca="1" ref="L135" ca="1">OFFSET(M135,-1,-1)</f>
        <v>0</v>
      </c>
      <c r="S135" s="107" t="b" cm="1">
        <f t="array" aca="1" ref="S135" ca="1">OFFSET(T135,-1,-1)</f>
        <v>0</v>
      </c>
      <c r="U135" s="690" t="b">
        <f t="shared" ca="1" si="35"/>
        <v>0</v>
      </c>
      <c r="Y135" s="1428"/>
      <c r="Z135" s="1428"/>
      <c r="AB135" s="1551"/>
      <c r="AD135" s="121" t="s">
        <v>914</v>
      </c>
      <c r="AE135" s="1510" t="s">
        <v>915</v>
      </c>
      <c r="AF135" s="1493"/>
      <c r="AG135" s="839"/>
      <c r="AH135" s="726"/>
      <c r="AI135" s="728"/>
      <c r="AJ135" s="728"/>
      <c r="AK135" s="728"/>
      <c r="AL135" s="728"/>
      <c r="AM135" s="728"/>
      <c r="AN135" s="728"/>
      <c r="AO135" s="728"/>
      <c r="AP135" s="728"/>
      <c r="AQ135" s="728"/>
      <c r="AR135" s="728"/>
      <c r="AS135" s="728"/>
      <c r="AT135" s="728"/>
      <c r="AU135" s="728"/>
      <c r="AV135" s="728"/>
      <c r="AW135" s="728"/>
      <c r="AX135" s="728"/>
      <c r="AY135" s="728"/>
      <c r="AZ135" s="728"/>
      <c r="BA135" s="728"/>
      <c r="BB135" s="728"/>
      <c r="BC135" s="728"/>
      <c r="BD135" s="728"/>
      <c r="BE135" s="728"/>
      <c r="BF135" s="728"/>
      <c r="BG135" s="728"/>
      <c r="BH135" s="728"/>
      <c r="BI135" s="728"/>
      <c r="BJ135" s="728"/>
      <c r="BK135" s="728"/>
      <c r="BL135" s="728"/>
      <c r="BM135" s="728"/>
      <c r="BN135" s="728"/>
      <c r="BO135" s="728"/>
      <c r="BP135" s="728"/>
      <c r="BQ135" s="728"/>
      <c r="BR135" s="728"/>
      <c r="BS135" s="728"/>
      <c r="BT135" s="728"/>
      <c r="BU135" s="728"/>
      <c r="BV135" s="728"/>
      <c r="BW135" s="728"/>
      <c r="BX135" s="728"/>
      <c r="BY135" s="728"/>
      <c r="BZ135" s="728"/>
      <c r="CA135" s="728"/>
      <c r="CB135" s="728"/>
      <c r="CC135" s="728"/>
      <c r="CD135" s="728"/>
      <c r="CE135" s="728"/>
      <c r="CF135" s="728"/>
      <c r="CG135" s="728"/>
      <c r="CH135" s="728"/>
      <c r="CI135" s="728"/>
      <c r="CJ135" s="728"/>
      <c r="CK135" s="728"/>
      <c r="CL135" s="728"/>
      <c r="CM135" s="728"/>
      <c r="CN135" s="728"/>
      <c r="CO135" s="728"/>
      <c r="CP135" s="728"/>
      <c r="CQ135" s="728"/>
      <c r="CR135" s="728"/>
      <c r="CS135" s="728"/>
      <c r="CT135" s="25"/>
      <c r="CW135" s="960" t="s">
        <v>916</v>
      </c>
    </row>
    <row r="136" spans="1:106" ht="16.7" hidden="1" customHeight="1" x14ac:dyDescent="0.15">
      <c r="E136" s="668">
        <v>17.100000000000001</v>
      </c>
      <c r="F136" s="769" cm="1">
        <f t="array" aca="1" ref="F136" ca="1">OFFSET(G136,-1,-1)</f>
        <v>0</v>
      </c>
      <c r="L136" s="769" t="b" cm="1">
        <f t="array" aca="1" ref="L136" ca="1">OFFSET(M136,-1,-1)</f>
        <v>0</v>
      </c>
      <c r="S136" s="107" t="b" cm="1">
        <f t="array" aca="1" ref="S136" ca="1">OFFSET(T136,-1,-1)</f>
        <v>0</v>
      </c>
      <c r="T136" s="107" t="b">
        <f>AD136&lt;&gt;"42.0"</f>
        <v>0</v>
      </c>
      <c r="U136" s="690" t="b">
        <f t="shared" ca="1" si="35"/>
        <v>0</v>
      </c>
      <c r="X136" s="107" t="s">
        <v>237</v>
      </c>
      <c r="Y136" s="1428"/>
      <c r="Z136" s="1428"/>
      <c r="AB136" s="1551"/>
      <c r="AD136" s="108" t="s">
        <v>917</v>
      </c>
      <c r="AE136" s="811"/>
      <c r="AF136" s="516"/>
      <c r="AG136" s="884" t="str">
        <f>"руб./"&amp;IFERROR(INDEX(fuel_ed_izm_list,MATCH(AE136,fuel_list,0)),"")</f>
        <v>руб./</v>
      </c>
      <c r="AH136" s="932">
        <f t="shared" ref="AH136:BM136" si="60">IFERROR(AH129/AH64,0)*1000</f>
        <v>0</v>
      </c>
      <c r="AI136" s="932">
        <f t="shared" si="60"/>
        <v>0</v>
      </c>
      <c r="AJ136" s="932">
        <f t="shared" si="60"/>
        <v>0</v>
      </c>
      <c r="AK136" s="932">
        <f t="shared" si="60"/>
        <v>0</v>
      </c>
      <c r="AL136" s="932">
        <f t="shared" ca="1" si="60"/>
        <v>0</v>
      </c>
      <c r="AM136" s="932">
        <f t="shared" si="60"/>
        <v>0</v>
      </c>
      <c r="AN136" s="932">
        <f t="shared" ca="1" si="60"/>
        <v>0</v>
      </c>
      <c r="AO136" s="932">
        <f t="shared" ca="1" si="60"/>
        <v>0</v>
      </c>
      <c r="AP136" s="932">
        <f t="shared" si="60"/>
        <v>0</v>
      </c>
      <c r="AQ136" s="932">
        <f t="shared" ca="1" si="60"/>
        <v>0</v>
      </c>
      <c r="AR136" s="932">
        <f t="shared" ca="1" si="60"/>
        <v>0</v>
      </c>
      <c r="AS136" s="932">
        <f t="shared" si="60"/>
        <v>0</v>
      </c>
      <c r="AT136" s="932">
        <f t="shared" ca="1" si="60"/>
        <v>0</v>
      </c>
      <c r="AU136" s="932">
        <f t="shared" ca="1" si="60"/>
        <v>0</v>
      </c>
      <c r="AV136" s="932">
        <f t="shared" si="60"/>
        <v>0</v>
      </c>
      <c r="AW136" s="932">
        <f t="shared" ca="1" si="60"/>
        <v>0</v>
      </c>
      <c r="AX136" s="932">
        <f t="shared" ca="1" si="60"/>
        <v>0</v>
      </c>
      <c r="AY136" s="932">
        <f t="shared" si="60"/>
        <v>0</v>
      </c>
      <c r="AZ136" s="932">
        <f t="shared" ca="1" si="60"/>
        <v>0</v>
      </c>
      <c r="BA136" s="932">
        <f t="shared" ca="1" si="60"/>
        <v>0</v>
      </c>
      <c r="BB136" s="932">
        <f t="shared" si="60"/>
        <v>0</v>
      </c>
      <c r="BC136" s="932">
        <f t="shared" ca="1" si="60"/>
        <v>0</v>
      </c>
      <c r="BD136" s="932">
        <f t="shared" ca="1" si="60"/>
        <v>0</v>
      </c>
      <c r="BE136" s="932">
        <f t="shared" si="60"/>
        <v>0</v>
      </c>
      <c r="BF136" s="932">
        <f t="shared" ca="1" si="60"/>
        <v>0</v>
      </c>
      <c r="BG136" s="932">
        <f t="shared" ca="1" si="60"/>
        <v>0</v>
      </c>
      <c r="BH136" s="932">
        <f t="shared" si="60"/>
        <v>0</v>
      </c>
      <c r="BI136" s="932">
        <f t="shared" ca="1" si="60"/>
        <v>0</v>
      </c>
      <c r="BJ136" s="932">
        <f t="shared" ca="1" si="60"/>
        <v>0</v>
      </c>
      <c r="BK136" s="932">
        <f t="shared" si="60"/>
        <v>0</v>
      </c>
      <c r="BL136" s="932">
        <f t="shared" ca="1" si="60"/>
        <v>0</v>
      </c>
      <c r="BM136" s="932">
        <f t="shared" ca="1" si="60"/>
        <v>0</v>
      </c>
      <c r="BN136" s="932">
        <f t="shared" ref="BN136:CS136" si="61">IFERROR(BN129/BN64,0)*1000</f>
        <v>0</v>
      </c>
      <c r="BO136" s="932">
        <f t="shared" ca="1" si="61"/>
        <v>0</v>
      </c>
      <c r="BP136" s="932">
        <f t="shared" ca="1" si="61"/>
        <v>0</v>
      </c>
      <c r="BQ136" s="932">
        <f t="shared" si="61"/>
        <v>0</v>
      </c>
      <c r="BR136" s="932">
        <f t="shared" ca="1" si="61"/>
        <v>0</v>
      </c>
      <c r="BS136" s="932">
        <f t="shared" ca="1" si="61"/>
        <v>0</v>
      </c>
      <c r="BT136" s="932">
        <f t="shared" si="61"/>
        <v>0</v>
      </c>
      <c r="BU136" s="932">
        <f t="shared" ca="1" si="61"/>
        <v>0</v>
      </c>
      <c r="BV136" s="932">
        <f t="shared" ca="1" si="61"/>
        <v>0</v>
      </c>
      <c r="BW136" s="932">
        <f t="shared" si="61"/>
        <v>0</v>
      </c>
      <c r="BX136" s="932">
        <f t="shared" ca="1" si="61"/>
        <v>0</v>
      </c>
      <c r="BY136" s="932">
        <f t="shared" ca="1" si="61"/>
        <v>0</v>
      </c>
      <c r="BZ136" s="932">
        <f t="shared" si="61"/>
        <v>0</v>
      </c>
      <c r="CA136" s="932">
        <f t="shared" ca="1" si="61"/>
        <v>0</v>
      </c>
      <c r="CB136" s="932">
        <f t="shared" ca="1" si="61"/>
        <v>0</v>
      </c>
      <c r="CC136" s="932">
        <f t="shared" si="61"/>
        <v>0</v>
      </c>
      <c r="CD136" s="932">
        <f t="shared" ca="1" si="61"/>
        <v>0</v>
      </c>
      <c r="CE136" s="932">
        <f t="shared" ca="1" si="61"/>
        <v>0</v>
      </c>
      <c r="CF136" s="932">
        <f t="shared" si="61"/>
        <v>0</v>
      </c>
      <c r="CG136" s="932">
        <f t="shared" ca="1" si="61"/>
        <v>0</v>
      </c>
      <c r="CH136" s="932">
        <f t="shared" ca="1" si="61"/>
        <v>0</v>
      </c>
      <c r="CI136" s="932">
        <f t="shared" si="61"/>
        <v>0</v>
      </c>
      <c r="CJ136" s="932">
        <f t="shared" ca="1" si="61"/>
        <v>0</v>
      </c>
      <c r="CK136" s="932">
        <f t="shared" ca="1" si="61"/>
        <v>0</v>
      </c>
      <c r="CL136" s="932">
        <f t="shared" si="61"/>
        <v>0</v>
      </c>
      <c r="CM136" s="932">
        <f t="shared" ca="1" si="61"/>
        <v>0</v>
      </c>
      <c r="CN136" s="932">
        <f t="shared" ca="1" si="61"/>
        <v>0</v>
      </c>
      <c r="CO136" s="932">
        <f t="shared" si="61"/>
        <v>0</v>
      </c>
      <c r="CP136" s="932">
        <f t="shared" ca="1" si="61"/>
        <v>0</v>
      </c>
      <c r="CQ136" s="932">
        <f t="shared" ca="1" si="61"/>
        <v>0</v>
      </c>
      <c r="CR136" s="932">
        <f t="shared" si="61"/>
        <v>0</v>
      </c>
      <c r="CS136" s="932">
        <f t="shared" ca="1" si="61"/>
        <v>0</v>
      </c>
      <c r="CT136" s="25"/>
      <c r="CW136" s="960" t="s">
        <v>916</v>
      </c>
      <c r="CX136" s="965" t="s">
        <v>812</v>
      </c>
      <c r="CY136" s="969" cm="1">
        <f t="array" ref="CY136">AE136</f>
        <v>0</v>
      </c>
      <c r="CZ136" s="969" cm="1">
        <f t="array" ref="CZ136">AF136</f>
        <v>0</v>
      </c>
    </row>
    <row r="137" spans="1:106" ht="15" hidden="1" customHeight="1" x14ac:dyDescent="0.15">
      <c r="E137" s="668">
        <v>0</v>
      </c>
      <c r="F137" s="769" cm="1">
        <f t="array" aca="1" ref="F137" ca="1">OFFSET(G137,-1,-1)</f>
        <v>0</v>
      </c>
      <c r="L137" s="769" t="b" cm="1">
        <f t="array" aca="1" ref="L137" ca="1">OFFSET(M137,-1,-1)</f>
        <v>0</v>
      </c>
      <c r="S137" s="107" t="b" cm="1">
        <f t="array" aca="1" ref="S137" ca="1">OFFSET(T137,-1,-1)</f>
        <v>0</v>
      </c>
      <c r="U137" s="690" t="b">
        <f t="shared" ca="1" si="35"/>
        <v>0</v>
      </c>
      <c r="X137" s="810" t="str">
        <f>"{                  
         funcDyn: 'msg1',
         blok: '',
         wsCross: '',
         linkFormula: '',
         levelDyn: "&amp;Y28&amp;"
}"</f>
        <v>{                  
         funcDyn: 'msg1',
         blok: '',
         wsCross: '',
         linkFormula: '',
         levelDyn: 0
}</v>
      </c>
      <c r="Y137" s="1428"/>
      <c r="Z137" s="1428"/>
      <c r="AB137" s="1551"/>
      <c r="AD137" s="813"/>
      <c r="AE137" s="812" t="s">
        <v>239</v>
      </c>
      <c r="AF137" s="736"/>
      <c r="AG137" s="724"/>
      <c r="AH137" s="738"/>
      <c r="AI137" s="739"/>
      <c r="AJ137" s="739"/>
      <c r="AK137" s="739"/>
      <c r="AL137" s="739"/>
      <c r="AM137" s="739"/>
      <c r="AN137" s="739"/>
      <c r="AO137" s="739"/>
      <c r="AP137" s="739"/>
      <c r="AQ137" s="739"/>
      <c r="AR137" s="739"/>
      <c r="AS137" s="739"/>
      <c r="AT137" s="739"/>
      <c r="AU137" s="739"/>
      <c r="AV137" s="739"/>
      <c r="AW137" s="739"/>
      <c r="AX137" s="739"/>
      <c r="AY137" s="739"/>
      <c r="AZ137" s="739"/>
      <c r="BA137" s="739"/>
      <c r="BB137" s="739"/>
      <c r="BC137" s="739"/>
      <c r="BD137" s="739"/>
      <c r="BE137" s="739"/>
      <c r="BF137" s="739"/>
      <c r="BG137" s="739"/>
      <c r="BH137" s="739"/>
      <c r="BI137" s="739"/>
      <c r="BJ137" s="739"/>
      <c r="BK137" s="739"/>
      <c r="BL137" s="739"/>
      <c r="BM137" s="739"/>
      <c r="BN137" s="739"/>
      <c r="BO137" s="739"/>
      <c r="BP137" s="739"/>
      <c r="BQ137" s="739"/>
      <c r="BR137" s="739"/>
      <c r="BS137" s="739"/>
      <c r="BT137" s="739"/>
      <c r="BU137" s="739"/>
      <c r="BV137" s="739"/>
      <c r="BW137" s="739"/>
      <c r="BX137" s="739"/>
      <c r="BY137" s="739"/>
      <c r="BZ137" s="739"/>
      <c r="CA137" s="739"/>
      <c r="CB137" s="739"/>
      <c r="CC137" s="739"/>
      <c r="CD137" s="739"/>
      <c r="CE137" s="739"/>
      <c r="CF137" s="739"/>
      <c r="CG137" s="739"/>
      <c r="CH137" s="739"/>
      <c r="CI137" s="739"/>
      <c r="CJ137" s="739"/>
      <c r="CK137" s="739"/>
      <c r="CL137" s="739"/>
      <c r="CM137" s="739"/>
      <c r="CN137" s="739"/>
      <c r="CO137" s="739"/>
      <c r="CP137" s="739"/>
      <c r="CQ137" s="739"/>
      <c r="CR137" s="739"/>
      <c r="CS137" s="739"/>
      <c r="CT137" s="43"/>
      <c r="CW137" s="960" t="str">
        <f>IF(AND(ISNUMBER(VALUE(TRIM(SUBSTITUTE(AD137,".","")))),TRIM(SUBSTITUTE(AD137,".",""))&lt;&gt;""),"P"&amp;SUBSTITUTE(AD137,".",""),"")</f>
        <v/>
      </c>
    </row>
    <row r="138" spans="1:106" ht="16.7" hidden="1" customHeight="1" x14ac:dyDescent="0.15">
      <c r="E138" s="668">
        <v>17.100000000000001</v>
      </c>
      <c r="F138" s="769" cm="1">
        <f t="array" aca="1" ref="F138" ca="1">OFFSET(G138,-1,-1)</f>
        <v>0</v>
      </c>
      <c r="L138" s="769" t="b" cm="1">
        <f t="array" aca="1" ref="L138" ca="1">OFFSET(M138,-1,-1)</f>
        <v>0</v>
      </c>
      <c r="S138" s="107" t="b" cm="1">
        <f t="array" aca="1" ref="S138" ca="1">OFFSET(T138,-1,-1)</f>
        <v>0</v>
      </c>
      <c r="U138" s="690" t="b">
        <f t="shared" ca="1" si="35"/>
        <v>0</v>
      </c>
      <c r="Y138" s="1428"/>
      <c r="Z138" s="1428"/>
      <c r="AB138" s="1552"/>
      <c r="AC138" s="815"/>
      <c r="AD138" s="121" t="s">
        <v>918</v>
      </c>
      <c r="AE138" s="1510" t="s">
        <v>919</v>
      </c>
      <c r="AF138" s="1493"/>
      <c r="AG138" s="724" t="s">
        <v>920</v>
      </c>
      <c r="AH138" s="725">
        <f t="shared" ref="AH138:BM138" ca="1" si="62">IFERROR(AH126/AH44*1000,0)</f>
        <v>0</v>
      </c>
      <c r="AI138" s="725">
        <f t="shared" ca="1" si="62"/>
        <v>0</v>
      </c>
      <c r="AJ138" s="725">
        <f t="shared" ca="1" si="62"/>
        <v>0</v>
      </c>
      <c r="AK138" s="725">
        <f t="shared" ca="1" si="62"/>
        <v>0</v>
      </c>
      <c r="AL138" s="725">
        <f t="shared" ca="1" si="62"/>
        <v>0</v>
      </c>
      <c r="AM138" s="725">
        <f t="shared" si="62"/>
        <v>0</v>
      </c>
      <c r="AN138" s="725">
        <f t="shared" ca="1" si="62"/>
        <v>0</v>
      </c>
      <c r="AO138" s="725">
        <f t="shared" ca="1" si="62"/>
        <v>0</v>
      </c>
      <c r="AP138" s="725">
        <f t="shared" si="62"/>
        <v>0</v>
      </c>
      <c r="AQ138" s="725">
        <f t="shared" ca="1" si="62"/>
        <v>0</v>
      </c>
      <c r="AR138" s="725">
        <f t="shared" ca="1" si="62"/>
        <v>0</v>
      </c>
      <c r="AS138" s="725">
        <f t="shared" si="62"/>
        <v>0</v>
      </c>
      <c r="AT138" s="725">
        <f t="shared" ca="1" si="62"/>
        <v>0</v>
      </c>
      <c r="AU138" s="725">
        <f t="shared" ca="1" si="62"/>
        <v>0</v>
      </c>
      <c r="AV138" s="725">
        <f t="shared" si="62"/>
        <v>0</v>
      </c>
      <c r="AW138" s="725">
        <f t="shared" ca="1" si="62"/>
        <v>0</v>
      </c>
      <c r="AX138" s="725">
        <f t="shared" ca="1" si="62"/>
        <v>0</v>
      </c>
      <c r="AY138" s="725">
        <f t="shared" si="62"/>
        <v>0</v>
      </c>
      <c r="AZ138" s="725">
        <f t="shared" ca="1" si="62"/>
        <v>0</v>
      </c>
      <c r="BA138" s="725">
        <f t="shared" ca="1" si="62"/>
        <v>0</v>
      </c>
      <c r="BB138" s="725">
        <f t="shared" si="62"/>
        <v>0</v>
      </c>
      <c r="BC138" s="725">
        <f t="shared" ca="1" si="62"/>
        <v>0</v>
      </c>
      <c r="BD138" s="725">
        <f t="shared" ca="1" si="62"/>
        <v>0</v>
      </c>
      <c r="BE138" s="725">
        <f t="shared" si="62"/>
        <v>0</v>
      </c>
      <c r="BF138" s="725">
        <f t="shared" ca="1" si="62"/>
        <v>0</v>
      </c>
      <c r="BG138" s="725">
        <f t="shared" ca="1" si="62"/>
        <v>0</v>
      </c>
      <c r="BH138" s="725">
        <f t="shared" si="62"/>
        <v>0</v>
      </c>
      <c r="BI138" s="725">
        <f t="shared" ca="1" si="62"/>
        <v>0</v>
      </c>
      <c r="BJ138" s="725">
        <f t="shared" ca="1" si="62"/>
        <v>0</v>
      </c>
      <c r="BK138" s="725">
        <f t="shared" si="62"/>
        <v>0</v>
      </c>
      <c r="BL138" s="725">
        <f t="shared" ca="1" si="62"/>
        <v>0</v>
      </c>
      <c r="BM138" s="725">
        <f t="shared" ca="1" si="62"/>
        <v>0</v>
      </c>
      <c r="BN138" s="725">
        <f t="shared" ref="BN138:CS138" si="63">IFERROR(BN126/BN44*1000,0)</f>
        <v>0</v>
      </c>
      <c r="BO138" s="725">
        <f t="shared" ca="1" si="63"/>
        <v>0</v>
      </c>
      <c r="BP138" s="725">
        <f t="shared" ca="1" si="63"/>
        <v>0</v>
      </c>
      <c r="BQ138" s="725">
        <f t="shared" si="63"/>
        <v>0</v>
      </c>
      <c r="BR138" s="725">
        <f t="shared" ca="1" si="63"/>
        <v>0</v>
      </c>
      <c r="BS138" s="725">
        <f t="shared" ca="1" si="63"/>
        <v>0</v>
      </c>
      <c r="BT138" s="725">
        <f t="shared" si="63"/>
        <v>0</v>
      </c>
      <c r="BU138" s="725">
        <f t="shared" ca="1" si="63"/>
        <v>0</v>
      </c>
      <c r="BV138" s="725">
        <f t="shared" ca="1" si="63"/>
        <v>0</v>
      </c>
      <c r="BW138" s="725">
        <f t="shared" si="63"/>
        <v>0</v>
      </c>
      <c r="BX138" s="725">
        <f t="shared" ca="1" si="63"/>
        <v>0</v>
      </c>
      <c r="BY138" s="725">
        <f t="shared" ca="1" si="63"/>
        <v>0</v>
      </c>
      <c r="BZ138" s="725">
        <f t="shared" si="63"/>
        <v>0</v>
      </c>
      <c r="CA138" s="725">
        <f t="shared" ca="1" si="63"/>
        <v>0</v>
      </c>
      <c r="CB138" s="725">
        <f t="shared" ca="1" si="63"/>
        <v>0</v>
      </c>
      <c r="CC138" s="725">
        <f t="shared" si="63"/>
        <v>0</v>
      </c>
      <c r="CD138" s="725">
        <f t="shared" ca="1" si="63"/>
        <v>0</v>
      </c>
      <c r="CE138" s="725">
        <f t="shared" ca="1" si="63"/>
        <v>0</v>
      </c>
      <c r="CF138" s="725">
        <f t="shared" si="63"/>
        <v>0</v>
      </c>
      <c r="CG138" s="725">
        <f t="shared" ca="1" si="63"/>
        <v>0</v>
      </c>
      <c r="CH138" s="725">
        <f t="shared" ca="1" si="63"/>
        <v>0</v>
      </c>
      <c r="CI138" s="725">
        <f t="shared" si="63"/>
        <v>0</v>
      </c>
      <c r="CJ138" s="725">
        <f t="shared" ca="1" si="63"/>
        <v>0</v>
      </c>
      <c r="CK138" s="725">
        <f t="shared" ca="1" si="63"/>
        <v>0</v>
      </c>
      <c r="CL138" s="725">
        <f t="shared" si="63"/>
        <v>0</v>
      </c>
      <c r="CM138" s="725">
        <f t="shared" ca="1" si="63"/>
        <v>0</v>
      </c>
      <c r="CN138" s="725">
        <f t="shared" ca="1" si="63"/>
        <v>0</v>
      </c>
      <c r="CO138" s="725">
        <f t="shared" si="63"/>
        <v>0</v>
      </c>
      <c r="CP138" s="725">
        <f t="shared" ca="1" si="63"/>
        <v>0</v>
      </c>
      <c r="CQ138" s="725">
        <f t="shared" ca="1" si="63"/>
        <v>0</v>
      </c>
      <c r="CR138" s="725">
        <f t="shared" si="63"/>
        <v>0</v>
      </c>
      <c r="CS138" s="725">
        <f t="shared" ca="1" si="63"/>
        <v>0</v>
      </c>
      <c r="CT138" s="25"/>
      <c r="CW138" s="960" t="s">
        <v>921</v>
      </c>
    </row>
    <row r="139" spans="1:106" s="1167" customFormat="1" ht="16.5" customHeight="1" x14ac:dyDescent="0.15">
      <c r="A139" s="1150"/>
      <c r="B139" s="773"/>
      <c r="C139" s="1150"/>
      <c r="D139" s="1150"/>
      <c r="E139" s="668">
        <v>17.100000000000001</v>
      </c>
      <c r="F139" s="769" t="str" cm="1">
        <f t="array" ref="F139">Y139</f>
        <v>1</v>
      </c>
      <c r="G139" s="160" t="str" cm="1">
        <f t="array" ref="G139">INDEX('Общие сведения'!$AE$169:$AE$202,MATCH($F139,'Общие сведения'!$Z$169:$Z$202,0))</f>
        <v>Теплоснабжение</v>
      </c>
      <c r="H139" s="160" t="str" cm="1">
        <f t="array" ref="H139">INDEX('Общие сведения'!$AK$169:$AK$202,MATCH($F139,'Общие сведения'!$Z$169:$Z$202,0))</f>
        <v>одноставочный</v>
      </c>
      <c r="I139" s="160" cm="1">
        <f t="array" ref="I139">INDEX('Общие сведения'!$AH$169:$AH$202,MATCH($F139,'Общие сведения'!$Z$169:$Z$202,0))</f>
        <v>0</v>
      </c>
      <c r="J139" s="160" t="str" cm="1">
        <f t="array" ref="J139">INDEX('Общие сведения'!$AI$169:$AI$202,MATCH($F139,'Общие сведения'!$Z$169:$Z$202,0))</f>
        <v>вода</v>
      </c>
      <c r="K139" s="160" t="str" cm="1">
        <f t="array" ref="K139">INDEX('Общие сведения'!$AJ$169:$AJ$202,MATCH($F139,'Общие сведения'!$Z$169:$Z$202,0))</f>
        <v>Не определено</v>
      </c>
      <c r="L139" s="161" t="b" cm="1">
        <f t="array" ref="L139">INDEX('Общие сведения'!$AN$169:$AN$202,MATCH($F139,'Общие сведения'!$Z$169:$Z$202,0))</f>
        <v>0</v>
      </c>
      <c r="M139" s="804"/>
      <c r="N139" s="804"/>
      <c r="O139" s="804"/>
      <c r="P139" s="804"/>
      <c r="Q139" s="804"/>
      <c r="R139" s="1150"/>
      <c r="S139" s="107" t="b">
        <f>Y139&gt;0</f>
        <v>1</v>
      </c>
      <c r="T139" s="1150"/>
      <c r="U139" s="690" t="b">
        <f t="shared" si="35"/>
        <v>1</v>
      </c>
      <c r="V139" s="1150"/>
      <c r="W139" s="123" t="str" cm="1">
        <f t="array" ref="W139">'Баланс Тр'!$AB$35</f>
        <v>Тариф 1 (Теплоснабжение) - Тариф на тепловую энергию (мощность), поставляемую потребителям (Не определено)</v>
      </c>
      <c r="X139" s="1150"/>
      <c r="Y139" s="1547" t="s">
        <v>339</v>
      </c>
      <c r="Z139" s="1428"/>
      <c r="AA139" s="691"/>
      <c r="AB139" s="390" t="str" cm="1">
        <f t="array" ref="AB139">IF(ISBLANK('Баланс Тр'!$AB$35),"",'Баланс Тр'!$AB$35)</f>
        <v>Тариф 1 (Теплоснабжение) - Тариф на тепловую энергию (мощность), поставляемую потребителям (Не определено)</v>
      </c>
      <c r="AC139" s="390"/>
      <c r="AD139" s="210"/>
      <c r="AE139" s="207"/>
      <c r="AF139" s="207"/>
      <c r="AG139" s="207"/>
      <c r="AH139" s="207"/>
      <c r="AI139" s="207"/>
      <c r="AJ139" s="207"/>
      <c r="AK139" s="207"/>
      <c r="AL139" s="207"/>
      <c r="AM139" s="207"/>
      <c r="AN139" s="207"/>
      <c r="AO139" s="207"/>
      <c r="AP139" s="207"/>
      <c r="AQ139" s="207"/>
      <c r="AR139" s="207"/>
      <c r="AS139" s="207"/>
      <c r="AT139" s="207"/>
      <c r="AU139" s="207"/>
      <c r="AV139" s="207"/>
      <c r="AW139" s="207"/>
      <c r="AX139" s="207"/>
      <c r="AY139" s="207"/>
      <c r="AZ139" s="207"/>
      <c r="BA139" s="207"/>
      <c r="BB139" s="207"/>
      <c r="BC139" s="207"/>
      <c r="BD139" s="207"/>
      <c r="BE139" s="207"/>
      <c r="BF139" s="207"/>
      <c r="BG139" s="207"/>
      <c r="BH139" s="207"/>
      <c r="BI139" s="207"/>
      <c r="BJ139" s="207"/>
      <c r="BK139" s="207"/>
      <c r="BL139" s="207"/>
      <c r="BM139" s="207"/>
      <c r="BN139" s="207"/>
      <c r="BO139" s="207"/>
      <c r="BP139" s="207"/>
      <c r="BQ139" s="207"/>
      <c r="BR139" s="207"/>
      <c r="BS139" s="207"/>
      <c r="BT139" s="207"/>
      <c r="BU139" s="207"/>
      <c r="BV139" s="207"/>
      <c r="BW139" s="207"/>
      <c r="BX139" s="207"/>
      <c r="BY139" s="207"/>
      <c r="BZ139" s="207"/>
      <c r="CA139" s="207"/>
      <c r="CB139" s="207"/>
      <c r="CC139" s="207"/>
      <c r="CD139" s="264"/>
      <c r="CE139" s="264"/>
      <c r="CF139" s="207"/>
      <c r="CG139" s="207"/>
      <c r="CH139" s="207"/>
      <c r="CI139" s="207"/>
      <c r="CJ139" s="207"/>
      <c r="CK139" s="207"/>
      <c r="CL139" s="207"/>
      <c r="CM139" s="207"/>
      <c r="CN139" s="207"/>
      <c r="CO139" s="207"/>
      <c r="CP139" s="207"/>
      <c r="CQ139" s="207"/>
      <c r="CR139" s="207"/>
      <c r="CS139" s="207"/>
      <c r="CT139" s="207"/>
      <c r="CW139" s="960" t="str">
        <f>IF(AND(ISNUMBER(VALUE(TRIM(SUBSTITUTE(AD139,".","")))),TRIM(SUBSTITUTE(AD139,".",""))&lt;&gt;""),"P"&amp;SUBSTITUTE(AD139,".",""),"")</f>
        <v/>
      </c>
      <c r="CX139" s="965"/>
      <c r="CY139" s="965"/>
      <c r="CZ139" s="965"/>
      <c r="DA139" s="966"/>
      <c r="DB139" s="966"/>
    </row>
    <row r="140" spans="1:106" s="1167" customFormat="1" ht="16.5" hidden="1" customHeight="1" x14ac:dyDescent="0.15">
      <c r="A140" s="1150"/>
      <c r="B140" s="773"/>
      <c r="C140" s="1150"/>
      <c r="D140" s="1150"/>
      <c r="E140" s="668">
        <v>17.100000000000001</v>
      </c>
      <c r="F140" s="769" t="str" cm="1">
        <f t="array" aca="1" ref="F140" ca="1">OFFSET(G140,-1,-1)</f>
        <v>1</v>
      </c>
      <c r="G140" s="804"/>
      <c r="H140" s="804"/>
      <c r="I140" s="804"/>
      <c r="J140" s="804"/>
      <c r="K140" s="804"/>
      <c r="L140" s="769" t="b" cm="1">
        <f t="array" aca="1" ref="L140" ca="1">OFFSET(M140,-1,-1)</f>
        <v>0</v>
      </c>
      <c r="M140" s="804"/>
      <c r="N140" s="804"/>
      <c r="O140" s="804"/>
      <c r="P140" s="804"/>
      <c r="Q140" s="804"/>
      <c r="R140" s="769" t="s">
        <v>750</v>
      </c>
      <c r="S140" s="107" t="b" cm="1">
        <f t="array" aca="1" ref="S140" ca="1">OFFSET(T140,-1,-1)</f>
        <v>1</v>
      </c>
      <c r="T140" s="107" t="b" cm="1">
        <f t="array" aca="1" ref="T140" ca="1">L140</f>
        <v>0</v>
      </c>
      <c r="U140" s="690" t="b">
        <f t="shared" ca="1" si="35"/>
        <v>0</v>
      </c>
      <c r="V140" s="1150"/>
      <c r="W140" s="1150"/>
      <c r="X140" s="1150"/>
      <c r="Y140" s="1428"/>
      <c r="Z140" s="1428"/>
      <c r="AA140" s="691"/>
      <c r="AB140" s="1548" t="s">
        <v>751</v>
      </c>
      <c r="AD140" s="108">
        <v>1</v>
      </c>
      <c r="AE140" s="1511" t="s">
        <v>752</v>
      </c>
      <c r="AF140" s="1512"/>
      <c r="AG140" s="108" t="s">
        <v>753</v>
      </c>
      <c r="AH140" s="38"/>
      <c r="AI140" s="39"/>
      <c r="AJ140" s="39"/>
      <c r="AK140" s="39"/>
      <c r="AL140" s="727">
        <f>AM140+AN140</f>
        <v>0</v>
      </c>
      <c r="AM140" s="39"/>
      <c r="AN140" s="39"/>
      <c r="AO140" s="727">
        <f>AP140+AQ140</f>
        <v>0</v>
      </c>
      <c r="AP140" s="1244"/>
      <c r="AQ140" s="1244"/>
      <c r="AR140" s="727">
        <f>AS140+AT140</f>
        <v>0</v>
      </c>
      <c r="AS140" s="1244"/>
      <c r="AT140" s="1244"/>
      <c r="AU140" s="727">
        <f>AV140+AW140</f>
        <v>0</v>
      </c>
      <c r="AV140" s="39"/>
      <c r="AW140" s="39"/>
      <c r="AX140" s="727">
        <f>AY140+AZ140</f>
        <v>0</v>
      </c>
      <c r="AY140" s="39"/>
      <c r="AZ140" s="39"/>
      <c r="BA140" s="727">
        <f>BB140+BC140</f>
        <v>0</v>
      </c>
      <c r="BB140" s="39"/>
      <c r="BC140" s="39"/>
      <c r="BD140" s="727">
        <f>BE140+BF140</f>
        <v>0</v>
      </c>
      <c r="BE140" s="39"/>
      <c r="BF140" s="39"/>
      <c r="BG140" s="727">
        <f>BH140+BI140</f>
        <v>0</v>
      </c>
      <c r="BH140" s="39"/>
      <c r="BI140" s="39"/>
      <c r="BJ140" s="727">
        <f>BK140+BL140</f>
        <v>0</v>
      </c>
      <c r="BK140" s="39"/>
      <c r="BL140" s="39"/>
      <c r="BM140" s="727">
        <f>BN140+BO140</f>
        <v>0</v>
      </c>
      <c r="BN140" s="39"/>
      <c r="BO140" s="39"/>
      <c r="BP140" s="727">
        <f>BQ140+BR140</f>
        <v>0</v>
      </c>
      <c r="BQ140" s="816"/>
      <c r="BR140" s="816"/>
      <c r="BS140" s="727">
        <f>BT140+BU140</f>
        <v>0</v>
      </c>
      <c r="BT140" s="1244"/>
      <c r="BU140" s="1244"/>
      <c r="BV140" s="727">
        <f>BW140+BX140</f>
        <v>0</v>
      </c>
      <c r="BW140" s="1244"/>
      <c r="BX140" s="1244"/>
      <c r="BY140" s="727">
        <f>BZ140+CA140</f>
        <v>0</v>
      </c>
      <c r="BZ140" s="39"/>
      <c r="CA140" s="39"/>
      <c r="CB140" s="727">
        <f>CC140+CD140</f>
        <v>0</v>
      </c>
      <c r="CC140" s="39"/>
      <c r="CD140" s="39"/>
      <c r="CE140" s="727">
        <f>CF140+CG140</f>
        <v>0</v>
      </c>
      <c r="CF140" s="39"/>
      <c r="CG140" s="39"/>
      <c r="CH140" s="727">
        <f>CI140+CJ140</f>
        <v>0</v>
      </c>
      <c r="CI140" s="39"/>
      <c r="CJ140" s="39"/>
      <c r="CK140" s="727">
        <f>CL140+CM140</f>
        <v>0</v>
      </c>
      <c r="CL140" s="39"/>
      <c r="CM140" s="39"/>
      <c r="CN140" s="727">
        <f>CO140+CP140</f>
        <v>0</v>
      </c>
      <c r="CO140" s="39"/>
      <c r="CP140" s="39"/>
      <c r="CQ140" s="727">
        <f>CR140+CS140</f>
        <v>0</v>
      </c>
      <c r="CR140" s="39"/>
      <c r="CS140" s="39"/>
      <c r="CT140" s="25"/>
      <c r="CW140" s="960" t="s">
        <v>754</v>
      </c>
      <c r="CX140" s="965"/>
      <c r="CY140" s="965"/>
      <c r="CZ140" s="965"/>
      <c r="DA140" s="966"/>
      <c r="DB140" s="966"/>
    </row>
    <row r="141" spans="1:106" s="1167" customFormat="1" ht="16.5" hidden="1" customHeight="1" x14ac:dyDescent="0.15">
      <c r="A141" s="1150"/>
      <c r="B141" s="773"/>
      <c r="C141" s="1150"/>
      <c r="D141" s="1150"/>
      <c r="E141" s="668">
        <v>17.100000000000001</v>
      </c>
      <c r="F141" s="769" t="str" cm="1">
        <f t="array" aca="1" ref="F141" ca="1">OFFSET(G141,-1,-1)</f>
        <v>1</v>
      </c>
      <c r="G141" s="804"/>
      <c r="H141" s="804"/>
      <c r="I141" s="804"/>
      <c r="J141" s="804"/>
      <c r="K141" s="804"/>
      <c r="L141" s="769" t="b" cm="1">
        <f t="array" aca="1" ref="L141" ca="1">OFFSET(M141,-1,-1)</f>
        <v>0</v>
      </c>
      <c r="M141" s="804"/>
      <c r="N141" s="804"/>
      <c r="O141" s="804"/>
      <c r="P141" s="804"/>
      <c r="Q141" s="804"/>
      <c r="R141" s="769" t="s">
        <v>750</v>
      </c>
      <c r="S141" s="107" t="b" cm="1">
        <f t="array" aca="1" ref="S141" ca="1">OFFSET(T141,-1,-1)</f>
        <v>1</v>
      </c>
      <c r="T141" s="107" t="b" cm="1">
        <f t="array" aca="1" ref="T141" ca="1">T140</f>
        <v>0</v>
      </c>
      <c r="U141" s="690" t="b">
        <f t="shared" ca="1" si="35"/>
        <v>0</v>
      </c>
      <c r="V141" s="1150"/>
      <c r="W141" s="1150"/>
      <c r="X141" s="1150"/>
      <c r="Y141" s="1428"/>
      <c r="Z141" s="1428"/>
      <c r="AA141" s="691"/>
      <c r="AB141" s="1549"/>
      <c r="AD141" s="108">
        <v>2</v>
      </c>
      <c r="AE141" s="1511" t="s">
        <v>755</v>
      </c>
      <c r="AF141" s="1512"/>
      <c r="AG141" s="108" t="s">
        <v>753</v>
      </c>
      <c r="AH141" s="725">
        <f t="shared" ref="AH141:BM141" si="64">AH142+AH144</f>
        <v>0</v>
      </c>
      <c r="AI141" s="727">
        <f t="shared" si="64"/>
        <v>0</v>
      </c>
      <c r="AJ141" s="727">
        <f t="shared" si="64"/>
        <v>0</v>
      </c>
      <c r="AK141" s="727">
        <f t="shared" si="64"/>
        <v>0</v>
      </c>
      <c r="AL141" s="727">
        <f t="shared" si="64"/>
        <v>0</v>
      </c>
      <c r="AM141" s="727">
        <f t="shared" si="64"/>
        <v>0</v>
      </c>
      <c r="AN141" s="727">
        <f t="shared" si="64"/>
        <v>0</v>
      </c>
      <c r="AO141" s="727">
        <f t="shared" si="64"/>
        <v>0</v>
      </c>
      <c r="AP141" s="727">
        <f t="shared" si="64"/>
        <v>0</v>
      </c>
      <c r="AQ141" s="727">
        <f t="shared" si="64"/>
        <v>0</v>
      </c>
      <c r="AR141" s="727">
        <f t="shared" si="64"/>
        <v>0</v>
      </c>
      <c r="AS141" s="727">
        <f t="shared" si="64"/>
        <v>0</v>
      </c>
      <c r="AT141" s="727">
        <f t="shared" si="64"/>
        <v>0</v>
      </c>
      <c r="AU141" s="727">
        <f t="shared" si="64"/>
        <v>0</v>
      </c>
      <c r="AV141" s="727">
        <f t="shared" si="64"/>
        <v>0</v>
      </c>
      <c r="AW141" s="727">
        <f t="shared" si="64"/>
        <v>0</v>
      </c>
      <c r="AX141" s="727">
        <f t="shared" si="64"/>
        <v>0</v>
      </c>
      <c r="AY141" s="727">
        <f t="shared" si="64"/>
        <v>0</v>
      </c>
      <c r="AZ141" s="727">
        <f t="shared" si="64"/>
        <v>0</v>
      </c>
      <c r="BA141" s="727">
        <f t="shared" si="64"/>
        <v>0</v>
      </c>
      <c r="BB141" s="727">
        <f t="shared" si="64"/>
        <v>0</v>
      </c>
      <c r="BC141" s="727">
        <f t="shared" si="64"/>
        <v>0</v>
      </c>
      <c r="BD141" s="727">
        <f t="shared" si="64"/>
        <v>0</v>
      </c>
      <c r="BE141" s="727">
        <f t="shared" si="64"/>
        <v>0</v>
      </c>
      <c r="BF141" s="727">
        <f t="shared" si="64"/>
        <v>0</v>
      </c>
      <c r="BG141" s="727">
        <f t="shared" si="64"/>
        <v>0</v>
      </c>
      <c r="BH141" s="727">
        <f t="shared" si="64"/>
        <v>0</v>
      </c>
      <c r="BI141" s="727">
        <f t="shared" si="64"/>
        <v>0</v>
      </c>
      <c r="BJ141" s="727">
        <f t="shared" si="64"/>
        <v>0</v>
      </c>
      <c r="BK141" s="727">
        <f t="shared" si="64"/>
        <v>0</v>
      </c>
      <c r="BL141" s="727">
        <f t="shared" si="64"/>
        <v>0</v>
      </c>
      <c r="BM141" s="727">
        <f t="shared" si="64"/>
        <v>0</v>
      </c>
      <c r="BN141" s="727">
        <f t="shared" ref="BN141:CS141" si="65">BN142+BN144</f>
        <v>0</v>
      </c>
      <c r="BO141" s="727">
        <f t="shared" si="65"/>
        <v>0</v>
      </c>
      <c r="BP141" s="727">
        <f t="shared" si="65"/>
        <v>0</v>
      </c>
      <c r="BQ141" s="727">
        <f t="shared" si="65"/>
        <v>0</v>
      </c>
      <c r="BR141" s="727">
        <f t="shared" si="65"/>
        <v>0</v>
      </c>
      <c r="BS141" s="727">
        <f t="shared" si="65"/>
        <v>0</v>
      </c>
      <c r="BT141" s="727">
        <f t="shared" si="65"/>
        <v>0</v>
      </c>
      <c r="BU141" s="727">
        <f t="shared" si="65"/>
        <v>0</v>
      </c>
      <c r="BV141" s="727">
        <f t="shared" si="65"/>
        <v>0</v>
      </c>
      <c r="BW141" s="727">
        <f t="shared" si="65"/>
        <v>0</v>
      </c>
      <c r="BX141" s="727">
        <f t="shared" si="65"/>
        <v>0</v>
      </c>
      <c r="BY141" s="727">
        <f t="shared" si="65"/>
        <v>0</v>
      </c>
      <c r="BZ141" s="727">
        <f t="shared" si="65"/>
        <v>0</v>
      </c>
      <c r="CA141" s="727">
        <f t="shared" si="65"/>
        <v>0</v>
      </c>
      <c r="CB141" s="727">
        <f t="shared" si="65"/>
        <v>0</v>
      </c>
      <c r="CC141" s="727">
        <f t="shared" si="65"/>
        <v>0</v>
      </c>
      <c r="CD141" s="727">
        <f t="shared" si="65"/>
        <v>0</v>
      </c>
      <c r="CE141" s="727">
        <f t="shared" si="65"/>
        <v>0</v>
      </c>
      <c r="CF141" s="727">
        <f t="shared" si="65"/>
        <v>0</v>
      </c>
      <c r="CG141" s="727">
        <f t="shared" si="65"/>
        <v>0</v>
      </c>
      <c r="CH141" s="727">
        <f t="shared" si="65"/>
        <v>0</v>
      </c>
      <c r="CI141" s="727">
        <f t="shared" si="65"/>
        <v>0</v>
      </c>
      <c r="CJ141" s="727">
        <f t="shared" si="65"/>
        <v>0</v>
      </c>
      <c r="CK141" s="727">
        <f t="shared" si="65"/>
        <v>0</v>
      </c>
      <c r="CL141" s="727">
        <f t="shared" si="65"/>
        <v>0</v>
      </c>
      <c r="CM141" s="727">
        <f t="shared" si="65"/>
        <v>0</v>
      </c>
      <c r="CN141" s="727">
        <f t="shared" si="65"/>
        <v>0</v>
      </c>
      <c r="CO141" s="727">
        <f t="shared" si="65"/>
        <v>0</v>
      </c>
      <c r="CP141" s="727">
        <f t="shared" si="65"/>
        <v>0</v>
      </c>
      <c r="CQ141" s="727">
        <f t="shared" si="65"/>
        <v>0</v>
      </c>
      <c r="CR141" s="727">
        <f t="shared" si="65"/>
        <v>0</v>
      </c>
      <c r="CS141" s="727">
        <f t="shared" si="65"/>
        <v>0</v>
      </c>
      <c r="CT141" s="25"/>
      <c r="CW141" s="960" t="s">
        <v>756</v>
      </c>
      <c r="CX141" s="965"/>
      <c r="CY141" s="965"/>
      <c r="CZ141" s="965"/>
      <c r="DA141" s="966"/>
      <c r="DB141" s="966"/>
    </row>
    <row r="142" spans="1:106" s="1167" customFormat="1" ht="16.5" hidden="1" customHeight="1" x14ac:dyDescent="0.15">
      <c r="A142" s="1150"/>
      <c r="B142" s="773"/>
      <c r="C142" s="1150"/>
      <c r="D142" s="1150"/>
      <c r="E142" s="668">
        <v>17.100000000000001</v>
      </c>
      <c r="F142" s="769" t="str" cm="1">
        <f t="array" aca="1" ref="F142" ca="1">OFFSET(G142,-1,-1)</f>
        <v>1</v>
      </c>
      <c r="G142" s="804"/>
      <c r="H142" s="804"/>
      <c r="I142" s="804"/>
      <c r="J142" s="804"/>
      <c r="K142" s="804"/>
      <c r="L142" s="769" t="b" cm="1">
        <f t="array" aca="1" ref="L142" ca="1">OFFSET(M142,-1,-1)</f>
        <v>0</v>
      </c>
      <c r="M142" s="804"/>
      <c r="N142" s="804"/>
      <c r="O142" s="804"/>
      <c r="P142" s="804"/>
      <c r="Q142" s="804"/>
      <c r="R142" s="769" t="s">
        <v>750</v>
      </c>
      <c r="S142" s="107" t="b" cm="1">
        <f t="array" aca="1" ref="S142" ca="1">OFFSET(T142,-1,-1)</f>
        <v>1</v>
      </c>
      <c r="T142" s="107" t="b" cm="1">
        <f t="array" aca="1" ref="T142" ca="1">T141</f>
        <v>0</v>
      </c>
      <c r="U142" s="690" t="b">
        <f t="shared" ca="1" si="35"/>
        <v>0</v>
      </c>
      <c r="V142" s="1150"/>
      <c r="W142" s="1150"/>
      <c r="X142" s="1150"/>
      <c r="Y142" s="1428"/>
      <c r="Z142" s="1428"/>
      <c r="AA142" s="691"/>
      <c r="AB142" s="1549"/>
      <c r="AD142" s="108" t="s">
        <v>479</v>
      </c>
      <c r="AE142" s="1523" t="s">
        <v>757</v>
      </c>
      <c r="AF142" s="1524"/>
      <c r="AG142" s="108" t="s">
        <v>753</v>
      </c>
      <c r="AH142" s="38"/>
      <c r="AI142" s="39"/>
      <c r="AJ142" s="39"/>
      <c r="AK142" s="39"/>
      <c r="AL142" s="727">
        <f>AM142+AN142</f>
        <v>0</v>
      </c>
      <c r="AM142" s="39"/>
      <c r="AN142" s="39"/>
      <c r="AO142" s="727">
        <f>AP142+AQ142</f>
        <v>0</v>
      </c>
      <c r="AP142" s="1244"/>
      <c r="AQ142" s="1244"/>
      <c r="AR142" s="727">
        <f>AS142+AT142</f>
        <v>0</v>
      </c>
      <c r="AS142" s="1244"/>
      <c r="AT142" s="1244"/>
      <c r="AU142" s="727">
        <f>AV142+AW142</f>
        <v>0</v>
      </c>
      <c r="AV142" s="39"/>
      <c r="AW142" s="39"/>
      <c r="AX142" s="727">
        <f>AY142+AZ142</f>
        <v>0</v>
      </c>
      <c r="AY142" s="39"/>
      <c r="AZ142" s="39"/>
      <c r="BA142" s="727">
        <f>BB142+BC142</f>
        <v>0</v>
      </c>
      <c r="BB142" s="39"/>
      <c r="BC142" s="39"/>
      <c r="BD142" s="727">
        <f>BE142+BF142</f>
        <v>0</v>
      </c>
      <c r="BE142" s="39"/>
      <c r="BF142" s="39"/>
      <c r="BG142" s="727">
        <f>BH142+BI142</f>
        <v>0</v>
      </c>
      <c r="BH142" s="39"/>
      <c r="BI142" s="39"/>
      <c r="BJ142" s="727">
        <f>BK142+BL142</f>
        <v>0</v>
      </c>
      <c r="BK142" s="39"/>
      <c r="BL142" s="39"/>
      <c r="BM142" s="727">
        <f>BN142+BO142</f>
        <v>0</v>
      </c>
      <c r="BN142" s="39"/>
      <c r="BO142" s="39"/>
      <c r="BP142" s="727">
        <f>BQ142+BR142</f>
        <v>0</v>
      </c>
      <c r="BQ142" s="816"/>
      <c r="BR142" s="816"/>
      <c r="BS142" s="727">
        <f>BT142+BU142</f>
        <v>0</v>
      </c>
      <c r="BT142" s="1244"/>
      <c r="BU142" s="1244"/>
      <c r="BV142" s="727">
        <f>BW142+BX142</f>
        <v>0</v>
      </c>
      <c r="BW142" s="1244"/>
      <c r="BX142" s="1244"/>
      <c r="BY142" s="727">
        <f>BZ142+CA142</f>
        <v>0</v>
      </c>
      <c r="BZ142" s="39"/>
      <c r="CA142" s="39"/>
      <c r="CB142" s="727">
        <f>CC142+CD142</f>
        <v>0</v>
      </c>
      <c r="CC142" s="39"/>
      <c r="CD142" s="39"/>
      <c r="CE142" s="727">
        <f>CF142+CG142</f>
        <v>0</v>
      </c>
      <c r="CF142" s="39"/>
      <c r="CG142" s="39"/>
      <c r="CH142" s="727">
        <f>CI142+CJ142</f>
        <v>0</v>
      </c>
      <c r="CI142" s="39"/>
      <c r="CJ142" s="39"/>
      <c r="CK142" s="727">
        <f>CL142+CM142</f>
        <v>0</v>
      </c>
      <c r="CL142" s="39"/>
      <c r="CM142" s="39"/>
      <c r="CN142" s="727">
        <f>CO142+CP142</f>
        <v>0</v>
      </c>
      <c r="CO142" s="39"/>
      <c r="CP142" s="39"/>
      <c r="CQ142" s="727">
        <f>CR142+CS142</f>
        <v>0</v>
      </c>
      <c r="CR142" s="39"/>
      <c r="CS142" s="39"/>
      <c r="CT142" s="25"/>
      <c r="CW142" s="960" t="s">
        <v>758</v>
      </c>
      <c r="CX142" s="965"/>
      <c r="CY142" s="965"/>
      <c r="CZ142" s="965"/>
      <c r="DA142" s="966"/>
      <c r="DB142" s="966"/>
    </row>
    <row r="143" spans="1:106" s="1167" customFormat="1" ht="16.5" hidden="1" customHeight="1" x14ac:dyDescent="0.15">
      <c r="A143" s="1150"/>
      <c r="B143" s="773"/>
      <c r="C143" s="1150"/>
      <c r="D143" s="1150"/>
      <c r="E143" s="668">
        <v>17.100000000000001</v>
      </c>
      <c r="F143" s="769" t="str" cm="1">
        <f t="array" aca="1" ref="F143" ca="1">OFFSET(G143,-1,-1)</f>
        <v>1</v>
      </c>
      <c r="G143" s="804"/>
      <c r="H143" s="804"/>
      <c r="I143" s="804"/>
      <c r="J143" s="804"/>
      <c r="K143" s="804"/>
      <c r="L143" s="769" t="b" cm="1">
        <f t="array" aca="1" ref="L143" ca="1">OFFSET(M143,-1,-1)</f>
        <v>0</v>
      </c>
      <c r="M143" s="804"/>
      <c r="N143" s="804"/>
      <c r="O143" s="804"/>
      <c r="P143" s="804"/>
      <c r="Q143" s="804"/>
      <c r="R143" s="769" t="s">
        <v>750</v>
      </c>
      <c r="S143" s="107" t="b" cm="1">
        <f t="array" aca="1" ref="S143" ca="1">OFFSET(T143,-1,-1)</f>
        <v>1</v>
      </c>
      <c r="T143" s="107" t="b" cm="1">
        <f t="array" aca="1" ref="T143" ca="1">T142</f>
        <v>0</v>
      </c>
      <c r="U143" s="690" t="b">
        <f t="shared" ca="1" si="35"/>
        <v>0</v>
      </c>
      <c r="V143" s="1150"/>
      <c r="W143" s="1150"/>
      <c r="X143" s="1150"/>
      <c r="Y143" s="1428"/>
      <c r="Z143" s="1428"/>
      <c r="AA143" s="691"/>
      <c r="AB143" s="1549"/>
      <c r="AD143" s="108" t="s">
        <v>482</v>
      </c>
      <c r="AE143" s="1529" t="s">
        <v>759</v>
      </c>
      <c r="AF143" s="1530"/>
      <c r="AG143" s="108" t="s">
        <v>521</v>
      </c>
      <c r="AH143" s="731">
        <f t="shared" ref="AH143:BM143" si="66">IFERROR(AH142/AH140,0)</f>
        <v>0</v>
      </c>
      <c r="AI143" s="732">
        <f t="shared" si="66"/>
        <v>0</v>
      </c>
      <c r="AJ143" s="732">
        <f t="shared" si="66"/>
        <v>0</v>
      </c>
      <c r="AK143" s="732">
        <f t="shared" si="66"/>
        <v>0</v>
      </c>
      <c r="AL143" s="732">
        <f t="shared" si="66"/>
        <v>0</v>
      </c>
      <c r="AM143" s="732">
        <f t="shared" si="66"/>
        <v>0</v>
      </c>
      <c r="AN143" s="732">
        <f t="shared" si="66"/>
        <v>0</v>
      </c>
      <c r="AO143" s="732">
        <f t="shared" si="66"/>
        <v>0</v>
      </c>
      <c r="AP143" s="732">
        <f t="shared" si="66"/>
        <v>0</v>
      </c>
      <c r="AQ143" s="732">
        <f t="shared" si="66"/>
        <v>0</v>
      </c>
      <c r="AR143" s="732">
        <f t="shared" si="66"/>
        <v>0</v>
      </c>
      <c r="AS143" s="732">
        <f t="shared" si="66"/>
        <v>0</v>
      </c>
      <c r="AT143" s="732">
        <f t="shared" si="66"/>
        <v>0</v>
      </c>
      <c r="AU143" s="732">
        <f t="shared" si="66"/>
        <v>0</v>
      </c>
      <c r="AV143" s="732">
        <f t="shared" si="66"/>
        <v>0</v>
      </c>
      <c r="AW143" s="732">
        <f t="shared" si="66"/>
        <v>0</v>
      </c>
      <c r="AX143" s="732">
        <f t="shared" si="66"/>
        <v>0</v>
      </c>
      <c r="AY143" s="732">
        <f t="shared" si="66"/>
        <v>0</v>
      </c>
      <c r="AZ143" s="732">
        <f t="shared" si="66"/>
        <v>0</v>
      </c>
      <c r="BA143" s="732">
        <f t="shared" si="66"/>
        <v>0</v>
      </c>
      <c r="BB143" s="732">
        <f t="shared" si="66"/>
        <v>0</v>
      </c>
      <c r="BC143" s="732">
        <f t="shared" si="66"/>
        <v>0</v>
      </c>
      <c r="BD143" s="732">
        <f t="shared" si="66"/>
        <v>0</v>
      </c>
      <c r="BE143" s="732">
        <f t="shared" si="66"/>
        <v>0</v>
      </c>
      <c r="BF143" s="732">
        <f t="shared" si="66"/>
        <v>0</v>
      </c>
      <c r="BG143" s="732">
        <f t="shared" si="66"/>
        <v>0</v>
      </c>
      <c r="BH143" s="732">
        <f t="shared" si="66"/>
        <v>0</v>
      </c>
      <c r="BI143" s="732">
        <f t="shared" si="66"/>
        <v>0</v>
      </c>
      <c r="BJ143" s="732">
        <f t="shared" si="66"/>
        <v>0</v>
      </c>
      <c r="BK143" s="732">
        <f t="shared" si="66"/>
        <v>0</v>
      </c>
      <c r="BL143" s="732">
        <f t="shared" si="66"/>
        <v>0</v>
      </c>
      <c r="BM143" s="732">
        <f t="shared" si="66"/>
        <v>0</v>
      </c>
      <c r="BN143" s="732">
        <f t="shared" ref="BN143:CS143" si="67">IFERROR(BN142/BN140,0)</f>
        <v>0</v>
      </c>
      <c r="BO143" s="732">
        <f t="shared" si="67"/>
        <v>0</v>
      </c>
      <c r="BP143" s="732">
        <f t="shared" si="67"/>
        <v>0</v>
      </c>
      <c r="BQ143" s="732">
        <f t="shared" si="67"/>
        <v>0</v>
      </c>
      <c r="BR143" s="732">
        <f t="shared" si="67"/>
        <v>0</v>
      </c>
      <c r="BS143" s="732">
        <f t="shared" si="67"/>
        <v>0</v>
      </c>
      <c r="BT143" s="732">
        <f t="shared" si="67"/>
        <v>0</v>
      </c>
      <c r="BU143" s="732">
        <f t="shared" si="67"/>
        <v>0</v>
      </c>
      <c r="BV143" s="732">
        <f t="shared" si="67"/>
        <v>0</v>
      </c>
      <c r="BW143" s="732">
        <f t="shared" si="67"/>
        <v>0</v>
      </c>
      <c r="BX143" s="732">
        <f t="shared" si="67"/>
        <v>0</v>
      </c>
      <c r="BY143" s="732">
        <f t="shared" si="67"/>
        <v>0</v>
      </c>
      <c r="BZ143" s="732">
        <f t="shared" si="67"/>
        <v>0</v>
      </c>
      <c r="CA143" s="732">
        <f t="shared" si="67"/>
        <v>0</v>
      </c>
      <c r="CB143" s="732">
        <f t="shared" si="67"/>
        <v>0</v>
      </c>
      <c r="CC143" s="732">
        <f t="shared" si="67"/>
        <v>0</v>
      </c>
      <c r="CD143" s="732">
        <f t="shared" si="67"/>
        <v>0</v>
      </c>
      <c r="CE143" s="732">
        <f t="shared" si="67"/>
        <v>0</v>
      </c>
      <c r="CF143" s="732">
        <f t="shared" si="67"/>
        <v>0</v>
      </c>
      <c r="CG143" s="732">
        <f t="shared" si="67"/>
        <v>0</v>
      </c>
      <c r="CH143" s="732">
        <f t="shared" si="67"/>
        <v>0</v>
      </c>
      <c r="CI143" s="732">
        <f t="shared" si="67"/>
        <v>0</v>
      </c>
      <c r="CJ143" s="732">
        <f t="shared" si="67"/>
        <v>0</v>
      </c>
      <c r="CK143" s="732">
        <f t="shared" si="67"/>
        <v>0</v>
      </c>
      <c r="CL143" s="732">
        <f t="shared" si="67"/>
        <v>0</v>
      </c>
      <c r="CM143" s="732">
        <f t="shared" si="67"/>
        <v>0</v>
      </c>
      <c r="CN143" s="732">
        <f t="shared" si="67"/>
        <v>0</v>
      </c>
      <c r="CO143" s="732">
        <f t="shared" si="67"/>
        <v>0</v>
      </c>
      <c r="CP143" s="732">
        <f t="shared" si="67"/>
        <v>0</v>
      </c>
      <c r="CQ143" s="732">
        <f t="shared" si="67"/>
        <v>0</v>
      </c>
      <c r="CR143" s="732">
        <f t="shared" si="67"/>
        <v>0</v>
      </c>
      <c r="CS143" s="732">
        <f t="shared" si="67"/>
        <v>0</v>
      </c>
      <c r="CT143" s="25"/>
      <c r="CW143" s="960" t="s">
        <v>760</v>
      </c>
      <c r="CX143" s="965"/>
      <c r="CY143" s="965"/>
      <c r="CZ143" s="965"/>
      <c r="DA143" s="966"/>
      <c r="DB143" s="966"/>
    </row>
    <row r="144" spans="1:106" s="1167" customFormat="1" ht="16.5" hidden="1" customHeight="1" x14ac:dyDescent="0.15">
      <c r="A144" s="1150"/>
      <c r="B144" s="773"/>
      <c r="C144" s="1150"/>
      <c r="D144" s="1150"/>
      <c r="E144" s="668">
        <v>17.100000000000001</v>
      </c>
      <c r="F144" s="769" t="str" cm="1">
        <f t="array" aca="1" ref="F144" ca="1">OFFSET(G144,-1,-1)</f>
        <v>1</v>
      </c>
      <c r="G144" s="804"/>
      <c r="H144" s="804"/>
      <c r="I144" s="804"/>
      <c r="J144" s="804"/>
      <c r="K144" s="804"/>
      <c r="L144" s="769" t="b" cm="1">
        <f t="array" aca="1" ref="L144" ca="1">OFFSET(M144,-1,-1)</f>
        <v>0</v>
      </c>
      <c r="M144" s="804"/>
      <c r="N144" s="804"/>
      <c r="O144" s="804"/>
      <c r="P144" s="804"/>
      <c r="Q144" s="804"/>
      <c r="R144" s="769" t="s">
        <v>750</v>
      </c>
      <c r="S144" s="107" t="b" cm="1">
        <f t="array" aca="1" ref="S144" ca="1">OFFSET(T144,-1,-1)</f>
        <v>1</v>
      </c>
      <c r="T144" s="107" t="b" cm="1">
        <f t="array" aca="1" ref="T144" ca="1">T143</f>
        <v>0</v>
      </c>
      <c r="U144" s="690" t="b">
        <f t="shared" ca="1" si="35"/>
        <v>0</v>
      </c>
      <c r="V144" s="1150"/>
      <c r="W144" s="1150"/>
      <c r="X144" s="1150"/>
      <c r="Y144" s="1428"/>
      <c r="Z144" s="1428"/>
      <c r="AA144" s="691"/>
      <c r="AB144" s="1549"/>
      <c r="AD144" s="108" t="s">
        <v>506</v>
      </c>
      <c r="AE144" s="1523" t="s">
        <v>761</v>
      </c>
      <c r="AF144" s="1524"/>
      <c r="AG144" s="108" t="s">
        <v>753</v>
      </c>
      <c r="AH144" s="38"/>
      <c r="AI144" s="39"/>
      <c r="AJ144" s="39"/>
      <c r="AK144" s="39"/>
      <c r="AL144" s="727">
        <f>AM144+AN144</f>
        <v>0</v>
      </c>
      <c r="AM144" s="39"/>
      <c r="AN144" s="39"/>
      <c r="AO144" s="727">
        <f>AP144+AQ144</f>
        <v>0</v>
      </c>
      <c r="AP144" s="1244"/>
      <c r="AQ144" s="1244"/>
      <c r="AR144" s="727">
        <f>AS144+AT144</f>
        <v>0</v>
      </c>
      <c r="AS144" s="1244"/>
      <c r="AT144" s="1244"/>
      <c r="AU144" s="727">
        <f>AV144+AW144</f>
        <v>0</v>
      </c>
      <c r="AV144" s="39"/>
      <c r="AW144" s="39"/>
      <c r="AX144" s="727">
        <f>AY144+AZ144</f>
        <v>0</v>
      </c>
      <c r="AY144" s="39"/>
      <c r="AZ144" s="39"/>
      <c r="BA144" s="727">
        <f>BB144+BC144</f>
        <v>0</v>
      </c>
      <c r="BB144" s="39"/>
      <c r="BC144" s="39"/>
      <c r="BD144" s="727">
        <f>BE144+BF144</f>
        <v>0</v>
      </c>
      <c r="BE144" s="39"/>
      <c r="BF144" s="39"/>
      <c r="BG144" s="727">
        <f>BH144+BI144</f>
        <v>0</v>
      </c>
      <c r="BH144" s="39"/>
      <c r="BI144" s="39"/>
      <c r="BJ144" s="727">
        <f>BK144+BL144</f>
        <v>0</v>
      </c>
      <c r="BK144" s="39"/>
      <c r="BL144" s="39"/>
      <c r="BM144" s="727">
        <f>BN144+BO144</f>
        <v>0</v>
      </c>
      <c r="BN144" s="39"/>
      <c r="BO144" s="39"/>
      <c r="BP144" s="727">
        <f>BQ144+BR144</f>
        <v>0</v>
      </c>
      <c r="BQ144" s="816"/>
      <c r="BR144" s="816"/>
      <c r="BS144" s="727">
        <f>BT144+BU144</f>
        <v>0</v>
      </c>
      <c r="BT144" s="1244"/>
      <c r="BU144" s="1244"/>
      <c r="BV144" s="727">
        <f>BW144+BX144</f>
        <v>0</v>
      </c>
      <c r="BW144" s="1244"/>
      <c r="BX144" s="1244"/>
      <c r="BY144" s="727">
        <f>BZ144+CA144</f>
        <v>0</v>
      </c>
      <c r="BZ144" s="39"/>
      <c r="CA144" s="39"/>
      <c r="CB144" s="727">
        <f>CC144+CD144</f>
        <v>0</v>
      </c>
      <c r="CC144" s="39"/>
      <c r="CD144" s="39"/>
      <c r="CE144" s="727">
        <f>CF144+CG144</f>
        <v>0</v>
      </c>
      <c r="CF144" s="39"/>
      <c r="CG144" s="39"/>
      <c r="CH144" s="727">
        <f>CI144+CJ144</f>
        <v>0</v>
      </c>
      <c r="CI144" s="39"/>
      <c r="CJ144" s="39"/>
      <c r="CK144" s="727">
        <f>CL144+CM144</f>
        <v>0</v>
      </c>
      <c r="CL144" s="39"/>
      <c r="CM144" s="39"/>
      <c r="CN144" s="727">
        <f>CO144+CP144</f>
        <v>0</v>
      </c>
      <c r="CO144" s="39"/>
      <c r="CP144" s="39"/>
      <c r="CQ144" s="727">
        <f>CR144+CS144</f>
        <v>0</v>
      </c>
      <c r="CR144" s="39"/>
      <c r="CS144" s="39"/>
      <c r="CT144" s="25"/>
      <c r="CW144" s="960" t="s">
        <v>762</v>
      </c>
      <c r="CX144" s="965"/>
      <c r="CY144" s="965"/>
      <c r="CZ144" s="965"/>
      <c r="DA144" s="966"/>
      <c r="DB144" s="966"/>
    </row>
    <row r="145" spans="1:106" s="1167" customFormat="1" ht="16.5" hidden="1" customHeight="1" x14ac:dyDescent="0.15">
      <c r="A145" s="1150"/>
      <c r="B145" s="773"/>
      <c r="C145" s="1150"/>
      <c r="D145" s="1150"/>
      <c r="E145" s="668">
        <v>17.100000000000001</v>
      </c>
      <c r="F145" s="769" t="str" cm="1">
        <f t="array" aca="1" ref="F145" ca="1">OFFSET(G145,-1,-1)</f>
        <v>1</v>
      </c>
      <c r="G145" s="804"/>
      <c r="H145" s="804"/>
      <c r="I145" s="804"/>
      <c r="J145" s="804"/>
      <c r="K145" s="804"/>
      <c r="L145" s="769" t="b" cm="1">
        <f t="array" aca="1" ref="L145" ca="1">OFFSET(M145,-1,-1)</f>
        <v>0</v>
      </c>
      <c r="M145" s="804"/>
      <c r="N145" s="804"/>
      <c r="O145" s="804"/>
      <c r="P145" s="804"/>
      <c r="Q145" s="804"/>
      <c r="R145" s="769" t="s">
        <v>750</v>
      </c>
      <c r="S145" s="107" t="b" cm="1">
        <f t="array" aca="1" ref="S145" ca="1">OFFSET(T145,-1,-1)</f>
        <v>1</v>
      </c>
      <c r="T145" s="107" t="b" cm="1">
        <f t="array" aca="1" ref="T145" ca="1">T144</f>
        <v>0</v>
      </c>
      <c r="U145" s="690" t="b">
        <f t="shared" ca="1" si="35"/>
        <v>0</v>
      </c>
      <c r="V145" s="1150"/>
      <c r="W145" s="1150"/>
      <c r="X145" s="1150"/>
      <c r="Y145" s="1428"/>
      <c r="Z145" s="1428"/>
      <c r="AA145" s="691"/>
      <c r="AB145" s="1549"/>
      <c r="AD145" s="108" t="s">
        <v>763</v>
      </c>
      <c r="AE145" s="1529" t="s">
        <v>764</v>
      </c>
      <c r="AF145" s="1530"/>
      <c r="AG145" s="108" t="s">
        <v>765</v>
      </c>
      <c r="AH145" s="38"/>
      <c r="AI145" s="39"/>
      <c r="AJ145" s="39"/>
      <c r="AK145" s="39"/>
      <c r="AL145" s="39"/>
      <c r="AM145" s="39"/>
      <c r="AN145" s="39"/>
      <c r="AO145" s="1244"/>
      <c r="AP145" s="1244"/>
      <c r="AQ145" s="1244"/>
      <c r="AR145" s="1244"/>
      <c r="AS145" s="1244"/>
      <c r="AT145" s="1244"/>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816"/>
      <c r="BQ145" s="816"/>
      <c r="BR145" s="816"/>
      <c r="BS145" s="1244"/>
      <c r="BT145" s="1244"/>
      <c r="BU145" s="1244"/>
      <c r="BV145" s="1244"/>
      <c r="BW145" s="1244"/>
      <c r="BX145" s="1244"/>
      <c r="BY145" s="39"/>
      <c r="BZ145" s="39"/>
      <c r="CA145" s="39"/>
      <c r="CB145" s="39"/>
      <c r="CC145" s="39"/>
      <c r="CD145" s="39"/>
      <c r="CE145" s="39"/>
      <c r="CF145" s="39"/>
      <c r="CG145" s="39"/>
      <c r="CH145" s="39"/>
      <c r="CI145" s="39"/>
      <c r="CJ145" s="39"/>
      <c r="CK145" s="39"/>
      <c r="CL145" s="39"/>
      <c r="CM145" s="39"/>
      <c r="CN145" s="39"/>
      <c r="CO145" s="39"/>
      <c r="CP145" s="39"/>
      <c r="CQ145" s="39"/>
      <c r="CR145" s="39"/>
      <c r="CS145" s="39"/>
      <c r="CT145" s="25"/>
      <c r="CW145" s="960" t="s">
        <v>766</v>
      </c>
      <c r="CX145" s="965"/>
      <c r="CY145" s="965"/>
      <c r="CZ145" s="965"/>
      <c r="DA145" s="966"/>
      <c r="DB145" s="966"/>
    </row>
    <row r="146" spans="1:106" s="1167" customFormat="1" ht="16.5" hidden="1" customHeight="1" x14ac:dyDescent="0.15">
      <c r="A146" s="1150"/>
      <c r="B146" s="773"/>
      <c r="C146" s="1150"/>
      <c r="D146" s="1150"/>
      <c r="E146" s="668">
        <v>17.100000000000001</v>
      </c>
      <c r="F146" s="769" t="str" cm="1">
        <f t="array" aca="1" ref="F146" ca="1">OFFSET(G146,-1,-1)</f>
        <v>1</v>
      </c>
      <c r="G146" s="804"/>
      <c r="H146" s="804"/>
      <c r="I146" s="804"/>
      <c r="J146" s="804"/>
      <c r="K146" s="804"/>
      <c r="L146" s="769" t="b" cm="1">
        <f t="array" aca="1" ref="L146" ca="1">OFFSET(M146,-1,-1)</f>
        <v>0</v>
      </c>
      <c r="M146" s="804"/>
      <c r="N146" s="804"/>
      <c r="O146" s="804"/>
      <c r="P146" s="804"/>
      <c r="Q146" s="804"/>
      <c r="R146" s="769" t="s">
        <v>750</v>
      </c>
      <c r="S146" s="107" t="b" cm="1">
        <f t="array" aca="1" ref="S146" ca="1">OFFSET(T146,-1,-1)</f>
        <v>1</v>
      </c>
      <c r="T146" s="107" t="b" cm="1">
        <f t="array" aca="1" ref="T146" ca="1">T145</f>
        <v>0</v>
      </c>
      <c r="U146" s="690" t="b">
        <f t="shared" ca="1" si="35"/>
        <v>0</v>
      </c>
      <c r="V146" s="1150"/>
      <c r="W146" s="1150"/>
      <c r="X146" s="1150"/>
      <c r="Y146" s="1428"/>
      <c r="Z146" s="1428"/>
      <c r="AA146" s="691"/>
      <c r="AB146" s="1549"/>
      <c r="AD146" s="108">
        <v>3</v>
      </c>
      <c r="AE146" s="1511" t="s">
        <v>767</v>
      </c>
      <c r="AF146" s="1512"/>
      <c r="AG146" s="108" t="s">
        <v>753</v>
      </c>
      <c r="AH146" s="725">
        <f t="shared" ref="AH146:BM146" si="68">AH140-AH141</f>
        <v>0</v>
      </c>
      <c r="AI146" s="727">
        <f t="shared" si="68"/>
        <v>0</v>
      </c>
      <c r="AJ146" s="727">
        <f t="shared" si="68"/>
        <v>0</v>
      </c>
      <c r="AK146" s="727">
        <f t="shared" si="68"/>
        <v>0</v>
      </c>
      <c r="AL146" s="727">
        <f t="shared" si="68"/>
        <v>0</v>
      </c>
      <c r="AM146" s="727">
        <f t="shared" si="68"/>
        <v>0</v>
      </c>
      <c r="AN146" s="727">
        <f t="shared" si="68"/>
        <v>0</v>
      </c>
      <c r="AO146" s="727">
        <f t="shared" si="68"/>
        <v>0</v>
      </c>
      <c r="AP146" s="727">
        <f t="shared" si="68"/>
        <v>0</v>
      </c>
      <c r="AQ146" s="727">
        <f t="shared" si="68"/>
        <v>0</v>
      </c>
      <c r="AR146" s="727">
        <f t="shared" si="68"/>
        <v>0</v>
      </c>
      <c r="AS146" s="727">
        <f t="shared" si="68"/>
        <v>0</v>
      </c>
      <c r="AT146" s="727">
        <f t="shared" si="68"/>
        <v>0</v>
      </c>
      <c r="AU146" s="727">
        <f t="shared" si="68"/>
        <v>0</v>
      </c>
      <c r="AV146" s="727">
        <f t="shared" si="68"/>
        <v>0</v>
      </c>
      <c r="AW146" s="727">
        <f t="shared" si="68"/>
        <v>0</v>
      </c>
      <c r="AX146" s="727">
        <f t="shared" si="68"/>
        <v>0</v>
      </c>
      <c r="AY146" s="727">
        <f t="shared" si="68"/>
        <v>0</v>
      </c>
      <c r="AZ146" s="727">
        <f t="shared" si="68"/>
        <v>0</v>
      </c>
      <c r="BA146" s="727">
        <f t="shared" si="68"/>
        <v>0</v>
      </c>
      <c r="BB146" s="727">
        <f t="shared" si="68"/>
        <v>0</v>
      </c>
      <c r="BC146" s="727">
        <f t="shared" si="68"/>
        <v>0</v>
      </c>
      <c r="BD146" s="727">
        <f t="shared" si="68"/>
        <v>0</v>
      </c>
      <c r="BE146" s="727">
        <f t="shared" si="68"/>
        <v>0</v>
      </c>
      <c r="BF146" s="727">
        <f t="shared" si="68"/>
        <v>0</v>
      </c>
      <c r="BG146" s="727">
        <f t="shared" si="68"/>
        <v>0</v>
      </c>
      <c r="BH146" s="727">
        <f t="shared" si="68"/>
        <v>0</v>
      </c>
      <c r="BI146" s="727">
        <f t="shared" si="68"/>
        <v>0</v>
      </c>
      <c r="BJ146" s="727">
        <f t="shared" si="68"/>
        <v>0</v>
      </c>
      <c r="BK146" s="727">
        <f t="shared" si="68"/>
        <v>0</v>
      </c>
      <c r="BL146" s="727">
        <f t="shared" si="68"/>
        <v>0</v>
      </c>
      <c r="BM146" s="727">
        <f t="shared" si="68"/>
        <v>0</v>
      </c>
      <c r="BN146" s="727">
        <f t="shared" ref="BN146:CS146" si="69">BN140-BN141</f>
        <v>0</v>
      </c>
      <c r="BO146" s="727">
        <f t="shared" si="69"/>
        <v>0</v>
      </c>
      <c r="BP146" s="727">
        <f t="shared" si="69"/>
        <v>0</v>
      </c>
      <c r="BQ146" s="727">
        <f t="shared" si="69"/>
        <v>0</v>
      </c>
      <c r="BR146" s="727">
        <f t="shared" si="69"/>
        <v>0</v>
      </c>
      <c r="BS146" s="727">
        <f t="shared" si="69"/>
        <v>0</v>
      </c>
      <c r="BT146" s="727">
        <f t="shared" si="69"/>
        <v>0</v>
      </c>
      <c r="BU146" s="727">
        <f t="shared" si="69"/>
        <v>0</v>
      </c>
      <c r="BV146" s="727">
        <f t="shared" si="69"/>
        <v>0</v>
      </c>
      <c r="BW146" s="727">
        <f t="shared" si="69"/>
        <v>0</v>
      </c>
      <c r="BX146" s="727">
        <f t="shared" si="69"/>
        <v>0</v>
      </c>
      <c r="BY146" s="727">
        <f t="shared" si="69"/>
        <v>0</v>
      </c>
      <c r="BZ146" s="727">
        <f t="shared" si="69"/>
        <v>0</v>
      </c>
      <c r="CA146" s="727">
        <f t="shared" si="69"/>
        <v>0</v>
      </c>
      <c r="CB146" s="727">
        <f t="shared" si="69"/>
        <v>0</v>
      </c>
      <c r="CC146" s="727">
        <f t="shared" si="69"/>
        <v>0</v>
      </c>
      <c r="CD146" s="727">
        <f t="shared" si="69"/>
        <v>0</v>
      </c>
      <c r="CE146" s="727">
        <f t="shared" si="69"/>
        <v>0</v>
      </c>
      <c r="CF146" s="727">
        <f t="shared" si="69"/>
        <v>0</v>
      </c>
      <c r="CG146" s="727">
        <f t="shared" si="69"/>
        <v>0</v>
      </c>
      <c r="CH146" s="727">
        <f t="shared" si="69"/>
        <v>0</v>
      </c>
      <c r="CI146" s="727">
        <f t="shared" si="69"/>
        <v>0</v>
      </c>
      <c r="CJ146" s="727">
        <f t="shared" si="69"/>
        <v>0</v>
      </c>
      <c r="CK146" s="727">
        <f t="shared" si="69"/>
        <v>0</v>
      </c>
      <c r="CL146" s="727">
        <f t="shared" si="69"/>
        <v>0</v>
      </c>
      <c r="CM146" s="727">
        <f t="shared" si="69"/>
        <v>0</v>
      </c>
      <c r="CN146" s="727">
        <f t="shared" si="69"/>
        <v>0</v>
      </c>
      <c r="CO146" s="727">
        <f t="shared" si="69"/>
        <v>0</v>
      </c>
      <c r="CP146" s="727">
        <f t="shared" si="69"/>
        <v>0</v>
      </c>
      <c r="CQ146" s="727">
        <f t="shared" si="69"/>
        <v>0</v>
      </c>
      <c r="CR146" s="727">
        <f t="shared" si="69"/>
        <v>0</v>
      </c>
      <c r="CS146" s="727">
        <f t="shared" si="69"/>
        <v>0</v>
      </c>
      <c r="CT146" s="25"/>
      <c r="CW146" s="960" t="s">
        <v>768</v>
      </c>
      <c r="CX146" s="965"/>
      <c r="CY146" s="965"/>
      <c r="CZ146" s="965"/>
      <c r="DA146" s="966"/>
      <c r="DB146" s="966"/>
    </row>
    <row r="147" spans="1:106" s="1167" customFormat="1" ht="16.5" hidden="1" customHeight="1" x14ac:dyDescent="0.15">
      <c r="A147" s="1150"/>
      <c r="B147" s="773"/>
      <c r="C147" s="1150"/>
      <c r="D147" s="1150"/>
      <c r="E147" s="668">
        <v>17.100000000000001</v>
      </c>
      <c r="F147" s="769" t="str" cm="1">
        <f t="array" aca="1" ref="F147" ca="1">OFFSET(G147,-1,-1)</f>
        <v>1</v>
      </c>
      <c r="G147" s="804"/>
      <c r="H147" s="804"/>
      <c r="I147" s="804"/>
      <c r="J147" s="804"/>
      <c r="K147" s="804"/>
      <c r="L147" s="769" t="b" cm="1">
        <f t="array" aca="1" ref="L147" ca="1">OFFSET(M147,-1,-1)</f>
        <v>0</v>
      </c>
      <c r="M147" s="804"/>
      <c r="N147" s="804"/>
      <c r="O147" s="804"/>
      <c r="P147" s="804"/>
      <c r="Q147" s="804"/>
      <c r="R147" s="769" t="s">
        <v>750</v>
      </c>
      <c r="S147" s="107" t="b" cm="1">
        <f t="array" aca="1" ref="S147" ca="1">OFFSET(T147,-1,-1)</f>
        <v>1</v>
      </c>
      <c r="T147" s="107" t="b" cm="1">
        <f t="array" aca="1" ref="T147" ca="1">T146</f>
        <v>0</v>
      </c>
      <c r="U147" s="690" t="b">
        <f t="shared" ca="1" si="35"/>
        <v>0</v>
      </c>
      <c r="V147" s="1150"/>
      <c r="W147" s="1150"/>
      <c r="X147" s="1150"/>
      <c r="Y147" s="1428"/>
      <c r="Z147" s="1428"/>
      <c r="AA147" s="691"/>
      <c r="AB147" s="1549"/>
      <c r="AD147" s="108">
        <v>4</v>
      </c>
      <c r="AE147" s="1511" t="s">
        <v>769</v>
      </c>
      <c r="AF147" s="1512"/>
      <c r="AG147" s="108" t="s">
        <v>753</v>
      </c>
      <c r="AH147" s="38"/>
      <c r="AI147" s="39"/>
      <c r="AJ147" s="39"/>
      <c r="AK147" s="39"/>
      <c r="AL147" s="727">
        <f>AM147+AN147</f>
        <v>0</v>
      </c>
      <c r="AM147" s="39"/>
      <c r="AN147" s="39"/>
      <c r="AO147" s="727">
        <f>AP147+AQ147</f>
        <v>0</v>
      </c>
      <c r="AP147" s="1244"/>
      <c r="AQ147" s="1244"/>
      <c r="AR147" s="727">
        <f>AS147+AT147</f>
        <v>0</v>
      </c>
      <c r="AS147" s="1244"/>
      <c r="AT147" s="1244"/>
      <c r="AU147" s="727">
        <f>AV147+AW147</f>
        <v>0</v>
      </c>
      <c r="AV147" s="39"/>
      <c r="AW147" s="39"/>
      <c r="AX147" s="727">
        <f>AY147+AZ147</f>
        <v>0</v>
      </c>
      <c r="AY147" s="39"/>
      <c r="AZ147" s="39"/>
      <c r="BA147" s="727">
        <f>BB147+BC147</f>
        <v>0</v>
      </c>
      <c r="BB147" s="39"/>
      <c r="BC147" s="39"/>
      <c r="BD147" s="727">
        <f>BE147+BF147</f>
        <v>0</v>
      </c>
      <c r="BE147" s="39"/>
      <c r="BF147" s="39"/>
      <c r="BG147" s="727">
        <f>BH147+BI147</f>
        <v>0</v>
      </c>
      <c r="BH147" s="39"/>
      <c r="BI147" s="39"/>
      <c r="BJ147" s="727">
        <f>BK147+BL147</f>
        <v>0</v>
      </c>
      <c r="BK147" s="39"/>
      <c r="BL147" s="39"/>
      <c r="BM147" s="727">
        <f>BN147+BO147</f>
        <v>0</v>
      </c>
      <c r="BN147" s="39"/>
      <c r="BO147" s="39"/>
      <c r="BP147" s="727">
        <f>BQ147+BR147</f>
        <v>0</v>
      </c>
      <c r="BQ147" s="816"/>
      <c r="BR147" s="816"/>
      <c r="BS147" s="727">
        <f>BT147+BU147</f>
        <v>0</v>
      </c>
      <c r="BT147" s="1244"/>
      <c r="BU147" s="1244"/>
      <c r="BV147" s="727">
        <f>BW147+BX147</f>
        <v>0</v>
      </c>
      <c r="BW147" s="1244"/>
      <c r="BX147" s="1244"/>
      <c r="BY147" s="727">
        <f>BZ147+CA147</f>
        <v>0</v>
      </c>
      <c r="BZ147" s="39"/>
      <c r="CA147" s="39"/>
      <c r="CB147" s="727">
        <f>CC147+CD147</f>
        <v>0</v>
      </c>
      <c r="CC147" s="39"/>
      <c r="CD147" s="39"/>
      <c r="CE147" s="727">
        <f>CF147+CG147</f>
        <v>0</v>
      </c>
      <c r="CF147" s="39"/>
      <c r="CG147" s="39"/>
      <c r="CH147" s="727">
        <f>CI147+CJ147</f>
        <v>0</v>
      </c>
      <c r="CI147" s="39"/>
      <c r="CJ147" s="39"/>
      <c r="CK147" s="727">
        <f>CL147+CM147</f>
        <v>0</v>
      </c>
      <c r="CL147" s="39"/>
      <c r="CM147" s="39"/>
      <c r="CN147" s="727">
        <f>CO147+CP147</f>
        <v>0</v>
      </c>
      <c r="CO147" s="39"/>
      <c r="CP147" s="39"/>
      <c r="CQ147" s="727">
        <f>CR147+CS147</f>
        <v>0</v>
      </c>
      <c r="CR147" s="39"/>
      <c r="CS147" s="39"/>
      <c r="CT147" s="25"/>
      <c r="CW147" s="960" t="s">
        <v>770</v>
      </c>
      <c r="CX147" s="965"/>
      <c r="CY147" s="965"/>
      <c r="CZ147" s="965"/>
      <c r="DA147" s="966"/>
      <c r="DB147" s="966"/>
    </row>
    <row r="148" spans="1:106" s="1167" customFormat="1" ht="16.5" hidden="1" customHeight="1" x14ac:dyDescent="0.15">
      <c r="A148" s="1150"/>
      <c r="B148" s="773"/>
      <c r="C148" s="1150"/>
      <c r="D148" s="1150"/>
      <c r="E148" s="668">
        <v>17.100000000000001</v>
      </c>
      <c r="F148" s="769" t="str" cm="1">
        <f t="array" aca="1" ref="F148" ca="1">OFFSET(G148,-1,-1)</f>
        <v>1</v>
      </c>
      <c r="G148" s="804"/>
      <c r="H148" s="804"/>
      <c r="I148" s="804"/>
      <c r="J148" s="804"/>
      <c r="K148" s="804"/>
      <c r="L148" s="769" t="b" cm="1">
        <f t="array" aca="1" ref="L148" ca="1">OFFSET(M148,-1,-1)</f>
        <v>0</v>
      </c>
      <c r="M148" s="804"/>
      <c r="N148" s="804"/>
      <c r="O148" s="804"/>
      <c r="P148" s="804"/>
      <c r="Q148" s="804"/>
      <c r="R148" s="769" t="s">
        <v>750</v>
      </c>
      <c r="S148" s="107" t="b" cm="1">
        <f t="array" aca="1" ref="S148" ca="1">OFFSET(T148,-1,-1)</f>
        <v>1</v>
      </c>
      <c r="T148" s="107" t="b" cm="1">
        <f t="array" aca="1" ref="T148" ca="1">T147</f>
        <v>0</v>
      </c>
      <c r="U148" s="690" t="b">
        <f t="shared" ca="1" si="35"/>
        <v>0</v>
      </c>
      <c r="V148" s="1150"/>
      <c r="W148" s="1150"/>
      <c r="X148" s="1150"/>
      <c r="Y148" s="1428"/>
      <c r="Z148" s="1428"/>
      <c r="AA148" s="691"/>
      <c r="AB148" s="1549"/>
      <c r="AD148" s="108" t="s">
        <v>771</v>
      </c>
      <c r="AE148" s="1523" t="s">
        <v>772</v>
      </c>
      <c r="AF148" s="1524"/>
      <c r="AG148" s="108" t="s">
        <v>521</v>
      </c>
      <c r="AH148" s="731">
        <f t="shared" ref="AH148:BM148" si="70">IFERROR(AH147/AH146,0)</f>
        <v>0</v>
      </c>
      <c r="AI148" s="732">
        <f t="shared" si="70"/>
        <v>0</v>
      </c>
      <c r="AJ148" s="732">
        <f t="shared" si="70"/>
        <v>0</v>
      </c>
      <c r="AK148" s="732">
        <f t="shared" si="70"/>
        <v>0</v>
      </c>
      <c r="AL148" s="732">
        <f t="shared" si="70"/>
        <v>0</v>
      </c>
      <c r="AM148" s="732">
        <f t="shared" si="70"/>
        <v>0</v>
      </c>
      <c r="AN148" s="732">
        <f t="shared" si="70"/>
        <v>0</v>
      </c>
      <c r="AO148" s="732">
        <f t="shared" si="70"/>
        <v>0</v>
      </c>
      <c r="AP148" s="732">
        <f t="shared" si="70"/>
        <v>0</v>
      </c>
      <c r="AQ148" s="732">
        <f t="shared" si="70"/>
        <v>0</v>
      </c>
      <c r="AR148" s="732">
        <f t="shared" si="70"/>
        <v>0</v>
      </c>
      <c r="AS148" s="732">
        <f t="shared" si="70"/>
        <v>0</v>
      </c>
      <c r="AT148" s="732">
        <f t="shared" si="70"/>
        <v>0</v>
      </c>
      <c r="AU148" s="732">
        <f t="shared" si="70"/>
        <v>0</v>
      </c>
      <c r="AV148" s="732">
        <f t="shared" si="70"/>
        <v>0</v>
      </c>
      <c r="AW148" s="732">
        <f t="shared" si="70"/>
        <v>0</v>
      </c>
      <c r="AX148" s="732">
        <f t="shared" si="70"/>
        <v>0</v>
      </c>
      <c r="AY148" s="732">
        <f t="shared" si="70"/>
        <v>0</v>
      </c>
      <c r="AZ148" s="732">
        <f t="shared" si="70"/>
        <v>0</v>
      </c>
      <c r="BA148" s="732">
        <f t="shared" si="70"/>
        <v>0</v>
      </c>
      <c r="BB148" s="732">
        <f t="shared" si="70"/>
        <v>0</v>
      </c>
      <c r="BC148" s="732">
        <f t="shared" si="70"/>
        <v>0</v>
      </c>
      <c r="BD148" s="732">
        <f t="shared" si="70"/>
        <v>0</v>
      </c>
      <c r="BE148" s="732">
        <f t="shared" si="70"/>
        <v>0</v>
      </c>
      <c r="BF148" s="732">
        <f t="shared" si="70"/>
        <v>0</v>
      </c>
      <c r="BG148" s="732">
        <f t="shared" si="70"/>
        <v>0</v>
      </c>
      <c r="BH148" s="732">
        <f t="shared" si="70"/>
        <v>0</v>
      </c>
      <c r="BI148" s="732">
        <f t="shared" si="70"/>
        <v>0</v>
      </c>
      <c r="BJ148" s="732">
        <f t="shared" si="70"/>
        <v>0</v>
      </c>
      <c r="BK148" s="732">
        <f t="shared" si="70"/>
        <v>0</v>
      </c>
      <c r="BL148" s="732">
        <f t="shared" si="70"/>
        <v>0</v>
      </c>
      <c r="BM148" s="732">
        <f t="shared" si="70"/>
        <v>0</v>
      </c>
      <c r="BN148" s="732">
        <f t="shared" ref="BN148:CS148" si="71">IFERROR(BN147/BN146,0)</f>
        <v>0</v>
      </c>
      <c r="BO148" s="732">
        <f t="shared" si="71"/>
        <v>0</v>
      </c>
      <c r="BP148" s="732">
        <f t="shared" si="71"/>
        <v>0</v>
      </c>
      <c r="BQ148" s="732">
        <f t="shared" si="71"/>
        <v>0</v>
      </c>
      <c r="BR148" s="732">
        <f t="shared" si="71"/>
        <v>0</v>
      </c>
      <c r="BS148" s="732">
        <f t="shared" si="71"/>
        <v>0</v>
      </c>
      <c r="BT148" s="732">
        <f t="shared" si="71"/>
        <v>0</v>
      </c>
      <c r="BU148" s="732">
        <f t="shared" si="71"/>
        <v>0</v>
      </c>
      <c r="BV148" s="732">
        <f t="shared" si="71"/>
        <v>0</v>
      </c>
      <c r="BW148" s="732">
        <f t="shared" si="71"/>
        <v>0</v>
      </c>
      <c r="BX148" s="732">
        <f t="shared" si="71"/>
        <v>0</v>
      </c>
      <c r="BY148" s="732">
        <f t="shared" si="71"/>
        <v>0</v>
      </c>
      <c r="BZ148" s="732">
        <f t="shared" si="71"/>
        <v>0</v>
      </c>
      <c r="CA148" s="732">
        <f t="shared" si="71"/>
        <v>0</v>
      </c>
      <c r="CB148" s="732">
        <f t="shared" si="71"/>
        <v>0</v>
      </c>
      <c r="CC148" s="732">
        <f t="shared" si="71"/>
        <v>0</v>
      </c>
      <c r="CD148" s="732">
        <f t="shared" si="71"/>
        <v>0</v>
      </c>
      <c r="CE148" s="732">
        <f t="shared" si="71"/>
        <v>0</v>
      </c>
      <c r="CF148" s="732">
        <f t="shared" si="71"/>
        <v>0</v>
      </c>
      <c r="CG148" s="732">
        <f t="shared" si="71"/>
        <v>0</v>
      </c>
      <c r="CH148" s="732">
        <f t="shared" si="71"/>
        <v>0</v>
      </c>
      <c r="CI148" s="732">
        <f t="shared" si="71"/>
        <v>0</v>
      </c>
      <c r="CJ148" s="732">
        <f t="shared" si="71"/>
        <v>0</v>
      </c>
      <c r="CK148" s="732">
        <f t="shared" si="71"/>
        <v>0</v>
      </c>
      <c r="CL148" s="732">
        <f t="shared" si="71"/>
        <v>0</v>
      </c>
      <c r="CM148" s="732">
        <f t="shared" si="71"/>
        <v>0</v>
      </c>
      <c r="CN148" s="732">
        <f t="shared" si="71"/>
        <v>0</v>
      </c>
      <c r="CO148" s="732">
        <f t="shared" si="71"/>
        <v>0</v>
      </c>
      <c r="CP148" s="732">
        <f t="shared" si="71"/>
        <v>0</v>
      </c>
      <c r="CQ148" s="732">
        <f t="shared" si="71"/>
        <v>0</v>
      </c>
      <c r="CR148" s="732">
        <f t="shared" si="71"/>
        <v>0</v>
      </c>
      <c r="CS148" s="732">
        <f t="shared" si="71"/>
        <v>0</v>
      </c>
      <c r="CT148" s="25"/>
      <c r="CW148" s="960" t="s">
        <v>773</v>
      </c>
      <c r="CX148" s="965"/>
      <c r="CY148" s="965"/>
      <c r="CZ148" s="965"/>
      <c r="DA148" s="966"/>
      <c r="DB148" s="966"/>
    </row>
    <row r="149" spans="1:106" s="1167" customFormat="1" ht="16.5" hidden="1" customHeight="1" x14ac:dyDescent="0.15">
      <c r="A149" s="1150"/>
      <c r="B149" s="773"/>
      <c r="C149" s="1150"/>
      <c r="D149" s="1150"/>
      <c r="E149" s="668">
        <v>17.100000000000001</v>
      </c>
      <c r="F149" s="769" t="str" cm="1">
        <f t="array" aca="1" ref="F149" ca="1">OFFSET(G149,-1,-1)</f>
        <v>1</v>
      </c>
      <c r="G149" s="804"/>
      <c r="H149" s="804"/>
      <c r="I149" s="804"/>
      <c r="J149" s="804"/>
      <c r="K149" s="804"/>
      <c r="L149" s="769" t="b" cm="1">
        <f t="array" aca="1" ref="L149" ca="1">OFFSET(M149,-1,-1)</f>
        <v>0</v>
      </c>
      <c r="M149" s="804"/>
      <c r="N149" s="804"/>
      <c r="O149" s="804"/>
      <c r="P149" s="804"/>
      <c r="Q149" s="804"/>
      <c r="R149" s="769" t="s">
        <v>750</v>
      </c>
      <c r="S149" s="107" t="b" cm="1">
        <f t="array" aca="1" ref="S149" ca="1">OFFSET(T149,-1,-1)</f>
        <v>1</v>
      </c>
      <c r="T149" s="107" t="b" cm="1">
        <f t="array" aca="1" ref="T149" ca="1">T148</f>
        <v>0</v>
      </c>
      <c r="U149" s="690" t="b">
        <f t="shared" ca="1" si="35"/>
        <v>0</v>
      </c>
      <c r="V149" s="1150"/>
      <c r="W149" s="1150"/>
      <c r="X149" s="1150"/>
      <c r="Y149" s="1428"/>
      <c r="Z149" s="1428"/>
      <c r="AA149" s="691"/>
      <c r="AB149" s="1549"/>
      <c r="AD149" s="108">
        <v>5</v>
      </c>
      <c r="AE149" s="1531" t="s">
        <v>774</v>
      </c>
      <c r="AF149" s="1532"/>
      <c r="AG149" s="108" t="s">
        <v>753</v>
      </c>
      <c r="AH149" s="38"/>
      <c r="AI149" s="39"/>
      <c r="AJ149" s="39"/>
      <c r="AK149" s="39"/>
      <c r="AL149" s="727">
        <f>AM149+AN149</f>
        <v>0</v>
      </c>
      <c r="AM149" s="39"/>
      <c r="AN149" s="39"/>
      <c r="AO149" s="727">
        <f>AP149+AQ149</f>
        <v>0</v>
      </c>
      <c r="AP149" s="1244"/>
      <c r="AQ149" s="1244"/>
      <c r="AR149" s="727">
        <f>AS149+AT149</f>
        <v>0</v>
      </c>
      <c r="AS149" s="1244"/>
      <c r="AT149" s="1244"/>
      <c r="AU149" s="727">
        <f>AV149+AW149</f>
        <v>0</v>
      </c>
      <c r="AV149" s="39"/>
      <c r="AW149" s="39"/>
      <c r="AX149" s="727">
        <f>AY149+AZ149</f>
        <v>0</v>
      </c>
      <c r="AY149" s="39"/>
      <c r="AZ149" s="39"/>
      <c r="BA149" s="727">
        <f>BB149+BC149</f>
        <v>0</v>
      </c>
      <c r="BB149" s="39"/>
      <c r="BC149" s="39"/>
      <c r="BD149" s="727">
        <f>BE149+BF149</f>
        <v>0</v>
      </c>
      <c r="BE149" s="39"/>
      <c r="BF149" s="39"/>
      <c r="BG149" s="727">
        <f>BH149+BI149</f>
        <v>0</v>
      </c>
      <c r="BH149" s="39"/>
      <c r="BI149" s="39"/>
      <c r="BJ149" s="727">
        <f>BK149+BL149</f>
        <v>0</v>
      </c>
      <c r="BK149" s="39"/>
      <c r="BL149" s="39"/>
      <c r="BM149" s="727">
        <f>BN149+BO149</f>
        <v>0</v>
      </c>
      <c r="BN149" s="39"/>
      <c r="BO149" s="39"/>
      <c r="BP149" s="727">
        <f>BQ149+BR149</f>
        <v>0</v>
      </c>
      <c r="BQ149" s="816"/>
      <c r="BR149" s="816"/>
      <c r="BS149" s="727">
        <f>BT149+BU149</f>
        <v>0</v>
      </c>
      <c r="BT149" s="1244"/>
      <c r="BU149" s="1244"/>
      <c r="BV149" s="727">
        <f>BW149+BX149</f>
        <v>0</v>
      </c>
      <c r="BW149" s="1244"/>
      <c r="BX149" s="1244"/>
      <c r="BY149" s="727">
        <f>BZ149+CA149</f>
        <v>0</v>
      </c>
      <c r="BZ149" s="39"/>
      <c r="CA149" s="39"/>
      <c r="CB149" s="727">
        <f>CC149+CD149</f>
        <v>0</v>
      </c>
      <c r="CC149" s="39"/>
      <c r="CD149" s="39"/>
      <c r="CE149" s="727">
        <f>CF149+CG149</f>
        <v>0</v>
      </c>
      <c r="CF149" s="39"/>
      <c r="CG149" s="39"/>
      <c r="CH149" s="727">
        <f>CI149+CJ149</f>
        <v>0</v>
      </c>
      <c r="CI149" s="39"/>
      <c r="CJ149" s="39"/>
      <c r="CK149" s="727">
        <f>CL149+CM149</f>
        <v>0</v>
      </c>
      <c r="CL149" s="39"/>
      <c r="CM149" s="39"/>
      <c r="CN149" s="727">
        <f>CO149+CP149</f>
        <v>0</v>
      </c>
      <c r="CO149" s="39"/>
      <c r="CP149" s="39"/>
      <c r="CQ149" s="727">
        <f>CR149+CS149</f>
        <v>0</v>
      </c>
      <c r="CR149" s="39"/>
      <c r="CS149" s="39"/>
      <c r="CT149" s="25"/>
      <c r="CW149" s="960" t="s">
        <v>775</v>
      </c>
      <c r="CX149" s="965"/>
      <c r="CY149" s="965"/>
      <c r="CZ149" s="965"/>
      <c r="DA149" s="966"/>
      <c r="DB149" s="966"/>
    </row>
    <row r="150" spans="1:106" s="1167" customFormat="1" ht="16.5" hidden="1" customHeight="1" x14ac:dyDescent="0.15">
      <c r="A150" s="1150"/>
      <c r="B150" s="773"/>
      <c r="C150" s="1150"/>
      <c r="D150" s="1150"/>
      <c r="E150" s="668">
        <v>17.100000000000001</v>
      </c>
      <c r="F150" s="769" t="str" cm="1">
        <f t="array" aca="1" ref="F150" ca="1">OFFSET(G150,-1,-1)</f>
        <v>1</v>
      </c>
      <c r="G150" s="804"/>
      <c r="H150" s="804"/>
      <c r="I150" s="804"/>
      <c r="J150" s="804"/>
      <c r="K150" s="804"/>
      <c r="L150" s="769" t="b" cm="1">
        <f t="array" aca="1" ref="L150" ca="1">OFFSET(M150,-1,-1)</f>
        <v>0</v>
      </c>
      <c r="M150" s="804"/>
      <c r="N150" s="804"/>
      <c r="O150" s="804"/>
      <c r="P150" s="804"/>
      <c r="Q150" s="804"/>
      <c r="R150" s="769" t="s">
        <v>750</v>
      </c>
      <c r="S150" s="107" t="b" cm="1">
        <f t="array" aca="1" ref="S150" ca="1">OFFSET(T150,-1,-1)</f>
        <v>1</v>
      </c>
      <c r="T150" s="107" t="b" cm="1">
        <f t="array" aca="1" ref="T150" ca="1">T149</f>
        <v>0</v>
      </c>
      <c r="U150" s="690" t="b">
        <f t="shared" ca="1" si="35"/>
        <v>0</v>
      </c>
      <c r="V150" s="1150"/>
      <c r="W150" s="1150"/>
      <c r="X150" s="1150"/>
      <c r="Y150" s="1428"/>
      <c r="Z150" s="1428"/>
      <c r="AA150" s="691"/>
      <c r="AB150" s="1549"/>
      <c r="AD150" s="108" t="s">
        <v>776</v>
      </c>
      <c r="AE150" s="1523" t="s">
        <v>772</v>
      </c>
      <c r="AF150" s="1524"/>
      <c r="AG150" s="108" t="s">
        <v>521</v>
      </c>
      <c r="AH150" s="731">
        <f t="shared" ref="AH150:BM150" si="72">IFERROR(AH149/AH146,0)</f>
        <v>0</v>
      </c>
      <c r="AI150" s="732">
        <f t="shared" si="72"/>
        <v>0</v>
      </c>
      <c r="AJ150" s="732">
        <f t="shared" si="72"/>
        <v>0</v>
      </c>
      <c r="AK150" s="732">
        <f t="shared" si="72"/>
        <v>0</v>
      </c>
      <c r="AL150" s="732">
        <f t="shared" si="72"/>
        <v>0</v>
      </c>
      <c r="AM150" s="732">
        <f t="shared" si="72"/>
        <v>0</v>
      </c>
      <c r="AN150" s="732">
        <f t="shared" si="72"/>
        <v>0</v>
      </c>
      <c r="AO150" s="732">
        <f t="shared" si="72"/>
        <v>0</v>
      </c>
      <c r="AP150" s="732">
        <f t="shared" si="72"/>
        <v>0</v>
      </c>
      <c r="AQ150" s="732">
        <f t="shared" si="72"/>
        <v>0</v>
      </c>
      <c r="AR150" s="732">
        <f t="shared" si="72"/>
        <v>0</v>
      </c>
      <c r="AS150" s="732">
        <f t="shared" si="72"/>
        <v>0</v>
      </c>
      <c r="AT150" s="732">
        <f t="shared" si="72"/>
        <v>0</v>
      </c>
      <c r="AU150" s="732">
        <f t="shared" si="72"/>
        <v>0</v>
      </c>
      <c r="AV150" s="732">
        <f t="shared" si="72"/>
        <v>0</v>
      </c>
      <c r="AW150" s="732">
        <f t="shared" si="72"/>
        <v>0</v>
      </c>
      <c r="AX150" s="732">
        <f t="shared" si="72"/>
        <v>0</v>
      </c>
      <c r="AY150" s="732">
        <f t="shared" si="72"/>
        <v>0</v>
      </c>
      <c r="AZ150" s="732">
        <f t="shared" si="72"/>
        <v>0</v>
      </c>
      <c r="BA150" s="732">
        <f t="shared" si="72"/>
        <v>0</v>
      </c>
      <c r="BB150" s="732">
        <f t="shared" si="72"/>
        <v>0</v>
      </c>
      <c r="BC150" s="732">
        <f t="shared" si="72"/>
        <v>0</v>
      </c>
      <c r="BD150" s="732">
        <f t="shared" si="72"/>
        <v>0</v>
      </c>
      <c r="BE150" s="732">
        <f t="shared" si="72"/>
        <v>0</v>
      </c>
      <c r="BF150" s="732">
        <f t="shared" si="72"/>
        <v>0</v>
      </c>
      <c r="BG150" s="732">
        <f t="shared" si="72"/>
        <v>0</v>
      </c>
      <c r="BH150" s="732">
        <f t="shared" si="72"/>
        <v>0</v>
      </c>
      <c r="BI150" s="732">
        <f t="shared" si="72"/>
        <v>0</v>
      </c>
      <c r="BJ150" s="732">
        <f t="shared" si="72"/>
        <v>0</v>
      </c>
      <c r="BK150" s="732">
        <f t="shared" si="72"/>
        <v>0</v>
      </c>
      <c r="BL150" s="732">
        <f t="shared" si="72"/>
        <v>0</v>
      </c>
      <c r="BM150" s="732">
        <f t="shared" si="72"/>
        <v>0</v>
      </c>
      <c r="BN150" s="732">
        <f t="shared" ref="BN150:CS150" si="73">IFERROR(BN149/BN146,0)</f>
        <v>0</v>
      </c>
      <c r="BO150" s="732">
        <f t="shared" si="73"/>
        <v>0</v>
      </c>
      <c r="BP150" s="732">
        <f t="shared" si="73"/>
        <v>0</v>
      </c>
      <c r="BQ150" s="732">
        <f t="shared" si="73"/>
        <v>0</v>
      </c>
      <c r="BR150" s="732">
        <f t="shared" si="73"/>
        <v>0</v>
      </c>
      <c r="BS150" s="732">
        <f t="shared" si="73"/>
        <v>0</v>
      </c>
      <c r="BT150" s="732">
        <f t="shared" si="73"/>
        <v>0</v>
      </c>
      <c r="BU150" s="732">
        <f t="shared" si="73"/>
        <v>0</v>
      </c>
      <c r="BV150" s="732">
        <f t="shared" si="73"/>
        <v>0</v>
      </c>
      <c r="BW150" s="732">
        <f t="shared" si="73"/>
        <v>0</v>
      </c>
      <c r="BX150" s="732">
        <f t="shared" si="73"/>
        <v>0</v>
      </c>
      <c r="BY150" s="732">
        <f t="shared" si="73"/>
        <v>0</v>
      </c>
      <c r="BZ150" s="732">
        <f t="shared" si="73"/>
        <v>0</v>
      </c>
      <c r="CA150" s="732">
        <f t="shared" si="73"/>
        <v>0</v>
      </c>
      <c r="CB150" s="732">
        <f t="shared" si="73"/>
        <v>0</v>
      </c>
      <c r="CC150" s="732">
        <f t="shared" si="73"/>
        <v>0</v>
      </c>
      <c r="CD150" s="732">
        <f t="shared" si="73"/>
        <v>0</v>
      </c>
      <c r="CE150" s="732">
        <f t="shared" si="73"/>
        <v>0</v>
      </c>
      <c r="CF150" s="732">
        <f t="shared" si="73"/>
        <v>0</v>
      </c>
      <c r="CG150" s="732">
        <f t="shared" si="73"/>
        <v>0</v>
      </c>
      <c r="CH150" s="732">
        <f t="shared" si="73"/>
        <v>0</v>
      </c>
      <c r="CI150" s="732">
        <f t="shared" si="73"/>
        <v>0</v>
      </c>
      <c r="CJ150" s="732">
        <f t="shared" si="73"/>
        <v>0</v>
      </c>
      <c r="CK150" s="732">
        <f t="shared" si="73"/>
        <v>0</v>
      </c>
      <c r="CL150" s="732">
        <f t="shared" si="73"/>
        <v>0</v>
      </c>
      <c r="CM150" s="732">
        <f t="shared" si="73"/>
        <v>0</v>
      </c>
      <c r="CN150" s="732">
        <f t="shared" si="73"/>
        <v>0</v>
      </c>
      <c r="CO150" s="732">
        <f t="shared" si="73"/>
        <v>0</v>
      </c>
      <c r="CP150" s="732">
        <f t="shared" si="73"/>
        <v>0</v>
      </c>
      <c r="CQ150" s="732">
        <f t="shared" si="73"/>
        <v>0</v>
      </c>
      <c r="CR150" s="732">
        <f t="shared" si="73"/>
        <v>0</v>
      </c>
      <c r="CS150" s="732">
        <f t="shared" si="73"/>
        <v>0</v>
      </c>
      <c r="CT150" s="25"/>
      <c r="CW150" s="960" t="s">
        <v>777</v>
      </c>
      <c r="CX150" s="965"/>
      <c r="CY150" s="965"/>
      <c r="CZ150" s="965"/>
      <c r="DA150" s="966"/>
      <c r="DB150" s="966"/>
    </row>
    <row r="151" spans="1:106" s="1167" customFormat="1" ht="16.5" hidden="1" customHeight="1" x14ac:dyDescent="0.15">
      <c r="A151" s="1150"/>
      <c r="B151" s="773"/>
      <c r="C151" s="1150"/>
      <c r="D151" s="1150"/>
      <c r="E151" s="668">
        <v>17.100000000000001</v>
      </c>
      <c r="F151" s="769" t="str" cm="1">
        <f t="array" aca="1" ref="F151" ca="1">OFFSET(G151,-1,-1)</f>
        <v>1</v>
      </c>
      <c r="G151" s="804"/>
      <c r="H151" s="804"/>
      <c r="I151" s="804"/>
      <c r="J151" s="804"/>
      <c r="K151" s="804"/>
      <c r="L151" s="769" t="b" cm="1">
        <f t="array" aca="1" ref="L151" ca="1">OFFSET(M151,-1,-1)</f>
        <v>0</v>
      </c>
      <c r="M151" s="804"/>
      <c r="N151" s="804"/>
      <c r="O151" s="804"/>
      <c r="P151" s="804"/>
      <c r="Q151" s="804"/>
      <c r="R151" s="769" t="s">
        <v>750</v>
      </c>
      <c r="S151" s="107" t="b" cm="1">
        <f t="array" aca="1" ref="S151" ca="1">OFFSET(T151,-1,-1)</f>
        <v>1</v>
      </c>
      <c r="T151" s="107" t="b" cm="1">
        <f t="array" aca="1" ref="T151" ca="1">T150</f>
        <v>0</v>
      </c>
      <c r="U151" s="690" t="b">
        <f t="shared" ca="1" si="35"/>
        <v>0</v>
      </c>
      <c r="V151" s="1150"/>
      <c r="W151" s="1150"/>
      <c r="X151" s="1150"/>
      <c r="Y151" s="1428"/>
      <c r="Z151" s="1428"/>
      <c r="AA151" s="691"/>
      <c r="AB151" s="1549"/>
      <c r="AD151" s="108">
        <v>6</v>
      </c>
      <c r="AE151" s="1531" t="s">
        <v>778</v>
      </c>
      <c r="AF151" s="1532"/>
      <c r="AG151" s="108" t="s">
        <v>753</v>
      </c>
      <c r="AH151" s="725">
        <f t="shared" ref="AH151:BM151" si="74">AH146-AH147-AH149</f>
        <v>0</v>
      </c>
      <c r="AI151" s="727">
        <f t="shared" si="74"/>
        <v>0</v>
      </c>
      <c r="AJ151" s="727">
        <f t="shared" si="74"/>
        <v>0</v>
      </c>
      <c r="AK151" s="727">
        <f t="shared" si="74"/>
        <v>0</v>
      </c>
      <c r="AL151" s="727">
        <f t="shared" si="74"/>
        <v>0</v>
      </c>
      <c r="AM151" s="727">
        <f t="shared" si="74"/>
        <v>0</v>
      </c>
      <c r="AN151" s="727">
        <f t="shared" si="74"/>
        <v>0</v>
      </c>
      <c r="AO151" s="727">
        <f t="shared" si="74"/>
        <v>0</v>
      </c>
      <c r="AP151" s="727">
        <f t="shared" si="74"/>
        <v>0</v>
      </c>
      <c r="AQ151" s="727">
        <f t="shared" si="74"/>
        <v>0</v>
      </c>
      <c r="AR151" s="727">
        <f t="shared" si="74"/>
        <v>0</v>
      </c>
      <c r="AS151" s="727">
        <f t="shared" si="74"/>
        <v>0</v>
      </c>
      <c r="AT151" s="727">
        <f t="shared" si="74"/>
        <v>0</v>
      </c>
      <c r="AU151" s="727">
        <f t="shared" si="74"/>
        <v>0</v>
      </c>
      <c r="AV151" s="727">
        <f t="shared" si="74"/>
        <v>0</v>
      </c>
      <c r="AW151" s="727">
        <f t="shared" si="74"/>
        <v>0</v>
      </c>
      <c r="AX151" s="727">
        <f t="shared" si="74"/>
        <v>0</v>
      </c>
      <c r="AY151" s="727">
        <f t="shared" si="74"/>
        <v>0</v>
      </c>
      <c r="AZ151" s="727">
        <f t="shared" si="74"/>
        <v>0</v>
      </c>
      <c r="BA151" s="727">
        <f t="shared" si="74"/>
        <v>0</v>
      </c>
      <c r="BB151" s="727">
        <f t="shared" si="74"/>
        <v>0</v>
      </c>
      <c r="BC151" s="727">
        <f t="shared" si="74"/>
        <v>0</v>
      </c>
      <c r="BD151" s="727">
        <f t="shared" si="74"/>
        <v>0</v>
      </c>
      <c r="BE151" s="727">
        <f t="shared" si="74"/>
        <v>0</v>
      </c>
      <c r="BF151" s="727">
        <f t="shared" si="74"/>
        <v>0</v>
      </c>
      <c r="BG151" s="727">
        <f t="shared" si="74"/>
        <v>0</v>
      </c>
      <c r="BH151" s="727">
        <f t="shared" si="74"/>
        <v>0</v>
      </c>
      <c r="BI151" s="727">
        <f t="shared" si="74"/>
        <v>0</v>
      </c>
      <c r="BJ151" s="727">
        <f t="shared" si="74"/>
        <v>0</v>
      </c>
      <c r="BK151" s="727">
        <f t="shared" si="74"/>
        <v>0</v>
      </c>
      <c r="BL151" s="727">
        <f t="shared" si="74"/>
        <v>0</v>
      </c>
      <c r="BM151" s="727">
        <f t="shared" si="74"/>
        <v>0</v>
      </c>
      <c r="BN151" s="727">
        <f t="shared" ref="BN151:CS151" si="75">BN146-BN147-BN149</f>
        <v>0</v>
      </c>
      <c r="BO151" s="727">
        <f t="shared" si="75"/>
        <v>0</v>
      </c>
      <c r="BP151" s="727">
        <f t="shared" si="75"/>
        <v>0</v>
      </c>
      <c r="BQ151" s="727">
        <f t="shared" si="75"/>
        <v>0</v>
      </c>
      <c r="BR151" s="727">
        <f t="shared" si="75"/>
        <v>0</v>
      </c>
      <c r="BS151" s="727">
        <f t="shared" si="75"/>
        <v>0</v>
      </c>
      <c r="BT151" s="727">
        <f t="shared" si="75"/>
        <v>0</v>
      </c>
      <c r="BU151" s="727">
        <f t="shared" si="75"/>
        <v>0</v>
      </c>
      <c r="BV151" s="727">
        <f t="shared" si="75"/>
        <v>0</v>
      </c>
      <c r="BW151" s="727">
        <f t="shared" si="75"/>
        <v>0</v>
      </c>
      <c r="BX151" s="727">
        <f t="shared" si="75"/>
        <v>0</v>
      </c>
      <c r="BY151" s="727">
        <f t="shared" si="75"/>
        <v>0</v>
      </c>
      <c r="BZ151" s="727">
        <f t="shared" si="75"/>
        <v>0</v>
      </c>
      <c r="CA151" s="727">
        <f t="shared" si="75"/>
        <v>0</v>
      </c>
      <c r="CB151" s="727">
        <f t="shared" si="75"/>
        <v>0</v>
      </c>
      <c r="CC151" s="727">
        <f t="shared" si="75"/>
        <v>0</v>
      </c>
      <c r="CD151" s="727">
        <f t="shared" si="75"/>
        <v>0</v>
      </c>
      <c r="CE151" s="727">
        <f t="shared" si="75"/>
        <v>0</v>
      </c>
      <c r="CF151" s="727">
        <f t="shared" si="75"/>
        <v>0</v>
      </c>
      <c r="CG151" s="727">
        <f t="shared" si="75"/>
        <v>0</v>
      </c>
      <c r="CH151" s="727">
        <f t="shared" si="75"/>
        <v>0</v>
      </c>
      <c r="CI151" s="727">
        <f t="shared" si="75"/>
        <v>0</v>
      </c>
      <c r="CJ151" s="727">
        <f t="shared" si="75"/>
        <v>0</v>
      </c>
      <c r="CK151" s="727">
        <f t="shared" si="75"/>
        <v>0</v>
      </c>
      <c r="CL151" s="727">
        <f t="shared" si="75"/>
        <v>0</v>
      </c>
      <c r="CM151" s="727">
        <f t="shared" si="75"/>
        <v>0</v>
      </c>
      <c r="CN151" s="727">
        <f t="shared" si="75"/>
        <v>0</v>
      </c>
      <c r="CO151" s="727">
        <f t="shared" si="75"/>
        <v>0</v>
      </c>
      <c r="CP151" s="727">
        <f t="shared" si="75"/>
        <v>0</v>
      </c>
      <c r="CQ151" s="727">
        <f t="shared" si="75"/>
        <v>0</v>
      </c>
      <c r="CR151" s="727">
        <f t="shared" si="75"/>
        <v>0</v>
      </c>
      <c r="CS151" s="727">
        <f t="shared" si="75"/>
        <v>0</v>
      </c>
      <c r="CT151" s="25"/>
      <c r="CW151" s="960" t="s">
        <v>779</v>
      </c>
      <c r="CX151" s="965"/>
      <c r="CY151" s="965"/>
      <c r="CZ151" s="965"/>
      <c r="DA151" s="966"/>
      <c r="DB151" s="966"/>
    </row>
    <row r="152" spans="1:106" s="1167" customFormat="1" ht="29.25" customHeight="1" x14ac:dyDescent="0.15">
      <c r="A152" s="1150"/>
      <c r="B152" s="773"/>
      <c r="C152" s="1150"/>
      <c r="D152" s="1150"/>
      <c r="E152" s="668">
        <v>30</v>
      </c>
      <c r="F152" s="769" t="str" cm="1">
        <f t="array" aca="1" ref="F152" ca="1">OFFSET(G152,-1,-1)</f>
        <v>1</v>
      </c>
      <c r="G152" s="804"/>
      <c r="H152" s="804"/>
      <c r="I152" s="804"/>
      <c r="J152" s="804"/>
      <c r="K152" s="804"/>
      <c r="L152" s="769" t="b" cm="1">
        <f t="array" aca="1" ref="L152" ca="1">OFFSET(M152,-1,-1)</f>
        <v>0</v>
      </c>
      <c r="M152" s="804"/>
      <c r="N152" s="804"/>
      <c r="O152" s="804"/>
      <c r="P152" s="804"/>
      <c r="Q152" s="804"/>
      <c r="R152" s="1150"/>
      <c r="S152" s="107" t="b" cm="1">
        <f t="array" aca="1" ref="S152" ca="1">OFFSET(T152,-1,-1)</f>
        <v>1</v>
      </c>
      <c r="T152" s="1150"/>
      <c r="U152" s="690" t="b">
        <f t="shared" ca="1" si="35"/>
        <v>1</v>
      </c>
      <c r="V152" s="1150"/>
      <c r="W152" s="1150"/>
      <c r="X152" s="1150"/>
      <c r="Y152" s="1428"/>
      <c r="Z152" s="1428"/>
      <c r="AA152" s="691"/>
      <c r="AB152" s="1549"/>
      <c r="AD152" s="108">
        <v>7</v>
      </c>
      <c r="AE152" s="1525" t="s">
        <v>780</v>
      </c>
      <c r="AF152" s="1526"/>
      <c r="AG152" s="735" t="s">
        <v>622</v>
      </c>
      <c r="AH152" s="725">
        <f ca="1">SUMIFS('Баланс Пр'!AE$27:AE$165,'Баланс Пр'!$AB$27:$AB$165,"3.1",'Баланс Пр'!$F$27:$F$165,$F152)+SUMIFS('Баланс Пр'!AE$27:AE$165,'Баланс Пр'!$AB$27:$AB$165,"3.2",'Баланс Пр'!$F$27:$F$165,$F152)</f>
        <v>78496</v>
      </c>
      <c r="AI152" s="725">
        <f ca="1">SUMIFS('Баланс Пр'!AF$27:AF$165,'Баланс Пр'!$AB$27:$AB$165,"3.1",'Баланс Пр'!$F$27:$F$165,$F152)+SUMIFS('Баланс Пр'!AF$27:AF$165,'Баланс Пр'!$AB$27:$AB$165,"3.2",'Баланс Пр'!$F$27:$F$165,$F152)</f>
        <v>77619.09</v>
      </c>
      <c r="AJ152" s="725">
        <f ca="1">SUMIFS('Баланс Пр'!AG$27:AG$165,'Баланс Пр'!$AB$27:$AB$165,"3.1",'Баланс Пр'!$F$27:$F$165,$F152)+SUMIFS('Баланс Пр'!AG$27:AG$165,'Баланс Пр'!$AB$27:$AB$165,"3.2",'Баланс Пр'!$F$27:$F$165,$F152)</f>
        <v>77619.100000000006</v>
      </c>
      <c r="AK152" s="725">
        <f ca="1">SUMIFS('Баланс Пр'!AH$27:AH$165,'Баланс Пр'!$AB$27:$AB$165,"3.1",'Баланс Пр'!$F$27:$F$165,$F152)+SUMIFS('Баланс Пр'!AH$27:AH$165,'Баланс Пр'!$AB$27:$AB$165,"3.2",'Баланс Пр'!$F$27:$F$165,$F152)</f>
        <v>80069</v>
      </c>
      <c r="AL152" s="725">
        <f ca="1">SUMIFS('Баланс Пр'!AI$27:AI$165,'Баланс Пр'!$AB$27:$AB$165,"3.1",'Баланс Пр'!$F$27:$F$165,$F152)+SUMIFS('Баланс Пр'!AI$27:AI$165,'Баланс Пр'!$AB$27:$AB$165,"3.2",'Баланс Пр'!$F$27:$F$165,$F152)</f>
        <v>76203.039999999994</v>
      </c>
      <c r="AM152" s="1250">
        <v>39325.660000000003</v>
      </c>
      <c r="AN152" s="727">
        <f ca="1">AL152-AM152</f>
        <v>36877.37999999999</v>
      </c>
      <c r="AO152" s="725">
        <f ca="1">SUMIFS('Баланс Пр'!AJ$27:AJ$165,'Баланс Пр'!$AB$27:$AB$165,"3.1",'Баланс Пр'!$F$27:$F$165,$F152)+SUMIFS('Баланс Пр'!AJ$27:AJ$165,'Баланс Пр'!$AB$27:$AB$165,"3.2",'Баланс Пр'!$F$27:$F$165,$F152)</f>
        <v>0</v>
      </c>
      <c r="AP152" s="1244"/>
      <c r="AQ152" s="727">
        <f ca="1">AO152-AP152</f>
        <v>0</v>
      </c>
      <c r="AR152" s="725">
        <f ca="1">SUMIFS('Баланс Пр'!AK$27:AK$165,'Баланс Пр'!$AB$27:$AB$165,"3.1",'Баланс Пр'!$F$27:$F$165,$F152)+SUMIFS('Баланс Пр'!AK$27:AK$165,'Баланс Пр'!$AB$27:$AB$165,"3.2",'Баланс Пр'!$F$27:$F$165,$F152)</f>
        <v>0</v>
      </c>
      <c r="AS152" s="1244"/>
      <c r="AT152" s="727">
        <f ca="1">AR152-AS152</f>
        <v>0</v>
      </c>
      <c r="AU152" s="725">
        <f ca="1">SUMIFS('Баланс Пр'!AL$27:AL$165,'Баланс Пр'!$AB$27:$AB$165,"3.1",'Баланс Пр'!$F$27:$F$165,$F152)+SUMIFS('Баланс Пр'!AL$27:AL$165,'Баланс Пр'!$AB$27:$AB$165,"3.2",'Баланс Пр'!$F$27:$F$165,$F152)</f>
        <v>0</v>
      </c>
      <c r="AV152" s="1250"/>
      <c r="AW152" s="727">
        <f ca="1">AU152-AV152</f>
        <v>0</v>
      </c>
      <c r="AX152" s="725">
        <f ca="1">SUMIFS('Баланс Пр'!AM$27:AM$165,'Баланс Пр'!$AB$27:$AB$165,"3.1",'Баланс Пр'!$F$27:$F$165,$F152)+SUMIFS('Баланс Пр'!AM$27:AM$165,'Баланс Пр'!$AB$27:$AB$165,"3.2",'Баланс Пр'!$F$27:$F$165,$F152)</f>
        <v>0</v>
      </c>
      <c r="AY152" s="1250"/>
      <c r="AZ152" s="727">
        <f ca="1">AX152-AY152</f>
        <v>0</v>
      </c>
      <c r="BA152" s="725">
        <f ca="1">SUMIFS('Баланс Пр'!AN$27:AN$165,'Баланс Пр'!$AB$27:$AB$165,"3.1",'Баланс Пр'!$F$27:$F$165,$F152)+SUMIFS('Баланс Пр'!AN$27:AN$165,'Баланс Пр'!$AB$27:$AB$165,"3.2",'Баланс Пр'!$F$27:$F$165,$F152)</f>
        <v>0</v>
      </c>
      <c r="BB152" s="1250"/>
      <c r="BC152" s="727">
        <f ca="1">BA152-BB152</f>
        <v>0</v>
      </c>
      <c r="BD152" s="725">
        <f ca="1">SUMIFS('Баланс Пр'!AO$27:AO$165,'Баланс Пр'!$AB$27:$AB$165,"3.1",'Баланс Пр'!$F$27:$F$165,$F152)+SUMIFS('Баланс Пр'!AO$27:AO$165,'Баланс Пр'!$AB$27:$AB$165,"3.2",'Баланс Пр'!$F$27:$F$165,$F152)</f>
        <v>0</v>
      </c>
      <c r="BE152" s="1250"/>
      <c r="BF152" s="727">
        <f ca="1">BD152-BE152</f>
        <v>0</v>
      </c>
      <c r="BG152" s="725">
        <f ca="1">SUMIFS('Баланс Пр'!AP$27:AP$165,'Баланс Пр'!$AB$27:$AB$165,"3.1",'Баланс Пр'!$F$27:$F$165,$F152)+SUMIFS('Баланс Пр'!AP$27:AP$165,'Баланс Пр'!$AB$27:$AB$165,"3.2",'Баланс Пр'!$F$27:$F$165,$F152)</f>
        <v>0</v>
      </c>
      <c r="BH152" s="1250"/>
      <c r="BI152" s="727">
        <f ca="1">BG152-BH152</f>
        <v>0</v>
      </c>
      <c r="BJ152" s="725">
        <f ca="1">SUMIFS('Баланс Пр'!AQ$27:AQ$165,'Баланс Пр'!$AB$27:$AB$165,"3.1",'Баланс Пр'!$F$27:$F$165,$F152)+SUMIFS('Баланс Пр'!AQ$27:AQ$165,'Баланс Пр'!$AB$27:$AB$165,"3.2",'Баланс Пр'!$F$27:$F$165,$F152)</f>
        <v>0</v>
      </c>
      <c r="BK152" s="1250"/>
      <c r="BL152" s="727">
        <f ca="1">BJ152-BK152</f>
        <v>0</v>
      </c>
      <c r="BM152" s="725">
        <f ca="1">SUMIFS('Баланс Пр'!AR$27:AR$165,'Баланс Пр'!$AB$27:$AB$165,"3.1",'Баланс Пр'!$F$27:$F$165,$F152)+SUMIFS('Баланс Пр'!AR$27:AR$165,'Баланс Пр'!$AB$27:$AB$165,"3.2",'Баланс Пр'!$F$27:$F$165,$F152)</f>
        <v>0</v>
      </c>
      <c r="BN152" s="1250"/>
      <c r="BO152" s="727">
        <f ca="1">BM152-BN152</f>
        <v>0</v>
      </c>
      <c r="BP152" s="725">
        <f ca="1">SUMIFS('Баланс Пр'!AS$27:AS$165,'Баланс Пр'!$AB$27:$AB$165,"3.1",'Баланс Пр'!$F$27:$F$165,$F152)+SUMIFS('Баланс Пр'!AS$27:AS$165,'Баланс Пр'!$AB$27:$AB$165,"3.2",'Баланс Пр'!$F$27:$F$165,$F152)</f>
        <v>76203</v>
      </c>
      <c r="BQ152" s="816">
        <v>54991.08</v>
      </c>
      <c r="BR152" s="727">
        <f ca="1">BP152-BQ152</f>
        <v>21211.919999999998</v>
      </c>
      <c r="BS152" s="725">
        <f ca="1">SUMIFS('Баланс Пр'!AT$27:AT$165,'Баланс Пр'!$AB$27:$AB$165,"3.1",'Баланс Пр'!$F$27:$F$165,$F152)+SUMIFS('Баланс Пр'!AT$27:AT$165,'Баланс Пр'!$AB$27:$AB$165,"3.2",'Баланс Пр'!$F$27:$F$165,$F152)</f>
        <v>0</v>
      </c>
      <c r="BT152" s="1244"/>
      <c r="BU152" s="727">
        <f ca="1">BS152-BT152</f>
        <v>0</v>
      </c>
      <c r="BV152" s="725">
        <f ca="1">SUMIFS('Баланс Пр'!AU$27:AU$165,'Баланс Пр'!$AB$27:$AB$165,"3.1",'Баланс Пр'!$F$27:$F$165,$F152)+SUMIFS('Баланс Пр'!AU$27:AU$165,'Баланс Пр'!$AB$27:$AB$165,"3.2",'Баланс Пр'!$F$27:$F$165,$F152)</f>
        <v>0</v>
      </c>
      <c r="BW152" s="1244"/>
      <c r="BX152" s="727">
        <f ca="1">BV152-BW152</f>
        <v>0</v>
      </c>
      <c r="BY152" s="725">
        <f ca="1">SUMIFS('Баланс Пр'!AV$27:AV$165,'Баланс Пр'!$AB$27:$AB$165,"3.1",'Баланс Пр'!$F$27:$F$165,$F152)+SUMIFS('Баланс Пр'!AV$27:AV$165,'Баланс Пр'!$AB$27:$AB$165,"3.2",'Баланс Пр'!$F$27:$F$165,$F152)</f>
        <v>0</v>
      </c>
      <c r="BZ152" s="1250"/>
      <c r="CA152" s="727">
        <f ca="1">BY152-BZ152</f>
        <v>0</v>
      </c>
      <c r="CB152" s="725">
        <f ca="1">SUMIFS('Баланс Пр'!AW$27:AW$165,'Баланс Пр'!$AB$27:$AB$165,"3.1",'Баланс Пр'!$F$27:$F$165,$F152)+SUMIFS('Баланс Пр'!AW$27:AW$165,'Баланс Пр'!$AB$27:$AB$165,"3.2",'Баланс Пр'!$F$27:$F$165,$F152)</f>
        <v>0</v>
      </c>
      <c r="CC152" s="1250"/>
      <c r="CD152" s="727">
        <f ca="1">CB152-CC152</f>
        <v>0</v>
      </c>
      <c r="CE152" s="725">
        <f ca="1">SUMIFS('Баланс Пр'!AX$27:AX$165,'Баланс Пр'!$AB$27:$AB$165,"3.1",'Баланс Пр'!$F$27:$F$165,$F152)+SUMIFS('Баланс Пр'!AX$27:AX$165,'Баланс Пр'!$AB$27:$AB$165,"3.2",'Баланс Пр'!$F$27:$F$165,$F152)</f>
        <v>0</v>
      </c>
      <c r="CF152" s="1250"/>
      <c r="CG152" s="727">
        <f ca="1">CE152-CF152</f>
        <v>0</v>
      </c>
      <c r="CH152" s="725">
        <f ca="1">SUMIFS('Баланс Пр'!AY$27:AY$165,'Баланс Пр'!$AB$27:$AB$165,"3.1",'Баланс Пр'!$F$27:$F$165,$F152)+SUMIFS('Баланс Пр'!AY$27:AY$165,'Баланс Пр'!$AB$27:$AB$165,"3.2",'Баланс Пр'!$F$27:$F$165,$F152)</f>
        <v>0</v>
      </c>
      <c r="CI152" s="1250"/>
      <c r="CJ152" s="727">
        <f ca="1">CH152-CI152</f>
        <v>0</v>
      </c>
      <c r="CK152" s="725">
        <f ca="1">SUMIFS('Баланс Пр'!AZ$27:AZ$165,'Баланс Пр'!$AB$27:$AB$165,"3.1",'Баланс Пр'!$F$27:$F$165,$F152)+SUMIFS('Баланс Пр'!AZ$27:AZ$165,'Баланс Пр'!$AB$27:$AB$165,"3.2",'Баланс Пр'!$F$27:$F$165,$F152)</f>
        <v>0</v>
      </c>
      <c r="CL152" s="1250"/>
      <c r="CM152" s="727">
        <f ca="1">CK152-CL152</f>
        <v>0</v>
      </c>
      <c r="CN152" s="725">
        <f ca="1">SUMIFS('Баланс Пр'!BA$27:BA$165,'Баланс Пр'!$AB$27:$AB$165,"3.1",'Баланс Пр'!$F$27:$F$165,$F152)+SUMIFS('Баланс Пр'!BA$27:BA$165,'Баланс Пр'!$AB$27:$AB$165,"3.2",'Баланс Пр'!$F$27:$F$165,$F152)</f>
        <v>0</v>
      </c>
      <c r="CO152" s="1250"/>
      <c r="CP152" s="727">
        <f ca="1">CN152-CO152</f>
        <v>0</v>
      </c>
      <c r="CQ152" s="725">
        <f ca="1">SUMIFS('Баланс Пр'!BB$27:BB$165,'Баланс Пр'!$AB$27:$AB$165,"3.1",'Баланс Пр'!$F$27:$F$165,$F152)+SUMIFS('Баланс Пр'!BB$27:BB$165,'Баланс Пр'!$AB$27:$AB$165,"3.2",'Баланс Пр'!$F$27:$F$165,$F152)</f>
        <v>0</v>
      </c>
      <c r="CR152" s="1250"/>
      <c r="CS152" s="727">
        <f ca="1">CQ152-CR152</f>
        <v>0</v>
      </c>
      <c r="CT152" s="1231"/>
      <c r="CW152" s="960" t="s">
        <v>781</v>
      </c>
      <c r="CX152" s="965"/>
      <c r="CY152" s="965"/>
      <c r="CZ152" s="965"/>
      <c r="DA152" s="966"/>
      <c r="DB152" s="966"/>
    </row>
    <row r="153" spans="1:106" s="1167" customFormat="1" ht="16.5" customHeight="1" x14ac:dyDescent="0.15">
      <c r="A153" s="1150"/>
      <c r="B153" s="773"/>
      <c r="C153" s="1150"/>
      <c r="D153" s="1150"/>
      <c r="E153" s="668">
        <v>17.100000000000001</v>
      </c>
      <c r="F153" s="769" t="str" cm="1">
        <f t="array" aca="1" ref="F153" ca="1">OFFSET(G153,-1,-1)</f>
        <v>1</v>
      </c>
      <c r="G153" s="804"/>
      <c r="H153" s="804"/>
      <c r="I153" s="804"/>
      <c r="J153" s="804"/>
      <c r="K153" s="804"/>
      <c r="L153" s="769" t="b" cm="1">
        <f t="array" aca="1" ref="L153" ca="1">OFFSET(M153,-1,-1)</f>
        <v>0</v>
      </c>
      <c r="M153" s="804"/>
      <c r="N153" s="804"/>
      <c r="O153" s="804"/>
      <c r="P153" s="804"/>
      <c r="Q153" s="804"/>
      <c r="R153" s="1150"/>
      <c r="S153" s="107" t="b" cm="1">
        <f t="array" aca="1" ref="S153" ca="1">OFFSET(T153,-1,-1)</f>
        <v>1</v>
      </c>
      <c r="T153" s="1150"/>
      <c r="U153" s="690" t="b">
        <f t="shared" ca="1" si="35"/>
        <v>1</v>
      </c>
      <c r="V153" s="1150"/>
      <c r="W153" s="1150"/>
      <c r="X153" s="1150"/>
      <c r="Y153" s="1428"/>
      <c r="Z153" s="1428"/>
      <c r="AA153" s="691"/>
      <c r="AB153" s="1549"/>
      <c r="AD153" s="108">
        <v>8</v>
      </c>
      <c r="AE153" s="1525" t="s">
        <v>782</v>
      </c>
      <c r="AF153" s="1526"/>
      <c r="AG153" s="735" t="s">
        <v>622</v>
      </c>
      <c r="AH153" s="725">
        <f ca="1">SUMIFS('Баланс Пр'!AE$27:AE$165,'Баланс Пр'!$AB$27:$AB$165,"5",'Баланс Пр'!$F$27:$F$165,$F152)</f>
        <v>0</v>
      </c>
      <c r="AI153" s="725">
        <f ca="1">SUMIFS('Баланс Пр'!AF$27:AF$165,'Баланс Пр'!$AB$27:$AB$165,"5",'Баланс Пр'!$F$27:$F$165,$F152)</f>
        <v>0</v>
      </c>
      <c r="AJ153" s="725">
        <f ca="1">SUMIFS('Баланс Пр'!AG$27:AG$165,'Баланс Пр'!$AB$27:$AB$165,"5",'Баланс Пр'!$F$27:$F$165,$F152)</f>
        <v>0</v>
      </c>
      <c r="AK153" s="725">
        <f ca="1">SUMIFS('Баланс Пр'!AH$27:AH$165,'Баланс Пр'!$AB$27:$AB$165,"5",'Баланс Пр'!$F$27:$F$165,$F152)</f>
        <v>0</v>
      </c>
      <c r="AL153" s="725">
        <f ca="1">SUMIFS('Баланс Пр'!AI$27:AI$165,'Баланс Пр'!$AB$27:$AB$165,"5",'Баланс Пр'!$F$27:$F$165,$F152)</f>
        <v>0</v>
      </c>
      <c r="AM153" s="1250">
        <v>0</v>
      </c>
      <c r="AN153" s="727">
        <f ca="1">AL153-AM153</f>
        <v>0</v>
      </c>
      <c r="AO153" s="725">
        <f ca="1">SUMIFS('Баланс Пр'!AJ$27:AJ$165,'Баланс Пр'!$AB$27:$AB$165,"5",'Баланс Пр'!$F$27:$F$165,$F152)</f>
        <v>0</v>
      </c>
      <c r="AP153" s="1244"/>
      <c r="AQ153" s="727">
        <f ca="1">AO153-AP153</f>
        <v>0</v>
      </c>
      <c r="AR153" s="725">
        <f ca="1">SUMIFS('Баланс Пр'!AK$27:AK$165,'Баланс Пр'!$AB$27:$AB$165,"5",'Баланс Пр'!$F$27:$F$165,$F152)</f>
        <v>0</v>
      </c>
      <c r="AS153" s="1244"/>
      <c r="AT153" s="727">
        <f ca="1">AR153-AS153</f>
        <v>0</v>
      </c>
      <c r="AU153" s="725">
        <f ca="1">SUMIFS('Баланс Пр'!AL$27:AL$165,'Баланс Пр'!$AB$27:$AB$165,"5",'Баланс Пр'!$F$27:$F$165,$F152)</f>
        <v>0</v>
      </c>
      <c r="AV153" s="1250"/>
      <c r="AW153" s="727">
        <f ca="1">AU153-AV153</f>
        <v>0</v>
      </c>
      <c r="AX153" s="725">
        <f ca="1">SUMIFS('Баланс Пр'!AM$27:AM$165,'Баланс Пр'!$AB$27:$AB$165,"5",'Баланс Пр'!$F$27:$F$165,$F152)</f>
        <v>0</v>
      </c>
      <c r="AY153" s="1250"/>
      <c r="AZ153" s="727">
        <f ca="1">AX153-AY153</f>
        <v>0</v>
      </c>
      <c r="BA153" s="725">
        <f ca="1">SUMIFS('Баланс Пр'!AN$27:AN$165,'Баланс Пр'!$AB$27:$AB$165,"5",'Баланс Пр'!$F$27:$F$165,$F152)</f>
        <v>0</v>
      </c>
      <c r="BB153" s="1250"/>
      <c r="BC153" s="727">
        <f ca="1">BA153-BB153</f>
        <v>0</v>
      </c>
      <c r="BD153" s="725">
        <f ca="1">SUMIFS('Баланс Пр'!AO$27:AO$165,'Баланс Пр'!$AB$27:$AB$165,"5",'Баланс Пр'!$F$27:$F$165,$F152)</f>
        <v>0</v>
      </c>
      <c r="BE153" s="1250"/>
      <c r="BF153" s="727">
        <f ca="1">BD153-BE153</f>
        <v>0</v>
      </c>
      <c r="BG153" s="725">
        <f ca="1">SUMIFS('Баланс Пр'!AP$27:AP$165,'Баланс Пр'!$AB$27:$AB$165,"5",'Баланс Пр'!$F$27:$F$165,$F152)</f>
        <v>0</v>
      </c>
      <c r="BH153" s="1250"/>
      <c r="BI153" s="727">
        <f ca="1">BG153-BH153</f>
        <v>0</v>
      </c>
      <c r="BJ153" s="725">
        <f ca="1">SUMIFS('Баланс Пр'!AQ$27:AQ$165,'Баланс Пр'!$AB$27:$AB$165,"5",'Баланс Пр'!$F$27:$F$165,$F152)</f>
        <v>0</v>
      </c>
      <c r="BK153" s="1250"/>
      <c r="BL153" s="727">
        <f ca="1">BJ153-BK153</f>
        <v>0</v>
      </c>
      <c r="BM153" s="725">
        <f ca="1">SUMIFS('Баланс Пр'!AR$27:AR$165,'Баланс Пр'!$AB$27:$AB$165,"5",'Баланс Пр'!$F$27:$F$165,$F152)</f>
        <v>0</v>
      </c>
      <c r="BN153" s="1250"/>
      <c r="BO153" s="727">
        <f ca="1">BM153-BN153</f>
        <v>0</v>
      </c>
      <c r="BP153" s="725">
        <f ca="1">SUMIFS('Баланс Пр'!AS$27:AS$165,'Баланс Пр'!$AB$27:$AB$165,"5",'Баланс Пр'!$F$27:$F$165,$F152)</f>
        <v>0</v>
      </c>
      <c r="BQ153" s="816">
        <v>0</v>
      </c>
      <c r="BR153" s="727">
        <f ca="1">BP153-BQ153</f>
        <v>0</v>
      </c>
      <c r="BS153" s="725">
        <f ca="1">SUMIFS('Баланс Пр'!AT$27:AT$165,'Баланс Пр'!$AB$27:$AB$165,"5",'Баланс Пр'!$F$27:$F$165,$F152)</f>
        <v>0</v>
      </c>
      <c r="BT153" s="1244"/>
      <c r="BU153" s="727">
        <f ca="1">BS153-BT153</f>
        <v>0</v>
      </c>
      <c r="BV153" s="725">
        <f ca="1">SUMIFS('Баланс Пр'!AU$27:AU$165,'Баланс Пр'!$AB$27:$AB$165,"5",'Баланс Пр'!$F$27:$F$165,$F152)</f>
        <v>0</v>
      </c>
      <c r="BW153" s="1244"/>
      <c r="BX153" s="727">
        <f ca="1">BV153-BW153</f>
        <v>0</v>
      </c>
      <c r="BY153" s="725">
        <f ca="1">SUMIFS('Баланс Пр'!AV$27:AV$165,'Баланс Пр'!$AB$27:$AB$165,"5",'Баланс Пр'!$F$27:$F$165,$F152)</f>
        <v>0</v>
      </c>
      <c r="BZ153" s="1250"/>
      <c r="CA153" s="727">
        <f ca="1">BY153-BZ153</f>
        <v>0</v>
      </c>
      <c r="CB153" s="725">
        <f ca="1">SUMIFS('Баланс Пр'!AW$27:AW$165,'Баланс Пр'!$AB$27:$AB$165,"5",'Баланс Пр'!$F$27:$F$165,$F152)</f>
        <v>0</v>
      </c>
      <c r="CC153" s="1250"/>
      <c r="CD153" s="727">
        <f ca="1">CB153-CC153</f>
        <v>0</v>
      </c>
      <c r="CE153" s="725">
        <f ca="1">SUMIFS('Баланс Пр'!AX$27:AX$165,'Баланс Пр'!$AB$27:$AB$165,"5",'Баланс Пр'!$F$27:$F$165,$F152)</f>
        <v>0</v>
      </c>
      <c r="CF153" s="1250"/>
      <c r="CG153" s="727">
        <f ca="1">CE153-CF153</f>
        <v>0</v>
      </c>
      <c r="CH153" s="725">
        <f ca="1">SUMIFS('Баланс Пр'!AY$27:AY$165,'Баланс Пр'!$AB$27:$AB$165,"5",'Баланс Пр'!$F$27:$F$165,$F152)</f>
        <v>0</v>
      </c>
      <c r="CI153" s="1250"/>
      <c r="CJ153" s="727">
        <f ca="1">CH153-CI153</f>
        <v>0</v>
      </c>
      <c r="CK153" s="725">
        <f ca="1">SUMIFS('Баланс Пр'!AZ$27:AZ$165,'Баланс Пр'!$AB$27:$AB$165,"5",'Баланс Пр'!$F$27:$F$165,$F152)</f>
        <v>0</v>
      </c>
      <c r="CL153" s="1250"/>
      <c r="CM153" s="727">
        <f ca="1">CK153-CL153</f>
        <v>0</v>
      </c>
      <c r="CN153" s="725">
        <f ca="1">SUMIFS('Баланс Пр'!BA$27:BA$165,'Баланс Пр'!$AB$27:$AB$165,"5",'Баланс Пр'!$F$27:$F$165,$F152)</f>
        <v>0</v>
      </c>
      <c r="CO153" s="1250"/>
      <c r="CP153" s="727">
        <f ca="1">CN153-CO153</f>
        <v>0</v>
      </c>
      <c r="CQ153" s="725">
        <f ca="1">SUMIFS('Баланс Пр'!BB$27:BB$165,'Баланс Пр'!$AB$27:$AB$165,"5",'Баланс Пр'!$F$27:$F$165,$F152)</f>
        <v>0</v>
      </c>
      <c r="CR153" s="1250"/>
      <c r="CS153" s="727">
        <f ca="1">CQ153-CR153</f>
        <v>0</v>
      </c>
      <c r="CT153" s="1231"/>
      <c r="CW153" s="960" t="s">
        <v>783</v>
      </c>
      <c r="CX153" s="965"/>
      <c r="CY153" s="965"/>
      <c r="CZ153" s="965"/>
      <c r="DA153" s="966"/>
      <c r="DB153" s="966"/>
    </row>
    <row r="154" spans="1:106" s="1167" customFormat="1" ht="16.5" customHeight="1" x14ac:dyDescent="0.15">
      <c r="A154" s="1150"/>
      <c r="B154" s="773"/>
      <c r="C154" s="1150"/>
      <c r="D154" s="1150"/>
      <c r="E154" s="668">
        <v>17.100000000000001</v>
      </c>
      <c r="F154" s="769" t="str" cm="1">
        <f t="array" aca="1" ref="F154" ca="1">OFFSET(G154,-1,-1)</f>
        <v>1</v>
      </c>
      <c r="G154" s="804"/>
      <c r="H154" s="804"/>
      <c r="I154" s="804"/>
      <c r="J154" s="804"/>
      <c r="K154" s="804"/>
      <c r="L154" s="769" t="b" cm="1">
        <f t="array" aca="1" ref="L154" ca="1">OFFSET(M154,-1,-1)</f>
        <v>0</v>
      </c>
      <c r="M154" s="804"/>
      <c r="N154" s="804"/>
      <c r="O154" s="804"/>
      <c r="P154" s="804"/>
      <c r="Q154" s="804"/>
      <c r="R154" s="1150"/>
      <c r="S154" s="107" t="b" cm="1">
        <f t="array" aca="1" ref="S154" ca="1">OFFSET(T154,-1,-1)</f>
        <v>1</v>
      </c>
      <c r="T154" s="1150"/>
      <c r="U154" s="690" t="b">
        <f t="shared" ca="1" si="35"/>
        <v>1</v>
      </c>
      <c r="V154" s="1150"/>
      <c r="W154" s="1150"/>
      <c r="X154" s="1150"/>
      <c r="Y154" s="1428"/>
      <c r="Z154" s="1428"/>
      <c r="AA154" s="691"/>
      <c r="AB154" s="1549"/>
      <c r="AD154" s="108" t="s">
        <v>784</v>
      </c>
      <c r="AE154" s="1527" t="s">
        <v>785</v>
      </c>
      <c r="AF154" s="1528"/>
      <c r="AG154" s="539" t="s">
        <v>521</v>
      </c>
      <c r="AH154" s="731">
        <f t="shared" ref="AH154:BM154" ca="1" si="76">IFERROR(AH153/AH152,0)</f>
        <v>0</v>
      </c>
      <c r="AI154" s="732">
        <f t="shared" ca="1" si="76"/>
        <v>0</v>
      </c>
      <c r="AJ154" s="732">
        <f t="shared" ca="1" si="76"/>
        <v>0</v>
      </c>
      <c r="AK154" s="732">
        <f t="shared" ca="1" si="76"/>
        <v>0</v>
      </c>
      <c r="AL154" s="732">
        <f t="shared" ca="1" si="76"/>
        <v>0</v>
      </c>
      <c r="AM154" s="732">
        <f t="shared" si="76"/>
        <v>0</v>
      </c>
      <c r="AN154" s="732">
        <f t="shared" ca="1" si="76"/>
        <v>0</v>
      </c>
      <c r="AO154" s="732">
        <f t="shared" ca="1" si="76"/>
        <v>0</v>
      </c>
      <c r="AP154" s="732">
        <f t="shared" si="76"/>
        <v>0</v>
      </c>
      <c r="AQ154" s="732">
        <f t="shared" ca="1" si="76"/>
        <v>0</v>
      </c>
      <c r="AR154" s="732">
        <f t="shared" ca="1" si="76"/>
        <v>0</v>
      </c>
      <c r="AS154" s="732">
        <f t="shared" si="76"/>
        <v>0</v>
      </c>
      <c r="AT154" s="732">
        <f t="shared" ca="1" si="76"/>
        <v>0</v>
      </c>
      <c r="AU154" s="732">
        <f t="shared" ca="1" si="76"/>
        <v>0</v>
      </c>
      <c r="AV154" s="732">
        <f t="shared" si="76"/>
        <v>0</v>
      </c>
      <c r="AW154" s="732">
        <f t="shared" ca="1" si="76"/>
        <v>0</v>
      </c>
      <c r="AX154" s="732">
        <f t="shared" ca="1" si="76"/>
        <v>0</v>
      </c>
      <c r="AY154" s="732">
        <f t="shared" si="76"/>
        <v>0</v>
      </c>
      <c r="AZ154" s="732">
        <f t="shared" ca="1" si="76"/>
        <v>0</v>
      </c>
      <c r="BA154" s="732">
        <f t="shared" ca="1" si="76"/>
        <v>0</v>
      </c>
      <c r="BB154" s="732">
        <f t="shared" si="76"/>
        <v>0</v>
      </c>
      <c r="BC154" s="732">
        <f t="shared" ca="1" si="76"/>
        <v>0</v>
      </c>
      <c r="BD154" s="732">
        <f t="shared" ca="1" si="76"/>
        <v>0</v>
      </c>
      <c r="BE154" s="732">
        <f t="shared" si="76"/>
        <v>0</v>
      </c>
      <c r="BF154" s="732">
        <f t="shared" ca="1" si="76"/>
        <v>0</v>
      </c>
      <c r="BG154" s="732">
        <f t="shared" ca="1" si="76"/>
        <v>0</v>
      </c>
      <c r="BH154" s="732">
        <f t="shared" si="76"/>
        <v>0</v>
      </c>
      <c r="BI154" s="732">
        <f t="shared" ca="1" si="76"/>
        <v>0</v>
      </c>
      <c r="BJ154" s="732">
        <f t="shared" ca="1" si="76"/>
        <v>0</v>
      </c>
      <c r="BK154" s="732">
        <f t="shared" si="76"/>
        <v>0</v>
      </c>
      <c r="BL154" s="732">
        <f t="shared" ca="1" si="76"/>
        <v>0</v>
      </c>
      <c r="BM154" s="732">
        <f t="shared" ca="1" si="76"/>
        <v>0</v>
      </c>
      <c r="BN154" s="732">
        <f t="shared" ref="BN154:CS154" si="77">IFERROR(BN153/BN152,0)</f>
        <v>0</v>
      </c>
      <c r="BO154" s="732">
        <f t="shared" ca="1" si="77"/>
        <v>0</v>
      </c>
      <c r="BP154" s="732">
        <f t="shared" ca="1" si="77"/>
        <v>0</v>
      </c>
      <c r="BQ154" s="732">
        <f t="shared" si="77"/>
        <v>0</v>
      </c>
      <c r="BR154" s="732">
        <f t="shared" ca="1" si="77"/>
        <v>0</v>
      </c>
      <c r="BS154" s="732">
        <f t="shared" ca="1" si="77"/>
        <v>0</v>
      </c>
      <c r="BT154" s="732">
        <f t="shared" si="77"/>
        <v>0</v>
      </c>
      <c r="BU154" s="732">
        <f t="shared" ca="1" si="77"/>
        <v>0</v>
      </c>
      <c r="BV154" s="732">
        <f t="shared" ca="1" si="77"/>
        <v>0</v>
      </c>
      <c r="BW154" s="732">
        <f t="shared" si="77"/>
        <v>0</v>
      </c>
      <c r="BX154" s="732">
        <f t="shared" ca="1" si="77"/>
        <v>0</v>
      </c>
      <c r="BY154" s="732">
        <f t="shared" ca="1" si="77"/>
        <v>0</v>
      </c>
      <c r="BZ154" s="732">
        <f t="shared" si="77"/>
        <v>0</v>
      </c>
      <c r="CA154" s="732">
        <f t="shared" ca="1" si="77"/>
        <v>0</v>
      </c>
      <c r="CB154" s="732">
        <f t="shared" ca="1" si="77"/>
        <v>0</v>
      </c>
      <c r="CC154" s="732">
        <f t="shared" si="77"/>
        <v>0</v>
      </c>
      <c r="CD154" s="732">
        <f t="shared" ca="1" si="77"/>
        <v>0</v>
      </c>
      <c r="CE154" s="732">
        <f t="shared" ca="1" si="77"/>
        <v>0</v>
      </c>
      <c r="CF154" s="732">
        <f t="shared" si="77"/>
        <v>0</v>
      </c>
      <c r="CG154" s="732">
        <f t="shared" ca="1" si="77"/>
        <v>0</v>
      </c>
      <c r="CH154" s="732">
        <f t="shared" ca="1" si="77"/>
        <v>0</v>
      </c>
      <c r="CI154" s="732">
        <f t="shared" si="77"/>
        <v>0</v>
      </c>
      <c r="CJ154" s="732">
        <f t="shared" ca="1" si="77"/>
        <v>0</v>
      </c>
      <c r="CK154" s="732">
        <f t="shared" ca="1" si="77"/>
        <v>0</v>
      </c>
      <c r="CL154" s="732">
        <f t="shared" si="77"/>
        <v>0</v>
      </c>
      <c r="CM154" s="732">
        <f t="shared" ca="1" si="77"/>
        <v>0</v>
      </c>
      <c r="CN154" s="732">
        <f t="shared" ca="1" si="77"/>
        <v>0</v>
      </c>
      <c r="CO154" s="732">
        <f t="shared" si="77"/>
        <v>0</v>
      </c>
      <c r="CP154" s="732">
        <f t="shared" ca="1" si="77"/>
        <v>0</v>
      </c>
      <c r="CQ154" s="732">
        <f t="shared" ca="1" si="77"/>
        <v>0</v>
      </c>
      <c r="CR154" s="732">
        <f t="shared" si="77"/>
        <v>0</v>
      </c>
      <c r="CS154" s="732">
        <f t="shared" ca="1" si="77"/>
        <v>0</v>
      </c>
      <c r="CT154" s="1231"/>
      <c r="CW154" s="960" t="s">
        <v>786</v>
      </c>
      <c r="CX154" s="965"/>
      <c r="CY154" s="965"/>
      <c r="CZ154" s="965"/>
      <c r="DA154" s="966"/>
      <c r="DB154" s="966"/>
    </row>
    <row r="155" spans="1:106" s="1167" customFormat="1" ht="29.25" customHeight="1" x14ac:dyDescent="0.15">
      <c r="A155" s="1150"/>
      <c r="B155" s="773"/>
      <c r="C155" s="1150"/>
      <c r="D155" s="1150"/>
      <c r="E155" s="668">
        <v>30</v>
      </c>
      <c r="F155" s="769" t="str" cm="1">
        <f t="array" aca="1" ref="F155" ca="1">OFFSET(G155,-1,-1)</f>
        <v>1</v>
      </c>
      <c r="G155" s="804"/>
      <c r="H155" s="804"/>
      <c r="I155" s="804"/>
      <c r="J155" s="804"/>
      <c r="K155" s="804"/>
      <c r="L155" s="769" t="b" cm="1">
        <f t="array" aca="1" ref="L155" ca="1">OFFSET(M155,-1,-1)</f>
        <v>0</v>
      </c>
      <c r="M155" s="804"/>
      <c r="N155" s="804"/>
      <c r="O155" s="804"/>
      <c r="P155" s="804"/>
      <c r="Q155" s="804"/>
      <c r="R155" s="1150"/>
      <c r="S155" s="107" t="b" cm="1">
        <f t="array" aca="1" ref="S155" ca="1">OFFSET(T155,-1,-1)</f>
        <v>1</v>
      </c>
      <c r="T155" s="1150"/>
      <c r="U155" s="690" t="b">
        <f t="shared" ca="1" si="35"/>
        <v>1</v>
      </c>
      <c r="V155" s="1150"/>
      <c r="W155" s="1150"/>
      <c r="X155" s="1150"/>
      <c r="Y155" s="1428"/>
      <c r="Z155" s="1428"/>
      <c r="AA155" s="691"/>
      <c r="AB155" s="1549"/>
      <c r="AD155" s="108">
        <v>9</v>
      </c>
      <c r="AE155" s="1511" t="s">
        <v>787</v>
      </c>
      <c r="AF155" s="1512"/>
      <c r="AG155" s="735" t="s">
        <v>622</v>
      </c>
      <c r="AH155" s="725">
        <f t="shared" ref="AH155:BM155" ca="1" si="78">AH152-AH153</f>
        <v>78496</v>
      </c>
      <c r="AI155" s="727">
        <f t="shared" ca="1" si="78"/>
        <v>77619.09</v>
      </c>
      <c r="AJ155" s="727">
        <f t="shared" ca="1" si="78"/>
        <v>77619.100000000006</v>
      </c>
      <c r="AK155" s="727">
        <f t="shared" ca="1" si="78"/>
        <v>80069</v>
      </c>
      <c r="AL155" s="727">
        <f t="shared" ca="1" si="78"/>
        <v>76203.039999999994</v>
      </c>
      <c r="AM155" s="727">
        <f t="shared" si="78"/>
        <v>39325.660000000003</v>
      </c>
      <c r="AN155" s="727">
        <f t="shared" ca="1" si="78"/>
        <v>36877.37999999999</v>
      </c>
      <c r="AO155" s="727">
        <f t="shared" ca="1" si="78"/>
        <v>0</v>
      </c>
      <c r="AP155" s="727">
        <f t="shared" si="78"/>
        <v>0</v>
      </c>
      <c r="AQ155" s="727">
        <f t="shared" ca="1" si="78"/>
        <v>0</v>
      </c>
      <c r="AR155" s="727">
        <f t="shared" ca="1" si="78"/>
        <v>0</v>
      </c>
      <c r="AS155" s="727">
        <f t="shared" si="78"/>
        <v>0</v>
      </c>
      <c r="AT155" s="727">
        <f t="shared" ca="1" si="78"/>
        <v>0</v>
      </c>
      <c r="AU155" s="727">
        <f t="shared" ca="1" si="78"/>
        <v>0</v>
      </c>
      <c r="AV155" s="727">
        <f t="shared" si="78"/>
        <v>0</v>
      </c>
      <c r="AW155" s="727">
        <f t="shared" ca="1" si="78"/>
        <v>0</v>
      </c>
      <c r="AX155" s="727">
        <f t="shared" ca="1" si="78"/>
        <v>0</v>
      </c>
      <c r="AY155" s="727">
        <f t="shared" si="78"/>
        <v>0</v>
      </c>
      <c r="AZ155" s="727">
        <f t="shared" ca="1" si="78"/>
        <v>0</v>
      </c>
      <c r="BA155" s="727">
        <f t="shared" ca="1" si="78"/>
        <v>0</v>
      </c>
      <c r="BB155" s="727">
        <f t="shared" si="78"/>
        <v>0</v>
      </c>
      <c r="BC155" s="727">
        <f t="shared" ca="1" si="78"/>
        <v>0</v>
      </c>
      <c r="BD155" s="727">
        <f t="shared" ca="1" si="78"/>
        <v>0</v>
      </c>
      <c r="BE155" s="727">
        <f t="shared" si="78"/>
        <v>0</v>
      </c>
      <c r="BF155" s="727">
        <f t="shared" ca="1" si="78"/>
        <v>0</v>
      </c>
      <c r="BG155" s="727">
        <f t="shared" ca="1" si="78"/>
        <v>0</v>
      </c>
      <c r="BH155" s="727">
        <f t="shared" si="78"/>
        <v>0</v>
      </c>
      <c r="BI155" s="727">
        <f t="shared" ca="1" si="78"/>
        <v>0</v>
      </c>
      <c r="BJ155" s="727">
        <f t="shared" ca="1" si="78"/>
        <v>0</v>
      </c>
      <c r="BK155" s="727">
        <f t="shared" si="78"/>
        <v>0</v>
      </c>
      <c r="BL155" s="727">
        <f t="shared" ca="1" si="78"/>
        <v>0</v>
      </c>
      <c r="BM155" s="727">
        <f t="shared" ca="1" si="78"/>
        <v>0</v>
      </c>
      <c r="BN155" s="727">
        <f t="shared" ref="BN155:CS155" si="79">BN152-BN153</f>
        <v>0</v>
      </c>
      <c r="BO155" s="727">
        <f t="shared" ca="1" si="79"/>
        <v>0</v>
      </c>
      <c r="BP155" s="727">
        <f t="shared" ca="1" si="79"/>
        <v>76203</v>
      </c>
      <c r="BQ155" s="727">
        <f t="shared" si="79"/>
        <v>54991.08</v>
      </c>
      <c r="BR155" s="727">
        <f t="shared" ca="1" si="79"/>
        <v>21211.919999999998</v>
      </c>
      <c r="BS155" s="727">
        <f t="shared" ca="1" si="79"/>
        <v>0</v>
      </c>
      <c r="BT155" s="727">
        <f t="shared" si="79"/>
        <v>0</v>
      </c>
      <c r="BU155" s="727">
        <f t="shared" ca="1" si="79"/>
        <v>0</v>
      </c>
      <c r="BV155" s="727">
        <f t="shared" ca="1" si="79"/>
        <v>0</v>
      </c>
      <c r="BW155" s="727">
        <f t="shared" si="79"/>
        <v>0</v>
      </c>
      <c r="BX155" s="727">
        <f t="shared" ca="1" si="79"/>
        <v>0</v>
      </c>
      <c r="BY155" s="727">
        <f t="shared" ca="1" si="79"/>
        <v>0</v>
      </c>
      <c r="BZ155" s="727">
        <f t="shared" si="79"/>
        <v>0</v>
      </c>
      <c r="CA155" s="727">
        <f t="shared" ca="1" si="79"/>
        <v>0</v>
      </c>
      <c r="CB155" s="727">
        <f t="shared" ca="1" si="79"/>
        <v>0</v>
      </c>
      <c r="CC155" s="727">
        <f t="shared" si="79"/>
        <v>0</v>
      </c>
      <c r="CD155" s="727">
        <f t="shared" ca="1" si="79"/>
        <v>0</v>
      </c>
      <c r="CE155" s="727">
        <f t="shared" ca="1" si="79"/>
        <v>0</v>
      </c>
      <c r="CF155" s="727">
        <f t="shared" si="79"/>
        <v>0</v>
      </c>
      <c r="CG155" s="727">
        <f t="shared" ca="1" si="79"/>
        <v>0</v>
      </c>
      <c r="CH155" s="727">
        <f t="shared" ca="1" si="79"/>
        <v>0</v>
      </c>
      <c r="CI155" s="727">
        <f t="shared" si="79"/>
        <v>0</v>
      </c>
      <c r="CJ155" s="727">
        <f t="shared" ca="1" si="79"/>
        <v>0</v>
      </c>
      <c r="CK155" s="727">
        <f t="shared" ca="1" si="79"/>
        <v>0</v>
      </c>
      <c r="CL155" s="727">
        <f t="shared" si="79"/>
        <v>0</v>
      </c>
      <c r="CM155" s="727">
        <f t="shared" ca="1" si="79"/>
        <v>0</v>
      </c>
      <c r="CN155" s="727">
        <f t="shared" ca="1" si="79"/>
        <v>0</v>
      </c>
      <c r="CO155" s="727">
        <f t="shared" si="79"/>
        <v>0</v>
      </c>
      <c r="CP155" s="727">
        <f t="shared" ca="1" si="79"/>
        <v>0</v>
      </c>
      <c r="CQ155" s="727">
        <f t="shared" ca="1" si="79"/>
        <v>0</v>
      </c>
      <c r="CR155" s="727">
        <f t="shared" si="79"/>
        <v>0</v>
      </c>
      <c r="CS155" s="727">
        <f t="shared" ca="1" si="79"/>
        <v>0</v>
      </c>
      <c r="CT155" s="1231"/>
      <c r="CW155" s="960" t="s">
        <v>788</v>
      </c>
      <c r="CX155" s="965"/>
      <c r="CY155" s="965"/>
      <c r="CZ155" s="965"/>
      <c r="DA155" s="966"/>
      <c r="DB155" s="966"/>
    </row>
    <row r="156" spans="1:106" s="1167" customFormat="1" ht="16.5" hidden="1" customHeight="1" x14ac:dyDescent="0.15">
      <c r="A156" s="1150"/>
      <c r="B156" s="773"/>
      <c r="C156" s="1150"/>
      <c r="D156" s="1150"/>
      <c r="E156" s="668">
        <v>17.100000000000001</v>
      </c>
      <c r="F156" s="769" t="str" cm="1">
        <f t="array" aca="1" ref="F156" ca="1">OFFSET(G156,-1,-1)</f>
        <v>1</v>
      </c>
      <c r="G156" s="804"/>
      <c r="H156" s="804"/>
      <c r="I156" s="804"/>
      <c r="J156" s="804"/>
      <c r="K156" s="804"/>
      <c r="L156" s="769" t="b" cm="1">
        <f t="array" aca="1" ref="L156" ca="1">OFFSET(M156,-1,-1)</f>
        <v>0</v>
      </c>
      <c r="M156" s="804"/>
      <c r="N156" s="804"/>
      <c r="O156" s="804"/>
      <c r="P156" s="804"/>
      <c r="Q156" s="804"/>
      <c r="R156" s="769" t="s">
        <v>750</v>
      </c>
      <c r="S156" s="107" t="b" cm="1">
        <f t="array" aca="1" ref="S156" ca="1">OFFSET(T156,-1,-1)</f>
        <v>1</v>
      </c>
      <c r="T156" s="107" t="b" cm="1">
        <f t="array" aca="1" ref="T156" ca="1">L156</f>
        <v>0</v>
      </c>
      <c r="U156" s="690" t="b">
        <f t="shared" ref="U156:U219" ca="1" si="80">AND(S156,IF(ISBLANK(T156),TRUE,T156))</f>
        <v>0</v>
      </c>
      <c r="V156" s="1150"/>
      <c r="W156" s="1150"/>
      <c r="X156" s="1150"/>
      <c r="Y156" s="1428"/>
      <c r="Z156" s="1428"/>
      <c r="AA156" s="691"/>
      <c r="AB156" s="1549"/>
      <c r="AD156" s="108">
        <v>10</v>
      </c>
      <c r="AE156" s="1511" t="s">
        <v>767</v>
      </c>
      <c r="AF156" s="1512"/>
      <c r="AG156" s="539" t="s">
        <v>753</v>
      </c>
      <c r="AH156" s="38"/>
      <c r="AI156" s="39"/>
      <c r="AJ156" s="39"/>
      <c r="AK156" s="39"/>
      <c r="AL156" s="727">
        <f>AM156+AN156</f>
        <v>0</v>
      </c>
      <c r="AM156" s="39"/>
      <c r="AN156" s="39"/>
      <c r="AO156" s="727">
        <f>AP156+AQ156</f>
        <v>0</v>
      </c>
      <c r="AP156" s="1244"/>
      <c r="AQ156" s="1244"/>
      <c r="AR156" s="727">
        <f>AS156+AT156</f>
        <v>0</v>
      </c>
      <c r="AS156" s="1244"/>
      <c r="AT156" s="1244"/>
      <c r="AU156" s="727">
        <f>AV156+AW156</f>
        <v>0</v>
      </c>
      <c r="AV156" s="39"/>
      <c r="AW156" s="39"/>
      <c r="AX156" s="727">
        <f>AY156+AZ156</f>
        <v>0</v>
      </c>
      <c r="AY156" s="39"/>
      <c r="AZ156" s="39"/>
      <c r="BA156" s="727">
        <f>BB156+BC156</f>
        <v>0</v>
      </c>
      <c r="BB156" s="39"/>
      <c r="BC156" s="39"/>
      <c r="BD156" s="727">
        <f>BE156+BF156</f>
        <v>0</v>
      </c>
      <c r="BE156" s="39"/>
      <c r="BF156" s="39"/>
      <c r="BG156" s="727">
        <f>BH156+BI156</f>
        <v>0</v>
      </c>
      <c r="BH156" s="39"/>
      <c r="BI156" s="39"/>
      <c r="BJ156" s="727">
        <f>BK156+BL156</f>
        <v>0</v>
      </c>
      <c r="BK156" s="39"/>
      <c r="BL156" s="39"/>
      <c r="BM156" s="727">
        <f>BN156+BO156</f>
        <v>0</v>
      </c>
      <c r="BN156" s="39"/>
      <c r="BO156" s="39"/>
      <c r="BP156" s="727">
        <f>BQ156+BR156</f>
        <v>0</v>
      </c>
      <c r="BQ156" s="816"/>
      <c r="BR156" s="816"/>
      <c r="BS156" s="727">
        <f>BT156+BU156</f>
        <v>0</v>
      </c>
      <c r="BT156" s="1244"/>
      <c r="BU156" s="1244"/>
      <c r="BV156" s="727">
        <f>BW156+BX156</f>
        <v>0</v>
      </c>
      <c r="BW156" s="1244"/>
      <c r="BX156" s="1244"/>
      <c r="BY156" s="727">
        <f>BZ156+CA156</f>
        <v>0</v>
      </c>
      <c r="BZ156" s="39"/>
      <c r="CA156" s="39"/>
      <c r="CB156" s="727">
        <f>CC156+CD156</f>
        <v>0</v>
      </c>
      <c r="CC156" s="39"/>
      <c r="CD156" s="39"/>
      <c r="CE156" s="727">
        <f>CF156+CG156</f>
        <v>0</v>
      </c>
      <c r="CF156" s="39"/>
      <c r="CG156" s="39"/>
      <c r="CH156" s="727">
        <f>CI156+CJ156</f>
        <v>0</v>
      </c>
      <c r="CI156" s="39"/>
      <c r="CJ156" s="39"/>
      <c r="CK156" s="727">
        <f>CL156+CM156</f>
        <v>0</v>
      </c>
      <c r="CL156" s="39"/>
      <c r="CM156" s="39"/>
      <c r="CN156" s="727">
        <f>CO156+CP156</f>
        <v>0</v>
      </c>
      <c r="CO156" s="39"/>
      <c r="CP156" s="39"/>
      <c r="CQ156" s="727">
        <f>CR156+CS156</f>
        <v>0</v>
      </c>
      <c r="CR156" s="39"/>
      <c r="CS156" s="39"/>
      <c r="CT156" s="25"/>
      <c r="CW156" s="960" t="s">
        <v>789</v>
      </c>
      <c r="CX156" s="965"/>
      <c r="CY156" s="965"/>
      <c r="CZ156" s="965"/>
      <c r="DA156" s="966"/>
      <c r="DB156" s="966"/>
    </row>
    <row r="157" spans="1:106" s="1167" customFormat="1" ht="29.25" hidden="1" customHeight="1" x14ac:dyDescent="0.15">
      <c r="A157" s="1150"/>
      <c r="B157" s="773"/>
      <c r="C157" s="1150"/>
      <c r="D157" s="1150"/>
      <c r="E157" s="668">
        <v>30</v>
      </c>
      <c r="F157" s="769" t="str" cm="1">
        <f t="array" aca="1" ref="F157" ca="1">OFFSET(G157,-1,-1)</f>
        <v>1</v>
      </c>
      <c r="G157" s="804"/>
      <c r="H157" s="804"/>
      <c r="I157" s="804"/>
      <c r="J157" s="804"/>
      <c r="K157" s="804"/>
      <c r="L157" s="769" t="b" cm="1">
        <f t="array" aca="1" ref="L157" ca="1">OFFSET(M157,-1,-1)</f>
        <v>0</v>
      </c>
      <c r="M157" s="804"/>
      <c r="N157" s="804"/>
      <c r="O157" s="804"/>
      <c r="P157" s="804"/>
      <c r="Q157" s="804"/>
      <c r="R157" s="769" t="s">
        <v>750</v>
      </c>
      <c r="S157" s="107" t="b" cm="1">
        <f t="array" aca="1" ref="S157" ca="1">OFFSET(T157,-1,-1)</f>
        <v>1</v>
      </c>
      <c r="T157" s="107" t="b" cm="1">
        <f t="array" aca="1" ref="T157" ca="1">L157</f>
        <v>0</v>
      </c>
      <c r="U157" s="690" t="b">
        <f t="shared" ca="1" si="80"/>
        <v>0</v>
      </c>
      <c r="V157" s="1150"/>
      <c r="W157" s="1150"/>
      <c r="X157" s="1150"/>
      <c r="Y157" s="1428"/>
      <c r="Z157" s="1428"/>
      <c r="AA157" s="691"/>
      <c r="AB157" s="1549"/>
      <c r="AD157" s="108">
        <v>11</v>
      </c>
      <c r="AE157" s="1511" t="s">
        <v>790</v>
      </c>
      <c r="AF157" s="1512"/>
      <c r="AG157" s="539" t="s">
        <v>791</v>
      </c>
      <c r="AH157" s="38"/>
      <c r="AI157" s="39"/>
      <c r="AJ157" s="39"/>
      <c r="AK157" s="39"/>
      <c r="AL157" s="727">
        <f>IFERROR(AL158*1000/AL156,0)</f>
        <v>0</v>
      </c>
      <c r="AM157" s="39"/>
      <c r="AN157" s="39" cm="1">
        <f t="array" ref="AN157">AM157</f>
        <v>0</v>
      </c>
      <c r="AO157" s="727">
        <f>IFERROR(AO158*1000/AO156,0)</f>
        <v>0</v>
      </c>
      <c r="AP157" s="1244"/>
      <c r="AQ157" s="1244" cm="1">
        <f t="array" ref="AQ157">AP157</f>
        <v>0</v>
      </c>
      <c r="AR157" s="727">
        <f>IFERROR(AR158*1000/AR156,0)</f>
        <v>0</v>
      </c>
      <c r="AS157" s="1244"/>
      <c r="AT157" s="1244" cm="1">
        <f t="array" ref="AT157">AS157</f>
        <v>0</v>
      </c>
      <c r="AU157" s="727">
        <f>IFERROR(AU158*1000/AU156,0)</f>
        <v>0</v>
      </c>
      <c r="AV157" s="39"/>
      <c r="AW157" s="39" cm="1">
        <f t="array" ref="AW157">AV157</f>
        <v>0</v>
      </c>
      <c r="AX157" s="727">
        <f>IFERROR(AX158*1000/AX156,0)</f>
        <v>0</v>
      </c>
      <c r="AY157" s="39"/>
      <c r="AZ157" s="39" cm="1">
        <f t="array" ref="AZ157">AY157</f>
        <v>0</v>
      </c>
      <c r="BA157" s="727">
        <f>IFERROR(BA158*1000/BA156,0)</f>
        <v>0</v>
      </c>
      <c r="BB157" s="39"/>
      <c r="BC157" s="39" cm="1">
        <f t="array" ref="BC157">BB157</f>
        <v>0</v>
      </c>
      <c r="BD157" s="727">
        <f>IFERROR(BD158*1000/BD156,0)</f>
        <v>0</v>
      </c>
      <c r="BE157" s="39"/>
      <c r="BF157" s="39" cm="1">
        <f t="array" ref="BF157">BE157</f>
        <v>0</v>
      </c>
      <c r="BG157" s="727">
        <f>IFERROR(BG158*1000/BG156,0)</f>
        <v>0</v>
      </c>
      <c r="BH157" s="39"/>
      <c r="BI157" s="39" cm="1">
        <f t="array" ref="BI157">BH157</f>
        <v>0</v>
      </c>
      <c r="BJ157" s="727">
        <f>IFERROR(BJ158*1000/BJ156,0)</f>
        <v>0</v>
      </c>
      <c r="BK157" s="39"/>
      <c r="BL157" s="39" cm="1">
        <f t="array" ref="BL157">BK157</f>
        <v>0</v>
      </c>
      <c r="BM157" s="727">
        <f>IFERROR(BM158*1000/BM156,0)</f>
        <v>0</v>
      </c>
      <c r="BN157" s="39"/>
      <c r="BO157" s="39" cm="1">
        <f t="array" ref="BO157">BN157</f>
        <v>0</v>
      </c>
      <c r="BP157" s="727">
        <f>IFERROR(BP158*1000/BP156,0)</f>
        <v>0</v>
      </c>
      <c r="BQ157" s="816"/>
      <c r="BR157" s="816" cm="1">
        <f t="array" ref="BR157">BQ157</f>
        <v>0</v>
      </c>
      <c r="BS157" s="727">
        <f>IFERROR(BS158*1000/BS156,0)</f>
        <v>0</v>
      </c>
      <c r="BT157" s="1244"/>
      <c r="BU157" s="1244" cm="1">
        <f t="array" ref="BU157">BT157</f>
        <v>0</v>
      </c>
      <c r="BV157" s="727">
        <f>IFERROR(BV158*1000/BV156,0)</f>
        <v>0</v>
      </c>
      <c r="BW157" s="1244"/>
      <c r="BX157" s="1244" cm="1">
        <f t="array" ref="BX157">BW157</f>
        <v>0</v>
      </c>
      <c r="BY157" s="727">
        <f>IFERROR(BY158*1000/BY156,0)</f>
        <v>0</v>
      </c>
      <c r="BZ157" s="39"/>
      <c r="CA157" s="39" cm="1">
        <f t="array" ref="CA157">BZ157</f>
        <v>0</v>
      </c>
      <c r="CB157" s="727">
        <f>IFERROR(CB158*1000/CB156,0)</f>
        <v>0</v>
      </c>
      <c r="CC157" s="39"/>
      <c r="CD157" s="39" cm="1">
        <f t="array" ref="CD157">CC157</f>
        <v>0</v>
      </c>
      <c r="CE157" s="727">
        <f>IFERROR(CE158*1000/CE156,0)</f>
        <v>0</v>
      </c>
      <c r="CF157" s="39"/>
      <c r="CG157" s="39" cm="1">
        <f t="array" ref="CG157">CF157</f>
        <v>0</v>
      </c>
      <c r="CH157" s="727">
        <f>IFERROR(CH158*1000/CH156,0)</f>
        <v>0</v>
      </c>
      <c r="CI157" s="39"/>
      <c r="CJ157" s="39" cm="1">
        <f t="array" ref="CJ157">CI157</f>
        <v>0</v>
      </c>
      <c r="CK157" s="727">
        <f>IFERROR(CK158*1000/CK156,0)</f>
        <v>0</v>
      </c>
      <c r="CL157" s="39"/>
      <c r="CM157" s="39" cm="1">
        <f t="array" ref="CM157">CL157</f>
        <v>0</v>
      </c>
      <c r="CN157" s="727">
        <f>IFERROR(CN158*1000/CN156,0)</f>
        <v>0</v>
      </c>
      <c r="CO157" s="39"/>
      <c r="CP157" s="39" cm="1">
        <f t="array" ref="CP157">CO157</f>
        <v>0</v>
      </c>
      <c r="CQ157" s="727">
        <f>IFERROR(CQ158*1000/CQ156,0)</f>
        <v>0</v>
      </c>
      <c r="CR157" s="39"/>
      <c r="CS157" s="39" cm="1">
        <f t="array" ref="CS157">CR157</f>
        <v>0</v>
      </c>
      <c r="CT157" s="25"/>
      <c r="CW157" s="960" t="s">
        <v>792</v>
      </c>
      <c r="CX157" s="965"/>
      <c r="CY157" s="965"/>
      <c r="CZ157" s="965"/>
      <c r="DA157" s="966"/>
      <c r="DB157" s="966"/>
    </row>
    <row r="158" spans="1:106" s="1167" customFormat="1" ht="16.5" hidden="1" customHeight="1" x14ac:dyDescent="0.15">
      <c r="A158" s="1150"/>
      <c r="B158" s="773"/>
      <c r="C158" s="1150"/>
      <c r="D158" s="1150"/>
      <c r="E158" s="668">
        <v>17.100000000000001</v>
      </c>
      <c r="F158" s="769" t="str" cm="1">
        <f t="array" aca="1" ref="F158" ca="1">OFFSET(G158,-1,-1)</f>
        <v>1</v>
      </c>
      <c r="G158" s="804"/>
      <c r="H158" s="804"/>
      <c r="I158" s="804"/>
      <c r="J158" s="804"/>
      <c r="K158" s="804"/>
      <c r="L158" s="769" t="b" cm="1">
        <f t="array" aca="1" ref="L158" ca="1">OFFSET(M158,-1,-1)</f>
        <v>0</v>
      </c>
      <c r="M158" s="804"/>
      <c r="N158" s="804"/>
      <c r="O158" s="804"/>
      <c r="P158" s="804"/>
      <c r="Q158" s="804"/>
      <c r="R158" s="769" t="s">
        <v>750</v>
      </c>
      <c r="S158" s="107" t="b" cm="1">
        <f t="array" aca="1" ref="S158" ca="1">OFFSET(T158,-1,-1)</f>
        <v>1</v>
      </c>
      <c r="T158" s="107" t="b" cm="1">
        <f t="array" aca="1" ref="T158" ca="1">L158</f>
        <v>0</v>
      </c>
      <c r="U158" s="690" t="b">
        <f t="shared" ca="1" si="80"/>
        <v>0</v>
      </c>
      <c r="V158" s="1150"/>
      <c r="W158" s="1150"/>
      <c r="X158" s="1150"/>
      <c r="Y158" s="1428"/>
      <c r="Z158" s="1428"/>
      <c r="AA158" s="691"/>
      <c r="AB158" s="1549"/>
      <c r="AD158" s="108">
        <v>12</v>
      </c>
      <c r="AE158" s="1511" t="s">
        <v>793</v>
      </c>
      <c r="AF158" s="1512"/>
      <c r="AG158" s="539" t="s">
        <v>794</v>
      </c>
      <c r="AH158" s="459">
        <f>AH156*AH157/1000</f>
        <v>0</v>
      </c>
      <c r="AI158" s="305">
        <f>AI156*AI157/1000</f>
        <v>0</v>
      </c>
      <c r="AJ158" s="305">
        <f>AJ156*AJ157/1000</f>
        <v>0</v>
      </c>
      <c r="AK158" s="305">
        <f>AK156*AK157/1000</f>
        <v>0</v>
      </c>
      <c r="AL158" s="727">
        <f>AM158+AN158</f>
        <v>0</v>
      </c>
      <c r="AM158" s="305">
        <f>AM156*AM157/1000</f>
        <v>0</v>
      </c>
      <c r="AN158" s="305">
        <f>AN156*AN157/1000</f>
        <v>0</v>
      </c>
      <c r="AO158" s="727">
        <f>AP158+AQ158</f>
        <v>0</v>
      </c>
      <c r="AP158" s="305">
        <f>AP156*AP157/1000</f>
        <v>0</v>
      </c>
      <c r="AQ158" s="305">
        <f>AQ156*AQ157/1000</f>
        <v>0</v>
      </c>
      <c r="AR158" s="727">
        <f>AS158+AT158</f>
        <v>0</v>
      </c>
      <c r="AS158" s="305">
        <f>AS156*AS157/1000</f>
        <v>0</v>
      </c>
      <c r="AT158" s="305">
        <f>AT156*AT157/1000</f>
        <v>0</v>
      </c>
      <c r="AU158" s="727">
        <f>AV158+AW158</f>
        <v>0</v>
      </c>
      <c r="AV158" s="305">
        <f>AV156*AV157/1000</f>
        <v>0</v>
      </c>
      <c r="AW158" s="305">
        <f>AW156*AW157/1000</f>
        <v>0</v>
      </c>
      <c r="AX158" s="727">
        <f>AY158+AZ158</f>
        <v>0</v>
      </c>
      <c r="AY158" s="305">
        <f>AY156*AY157/1000</f>
        <v>0</v>
      </c>
      <c r="AZ158" s="305">
        <f>AZ156*AZ157/1000</f>
        <v>0</v>
      </c>
      <c r="BA158" s="727">
        <f>BB158+BC158</f>
        <v>0</v>
      </c>
      <c r="BB158" s="305">
        <f>BB156*BB157/1000</f>
        <v>0</v>
      </c>
      <c r="BC158" s="305">
        <f>BC156*BC157/1000</f>
        <v>0</v>
      </c>
      <c r="BD158" s="727">
        <f>BE158+BF158</f>
        <v>0</v>
      </c>
      <c r="BE158" s="305">
        <f>BE156*BE157/1000</f>
        <v>0</v>
      </c>
      <c r="BF158" s="305">
        <f>BF156*BF157/1000</f>
        <v>0</v>
      </c>
      <c r="BG158" s="727">
        <f>BH158+BI158</f>
        <v>0</v>
      </c>
      <c r="BH158" s="305">
        <f>BH156*BH157/1000</f>
        <v>0</v>
      </c>
      <c r="BI158" s="305">
        <f>BI156*BI157/1000</f>
        <v>0</v>
      </c>
      <c r="BJ158" s="727">
        <f>BK158+BL158</f>
        <v>0</v>
      </c>
      <c r="BK158" s="305">
        <f>BK156*BK157/1000</f>
        <v>0</v>
      </c>
      <c r="BL158" s="305">
        <f>BL156*BL157/1000</f>
        <v>0</v>
      </c>
      <c r="BM158" s="727">
        <f>BN158+BO158</f>
        <v>0</v>
      </c>
      <c r="BN158" s="305">
        <f>BN156*BN157/1000</f>
        <v>0</v>
      </c>
      <c r="BO158" s="305">
        <f>BO156*BO157/1000</f>
        <v>0</v>
      </c>
      <c r="BP158" s="727">
        <f>BQ158+BR158</f>
        <v>0</v>
      </c>
      <c r="BQ158" s="305">
        <f>BQ156*BQ157/1000</f>
        <v>0</v>
      </c>
      <c r="BR158" s="305">
        <f>BR156*BR157/1000</f>
        <v>0</v>
      </c>
      <c r="BS158" s="727">
        <f>BT158+BU158</f>
        <v>0</v>
      </c>
      <c r="BT158" s="305">
        <f>BT156*BT157/1000</f>
        <v>0</v>
      </c>
      <c r="BU158" s="305">
        <f>BU156*BU157/1000</f>
        <v>0</v>
      </c>
      <c r="BV158" s="727">
        <f>BW158+BX158</f>
        <v>0</v>
      </c>
      <c r="BW158" s="305">
        <f>BW156*BW157/1000</f>
        <v>0</v>
      </c>
      <c r="BX158" s="305">
        <f>BX156*BX157/1000</f>
        <v>0</v>
      </c>
      <c r="BY158" s="727">
        <f>BZ158+CA158</f>
        <v>0</v>
      </c>
      <c r="BZ158" s="305">
        <f>BZ156*BZ157/1000</f>
        <v>0</v>
      </c>
      <c r="CA158" s="305">
        <f>CA156*CA157/1000</f>
        <v>0</v>
      </c>
      <c r="CB158" s="727">
        <f>CC158+CD158</f>
        <v>0</v>
      </c>
      <c r="CC158" s="305">
        <f>CC156*CC157/1000</f>
        <v>0</v>
      </c>
      <c r="CD158" s="305">
        <f>CD156*CD157/1000</f>
        <v>0</v>
      </c>
      <c r="CE158" s="727">
        <f>CF158+CG158</f>
        <v>0</v>
      </c>
      <c r="CF158" s="305">
        <f>CF156*CF157/1000</f>
        <v>0</v>
      </c>
      <c r="CG158" s="305">
        <f>CG156*CG157/1000</f>
        <v>0</v>
      </c>
      <c r="CH158" s="727">
        <f>CI158+CJ158</f>
        <v>0</v>
      </c>
      <c r="CI158" s="305">
        <f>CI156*CI157/1000</f>
        <v>0</v>
      </c>
      <c r="CJ158" s="305">
        <f>CJ156*CJ157/1000</f>
        <v>0</v>
      </c>
      <c r="CK158" s="727">
        <f>CL158+CM158</f>
        <v>0</v>
      </c>
      <c r="CL158" s="305">
        <f>CL156*CL157/1000</f>
        <v>0</v>
      </c>
      <c r="CM158" s="305">
        <f>CM156*CM157/1000</f>
        <v>0</v>
      </c>
      <c r="CN158" s="727">
        <f>CO158+CP158</f>
        <v>0</v>
      </c>
      <c r="CO158" s="305">
        <f>CO156*CO157/1000</f>
        <v>0</v>
      </c>
      <c r="CP158" s="305">
        <f>CP156*CP157/1000</f>
        <v>0</v>
      </c>
      <c r="CQ158" s="727">
        <f>CR158+CS158</f>
        <v>0</v>
      </c>
      <c r="CR158" s="305">
        <f>CR156*CR157/1000</f>
        <v>0</v>
      </c>
      <c r="CS158" s="305">
        <f>CS156*CS157/1000</f>
        <v>0</v>
      </c>
      <c r="CT158" s="25"/>
      <c r="CW158" s="960" t="s">
        <v>795</v>
      </c>
      <c r="CX158" s="965"/>
      <c r="CY158" s="965"/>
      <c r="CZ158" s="965"/>
      <c r="DA158" s="966"/>
      <c r="DB158" s="966"/>
    </row>
    <row r="159" spans="1:106" s="1167" customFormat="1" ht="29.25" customHeight="1" x14ac:dyDescent="0.15">
      <c r="A159" s="1150"/>
      <c r="B159" s="773"/>
      <c r="C159" s="1150"/>
      <c r="D159" s="1150"/>
      <c r="E159" s="668">
        <v>30</v>
      </c>
      <c r="F159" s="769" t="str" cm="1">
        <f t="array" aca="1" ref="F159" ca="1">OFFSET(G159,-1,-1)</f>
        <v>1</v>
      </c>
      <c r="G159" s="804"/>
      <c r="H159" s="804"/>
      <c r="I159" s="804"/>
      <c r="J159" s="804"/>
      <c r="K159" s="804"/>
      <c r="L159" s="769" t="b" cm="1">
        <f t="array" aca="1" ref="L159" ca="1">OFFSET(M159,-1,-1)</f>
        <v>0</v>
      </c>
      <c r="M159" s="804"/>
      <c r="N159" s="804"/>
      <c r="O159" s="804"/>
      <c r="P159" s="804"/>
      <c r="Q159" s="804"/>
      <c r="R159" s="1150"/>
      <c r="S159" s="107" t="b" cm="1">
        <f t="array" aca="1" ref="S159" ca="1">OFFSET(T159,-1,-1)</f>
        <v>1</v>
      </c>
      <c r="T159" s="1150"/>
      <c r="U159" s="690" t="b">
        <f t="shared" ca="1" si="80"/>
        <v>1</v>
      </c>
      <c r="V159" s="1150"/>
      <c r="W159" s="1150"/>
      <c r="X159" s="1150"/>
      <c r="Y159" s="1428"/>
      <c r="Z159" s="1428"/>
      <c r="AA159" s="691"/>
      <c r="AB159" s="1549"/>
      <c r="AD159" s="108">
        <v>13</v>
      </c>
      <c r="AE159" s="1511" t="s">
        <v>780</v>
      </c>
      <c r="AF159" s="1512"/>
      <c r="AG159" s="539" t="s">
        <v>622</v>
      </c>
      <c r="AH159" s="1251" cm="1">
        <f t="array" aca="1" ref="AH159" ca="1">AH152</f>
        <v>78496</v>
      </c>
      <c r="AI159" s="1251" cm="1">
        <f t="array" aca="1" ref="AI159" ca="1">AI152</f>
        <v>77619.09</v>
      </c>
      <c r="AJ159" s="1251" cm="1">
        <f t="array" aca="1" ref="AJ159" ca="1">AJ152</f>
        <v>77619.100000000006</v>
      </c>
      <c r="AK159" s="1251" cm="1">
        <f t="array" aca="1" ref="AK159" ca="1">AK152</f>
        <v>80069</v>
      </c>
      <c r="AL159" s="1251" cm="1">
        <f t="array" aca="1" ref="AL159" ca="1">AL152</f>
        <v>76203.039999999994</v>
      </c>
      <c r="AM159" s="1251" cm="1">
        <f t="array" ref="AM159">AM152</f>
        <v>39325.660000000003</v>
      </c>
      <c r="AN159" s="1251" cm="1">
        <f t="array" aca="1" ref="AN159" ca="1">AN152</f>
        <v>36877.37999999999</v>
      </c>
      <c r="AO159" s="1245" cm="1">
        <f t="array" aca="1" ref="AO159" ca="1">AO152</f>
        <v>0</v>
      </c>
      <c r="AP159" s="1245" cm="1">
        <f t="array" ref="AP159">AP152</f>
        <v>0</v>
      </c>
      <c r="AQ159" s="1245" cm="1">
        <f t="array" aca="1" ref="AQ159" ca="1">AQ152</f>
        <v>0</v>
      </c>
      <c r="AR159" s="1245" cm="1">
        <f t="array" aca="1" ref="AR159" ca="1">AR152</f>
        <v>0</v>
      </c>
      <c r="AS159" s="1245" cm="1">
        <f t="array" ref="AS159">AS152</f>
        <v>0</v>
      </c>
      <c r="AT159" s="1245" cm="1">
        <f t="array" aca="1" ref="AT159" ca="1">AT152</f>
        <v>0</v>
      </c>
      <c r="AU159" s="1251" cm="1">
        <f t="array" aca="1" ref="AU159" ca="1">AU152</f>
        <v>0</v>
      </c>
      <c r="AV159" s="1251" cm="1">
        <f t="array" ref="AV159">AV152</f>
        <v>0</v>
      </c>
      <c r="AW159" s="1251" cm="1">
        <f t="array" aca="1" ref="AW159" ca="1">AW152</f>
        <v>0</v>
      </c>
      <c r="AX159" s="1251" cm="1">
        <f t="array" aca="1" ref="AX159" ca="1">AX152</f>
        <v>0</v>
      </c>
      <c r="AY159" s="1251" cm="1">
        <f t="array" ref="AY159">AY152</f>
        <v>0</v>
      </c>
      <c r="AZ159" s="1251" cm="1">
        <f t="array" aca="1" ref="AZ159" ca="1">AZ152</f>
        <v>0</v>
      </c>
      <c r="BA159" s="1251" cm="1">
        <f t="array" aca="1" ref="BA159" ca="1">BA152</f>
        <v>0</v>
      </c>
      <c r="BB159" s="1251" cm="1">
        <f t="array" ref="BB159">BB152</f>
        <v>0</v>
      </c>
      <c r="BC159" s="1251" cm="1">
        <f t="array" aca="1" ref="BC159" ca="1">BC152</f>
        <v>0</v>
      </c>
      <c r="BD159" s="1251" cm="1">
        <f t="array" aca="1" ref="BD159" ca="1">BD152</f>
        <v>0</v>
      </c>
      <c r="BE159" s="1251" cm="1">
        <f t="array" ref="BE159">BE152</f>
        <v>0</v>
      </c>
      <c r="BF159" s="1251" cm="1">
        <f t="array" aca="1" ref="BF159" ca="1">BF152</f>
        <v>0</v>
      </c>
      <c r="BG159" s="1251" cm="1">
        <f t="array" aca="1" ref="BG159" ca="1">BG152</f>
        <v>0</v>
      </c>
      <c r="BH159" s="1251" cm="1">
        <f t="array" ref="BH159">BH152</f>
        <v>0</v>
      </c>
      <c r="BI159" s="1251" cm="1">
        <f t="array" aca="1" ref="BI159" ca="1">BI152</f>
        <v>0</v>
      </c>
      <c r="BJ159" s="1251" cm="1">
        <f t="array" aca="1" ref="BJ159" ca="1">BJ152</f>
        <v>0</v>
      </c>
      <c r="BK159" s="1251" cm="1">
        <f t="array" ref="BK159">BK152</f>
        <v>0</v>
      </c>
      <c r="BL159" s="1251" cm="1">
        <f t="array" aca="1" ref="BL159" ca="1">BL152</f>
        <v>0</v>
      </c>
      <c r="BM159" s="1251" cm="1">
        <f t="array" aca="1" ref="BM159" ca="1">BM152</f>
        <v>0</v>
      </c>
      <c r="BN159" s="1251" cm="1">
        <f t="array" ref="BN159">BN152</f>
        <v>0</v>
      </c>
      <c r="BO159" s="1251" cm="1">
        <f t="array" aca="1" ref="BO159" ca="1">BO152</f>
        <v>0</v>
      </c>
      <c r="BP159" s="817" cm="1">
        <f t="array" aca="1" ref="BP159" ca="1">BP152</f>
        <v>76203</v>
      </c>
      <c r="BQ159" s="817" cm="1">
        <f t="array" ref="BQ159">BQ152</f>
        <v>54991.08</v>
      </c>
      <c r="BR159" s="817" cm="1">
        <f t="array" aca="1" ref="BR159" ca="1">BR152</f>
        <v>21211.919999999998</v>
      </c>
      <c r="BS159" s="1245" cm="1">
        <f t="array" aca="1" ref="BS159" ca="1">BS152</f>
        <v>0</v>
      </c>
      <c r="BT159" s="1245" cm="1">
        <f t="array" ref="BT159">BT152</f>
        <v>0</v>
      </c>
      <c r="BU159" s="1245" cm="1">
        <f t="array" aca="1" ref="BU159" ca="1">BU152</f>
        <v>0</v>
      </c>
      <c r="BV159" s="1245" cm="1">
        <f t="array" aca="1" ref="BV159" ca="1">BV152</f>
        <v>0</v>
      </c>
      <c r="BW159" s="1245" cm="1">
        <f t="array" ref="BW159">BW152</f>
        <v>0</v>
      </c>
      <c r="BX159" s="1245" cm="1">
        <f t="array" aca="1" ref="BX159" ca="1">BX152</f>
        <v>0</v>
      </c>
      <c r="BY159" s="1251" cm="1">
        <f t="array" aca="1" ref="BY159" ca="1">BY152</f>
        <v>0</v>
      </c>
      <c r="BZ159" s="1251" cm="1">
        <f t="array" ref="BZ159">BZ152</f>
        <v>0</v>
      </c>
      <c r="CA159" s="1251" cm="1">
        <f t="array" aca="1" ref="CA159" ca="1">CA152</f>
        <v>0</v>
      </c>
      <c r="CB159" s="1251" cm="1">
        <f t="array" aca="1" ref="CB159" ca="1">CB152</f>
        <v>0</v>
      </c>
      <c r="CC159" s="1251" cm="1">
        <f t="array" ref="CC159">CC152</f>
        <v>0</v>
      </c>
      <c r="CD159" s="1251" cm="1">
        <f t="array" aca="1" ref="CD159" ca="1">CD152</f>
        <v>0</v>
      </c>
      <c r="CE159" s="1251" cm="1">
        <f t="array" aca="1" ref="CE159" ca="1">CE152</f>
        <v>0</v>
      </c>
      <c r="CF159" s="1251" cm="1">
        <f t="array" ref="CF159">CF152</f>
        <v>0</v>
      </c>
      <c r="CG159" s="1251" cm="1">
        <f t="array" aca="1" ref="CG159" ca="1">CG152</f>
        <v>0</v>
      </c>
      <c r="CH159" s="1251" cm="1">
        <f t="array" aca="1" ref="CH159" ca="1">CH152</f>
        <v>0</v>
      </c>
      <c r="CI159" s="1251" cm="1">
        <f t="array" ref="CI159">CI152</f>
        <v>0</v>
      </c>
      <c r="CJ159" s="1251" cm="1">
        <f t="array" aca="1" ref="CJ159" ca="1">CJ152</f>
        <v>0</v>
      </c>
      <c r="CK159" s="1251" cm="1">
        <f t="array" aca="1" ref="CK159" ca="1">CK152</f>
        <v>0</v>
      </c>
      <c r="CL159" s="1251" cm="1">
        <f t="array" ref="CL159">CL152</f>
        <v>0</v>
      </c>
      <c r="CM159" s="1251" cm="1">
        <f t="array" aca="1" ref="CM159" ca="1">CM152</f>
        <v>0</v>
      </c>
      <c r="CN159" s="1251" cm="1">
        <f t="array" aca="1" ref="CN159" ca="1">CN152</f>
        <v>0</v>
      </c>
      <c r="CO159" s="1251" cm="1">
        <f t="array" ref="CO159">CO152</f>
        <v>0</v>
      </c>
      <c r="CP159" s="1251" cm="1">
        <f t="array" aca="1" ref="CP159" ca="1">CP152</f>
        <v>0</v>
      </c>
      <c r="CQ159" s="1251" cm="1">
        <f t="array" aca="1" ref="CQ159" ca="1">CQ152</f>
        <v>0</v>
      </c>
      <c r="CR159" s="1251" cm="1">
        <f t="array" ref="CR159">CR152</f>
        <v>0</v>
      </c>
      <c r="CS159" s="1251" cm="1">
        <f t="array" aca="1" ref="CS159" ca="1">CS152</f>
        <v>0</v>
      </c>
      <c r="CT159" s="1231"/>
      <c r="CW159" s="960" t="s">
        <v>796</v>
      </c>
      <c r="CX159" s="965"/>
      <c r="CY159" s="965"/>
      <c r="CZ159" s="965"/>
      <c r="DA159" s="966"/>
      <c r="DB159" s="966"/>
    </row>
    <row r="160" spans="1:106" s="1167" customFormat="1" ht="29.25" customHeight="1" x14ac:dyDescent="0.15">
      <c r="A160" s="1150"/>
      <c r="B160" s="773"/>
      <c r="C160" s="1150"/>
      <c r="D160" s="1150"/>
      <c r="E160" s="668">
        <v>30</v>
      </c>
      <c r="F160" s="769" t="str" cm="1">
        <f t="array" aca="1" ref="F160" ca="1">OFFSET(G160,-1,-1)</f>
        <v>1</v>
      </c>
      <c r="G160" s="804"/>
      <c r="H160" s="804"/>
      <c r="I160" s="804"/>
      <c r="J160" s="804"/>
      <c r="K160" s="804"/>
      <c r="L160" s="769" t="b" cm="1">
        <f t="array" aca="1" ref="L160" ca="1">OFFSET(M160,-1,-1)</f>
        <v>0</v>
      </c>
      <c r="M160" s="804"/>
      <c r="N160" s="804"/>
      <c r="O160" s="804"/>
      <c r="P160" s="804"/>
      <c r="Q160" s="804"/>
      <c r="R160" s="1150"/>
      <c r="S160" s="107" t="b" cm="1">
        <f t="array" aca="1" ref="S160" ca="1">OFFSET(T160,-1,-1)</f>
        <v>1</v>
      </c>
      <c r="T160" s="1150"/>
      <c r="U160" s="690" t="b">
        <f t="shared" ca="1" si="80"/>
        <v>1</v>
      </c>
      <c r="V160" s="1150"/>
      <c r="W160" s="1150"/>
      <c r="X160" s="1150"/>
      <c r="Y160" s="1428"/>
      <c r="Z160" s="1428"/>
      <c r="AA160" s="691"/>
      <c r="AB160" s="1549"/>
      <c r="AD160" s="108">
        <v>14</v>
      </c>
      <c r="AE160" s="1511" t="s">
        <v>797</v>
      </c>
      <c r="AF160" s="1512"/>
      <c r="AG160" s="108" t="s">
        <v>798</v>
      </c>
      <c r="AH160" s="1251">
        <f ca="1">IFERROR(AH161/AH159*1000,0)</f>
        <v>174.59999999999997</v>
      </c>
      <c r="AI160" s="1251">
        <f ca="1">IFERROR(AI161/AI159*1000,0)</f>
        <v>170.98422565891974</v>
      </c>
      <c r="AJ160" s="1251">
        <f ca="1">IFERROR(AJ161/AJ159*1000,0)</f>
        <v>174.59993738654529</v>
      </c>
      <c r="AK160" s="1251">
        <f ca="1">IFERROR(AK161/AK159*1000,0)</f>
        <v>174.6000324719929</v>
      </c>
      <c r="AL160" s="1251">
        <v>174.6</v>
      </c>
      <c r="AM160" s="1251" cm="1">
        <f t="array" ref="AM160">AL160</f>
        <v>174.6</v>
      </c>
      <c r="AN160" s="1251" cm="1">
        <f t="array" ref="AN160">AL160</f>
        <v>174.6</v>
      </c>
      <c r="AO160" s="1245"/>
      <c r="AP160" s="1245" cm="1">
        <f t="array" ref="AP160">AO160</f>
        <v>0</v>
      </c>
      <c r="AQ160" s="1245" cm="1">
        <f t="array" ref="AQ160">AO160</f>
        <v>0</v>
      </c>
      <c r="AR160" s="1245"/>
      <c r="AS160" s="1245" cm="1">
        <f t="array" ref="AS160">AR160</f>
        <v>0</v>
      </c>
      <c r="AT160" s="1245" cm="1">
        <f t="array" ref="AT160">AR160</f>
        <v>0</v>
      </c>
      <c r="AU160" s="1251"/>
      <c r="AV160" s="1251" cm="1">
        <f t="array" ref="AV160">AU160</f>
        <v>0</v>
      </c>
      <c r="AW160" s="1251" cm="1">
        <f t="array" ref="AW160">AU160</f>
        <v>0</v>
      </c>
      <c r="AX160" s="1251"/>
      <c r="AY160" s="1251" cm="1">
        <f t="array" ref="AY160">AX160</f>
        <v>0</v>
      </c>
      <c r="AZ160" s="1251" cm="1">
        <f t="array" ref="AZ160">AX160</f>
        <v>0</v>
      </c>
      <c r="BA160" s="1251"/>
      <c r="BB160" s="1251" cm="1">
        <f t="array" ref="BB160">BA160</f>
        <v>0</v>
      </c>
      <c r="BC160" s="1251" cm="1">
        <f t="array" ref="BC160">BA160</f>
        <v>0</v>
      </c>
      <c r="BD160" s="1251"/>
      <c r="BE160" s="1251" cm="1">
        <f t="array" ref="BE160">BD160</f>
        <v>0</v>
      </c>
      <c r="BF160" s="1251" cm="1">
        <f t="array" ref="BF160">BD160</f>
        <v>0</v>
      </c>
      <c r="BG160" s="1251"/>
      <c r="BH160" s="1251" cm="1">
        <f t="array" ref="BH160">BG160</f>
        <v>0</v>
      </c>
      <c r="BI160" s="1251" cm="1">
        <f t="array" ref="BI160">BG160</f>
        <v>0</v>
      </c>
      <c r="BJ160" s="1251"/>
      <c r="BK160" s="1251" cm="1">
        <f t="array" ref="BK160">BJ160</f>
        <v>0</v>
      </c>
      <c r="BL160" s="1251" cm="1">
        <f t="array" ref="BL160">BJ160</f>
        <v>0</v>
      </c>
      <c r="BM160" s="1251"/>
      <c r="BN160" s="1251" cm="1">
        <f t="array" ref="BN160">BM160</f>
        <v>0</v>
      </c>
      <c r="BO160" s="1251" cm="1">
        <f t="array" ref="BO160">BM160</f>
        <v>0</v>
      </c>
      <c r="BP160" s="817">
        <v>174.6</v>
      </c>
      <c r="BQ160" s="817" cm="1">
        <f t="array" ref="BQ160">BP160</f>
        <v>174.6</v>
      </c>
      <c r="BR160" s="817" cm="1">
        <f t="array" ref="BR160">BP160</f>
        <v>174.6</v>
      </c>
      <c r="BS160" s="1245"/>
      <c r="BT160" s="1245" cm="1">
        <f t="array" ref="BT160">BS160</f>
        <v>0</v>
      </c>
      <c r="BU160" s="1245" cm="1">
        <f t="array" ref="BU160">BS160</f>
        <v>0</v>
      </c>
      <c r="BV160" s="1245"/>
      <c r="BW160" s="1245" cm="1">
        <f t="array" ref="BW160">BV160</f>
        <v>0</v>
      </c>
      <c r="BX160" s="1245" cm="1">
        <f t="array" ref="BX160">BV160</f>
        <v>0</v>
      </c>
      <c r="BY160" s="1251"/>
      <c r="BZ160" s="1251" cm="1">
        <f t="array" ref="BZ160">BY160</f>
        <v>0</v>
      </c>
      <c r="CA160" s="1251" cm="1">
        <f t="array" ref="CA160">BY160</f>
        <v>0</v>
      </c>
      <c r="CB160" s="1251"/>
      <c r="CC160" s="1251" cm="1">
        <f t="array" ref="CC160">CB160</f>
        <v>0</v>
      </c>
      <c r="CD160" s="1251" cm="1">
        <f t="array" ref="CD160">CB160</f>
        <v>0</v>
      </c>
      <c r="CE160" s="1251"/>
      <c r="CF160" s="1251" cm="1">
        <f t="array" ref="CF160">CE160</f>
        <v>0</v>
      </c>
      <c r="CG160" s="1251" cm="1">
        <f t="array" ref="CG160">CE160</f>
        <v>0</v>
      </c>
      <c r="CH160" s="1251"/>
      <c r="CI160" s="1251" cm="1">
        <f t="array" ref="CI160">CH160</f>
        <v>0</v>
      </c>
      <c r="CJ160" s="1251" cm="1">
        <f t="array" ref="CJ160">CH160</f>
        <v>0</v>
      </c>
      <c r="CK160" s="1251"/>
      <c r="CL160" s="1251" cm="1">
        <f t="array" ref="CL160">CK160</f>
        <v>0</v>
      </c>
      <c r="CM160" s="1251" cm="1">
        <f t="array" ref="CM160">CK160</f>
        <v>0</v>
      </c>
      <c r="CN160" s="1251"/>
      <c r="CO160" s="1251" cm="1">
        <f t="array" ref="CO160">CN160</f>
        <v>0</v>
      </c>
      <c r="CP160" s="1251" cm="1">
        <f t="array" ref="CP160">CN160</f>
        <v>0</v>
      </c>
      <c r="CQ160" s="1251"/>
      <c r="CR160" s="1251" cm="1">
        <f t="array" ref="CR160">CQ160</f>
        <v>0</v>
      </c>
      <c r="CS160" s="1251" cm="1">
        <f t="array" ref="CS160">CQ160</f>
        <v>0</v>
      </c>
      <c r="CT160" s="1231"/>
      <c r="CW160" s="960" t="s">
        <v>799</v>
      </c>
      <c r="CX160" s="965"/>
      <c r="CY160" s="965"/>
      <c r="CZ160" s="965"/>
      <c r="DA160" s="966"/>
      <c r="DB160" s="966"/>
    </row>
    <row r="161" spans="1:106" s="1167" customFormat="1" ht="16.5" customHeight="1" x14ac:dyDescent="0.15">
      <c r="A161" s="1150"/>
      <c r="B161" s="773"/>
      <c r="C161" s="1150"/>
      <c r="D161" s="1150"/>
      <c r="E161" s="668">
        <v>17.100000000000001</v>
      </c>
      <c r="F161" s="769" t="str" cm="1">
        <f t="array" aca="1" ref="F161" ca="1">OFFSET(G161,-1,-1)</f>
        <v>1</v>
      </c>
      <c r="G161" s="804"/>
      <c r="H161" s="804"/>
      <c r="I161" s="804"/>
      <c r="J161" s="804"/>
      <c r="K161" s="804"/>
      <c r="L161" s="769" t="b" cm="1">
        <f t="array" aca="1" ref="L161" ca="1">OFFSET(M161,-1,-1)</f>
        <v>0</v>
      </c>
      <c r="M161" s="804"/>
      <c r="N161" s="804"/>
      <c r="O161" s="804"/>
      <c r="P161" s="804"/>
      <c r="Q161" s="804"/>
      <c r="R161" s="1150"/>
      <c r="S161" s="107" t="b" cm="1">
        <f t="array" aca="1" ref="S161" ca="1">OFFSET(T161,-1,-1)</f>
        <v>1</v>
      </c>
      <c r="T161" s="1150"/>
      <c r="U161" s="690" t="b">
        <f t="shared" ca="1" si="80"/>
        <v>1</v>
      </c>
      <c r="V161" s="1150"/>
      <c r="W161" s="1150"/>
      <c r="X161" s="1150"/>
      <c r="Y161" s="1428"/>
      <c r="Z161" s="1428"/>
      <c r="AA161" s="691"/>
      <c r="AB161" s="1538" t="s">
        <v>800</v>
      </c>
      <c r="AD161" s="108">
        <v>15</v>
      </c>
      <c r="AE161" s="1511" t="s">
        <v>801</v>
      </c>
      <c r="AF161" s="1512"/>
      <c r="AG161" s="108" t="s">
        <v>794</v>
      </c>
      <c r="AH161" s="1251">
        <v>13705.401599999999</v>
      </c>
      <c r="AI161" s="1251">
        <v>13271.64</v>
      </c>
      <c r="AJ161" s="1251">
        <v>13552.29</v>
      </c>
      <c r="AK161" s="1251">
        <v>13980.05</v>
      </c>
      <c r="AL161" s="725">
        <f ca="1">AM161+AN161</f>
        <v>13305.050783999997</v>
      </c>
      <c r="AM161" s="1251">
        <f>AM160*AM159/1000</f>
        <v>6866.2602360000001</v>
      </c>
      <c r="AN161" s="1251">
        <f ca="1">AN160*AN159/1000</f>
        <v>6438.7905479999972</v>
      </c>
      <c r="AO161" s="725">
        <f ca="1">AP161+AQ161</f>
        <v>0</v>
      </c>
      <c r="AP161" s="1245">
        <f>AP160*AP159/1000</f>
        <v>0</v>
      </c>
      <c r="AQ161" s="1245">
        <f ca="1">AQ160*AQ159/1000</f>
        <v>0</v>
      </c>
      <c r="AR161" s="725">
        <f ca="1">AS161+AT161</f>
        <v>0</v>
      </c>
      <c r="AS161" s="1245">
        <f>AS160*AS159/1000</f>
        <v>0</v>
      </c>
      <c r="AT161" s="1245">
        <f ca="1">AT160*AT159/1000</f>
        <v>0</v>
      </c>
      <c r="AU161" s="725">
        <f ca="1">AV161+AW161</f>
        <v>0</v>
      </c>
      <c r="AV161" s="1251">
        <f>AV160*AV159/1000</f>
        <v>0</v>
      </c>
      <c r="AW161" s="1251">
        <f ca="1">AW160*AW159/1000</f>
        <v>0</v>
      </c>
      <c r="AX161" s="725">
        <f ca="1">AY161+AZ161</f>
        <v>0</v>
      </c>
      <c r="AY161" s="1251">
        <f>AY160*AY159/1000</f>
        <v>0</v>
      </c>
      <c r="AZ161" s="1251">
        <f ca="1">AZ160*AZ159/1000</f>
        <v>0</v>
      </c>
      <c r="BA161" s="725">
        <f ca="1">BB161+BC161</f>
        <v>0</v>
      </c>
      <c r="BB161" s="1251">
        <f>BB160*BB159/1000</f>
        <v>0</v>
      </c>
      <c r="BC161" s="1251">
        <f ca="1">BC160*BC159/1000</f>
        <v>0</v>
      </c>
      <c r="BD161" s="725">
        <f ca="1">BE161+BF161</f>
        <v>0</v>
      </c>
      <c r="BE161" s="1251">
        <f>BE160*BE159/1000</f>
        <v>0</v>
      </c>
      <c r="BF161" s="1251">
        <f ca="1">BF160*BF159/1000</f>
        <v>0</v>
      </c>
      <c r="BG161" s="725">
        <f ca="1">BH161+BI161</f>
        <v>0</v>
      </c>
      <c r="BH161" s="1251">
        <f>BH160*BH159/1000</f>
        <v>0</v>
      </c>
      <c r="BI161" s="1251">
        <f ca="1">BI160*BI159/1000</f>
        <v>0</v>
      </c>
      <c r="BJ161" s="725">
        <f ca="1">BK161+BL161</f>
        <v>0</v>
      </c>
      <c r="BK161" s="1251">
        <f>BK160*BK159/1000</f>
        <v>0</v>
      </c>
      <c r="BL161" s="1251">
        <f ca="1">BL160*BL159/1000</f>
        <v>0</v>
      </c>
      <c r="BM161" s="725">
        <f ca="1">BN161+BO161</f>
        <v>0</v>
      </c>
      <c r="BN161" s="1251">
        <f>BN160*BN159/1000</f>
        <v>0</v>
      </c>
      <c r="BO161" s="1251">
        <f ca="1">BO160*BO159/1000</f>
        <v>0</v>
      </c>
      <c r="BP161" s="725">
        <f ca="1">BQ161+BR161</f>
        <v>13305.043799999999</v>
      </c>
      <c r="BQ161" s="817">
        <f>BQ160*BQ159/1000</f>
        <v>9601.4425680000004</v>
      </c>
      <c r="BR161" s="817">
        <f ca="1">BR160*BR159/1000</f>
        <v>3703.6012319999995</v>
      </c>
      <c r="BS161" s="725">
        <f ca="1">BT161+BU161</f>
        <v>0</v>
      </c>
      <c r="BT161" s="1245">
        <f>BT160*BT159/1000</f>
        <v>0</v>
      </c>
      <c r="BU161" s="1245">
        <f ca="1">BU160*BU159/1000</f>
        <v>0</v>
      </c>
      <c r="BV161" s="725">
        <f ca="1">BW161+BX161</f>
        <v>0</v>
      </c>
      <c r="BW161" s="1245">
        <f>BW160*BW159/1000</f>
        <v>0</v>
      </c>
      <c r="BX161" s="1245">
        <f ca="1">BX160*BX159/1000</f>
        <v>0</v>
      </c>
      <c r="BY161" s="725">
        <f ca="1">BZ161+CA161</f>
        <v>0</v>
      </c>
      <c r="BZ161" s="1251">
        <f>BZ160*BZ159/1000</f>
        <v>0</v>
      </c>
      <c r="CA161" s="1251">
        <f ca="1">CA160*CA159/1000</f>
        <v>0</v>
      </c>
      <c r="CB161" s="725">
        <f ca="1">CC161+CD161</f>
        <v>0</v>
      </c>
      <c r="CC161" s="1251">
        <f>CC160*CC159/1000</f>
        <v>0</v>
      </c>
      <c r="CD161" s="1251">
        <f ca="1">CD160*CD159/1000</f>
        <v>0</v>
      </c>
      <c r="CE161" s="725">
        <f ca="1">CF161+CG161</f>
        <v>0</v>
      </c>
      <c r="CF161" s="1251">
        <f>CF160*CF159/1000</f>
        <v>0</v>
      </c>
      <c r="CG161" s="1251">
        <f ca="1">CG160*CG159/1000</f>
        <v>0</v>
      </c>
      <c r="CH161" s="725">
        <f ca="1">CI161+CJ161</f>
        <v>0</v>
      </c>
      <c r="CI161" s="1251">
        <f>CI160*CI159/1000</f>
        <v>0</v>
      </c>
      <c r="CJ161" s="1251">
        <f ca="1">CJ160*CJ159/1000</f>
        <v>0</v>
      </c>
      <c r="CK161" s="725">
        <f ca="1">CL161+CM161</f>
        <v>0</v>
      </c>
      <c r="CL161" s="1251">
        <f>CL160*CL159/1000</f>
        <v>0</v>
      </c>
      <c r="CM161" s="1251">
        <f ca="1">CM160*CM159/1000</f>
        <v>0</v>
      </c>
      <c r="CN161" s="725">
        <f ca="1">CO161+CP161</f>
        <v>0</v>
      </c>
      <c r="CO161" s="1251">
        <f>CO160*CO159/1000</f>
        <v>0</v>
      </c>
      <c r="CP161" s="1251">
        <f ca="1">CP160*CP159/1000</f>
        <v>0</v>
      </c>
      <c r="CQ161" s="725">
        <f ca="1">CR161+CS161</f>
        <v>0</v>
      </c>
      <c r="CR161" s="1251">
        <f>CR160*CR159/1000</f>
        <v>0</v>
      </c>
      <c r="CS161" s="1251">
        <f ca="1">CS160*CS159/1000</f>
        <v>0</v>
      </c>
      <c r="CT161" s="1231"/>
      <c r="CW161" s="960" t="s">
        <v>802</v>
      </c>
      <c r="CX161" s="965"/>
      <c r="CY161" s="965"/>
      <c r="CZ161" s="965"/>
      <c r="DA161" s="966"/>
      <c r="DB161" s="966"/>
    </row>
    <row r="162" spans="1:106" s="1167" customFormat="1" ht="16.5" customHeight="1" x14ac:dyDescent="0.15">
      <c r="A162" s="1150"/>
      <c r="B162" s="773"/>
      <c r="C162" s="1150"/>
      <c r="D162" s="1150"/>
      <c r="E162" s="668">
        <v>17.100000000000001</v>
      </c>
      <c r="F162" s="769" t="str" cm="1">
        <f t="array" aca="1" ref="F162" ca="1">OFFSET(G162,-1,-1)</f>
        <v>1</v>
      </c>
      <c r="G162" s="804"/>
      <c r="H162" s="804"/>
      <c r="I162" s="804"/>
      <c r="J162" s="804"/>
      <c r="K162" s="804"/>
      <c r="L162" s="769" t="b" cm="1">
        <f t="array" aca="1" ref="L162" ca="1">OFFSET(M162,-1,-1)</f>
        <v>0</v>
      </c>
      <c r="M162" s="804"/>
      <c r="N162" s="804"/>
      <c r="O162" s="804"/>
      <c r="P162" s="804"/>
      <c r="Q162" s="804"/>
      <c r="R162" s="1150"/>
      <c r="S162" s="107" t="b" cm="1">
        <f t="array" aca="1" ref="S162" ca="1">OFFSET(T162,-1,-1)</f>
        <v>1</v>
      </c>
      <c r="T162" s="1150"/>
      <c r="U162" s="690" t="b">
        <f t="shared" ca="1" si="80"/>
        <v>1</v>
      </c>
      <c r="V162" s="1150"/>
      <c r="W162" s="1150"/>
      <c r="X162" s="1150"/>
      <c r="Y162" s="1428"/>
      <c r="Z162" s="1428"/>
      <c r="AA162" s="691"/>
      <c r="AB162" s="1539"/>
      <c r="AD162" s="108">
        <v>16</v>
      </c>
      <c r="AE162" s="1511" t="s">
        <v>803</v>
      </c>
      <c r="AF162" s="1512"/>
      <c r="AG162" s="108" t="s">
        <v>794</v>
      </c>
      <c r="AH162" s="725">
        <f>AH161+AH158</f>
        <v>13705.401599999999</v>
      </c>
      <c r="AI162" s="725">
        <f>AI161+AI158</f>
        <v>13271.64</v>
      </c>
      <c r="AJ162" s="725">
        <f>AJ161+AJ158</f>
        <v>13552.29</v>
      </c>
      <c r="AK162" s="725">
        <f>AK161+AK158</f>
        <v>13980.05</v>
      </c>
      <c r="AL162" s="725">
        <f ca="1">AM162+AN162</f>
        <v>13305.050783999997</v>
      </c>
      <c r="AM162" s="725">
        <f>AM161+AM158</f>
        <v>6866.2602360000001</v>
      </c>
      <c r="AN162" s="725">
        <f ca="1">AN161+AN158</f>
        <v>6438.7905479999972</v>
      </c>
      <c r="AO162" s="725">
        <f ca="1">AP162+AQ162</f>
        <v>0</v>
      </c>
      <c r="AP162" s="725">
        <f>AP161+AP158</f>
        <v>0</v>
      </c>
      <c r="AQ162" s="725">
        <f ca="1">AQ161+AQ158</f>
        <v>0</v>
      </c>
      <c r="AR162" s="725">
        <f ca="1">AS162+AT162</f>
        <v>0</v>
      </c>
      <c r="AS162" s="725">
        <f>AS161+AS158</f>
        <v>0</v>
      </c>
      <c r="AT162" s="725">
        <f ca="1">AT161+AT158</f>
        <v>0</v>
      </c>
      <c r="AU162" s="725">
        <f ca="1">AV162+AW162</f>
        <v>0</v>
      </c>
      <c r="AV162" s="725">
        <f>AV161+AV158</f>
        <v>0</v>
      </c>
      <c r="AW162" s="725">
        <f ca="1">AW161+AW158</f>
        <v>0</v>
      </c>
      <c r="AX162" s="725">
        <f ca="1">AY162+AZ162</f>
        <v>0</v>
      </c>
      <c r="AY162" s="725">
        <f>AY161+AY158</f>
        <v>0</v>
      </c>
      <c r="AZ162" s="725">
        <f ca="1">AZ161+AZ158</f>
        <v>0</v>
      </c>
      <c r="BA162" s="725">
        <f ca="1">BB162+BC162</f>
        <v>0</v>
      </c>
      <c r="BB162" s="725">
        <f>BB161+BB158</f>
        <v>0</v>
      </c>
      <c r="BC162" s="725">
        <f ca="1">BC161+BC158</f>
        <v>0</v>
      </c>
      <c r="BD162" s="725">
        <f ca="1">BE162+BF162</f>
        <v>0</v>
      </c>
      <c r="BE162" s="725">
        <f>BE161+BE158</f>
        <v>0</v>
      </c>
      <c r="BF162" s="725">
        <f ca="1">BF161+BF158</f>
        <v>0</v>
      </c>
      <c r="BG162" s="725">
        <f ca="1">BH162+BI162</f>
        <v>0</v>
      </c>
      <c r="BH162" s="725">
        <f>BH161+BH158</f>
        <v>0</v>
      </c>
      <c r="BI162" s="725">
        <f ca="1">BI161+BI158</f>
        <v>0</v>
      </c>
      <c r="BJ162" s="725">
        <f ca="1">BK162+BL162</f>
        <v>0</v>
      </c>
      <c r="BK162" s="725">
        <f>BK161+BK158</f>
        <v>0</v>
      </c>
      <c r="BL162" s="725">
        <f ca="1">BL161+BL158</f>
        <v>0</v>
      </c>
      <c r="BM162" s="725">
        <f ca="1">BN162+BO162</f>
        <v>0</v>
      </c>
      <c r="BN162" s="725">
        <f>BN161+BN158</f>
        <v>0</v>
      </c>
      <c r="BO162" s="725">
        <f ca="1">BO161+BO158</f>
        <v>0</v>
      </c>
      <c r="BP162" s="725">
        <f ca="1">BQ162+BR162</f>
        <v>13305.043799999999</v>
      </c>
      <c r="BQ162" s="725">
        <f>BQ161+BQ158</f>
        <v>9601.4425680000004</v>
      </c>
      <c r="BR162" s="725">
        <f ca="1">BR161+BR158</f>
        <v>3703.6012319999995</v>
      </c>
      <c r="BS162" s="725">
        <f ca="1">BT162+BU162</f>
        <v>0</v>
      </c>
      <c r="BT162" s="725">
        <f>BT161+BT158</f>
        <v>0</v>
      </c>
      <c r="BU162" s="725">
        <f ca="1">BU161+BU158</f>
        <v>0</v>
      </c>
      <c r="BV162" s="725">
        <f ca="1">BW162+BX162</f>
        <v>0</v>
      </c>
      <c r="BW162" s="725">
        <f>BW161+BW158</f>
        <v>0</v>
      </c>
      <c r="BX162" s="725">
        <f ca="1">BX161+BX158</f>
        <v>0</v>
      </c>
      <c r="BY162" s="725">
        <f ca="1">BZ162+CA162</f>
        <v>0</v>
      </c>
      <c r="BZ162" s="725">
        <f>BZ161+BZ158</f>
        <v>0</v>
      </c>
      <c r="CA162" s="725">
        <f ca="1">CA161+CA158</f>
        <v>0</v>
      </c>
      <c r="CB162" s="725">
        <f ca="1">CC162+CD162</f>
        <v>0</v>
      </c>
      <c r="CC162" s="725">
        <f>CC161+CC158</f>
        <v>0</v>
      </c>
      <c r="CD162" s="725">
        <f ca="1">CD161+CD158</f>
        <v>0</v>
      </c>
      <c r="CE162" s="725">
        <f ca="1">CF162+CG162</f>
        <v>0</v>
      </c>
      <c r="CF162" s="725">
        <f>CF161+CF158</f>
        <v>0</v>
      </c>
      <c r="CG162" s="725">
        <f ca="1">CG161+CG158</f>
        <v>0</v>
      </c>
      <c r="CH162" s="725">
        <f ca="1">CI162+CJ162</f>
        <v>0</v>
      </c>
      <c r="CI162" s="725">
        <f>CI161+CI158</f>
        <v>0</v>
      </c>
      <c r="CJ162" s="725">
        <f ca="1">CJ161+CJ158</f>
        <v>0</v>
      </c>
      <c r="CK162" s="725">
        <f ca="1">CL162+CM162</f>
        <v>0</v>
      </c>
      <c r="CL162" s="725">
        <f>CL161+CL158</f>
        <v>0</v>
      </c>
      <c r="CM162" s="725">
        <f ca="1">CM161+CM158</f>
        <v>0</v>
      </c>
      <c r="CN162" s="725">
        <f ca="1">CO162+CP162</f>
        <v>0</v>
      </c>
      <c r="CO162" s="725">
        <f>CO161+CO158</f>
        <v>0</v>
      </c>
      <c r="CP162" s="725">
        <f ca="1">CP161+CP158</f>
        <v>0</v>
      </c>
      <c r="CQ162" s="725">
        <f ca="1">CR162+CS162</f>
        <v>0</v>
      </c>
      <c r="CR162" s="725">
        <f>CR161+CR158</f>
        <v>0</v>
      </c>
      <c r="CS162" s="725">
        <f ca="1">CS161+CS158</f>
        <v>0</v>
      </c>
      <c r="CT162" s="1231"/>
      <c r="CW162" s="960" t="s">
        <v>804</v>
      </c>
      <c r="CX162" s="965"/>
      <c r="CY162" s="965"/>
      <c r="CZ162" s="965"/>
      <c r="DA162" s="966"/>
      <c r="DB162" s="966"/>
    </row>
    <row r="163" spans="1:106" s="1167" customFormat="1" ht="16.5" hidden="1" customHeight="1" x14ac:dyDescent="0.15">
      <c r="A163" s="1150"/>
      <c r="B163" s="773"/>
      <c r="C163" s="1150"/>
      <c r="D163" s="1150"/>
      <c r="E163" s="668">
        <v>17.100000000000001</v>
      </c>
      <c r="F163" s="769" t="str" cm="1">
        <f t="array" aca="1" ref="F163" ca="1">OFFSET(G163,-1,-1)</f>
        <v>1</v>
      </c>
      <c r="G163" s="804"/>
      <c r="H163" s="804"/>
      <c r="I163" s="804"/>
      <c r="J163" s="804"/>
      <c r="K163" s="804"/>
      <c r="L163" s="769" t="b" cm="1">
        <f t="array" aca="1" ref="L163" ca="1">OFFSET(M163,-1,-1)</f>
        <v>0</v>
      </c>
      <c r="M163" s="804"/>
      <c r="N163" s="804"/>
      <c r="O163" s="804"/>
      <c r="P163" s="804"/>
      <c r="Q163" s="804"/>
      <c r="R163" s="769" t="s">
        <v>750</v>
      </c>
      <c r="S163" s="107" t="b" cm="1">
        <f t="array" aca="1" ref="S163" ca="1">OFFSET(T163,-1,-1)</f>
        <v>1</v>
      </c>
      <c r="T163" s="107" t="b" cm="1">
        <f t="array" aca="1" ref="T163" ca="1">L163</f>
        <v>0</v>
      </c>
      <c r="U163" s="690" t="b">
        <f t="shared" ca="1" si="80"/>
        <v>0</v>
      </c>
      <c r="V163" s="1150"/>
      <c r="W163" s="1150"/>
      <c r="X163" s="1150"/>
      <c r="Y163" s="1428"/>
      <c r="Z163" s="1428"/>
      <c r="AA163" s="691"/>
      <c r="AB163" s="1539"/>
      <c r="AD163" s="108">
        <v>17</v>
      </c>
      <c r="AE163" s="1511" t="s">
        <v>805</v>
      </c>
      <c r="AF163" s="1512"/>
      <c r="AG163" s="108" t="s">
        <v>521</v>
      </c>
      <c r="AH163" s="731">
        <f t="shared" ref="AH163:BM163" si="81">IFERROR(AH161/AH162,0)</f>
        <v>1</v>
      </c>
      <c r="AI163" s="732">
        <f t="shared" si="81"/>
        <v>1</v>
      </c>
      <c r="AJ163" s="732">
        <f t="shared" si="81"/>
        <v>1</v>
      </c>
      <c r="AK163" s="732">
        <f t="shared" si="81"/>
        <v>1</v>
      </c>
      <c r="AL163" s="732">
        <f t="shared" ca="1" si="81"/>
        <v>1</v>
      </c>
      <c r="AM163" s="732">
        <f t="shared" si="81"/>
        <v>1</v>
      </c>
      <c r="AN163" s="732">
        <f t="shared" ca="1" si="81"/>
        <v>1</v>
      </c>
      <c r="AO163" s="732">
        <f t="shared" ca="1" si="81"/>
        <v>0</v>
      </c>
      <c r="AP163" s="732">
        <f t="shared" si="81"/>
        <v>0</v>
      </c>
      <c r="AQ163" s="732">
        <f t="shared" ca="1" si="81"/>
        <v>0</v>
      </c>
      <c r="AR163" s="732">
        <f t="shared" ca="1" si="81"/>
        <v>0</v>
      </c>
      <c r="AS163" s="732">
        <f t="shared" si="81"/>
        <v>0</v>
      </c>
      <c r="AT163" s="732">
        <f t="shared" ca="1" si="81"/>
        <v>0</v>
      </c>
      <c r="AU163" s="732">
        <f t="shared" ca="1" si="81"/>
        <v>0</v>
      </c>
      <c r="AV163" s="732">
        <f t="shared" si="81"/>
        <v>0</v>
      </c>
      <c r="AW163" s="732">
        <f t="shared" ca="1" si="81"/>
        <v>0</v>
      </c>
      <c r="AX163" s="732">
        <f t="shared" ca="1" si="81"/>
        <v>0</v>
      </c>
      <c r="AY163" s="732">
        <f t="shared" si="81"/>
        <v>0</v>
      </c>
      <c r="AZ163" s="732">
        <f t="shared" ca="1" si="81"/>
        <v>0</v>
      </c>
      <c r="BA163" s="732">
        <f t="shared" ca="1" si="81"/>
        <v>0</v>
      </c>
      <c r="BB163" s="732">
        <f t="shared" si="81"/>
        <v>0</v>
      </c>
      <c r="BC163" s="732">
        <f t="shared" ca="1" si="81"/>
        <v>0</v>
      </c>
      <c r="BD163" s="732">
        <f t="shared" ca="1" si="81"/>
        <v>0</v>
      </c>
      <c r="BE163" s="732">
        <f t="shared" si="81"/>
        <v>0</v>
      </c>
      <c r="BF163" s="732">
        <f t="shared" ca="1" si="81"/>
        <v>0</v>
      </c>
      <c r="BG163" s="732">
        <f t="shared" ca="1" si="81"/>
        <v>0</v>
      </c>
      <c r="BH163" s="732">
        <f t="shared" si="81"/>
        <v>0</v>
      </c>
      <c r="BI163" s="732">
        <f t="shared" ca="1" si="81"/>
        <v>0</v>
      </c>
      <c r="BJ163" s="732">
        <f t="shared" ca="1" si="81"/>
        <v>0</v>
      </c>
      <c r="BK163" s="732">
        <f t="shared" si="81"/>
        <v>0</v>
      </c>
      <c r="BL163" s="732">
        <f t="shared" ca="1" si="81"/>
        <v>0</v>
      </c>
      <c r="BM163" s="732">
        <f t="shared" ca="1" si="81"/>
        <v>0</v>
      </c>
      <c r="BN163" s="732">
        <f t="shared" ref="BN163:CS163" si="82">IFERROR(BN161/BN162,0)</f>
        <v>0</v>
      </c>
      <c r="BO163" s="732">
        <f t="shared" ca="1" si="82"/>
        <v>0</v>
      </c>
      <c r="BP163" s="732">
        <f t="shared" ca="1" si="82"/>
        <v>1</v>
      </c>
      <c r="BQ163" s="732">
        <f t="shared" si="82"/>
        <v>1</v>
      </c>
      <c r="BR163" s="732">
        <f t="shared" ca="1" si="82"/>
        <v>1</v>
      </c>
      <c r="BS163" s="732">
        <f t="shared" ca="1" si="82"/>
        <v>0</v>
      </c>
      <c r="BT163" s="732">
        <f t="shared" si="82"/>
        <v>0</v>
      </c>
      <c r="BU163" s="732">
        <f t="shared" ca="1" si="82"/>
        <v>0</v>
      </c>
      <c r="BV163" s="732">
        <f t="shared" ca="1" si="82"/>
        <v>0</v>
      </c>
      <c r="BW163" s="732">
        <f t="shared" si="82"/>
        <v>0</v>
      </c>
      <c r="BX163" s="732">
        <f t="shared" ca="1" si="82"/>
        <v>0</v>
      </c>
      <c r="BY163" s="732">
        <f t="shared" ca="1" si="82"/>
        <v>0</v>
      </c>
      <c r="BZ163" s="732">
        <f t="shared" si="82"/>
        <v>0</v>
      </c>
      <c r="CA163" s="732">
        <f t="shared" ca="1" si="82"/>
        <v>0</v>
      </c>
      <c r="CB163" s="732">
        <f t="shared" ca="1" si="82"/>
        <v>0</v>
      </c>
      <c r="CC163" s="732">
        <f t="shared" si="82"/>
        <v>0</v>
      </c>
      <c r="CD163" s="732">
        <f t="shared" ca="1" si="82"/>
        <v>0</v>
      </c>
      <c r="CE163" s="732">
        <f t="shared" ca="1" si="82"/>
        <v>0</v>
      </c>
      <c r="CF163" s="732">
        <f t="shared" si="82"/>
        <v>0</v>
      </c>
      <c r="CG163" s="732">
        <f t="shared" ca="1" si="82"/>
        <v>0</v>
      </c>
      <c r="CH163" s="732">
        <f t="shared" ca="1" si="82"/>
        <v>0</v>
      </c>
      <c r="CI163" s="732">
        <f t="shared" si="82"/>
        <v>0</v>
      </c>
      <c r="CJ163" s="732">
        <f t="shared" ca="1" si="82"/>
        <v>0</v>
      </c>
      <c r="CK163" s="732">
        <f t="shared" ca="1" si="82"/>
        <v>0</v>
      </c>
      <c r="CL163" s="732">
        <f t="shared" si="82"/>
        <v>0</v>
      </c>
      <c r="CM163" s="732">
        <f t="shared" ca="1" si="82"/>
        <v>0</v>
      </c>
      <c r="CN163" s="732">
        <f t="shared" ca="1" si="82"/>
        <v>0</v>
      </c>
      <c r="CO163" s="732">
        <f t="shared" si="82"/>
        <v>0</v>
      </c>
      <c r="CP163" s="732">
        <f t="shared" ca="1" si="82"/>
        <v>0</v>
      </c>
      <c r="CQ163" s="732">
        <f t="shared" ca="1" si="82"/>
        <v>0</v>
      </c>
      <c r="CR163" s="732">
        <f t="shared" si="82"/>
        <v>0</v>
      </c>
      <c r="CS163" s="732">
        <f t="shared" ca="1" si="82"/>
        <v>0</v>
      </c>
      <c r="CT163" s="25"/>
      <c r="CW163" s="960" t="s">
        <v>806</v>
      </c>
      <c r="CX163" s="965"/>
      <c r="CY163" s="965"/>
      <c r="CZ163" s="965"/>
      <c r="DA163" s="966"/>
      <c r="DB163" s="966"/>
    </row>
    <row r="164" spans="1:106" s="1167" customFormat="1" ht="16.5" customHeight="1" x14ac:dyDescent="0.15">
      <c r="A164" s="1150"/>
      <c r="B164" s="773"/>
      <c r="C164" s="1150"/>
      <c r="D164" s="1150"/>
      <c r="E164" s="668">
        <v>17.100000000000001</v>
      </c>
      <c r="F164" s="769" t="str" cm="1">
        <f t="array" aca="1" ref="F164" ca="1">OFFSET(G164,-1,-1)</f>
        <v>1</v>
      </c>
      <c r="G164" s="804"/>
      <c r="H164" s="804"/>
      <c r="I164" s="804"/>
      <c r="J164" s="804"/>
      <c r="K164" s="804"/>
      <c r="L164" s="769" t="b" cm="1">
        <f t="array" aca="1" ref="L164" ca="1">OFFSET(M164,-1,-1)</f>
        <v>0</v>
      </c>
      <c r="M164" s="804"/>
      <c r="N164" s="804"/>
      <c r="O164" s="804"/>
      <c r="P164" s="804"/>
      <c r="Q164" s="804"/>
      <c r="R164" s="1150"/>
      <c r="S164" s="107" t="b" cm="1">
        <f t="array" aca="1" ref="S164" ca="1">OFFSET(T164,-1,-1)</f>
        <v>1</v>
      </c>
      <c r="T164" s="1150"/>
      <c r="U164" s="690" t="b">
        <f t="shared" ca="1" si="80"/>
        <v>1</v>
      </c>
      <c r="V164" s="1150"/>
      <c r="W164" s="1150"/>
      <c r="X164" s="1150"/>
      <c r="Y164" s="1428"/>
      <c r="Z164" s="1428"/>
      <c r="AA164" s="691"/>
      <c r="AB164" s="1539"/>
      <c r="AD164" s="108">
        <v>18</v>
      </c>
      <c r="AE164" s="1511" t="s">
        <v>807</v>
      </c>
      <c r="AF164" s="1512"/>
      <c r="AG164" s="108" t="s">
        <v>794</v>
      </c>
      <c r="AH164" s="725">
        <f t="shared" ref="AH164:BM164" si="83">SUM(AH166:AH168)</f>
        <v>13705.401599999999</v>
      </c>
      <c r="AI164" s="725">
        <f t="shared" si="83"/>
        <v>13271.64358674</v>
      </c>
      <c r="AJ164" s="725">
        <f t="shared" si="83"/>
        <v>13552.292611646</v>
      </c>
      <c r="AK164" s="725">
        <f t="shared" si="83"/>
        <v>13980.05</v>
      </c>
      <c r="AL164" s="725">
        <f t="shared" ca="1" si="83"/>
        <v>13305.050783999997</v>
      </c>
      <c r="AM164" s="725">
        <f t="shared" si="83"/>
        <v>6866.2602360000001</v>
      </c>
      <c r="AN164" s="725">
        <f t="shared" ca="1" si="83"/>
        <v>6438.7905479999972</v>
      </c>
      <c r="AO164" s="725">
        <f t="shared" ca="1" si="83"/>
        <v>0</v>
      </c>
      <c r="AP164" s="725">
        <f t="shared" si="83"/>
        <v>0</v>
      </c>
      <c r="AQ164" s="725">
        <f t="shared" ca="1" si="83"/>
        <v>0</v>
      </c>
      <c r="AR164" s="725">
        <f t="shared" ca="1" si="83"/>
        <v>0</v>
      </c>
      <c r="AS164" s="725">
        <f t="shared" si="83"/>
        <v>0</v>
      </c>
      <c r="AT164" s="725">
        <f t="shared" ca="1" si="83"/>
        <v>0</v>
      </c>
      <c r="AU164" s="725">
        <f t="shared" ca="1" si="83"/>
        <v>0</v>
      </c>
      <c r="AV164" s="725">
        <f t="shared" si="83"/>
        <v>0</v>
      </c>
      <c r="AW164" s="725">
        <f t="shared" ca="1" si="83"/>
        <v>0</v>
      </c>
      <c r="AX164" s="725">
        <f t="shared" ca="1" si="83"/>
        <v>0</v>
      </c>
      <c r="AY164" s="725">
        <f t="shared" si="83"/>
        <v>0</v>
      </c>
      <c r="AZ164" s="725">
        <f t="shared" ca="1" si="83"/>
        <v>0</v>
      </c>
      <c r="BA164" s="725">
        <f t="shared" ca="1" si="83"/>
        <v>0</v>
      </c>
      <c r="BB164" s="725">
        <f t="shared" si="83"/>
        <v>0</v>
      </c>
      <c r="BC164" s="725">
        <f t="shared" ca="1" si="83"/>
        <v>0</v>
      </c>
      <c r="BD164" s="725">
        <f t="shared" ca="1" si="83"/>
        <v>0</v>
      </c>
      <c r="BE164" s="725">
        <f t="shared" si="83"/>
        <v>0</v>
      </c>
      <c r="BF164" s="725">
        <f t="shared" ca="1" si="83"/>
        <v>0</v>
      </c>
      <c r="BG164" s="725">
        <f t="shared" ca="1" si="83"/>
        <v>0</v>
      </c>
      <c r="BH164" s="725">
        <f t="shared" si="83"/>
        <v>0</v>
      </c>
      <c r="BI164" s="725">
        <f t="shared" ca="1" si="83"/>
        <v>0</v>
      </c>
      <c r="BJ164" s="725">
        <f t="shared" ca="1" si="83"/>
        <v>0</v>
      </c>
      <c r="BK164" s="725">
        <f t="shared" si="83"/>
        <v>0</v>
      </c>
      <c r="BL164" s="725">
        <f t="shared" ca="1" si="83"/>
        <v>0</v>
      </c>
      <c r="BM164" s="725">
        <f t="shared" ca="1" si="83"/>
        <v>0</v>
      </c>
      <c r="BN164" s="725">
        <f t="shared" ref="BN164:CS164" si="84">SUM(BN166:BN168)</f>
        <v>0</v>
      </c>
      <c r="BO164" s="725">
        <f t="shared" ca="1" si="84"/>
        <v>0</v>
      </c>
      <c r="BP164" s="725">
        <f t="shared" ca="1" si="84"/>
        <v>13305.043799999999</v>
      </c>
      <c r="BQ164" s="725">
        <f t="shared" si="84"/>
        <v>9601.4425680000004</v>
      </c>
      <c r="BR164" s="725">
        <f t="shared" ca="1" si="84"/>
        <v>3703.6012319999995</v>
      </c>
      <c r="BS164" s="725">
        <f t="shared" ca="1" si="84"/>
        <v>0</v>
      </c>
      <c r="BT164" s="725">
        <f t="shared" si="84"/>
        <v>0</v>
      </c>
      <c r="BU164" s="725">
        <f t="shared" ca="1" si="84"/>
        <v>0</v>
      </c>
      <c r="BV164" s="725">
        <f t="shared" ca="1" si="84"/>
        <v>0</v>
      </c>
      <c r="BW164" s="725">
        <f t="shared" si="84"/>
        <v>0</v>
      </c>
      <c r="BX164" s="725">
        <f t="shared" ca="1" si="84"/>
        <v>0</v>
      </c>
      <c r="BY164" s="725">
        <f t="shared" ca="1" si="84"/>
        <v>0</v>
      </c>
      <c r="BZ164" s="725">
        <f t="shared" si="84"/>
        <v>0</v>
      </c>
      <c r="CA164" s="725">
        <f t="shared" ca="1" si="84"/>
        <v>0</v>
      </c>
      <c r="CB164" s="725">
        <f t="shared" ca="1" si="84"/>
        <v>0</v>
      </c>
      <c r="CC164" s="725">
        <f t="shared" si="84"/>
        <v>0</v>
      </c>
      <c r="CD164" s="725">
        <f t="shared" ca="1" si="84"/>
        <v>0</v>
      </c>
      <c r="CE164" s="725">
        <f t="shared" ca="1" si="84"/>
        <v>0</v>
      </c>
      <c r="CF164" s="725">
        <f t="shared" si="84"/>
        <v>0</v>
      </c>
      <c r="CG164" s="725">
        <f t="shared" ca="1" si="84"/>
        <v>0</v>
      </c>
      <c r="CH164" s="725">
        <f t="shared" ca="1" si="84"/>
        <v>0</v>
      </c>
      <c r="CI164" s="725">
        <f t="shared" si="84"/>
        <v>0</v>
      </c>
      <c r="CJ164" s="725">
        <f t="shared" ca="1" si="84"/>
        <v>0</v>
      </c>
      <c r="CK164" s="725">
        <f t="shared" ca="1" si="84"/>
        <v>0</v>
      </c>
      <c r="CL164" s="725">
        <f t="shared" si="84"/>
        <v>0</v>
      </c>
      <c r="CM164" s="725">
        <f t="shared" ca="1" si="84"/>
        <v>0</v>
      </c>
      <c r="CN164" s="725">
        <f t="shared" ca="1" si="84"/>
        <v>0</v>
      </c>
      <c r="CO164" s="725">
        <f t="shared" si="84"/>
        <v>0</v>
      </c>
      <c r="CP164" s="725">
        <f t="shared" ca="1" si="84"/>
        <v>0</v>
      </c>
      <c r="CQ164" s="725">
        <f t="shared" ca="1" si="84"/>
        <v>0</v>
      </c>
      <c r="CR164" s="725">
        <f t="shared" si="84"/>
        <v>0</v>
      </c>
      <c r="CS164" s="725">
        <f t="shared" ca="1" si="84"/>
        <v>0</v>
      </c>
      <c r="CT164" s="1231"/>
      <c r="CW164" s="960" t="s">
        <v>808</v>
      </c>
      <c r="CX164" s="965"/>
      <c r="CY164" s="965"/>
      <c r="CZ164" s="965"/>
      <c r="DA164" s="966"/>
      <c r="DB164" s="966"/>
    </row>
    <row r="165" spans="1:106" s="1167" customFormat="1" ht="16.5" hidden="1" customHeight="1" x14ac:dyDescent="0.15">
      <c r="A165" s="1150"/>
      <c r="B165" s="773"/>
      <c r="C165" s="1150"/>
      <c r="D165" s="1150"/>
      <c r="E165" s="668">
        <v>17.100000000000001</v>
      </c>
      <c r="F165" s="769" t="str" cm="1">
        <f t="array" aca="1" ref="F165" ca="1">OFFSET(G165,-1,-1)</f>
        <v>1</v>
      </c>
      <c r="G165" s="804"/>
      <c r="H165" s="804"/>
      <c r="I165" s="804"/>
      <c r="J165" s="804"/>
      <c r="K165" s="804"/>
      <c r="L165" s="769" t="b" cm="1">
        <f t="array" aca="1" ref="L165" ca="1">OFFSET(M165,-1,-1)</f>
        <v>0</v>
      </c>
      <c r="M165" s="804"/>
      <c r="N165" s="804"/>
      <c r="O165" s="804"/>
      <c r="P165" s="804"/>
      <c r="Q165" s="804"/>
      <c r="R165" s="769" t="s">
        <v>750</v>
      </c>
      <c r="S165" s="107" t="b" cm="1">
        <f t="array" aca="1" ref="S165" ca="1">OFFSET(T165,-1,-1)</f>
        <v>1</v>
      </c>
      <c r="T165" s="107" t="b" cm="1">
        <f t="array" aca="1" ref="T165" ca="1">L165</f>
        <v>0</v>
      </c>
      <c r="U165" s="690" t="b">
        <f t="shared" ca="1" si="80"/>
        <v>0</v>
      </c>
      <c r="V165" s="1150"/>
      <c r="W165" s="1150"/>
      <c r="X165" s="1150"/>
      <c r="Y165" s="1428"/>
      <c r="Z165" s="1428"/>
      <c r="AA165" s="691"/>
      <c r="AB165" s="1539"/>
      <c r="AD165" s="108" t="s">
        <v>809</v>
      </c>
      <c r="AE165" s="1511" t="s">
        <v>761</v>
      </c>
      <c r="AF165" s="1512"/>
      <c r="AG165" s="108" t="s">
        <v>794</v>
      </c>
      <c r="AH165" s="38">
        <f>AH$163*AH164</f>
        <v>13705.401599999999</v>
      </c>
      <c r="AI165" s="39">
        <f>AI$163*AI164</f>
        <v>13271.64358674</v>
      </c>
      <c r="AJ165" s="39">
        <f>AJ$163*AJ164</f>
        <v>13552.292611646</v>
      </c>
      <c r="AK165" s="39">
        <f>AK$163*AK164</f>
        <v>13980.05</v>
      </c>
      <c r="AL165" s="725">
        <f ca="1">AM165+AN165</f>
        <v>13305.050783999997</v>
      </c>
      <c r="AM165" s="39">
        <f>AM$163*AM164</f>
        <v>6866.2602360000001</v>
      </c>
      <c r="AN165" s="39">
        <f ca="1">AN$163*AN164</f>
        <v>6438.7905479999972</v>
      </c>
      <c r="AO165" s="725">
        <f ca="1">AP165+AQ165</f>
        <v>0</v>
      </c>
      <c r="AP165" s="1244">
        <f>AP$163*AP164</f>
        <v>0</v>
      </c>
      <c r="AQ165" s="1244">
        <f ca="1">AQ$163*AQ164</f>
        <v>0</v>
      </c>
      <c r="AR165" s="725">
        <f ca="1">AS165+AT165</f>
        <v>0</v>
      </c>
      <c r="AS165" s="1244">
        <f>AS$163*AS164</f>
        <v>0</v>
      </c>
      <c r="AT165" s="1244">
        <f ca="1">AT$163*AT164</f>
        <v>0</v>
      </c>
      <c r="AU165" s="725">
        <f ca="1">AV165+AW165</f>
        <v>0</v>
      </c>
      <c r="AV165" s="39">
        <f>AV$163*AV164</f>
        <v>0</v>
      </c>
      <c r="AW165" s="39">
        <f ca="1">AW$163*AW164</f>
        <v>0</v>
      </c>
      <c r="AX165" s="725">
        <f ca="1">AY165+AZ165</f>
        <v>0</v>
      </c>
      <c r="AY165" s="39">
        <f>AY$163*AY164</f>
        <v>0</v>
      </c>
      <c r="AZ165" s="39">
        <f ca="1">AZ$163*AZ164</f>
        <v>0</v>
      </c>
      <c r="BA165" s="725">
        <f ca="1">BB165+BC165</f>
        <v>0</v>
      </c>
      <c r="BB165" s="39">
        <f>BB$163*BB164</f>
        <v>0</v>
      </c>
      <c r="BC165" s="39">
        <f ca="1">BC$163*BC164</f>
        <v>0</v>
      </c>
      <c r="BD165" s="725">
        <f ca="1">BE165+BF165</f>
        <v>0</v>
      </c>
      <c r="BE165" s="39">
        <f>BE$163*BE164</f>
        <v>0</v>
      </c>
      <c r="BF165" s="39">
        <f ca="1">BF$163*BF164</f>
        <v>0</v>
      </c>
      <c r="BG165" s="725">
        <f ca="1">BH165+BI165</f>
        <v>0</v>
      </c>
      <c r="BH165" s="39">
        <f>BH$163*BH164</f>
        <v>0</v>
      </c>
      <c r="BI165" s="39">
        <f ca="1">BI$163*BI164</f>
        <v>0</v>
      </c>
      <c r="BJ165" s="725">
        <f ca="1">BK165+BL165</f>
        <v>0</v>
      </c>
      <c r="BK165" s="39">
        <f>BK$163*BK164</f>
        <v>0</v>
      </c>
      <c r="BL165" s="39">
        <f ca="1">BL$163*BL164</f>
        <v>0</v>
      </c>
      <c r="BM165" s="725">
        <f ca="1">BN165+BO165</f>
        <v>0</v>
      </c>
      <c r="BN165" s="39">
        <f>BN$163*BN164</f>
        <v>0</v>
      </c>
      <c r="BO165" s="39">
        <f ca="1">BO$163*BO164</f>
        <v>0</v>
      </c>
      <c r="BP165" s="725">
        <f ca="1">BQ165+BR165</f>
        <v>13305.043799999999</v>
      </c>
      <c r="BQ165" s="816">
        <f>BQ$163*BQ164</f>
        <v>9601.4425680000004</v>
      </c>
      <c r="BR165" s="816">
        <f ca="1">BR$163*BR164</f>
        <v>3703.6012319999995</v>
      </c>
      <c r="BS165" s="725">
        <f ca="1">BT165+BU165</f>
        <v>0</v>
      </c>
      <c r="BT165" s="1244">
        <f>BT$163*BT164</f>
        <v>0</v>
      </c>
      <c r="BU165" s="1244">
        <f ca="1">BU$163*BU164</f>
        <v>0</v>
      </c>
      <c r="BV165" s="725">
        <f ca="1">BW165+BX165</f>
        <v>0</v>
      </c>
      <c r="BW165" s="1244">
        <f>BW$163*BW164</f>
        <v>0</v>
      </c>
      <c r="BX165" s="1244">
        <f ca="1">BX$163*BX164</f>
        <v>0</v>
      </c>
      <c r="BY165" s="725">
        <f ca="1">BZ165+CA165</f>
        <v>0</v>
      </c>
      <c r="BZ165" s="39">
        <f>BZ$163*BZ164</f>
        <v>0</v>
      </c>
      <c r="CA165" s="39">
        <f ca="1">CA$163*CA164</f>
        <v>0</v>
      </c>
      <c r="CB165" s="725">
        <f ca="1">CC165+CD165</f>
        <v>0</v>
      </c>
      <c r="CC165" s="39">
        <f>CC$163*CC164</f>
        <v>0</v>
      </c>
      <c r="CD165" s="39">
        <f ca="1">CD$163*CD164</f>
        <v>0</v>
      </c>
      <c r="CE165" s="725">
        <f ca="1">CF165+CG165</f>
        <v>0</v>
      </c>
      <c r="CF165" s="39">
        <f>CF$163*CF164</f>
        <v>0</v>
      </c>
      <c r="CG165" s="39">
        <f ca="1">CG$163*CG164</f>
        <v>0</v>
      </c>
      <c r="CH165" s="725">
        <f ca="1">CI165+CJ165</f>
        <v>0</v>
      </c>
      <c r="CI165" s="39">
        <f>CI$163*CI164</f>
        <v>0</v>
      </c>
      <c r="CJ165" s="39">
        <f ca="1">CJ$163*CJ164</f>
        <v>0</v>
      </c>
      <c r="CK165" s="725">
        <f ca="1">CL165+CM165</f>
        <v>0</v>
      </c>
      <c r="CL165" s="39">
        <f>CL$163*CL164</f>
        <v>0</v>
      </c>
      <c r="CM165" s="39">
        <f ca="1">CM$163*CM164</f>
        <v>0</v>
      </c>
      <c r="CN165" s="725">
        <f ca="1">CO165+CP165</f>
        <v>0</v>
      </c>
      <c r="CO165" s="39">
        <f>CO$163*CO164</f>
        <v>0</v>
      </c>
      <c r="CP165" s="39">
        <f ca="1">CP$163*CP164</f>
        <v>0</v>
      </c>
      <c r="CQ165" s="725">
        <f ca="1">CR165+CS165</f>
        <v>0</v>
      </c>
      <c r="CR165" s="39">
        <f>CR$163*CR164</f>
        <v>0</v>
      </c>
      <c r="CS165" s="39">
        <f ca="1">CS$163*CS164</f>
        <v>0</v>
      </c>
      <c r="CT165" s="25"/>
      <c r="CW165" s="960" t="s">
        <v>810</v>
      </c>
      <c r="CX165" s="965"/>
      <c r="CY165" s="965"/>
      <c r="CZ165" s="965"/>
      <c r="DA165" s="966"/>
      <c r="DB165" s="966"/>
    </row>
    <row r="166" spans="1:106" s="1167" customFormat="1" ht="16.5" hidden="1" customHeight="1" x14ac:dyDescent="0.15">
      <c r="E166" s="668">
        <v>17.100000000000001</v>
      </c>
      <c r="F166" s="769" t="str" cm="1">
        <f t="array" aca="1" ref="F166" ca="1">OFFSET(G166,-1,-1)</f>
        <v>1</v>
      </c>
      <c r="L166" s="769" t="b" cm="1">
        <f t="array" aca="1" ref="L166" ca="1">OFFSET(M166,-1,-1)</f>
        <v>0</v>
      </c>
      <c r="S166" s="107" t="b" cm="1">
        <f t="array" aca="1" ref="S166" ca="1">OFFSET(T166,-1,-1)</f>
        <v>1</v>
      </c>
      <c r="T166" s="107" t="b">
        <f>AD166&lt;&gt;"18.0"</f>
        <v>0</v>
      </c>
      <c r="U166" s="690" t="b">
        <f t="shared" ca="1" si="80"/>
        <v>0</v>
      </c>
      <c r="X166" s="107" t="s">
        <v>237</v>
      </c>
      <c r="Y166" s="1481"/>
      <c r="Z166" s="1481"/>
      <c r="AB166" s="1539"/>
      <c r="AC166" s="764" t="s">
        <v>218</v>
      </c>
      <c r="AD166" s="108" t="s">
        <v>809</v>
      </c>
      <c r="AE166" s="40"/>
      <c r="AF166" s="41"/>
      <c r="AG166" s="108" t="s">
        <v>794</v>
      </c>
      <c r="AH166" s="38">
        <f>AH$162*AH170</f>
        <v>0</v>
      </c>
      <c r="AI166" s="38">
        <f>AI178*AI174</f>
        <v>0</v>
      </c>
      <c r="AJ166" s="38">
        <f>AJ178*AJ174</f>
        <v>0</v>
      </c>
      <c r="AK166" s="38">
        <f>AK$162*AK170</f>
        <v>0</v>
      </c>
      <c r="AL166" s="725">
        <f ca="1">AM166+AN166</f>
        <v>0</v>
      </c>
      <c r="AM166" s="38">
        <f>AM$162*AM170</f>
        <v>0</v>
      </c>
      <c r="AN166" s="38">
        <f ca="1">AN$162*AN170</f>
        <v>0</v>
      </c>
      <c r="AO166" s="725">
        <f ca="1">AP166+AQ166</f>
        <v>0</v>
      </c>
      <c r="AP166" s="38">
        <f>AP$162*AP170</f>
        <v>0</v>
      </c>
      <c r="AQ166" s="38">
        <f ca="1">AQ$162*AQ170</f>
        <v>0</v>
      </c>
      <c r="AR166" s="725">
        <f ca="1">AS166+AT166</f>
        <v>0</v>
      </c>
      <c r="AS166" s="38">
        <f>AS$162*AS170</f>
        <v>0</v>
      </c>
      <c r="AT166" s="38">
        <f ca="1">AT$162*AT170</f>
        <v>0</v>
      </c>
      <c r="AU166" s="725">
        <f ca="1">AV166+AW166</f>
        <v>0</v>
      </c>
      <c r="AV166" s="38">
        <f>AV$162*AV170</f>
        <v>0</v>
      </c>
      <c r="AW166" s="38">
        <f ca="1">AW$162*AW170</f>
        <v>0</v>
      </c>
      <c r="AX166" s="725">
        <f ca="1">AY166+AZ166</f>
        <v>0</v>
      </c>
      <c r="AY166" s="38">
        <f>AY$162*AY170</f>
        <v>0</v>
      </c>
      <c r="AZ166" s="38">
        <f ca="1">AZ$162*AZ170</f>
        <v>0</v>
      </c>
      <c r="BA166" s="725">
        <f ca="1">BB166+BC166</f>
        <v>0</v>
      </c>
      <c r="BB166" s="38">
        <f>BB$162*BB170</f>
        <v>0</v>
      </c>
      <c r="BC166" s="38">
        <f ca="1">BC$162*BC170</f>
        <v>0</v>
      </c>
      <c r="BD166" s="725">
        <f ca="1">BE166+BF166</f>
        <v>0</v>
      </c>
      <c r="BE166" s="38">
        <f>BE$162*BE170</f>
        <v>0</v>
      </c>
      <c r="BF166" s="38">
        <f ca="1">BF$162*BF170</f>
        <v>0</v>
      </c>
      <c r="BG166" s="725">
        <f ca="1">BH166+BI166</f>
        <v>0</v>
      </c>
      <c r="BH166" s="38">
        <f>BH$162*BH170</f>
        <v>0</v>
      </c>
      <c r="BI166" s="38">
        <f ca="1">BI$162*BI170</f>
        <v>0</v>
      </c>
      <c r="BJ166" s="725">
        <f ca="1">BK166+BL166</f>
        <v>0</v>
      </c>
      <c r="BK166" s="38">
        <f>BK$162*BK170</f>
        <v>0</v>
      </c>
      <c r="BL166" s="38">
        <f ca="1">BL$162*BL170</f>
        <v>0</v>
      </c>
      <c r="BM166" s="725">
        <f ca="1">BN166+BO166</f>
        <v>0</v>
      </c>
      <c r="BN166" s="38">
        <f>BN$162*BN170</f>
        <v>0</v>
      </c>
      <c r="BO166" s="38">
        <f ca="1">BO$162*BO170</f>
        <v>0</v>
      </c>
      <c r="BP166" s="725">
        <f ca="1">BQ166+BR166</f>
        <v>0</v>
      </c>
      <c r="BQ166" s="817">
        <f>BQ$162*BQ170</f>
        <v>0</v>
      </c>
      <c r="BR166" s="817">
        <f ca="1">BR$162*BR170</f>
        <v>0</v>
      </c>
      <c r="BS166" s="725">
        <f ca="1">BT166+BU166</f>
        <v>0</v>
      </c>
      <c r="BT166" s="38">
        <f>BT$162*BT170</f>
        <v>0</v>
      </c>
      <c r="BU166" s="38">
        <f ca="1">BU$162*BU170</f>
        <v>0</v>
      </c>
      <c r="BV166" s="725">
        <f ca="1">BW166+BX166</f>
        <v>0</v>
      </c>
      <c r="BW166" s="38">
        <f>BW$162*BW170</f>
        <v>0</v>
      </c>
      <c r="BX166" s="38">
        <f ca="1">BX$162*BX170</f>
        <v>0</v>
      </c>
      <c r="BY166" s="725">
        <f ca="1">BZ166+CA166</f>
        <v>0</v>
      </c>
      <c r="BZ166" s="38">
        <f>BZ$162*BZ170</f>
        <v>0</v>
      </c>
      <c r="CA166" s="38">
        <f ca="1">CA$162*CA170</f>
        <v>0</v>
      </c>
      <c r="CB166" s="725">
        <f ca="1">CC166+CD166</f>
        <v>0</v>
      </c>
      <c r="CC166" s="38">
        <f>CC$162*CC170</f>
        <v>0</v>
      </c>
      <c r="CD166" s="38">
        <f ca="1">CD$162*CD170</f>
        <v>0</v>
      </c>
      <c r="CE166" s="725">
        <f ca="1">CF166+CG166</f>
        <v>0</v>
      </c>
      <c r="CF166" s="38">
        <f>CF$162*CF170</f>
        <v>0</v>
      </c>
      <c r="CG166" s="38">
        <f ca="1">CG$162*CG170</f>
        <v>0</v>
      </c>
      <c r="CH166" s="725">
        <f ca="1">CI166+CJ166</f>
        <v>0</v>
      </c>
      <c r="CI166" s="38">
        <f>CI$162*CI170</f>
        <v>0</v>
      </c>
      <c r="CJ166" s="38">
        <f ca="1">CJ$162*CJ170</f>
        <v>0</v>
      </c>
      <c r="CK166" s="725">
        <f ca="1">CL166+CM166</f>
        <v>0</v>
      </c>
      <c r="CL166" s="38">
        <f>CL$162*CL170</f>
        <v>0</v>
      </c>
      <c r="CM166" s="38">
        <f ca="1">CM$162*CM170</f>
        <v>0</v>
      </c>
      <c r="CN166" s="725">
        <f ca="1">CO166+CP166</f>
        <v>0</v>
      </c>
      <c r="CO166" s="38">
        <f>CO$162*CO170</f>
        <v>0</v>
      </c>
      <c r="CP166" s="38">
        <f ca="1">CP$162*CP170</f>
        <v>0</v>
      </c>
      <c r="CQ166" s="725">
        <f ca="1">CR166+CS166</f>
        <v>0</v>
      </c>
      <c r="CR166" s="38">
        <f>CR$162*CR170</f>
        <v>0</v>
      </c>
      <c r="CS166" s="38">
        <f ca="1">CS$162*CS170</f>
        <v>0</v>
      </c>
      <c r="CT166" s="25"/>
      <c r="CW166" s="960" t="s">
        <v>811</v>
      </c>
      <c r="CX166" s="965" t="s">
        <v>812</v>
      </c>
      <c r="CY166" s="969" cm="1">
        <f t="array" ref="CY166">AE166</f>
        <v>0</v>
      </c>
      <c r="CZ166" s="969" cm="1">
        <f t="array" ref="CZ166">AF166</f>
        <v>0</v>
      </c>
      <c r="DA166" s="966"/>
      <c r="DB166" s="966" t="b">
        <v>1</v>
      </c>
    </row>
    <row r="167" spans="1:106" s="1167" customFormat="1" ht="16.5" customHeight="1" x14ac:dyDescent="0.15">
      <c r="E167" s="668">
        <v>17.100000000000001</v>
      </c>
      <c r="F167" s="769" t="str" cm="1">
        <f t="array" aca="1" ref="F167" ca="1">OFFSET(G167,-1,-1)</f>
        <v>1</v>
      </c>
      <c r="L167" s="769" t="b" cm="1">
        <f t="array" aca="1" ref="L167" ca="1">OFFSET(M167,-1,-1)</f>
        <v>0</v>
      </c>
      <c r="S167" s="107" t="b" cm="1">
        <f t="array" aca="1" ref="S167" ca="1">OFFSET(T167,-1,-1)</f>
        <v>1</v>
      </c>
      <c r="T167" s="107" t="b">
        <f>AD167&lt;&gt;"18.0"</f>
        <v>1</v>
      </c>
      <c r="U167" s="690" t="b">
        <f t="shared" ca="1" si="80"/>
        <v>1</v>
      </c>
      <c r="X167" s="107"/>
      <c r="Y167" s="1481"/>
      <c r="Z167" s="1481"/>
      <c r="AB167" s="1539"/>
      <c r="AC167" s="764" t="s">
        <v>218</v>
      </c>
      <c r="AD167" s="108" t="s">
        <v>588</v>
      </c>
      <c r="AE167" s="1252" t="s">
        <v>922</v>
      </c>
      <c r="AF167" s="1253"/>
      <c r="AG167" s="108" t="s">
        <v>794</v>
      </c>
      <c r="AH167" s="1251">
        <f>AH$162*AH171</f>
        <v>13705.401599999999</v>
      </c>
      <c r="AI167" s="1251">
        <f>AI179*AI175</f>
        <v>13271.64358674</v>
      </c>
      <c r="AJ167" s="1251">
        <f>AJ179*AJ175</f>
        <v>13552.292611646</v>
      </c>
      <c r="AK167" s="1251">
        <f>AK$162*AK171</f>
        <v>13980.05</v>
      </c>
      <c r="AL167" s="725">
        <f ca="1">AM167+AN167</f>
        <v>13305.050783999997</v>
      </c>
      <c r="AM167" s="1251">
        <f>AM$162*AM171</f>
        <v>6866.2602360000001</v>
      </c>
      <c r="AN167" s="1251">
        <f ca="1">AN$162*AN171</f>
        <v>6438.7905479999972</v>
      </c>
      <c r="AO167" s="725">
        <f ca="1">AP167+AQ167</f>
        <v>0</v>
      </c>
      <c r="AP167" s="1251">
        <f>AP$162*AP171</f>
        <v>0</v>
      </c>
      <c r="AQ167" s="1251">
        <f ca="1">AQ$162*AQ171</f>
        <v>0</v>
      </c>
      <c r="AR167" s="725">
        <f ca="1">AS167+AT167</f>
        <v>0</v>
      </c>
      <c r="AS167" s="1251">
        <f>AS$162*AS171</f>
        <v>0</v>
      </c>
      <c r="AT167" s="1251">
        <f ca="1">AT$162*AT171</f>
        <v>0</v>
      </c>
      <c r="AU167" s="725">
        <f ca="1">AV167+AW167</f>
        <v>0</v>
      </c>
      <c r="AV167" s="1251">
        <f>AV$162*AV171</f>
        <v>0</v>
      </c>
      <c r="AW167" s="1251">
        <f ca="1">AW$162*AW171</f>
        <v>0</v>
      </c>
      <c r="AX167" s="725">
        <f ca="1">AY167+AZ167</f>
        <v>0</v>
      </c>
      <c r="AY167" s="1251">
        <f>AY$162*AY171</f>
        <v>0</v>
      </c>
      <c r="AZ167" s="1251">
        <f ca="1">AZ$162*AZ171</f>
        <v>0</v>
      </c>
      <c r="BA167" s="725">
        <f ca="1">BB167+BC167</f>
        <v>0</v>
      </c>
      <c r="BB167" s="1251">
        <f>BB$162*BB171</f>
        <v>0</v>
      </c>
      <c r="BC167" s="1251">
        <f ca="1">BC$162*BC171</f>
        <v>0</v>
      </c>
      <c r="BD167" s="725">
        <f ca="1">BE167+BF167</f>
        <v>0</v>
      </c>
      <c r="BE167" s="1251">
        <f>BE$162*BE171</f>
        <v>0</v>
      </c>
      <c r="BF167" s="1251">
        <f ca="1">BF$162*BF171</f>
        <v>0</v>
      </c>
      <c r="BG167" s="725">
        <f ca="1">BH167+BI167</f>
        <v>0</v>
      </c>
      <c r="BH167" s="1251">
        <f>BH$162*BH171</f>
        <v>0</v>
      </c>
      <c r="BI167" s="1251">
        <f ca="1">BI$162*BI171</f>
        <v>0</v>
      </c>
      <c r="BJ167" s="725">
        <f ca="1">BK167+BL167</f>
        <v>0</v>
      </c>
      <c r="BK167" s="1251">
        <f>BK$162*BK171</f>
        <v>0</v>
      </c>
      <c r="BL167" s="1251">
        <f ca="1">BL$162*BL171</f>
        <v>0</v>
      </c>
      <c r="BM167" s="725">
        <f ca="1">BN167+BO167</f>
        <v>0</v>
      </c>
      <c r="BN167" s="1251">
        <f>BN$162*BN171</f>
        <v>0</v>
      </c>
      <c r="BO167" s="1251">
        <f ca="1">BO$162*BO171</f>
        <v>0</v>
      </c>
      <c r="BP167" s="725">
        <f ca="1">BQ167+BR167</f>
        <v>13305.043799999999</v>
      </c>
      <c r="BQ167" s="817">
        <f>BQ$162*BQ171</f>
        <v>9601.4425680000004</v>
      </c>
      <c r="BR167" s="817">
        <f ca="1">BR$162*BR171</f>
        <v>3703.6012319999995</v>
      </c>
      <c r="BS167" s="725">
        <f ca="1">BT167+BU167</f>
        <v>0</v>
      </c>
      <c r="BT167" s="1251">
        <f>BT$162*BT171</f>
        <v>0</v>
      </c>
      <c r="BU167" s="1251">
        <f ca="1">BU$162*BU171</f>
        <v>0</v>
      </c>
      <c r="BV167" s="725">
        <f ca="1">BW167+BX167</f>
        <v>0</v>
      </c>
      <c r="BW167" s="1251">
        <f>BW$162*BW171</f>
        <v>0</v>
      </c>
      <c r="BX167" s="1251">
        <f ca="1">BX$162*BX171</f>
        <v>0</v>
      </c>
      <c r="BY167" s="725">
        <f ca="1">BZ167+CA167</f>
        <v>0</v>
      </c>
      <c r="BZ167" s="1251">
        <f>BZ$162*BZ171</f>
        <v>0</v>
      </c>
      <c r="CA167" s="1251">
        <f ca="1">CA$162*CA171</f>
        <v>0</v>
      </c>
      <c r="CB167" s="725">
        <f ca="1">CC167+CD167</f>
        <v>0</v>
      </c>
      <c r="CC167" s="1251">
        <f>CC$162*CC171</f>
        <v>0</v>
      </c>
      <c r="CD167" s="1251">
        <f ca="1">CD$162*CD171</f>
        <v>0</v>
      </c>
      <c r="CE167" s="725">
        <f ca="1">CF167+CG167</f>
        <v>0</v>
      </c>
      <c r="CF167" s="1251">
        <f>CF$162*CF171</f>
        <v>0</v>
      </c>
      <c r="CG167" s="1251">
        <f ca="1">CG$162*CG171</f>
        <v>0</v>
      </c>
      <c r="CH167" s="725">
        <f ca="1">CI167+CJ167</f>
        <v>0</v>
      </c>
      <c r="CI167" s="1251">
        <f>CI$162*CI171</f>
        <v>0</v>
      </c>
      <c r="CJ167" s="1251">
        <f ca="1">CJ$162*CJ171</f>
        <v>0</v>
      </c>
      <c r="CK167" s="725">
        <f ca="1">CL167+CM167</f>
        <v>0</v>
      </c>
      <c r="CL167" s="1251">
        <f>CL$162*CL171</f>
        <v>0</v>
      </c>
      <c r="CM167" s="1251">
        <f ca="1">CM$162*CM171</f>
        <v>0</v>
      </c>
      <c r="CN167" s="725">
        <f ca="1">CO167+CP167</f>
        <v>0</v>
      </c>
      <c r="CO167" s="1251">
        <f>CO$162*CO171</f>
        <v>0</v>
      </c>
      <c r="CP167" s="1251">
        <f ca="1">CP$162*CP171</f>
        <v>0</v>
      </c>
      <c r="CQ167" s="725">
        <f ca="1">CR167+CS167</f>
        <v>0</v>
      </c>
      <c r="CR167" s="1251">
        <f>CR$162*CR171</f>
        <v>0</v>
      </c>
      <c r="CS167" s="1251">
        <f ca="1">CS$162*CS171</f>
        <v>0</v>
      </c>
      <c r="CT167" s="1231"/>
      <c r="CW167" s="960" t="s">
        <v>811</v>
      </c>
      <c r="CX167" s="965" t="s">
        <v>812</v>
      </c>
      <c r="CY167" s="969" t="str" cm="1">
        <f t="array" ref="CY167">AE167</f>
        <v>Уголь длиннопламенный</v>
      </c>
      <c r="CZ167" s="969" cm="1">
        <f t="array" ref="CZ167">AF167</f>
        <v>0</v>
      </c>
      <c r="DA167" s="966"/>
      <c r="DB167" s="966" t="b">
        <v>1</v>
      </c>
    </row>
    <row r="168" spans="1:106" s="1167" customFormat="1" ht="16.5" customHeight="1" x14ac:dyDescent="0.15">
      <c r="A168" s="1150"/>
      <c r="B168" s="773"/>
      <c r="C168" s="1150"/>
      <c r="D168" s="1150"/>
      <c r="E168" s="668">
        <v>17.100000000000001</v>
      </c>
      <c r="F168" s="769" t="str" cm="1">
        <f t="array" aca="1" ref="F168" ca="1">OFFSET(G168,-1,-1)</f>
        <v>1</v>
      </c>
      <c r="G168" s="804"/>
      <c r="H168" s="804"/>
      <c r="I168" s="804"/>
      <c r="J168" s="804"/>
      <c r="K168" s="804"/>
      <c r="L168" s="769" t="b" cm="1">
        <f t="array" aca="1" ref="L168" ca="1">OFFSET(M168,-1,-1)</f>
        <v>0</v>
      </c>
      <c r="M168" s="804"/>
      <c r="N168" s="804"/>
      <c r="O168" s="804"/>
      <c r="P168" s="804"/>
      <c r="Q168" s="804"/>
      <c r="R168" s="1150"/>
      <c r="S168" s="107" t="b" cm="1">
        <f t="array" aca="1" ref="S168" ca="1">OFFSET(T168,-1,-1)</f>
        <v>1</v>
      </c>
      <c r="T168" s="1150"/>
      <c r="U168" s="690" t="b">
        <f t="shared" ca="1" si="80"/>
        <v>1</v>
      </c>
      <c r="V168" s="1150"/>
      <c r="W168" s="1150"/>
      <c r="X168" s="810" t="str">
        <f>"{                  
         funcDyn: 'msg',
         blok: 'blok_2',
         wsCross: 'Топливо 4.4',
         linkFormula: 'AE-AE#AF-AF',
         levelDyn: "&amp;Y139&amp;"
}"</f>
        <v>{                  
         funcDyn: 'msg',
         blok: 'blok_2',
         wsCross: 'Топливо 4.4',
         linkFormula: 'AE-AE#AF-AF',
         levelDyn: 1
}</v>
      </c>
      <c r="Y168" s="1428"/>
      <c r="Z168" s="1428"/>
      <c r="AA168" s="691"/>
      <c r="AB168" s="1539"/>
      <c r="AD168" s="246"/>
      <c r="AE168" s="753" t="s">
        <v>239</v>
      </c>
      <c r="AF168" s="753"/>
      <c r="AG168" s="753"/>
      <c r="AH168" s="753"/>
      <c r="AI168" s="753"/>
      <c r="AJ168" s="753"/>
      <c r="AK168" s="753"/>
      <c r="AL168" s="753"/>
      <c r="AM168" s="753"/>
      <c r="AN168" s="753"/>
      <c r="AO168" s="753"/>
      <c r="AP168" s="753"/>
      <c r="AQ168" s="753"/>
      <c r="AR168" s="753"/>
      <c r="AS168" s="753"/>
      <c r="AT168" s="753"/>
      <c r="AU168" s="753"/>
      <c r="AV168" s="753"/>
      <c r="AW168" s="753"/>
      <c r="AX168" s="753"/>
      <c r="AY168" s="753"/>
      <c r="AZ168" s="753"/>
      <c r="BA168" s="753"/>
      <c r="BB168" s="753"/>
      <c r="BC168" s="753"/>
      <c r="BD168" s="753"/>
      <c r="BE168" s="753"/>
      <c r="BF168" s="753"/>
      <c r="BG168" s="753"/>
      <c r="BH168" s="753"/>
      <c r="BI168" s="753"/>
      <c r="BJ168" s="753"/>
      <c r="BK168" s="753"/>
      <c r="BL168" s="753"/>
      <c r="BM168" s="753"/>
      <c r="BN168" s="753"/>
      <c r="BO168" s="753"/>
      <c r="BP168" s="753"/>
      <c r="BQ168" s="753"/>
      <c r="BR168" s="753"/>
      <c r="BS168" s="753"/>
      <c r="BT168" s="753"/>
      <c r="BU168" s="753"/>
      <c r="BV168" s="753"/>
      <c r="BW168" s="753"/>
      <c r="BX168" s="753"/>
      <c r="BY168" s="753"/>
      <c r="BZ168" s="753"/>
      <c r="CA168" s="753"/>
      <c r="CB168" s="753"/>
      <c r="CC168" s="753"/>
      <c r="CD168" s="753"/>
      <c r="CE168" s="753"/>
      <c r="CF168" s="753"/>
      <c r="CG168" s="753"/>
      <c r="CH168" s="753"/>
      <c r="CI168" s="753"/>
      <c r="CJ168" s="753"/>
      <c r="CK168" s="753"/>
      <c r="CL168" s="753"/>
      <c r="CM168" s="753"/>
      <c r="CN168" s="753"/>
      <c r="CO168" s="753"/>
      <c r="CP168" s="753"/>
      <c r="CQ168" s="753"/>
      <c r="CR168" s="753"/>
      <c r="CS168" s="753"/>
      <c r="CT168" s="894"/>
      <c r="CW168" s="960" t="str">
        <f>IF(AND(ISNUMBER(VALUE(TRIM(SUBSTITUTE(AD168,".","")))),TRIM(SUBSTITUTE(AD168,".",""))&lt;&gt;""),"P"&amp;SUBSTITUTE(AD168,".",""),"")</f>
        <v/>
      </c>
      <c r="CX168" s="965"/>
      <c r="CY168" s="965"/>
      <c r="CZ168" s="965"/>
      <c r="DA168" s="966" t="s">
        <v>812</v>
      </c>
      <c r="DB168" s="966"/>
    </row>
    <row r="169" spans="1:106" s="1167" customFormat="1" ht="16.5" customHeight="1" x14ac:dyDescent="0.15">
      <c r="A169" s="1150"/>
      <c r="B169" s="773"/>
      <c r="C169" s="1150"/>
      <c r="D169" s="1150"/>
      <c r="E169" s="668">
        <v>17.100000000000001</v>
      </c>
      <c r="F169" s="769" t="str" cm="1">
        <f t="array" aca="1" ref="F169" ca="1">OFFSET(G169,-1,-1)</f>
        <v>1</v>
      </c>
      <c r="G169" s="804"/>
      <c r="H169" s="804"/>
      <c r="I169" s="804"/>
      <c r="J169" s="804"/>
      <c r="K169" s="804"/>
      <c r="L169" s="769" t="b" cm="1">
        <f t="array" aca="1" ref="L169" ca="1">OFFSET(M169,-1,-1)</f>
        <v>0</v>
      </c>
      <c r="M169" s="804"/>
      <c r="N169" s="804"/>
      <c r="O169" s="804"/>
      <c r="P169" s="804"/>
      <c r="Q169" s="804"/>
      <c r="R169" s="1150"/>
      <c r="S169" s="107" t="b" cm="1">
        <f t="array" aca="1" ref="S169" ca="1">OFFSET(T169,-1,-1)</f>
        <v>1</v>
      </c>
      <c r="T169" s="1150"/>
      <c r="U169" s="690" t="b">
        <f t="shared" ca="1" si="80"/>
        <v>1</v>
      </c>
      <c r="V169" s="1150"/>
      <c r="W169" s="1150"/>
      <c r="X169" s="1150"/>
      <c r="Y169" s="1428"/>
      <c r="Z169" s="1428"/>
      <c r="AA169" s="691"/>
      <c r="AB169" s="1539"/>
      <c r="AD169" s="108">
        <v>19</v>
      </c>
      <c r="AE169" s="1533" t="s">
        <v>813</v>
      </c>
      <c r="AF169" s="1534"/>
      <c r="AG169" s="532" t="s">
        <v>521</v>
      </c>
      <c r="AH169" s="752">
        <f t="shared" ref="AH169:BM169" si="85">SUM(AH170:AH172)</f>
        <v>1</v>
      </c>
      <c r="AI169" s="752">
        <f t="shared" si="85"/>
        <v>1</v>
      </c>
      <c r="AJ169" s="752">
        <f t="shared" si="85"/>
        <v>1</v>
      </c>
      <c r="AK169" s="752">
        <f t="shared" si="85"/>
        <v>1</v>
      </c>
      <c r="AL169" s="752">
        <f t="shared" ca="1" si="85"/>
        <v>1</v>
      </c>
      <c r="AM169" s="752">
        <f t="shared" si="85"/>
        <v>1</v>
      </c>
      <c r="AN169" s="752">
        <f t="shared" si="85"/>
        <v>1</v>
      </c>
      <c r="AO169" s="752">
        <f t="shared" ca="1" si="85"/>
        <v>0</v>
      </c>
      <c r="AP169" s="752">
        <f t="shared" si="85"/>
        <v>0</v>
      </c>
      <c r="AQ169" s="752">
        <f t="shared" si="85"/>
        <v>0</v>
      </c>
      <c r="AR169" s="752">
        <f t="shared" ca="1" si="85"/>
        <v>0</v>
      </c>
      <c r="AS169" s="752">
        <f t="shared" si="85"/>
        <v>0</v>
      </c>
      <c r="AT169" s="752">
        <f t="shared" si="85"/>
        <v>0</v>
      </c>
      <c r="AU169" s="752">
        <f t="shared" ca="1" si="85"/>
        <v>0</v>
      </c>
      <c r="AV169" s="752">
        <f t="shared" si="85"/>
        <v>0</v>
      </c>
      <c r="AW169" s="752">
        <f t="shared" si="85"/>
        <v>0</v>
      </c>
      <c r="AX169" s="752">
        <f t="shared" ca="1" si="85"/>
        <v>0</v>
      </c>
      <c r="AY169" s="752">
        <f t="shared" si="85"/>
        <v>0</v>
      </c>
      <c r="AZ169" s="752">
        <f t="shared" si="85"/>
        <v>0</v>
      </c>
      <c r="BA169" s="752">
        <f t="shared" ca="1" si="85"/>
        <v>0</v>
      </c>
      <c r="BB169" s="752">
        <f t="shared" si="85"/>
        <v>0</v>
      </c>
      <c r="BC169" s="752">
        <f t="shared" si="85"/>
        <v>0</v>
      </c>
      <c r="BD169" s="752">
        <f t="shared" ca="1" si="85"/>
        <v>0</v>
      </c>
      <c r="BE169" s="752">
        <f t="shared" si="85"/>
        <v>0</v>
      </c>
      <c r="BF169" s="752">
        <f t="shared" si="85"/>
        <v>0</v>
      </c>
      <c r="BG169" s="752">
        <f t="shared" ca="1" si="85"/>
        <v>0</v>
      </c>
      <c r="BH169" s="752">
        <f t="shared" si="85"/>
        <v>0</v>
      </c>
      <c r="BI169" s="752">
        <f t="shared" si="85"/>
        <v>0</v>
      </c>
      <c r="BJ169" s="752">
        <f t="shared" ca="1" si="85"/>
        <v>0</v>
      </c>
      <c r="BK169" s="752">
        <f t="shared" si="85"/>
        <v>0</v>
      </c>
      <c r="BL169" s="752">
        <f t="shared" si="85"/>
        <v>0</v>
      </c>
      <c r="BM169" s="752">
        <f t="shared" ca="1" si="85"/>
        <v>0</v>
      </c>
      <c r="BN169" s="752">
        <f t="shared" ref="BN169:CS169" si="86">SUM(BN170:BN172)</f>
        <v>0</v>
      </c>
      <c r="BO169" s="752">
        <f t="shared" si="86"/>
        <v>0</v>
      </c>
      <c r="BP169" s="752">
        <f t="shared" ca="1" si="86"/>
        <v>1</v>
      </c>
      <c r="BQ169" s="752">
        <f t="shared" si="86"/>
        <v>1</v>
      </c>
      <c r="BR169" s="752">
        <f t="shared" si="86"/>
        <v>1</v>
      </c>
      <c r="BS169" s="752">
        <f t="shared" ca="1" si="86"/>
        <v>0</v>
      </c>
      <c r="BT169" s="752">
        <f t="shared" si="86"/>
        <v>0</v>
      </c>
      <c r="BU169" s="752">
        <f t="shared" si="86"/>
        <v>0</v>
      </c>
      <c r="BV169" s="752">
        <f t="shared" ca="1" si="86"/>
        <v>0</v>
      </c>
      <c r="BW169" s="752">
        <f t="shared" si="86"/>
        <v>0</v>
      </c>
      <c r="BX169" s="752">
        <f t="shared" si="86"/>
        <v>0</v>
      </c>
      <c r="BY169" s="752">
        <f t="shared" ca="1" si="86"/>
        <v>0</v>
      </c>
      <c r="BZ169" s="752">
        <f t="shared" si="86"/>
        <v>0</v>
      </c>
      <c r="CA169" s="752">
        <f t="shared" si="86"/>
        <v>0</v>
      </c>
      <c r="CB169" s="752">
        <f t="shared" ca="1" si="86"/>
        <v>0</v>
      </c>
      <c r="CC169" s="752">
        <f t="shared" si="86"/>
        <v>0</v>
      </c>
      <c r="CD169" s="752">
        <f t="shared" si="86"/>
        <v>0</v>
      </c>
      <c r="CE169" s="752">
        <f t="shared" ca="1" si="86"/>
        <v>0</v>
      </c>
      <c r="CF169" s="752">
        <f t="shared" si="86"/>
        <v>0</v>
      </c>
      <c r="CG169" s="752">
        <f t="shared" si="86"/>
        <v>0</v>
      </c>
      <c r="CH169" s="752">
        <f t="shared" ca="1" si="86"/>
        <v>0</v>
      </c>
      <c r="CI169" s="752">
        <f t="shared" si="86"/>
        <v>0</v>
      </c>
      <c r="CJ169" s="752">
        <f t="shared" si="86"/>
        <v>0</v>
      </c>
      <c r="CK169" s="752">
        <f t="shared" ca="1" si="86"/>
        <v>0</v>
      </c>
      <c r="CL169" s="752">
        <f t="shared" si="86"/>
        <v>0</v>
      </c>
      <c r="CM169" s="752">
        <f t="shared" si="86"/>
        <v>0</v>
      </c>
      <c r="CN169" s="752">
        <f t="shared" ca="1" si="86"/>
        <v>0</v>
      </c>
      <c r="CO169" s="752">
        <f t="shared" si="86"/>
        <v>0</v>
      </c>
      <c r="CP169" s="752">
        <f t="shared" si="86"/>
        <v>0</v>
      </c>
      <c r="CQ169" s="752">
        <f t="shared" ca="1" si="86"/>
        <v>0</v>
      </c>
      <c r="CR169" s="752">
        <f t="shared" si="86"/>
        <v>0</v>
      </c>
      <c r="CS169" s="752">
        <f t="shared" si="86"/>
        <v>0</v>
      </c>
      <c r="CT169" s="1239"/>
      <c r="CW169" s="960" t="s">
        <v>814</v>
      </c>
      <c r="CX169" s="965"/>
      <c r="CY169" s="965"/>
      <c r="CZ169" s="965"/>
      <c r="DA169" s="966"/>
      <c r="DB169" s="966"/>
    </row>
    <row r="170" spans="1:106" s="1167" customFormat="1" ht="16.5" hidden="1" customHeight="1" x14ac:dyDescent="0.15">
      <c r="E170" s="668">
        <v>17.100000000000001</v>
      </c>
      <c r="F170" s="769" t="str" cm="1">
        <f t="array" aca="1" ref="F170" ca="1">OFFSET(G170,-1,-1)</f>
        <v>1</v>
      </c>
      <c r="L170" s="769" t="b" cm="1">
        <f t="array" aca="1" ref="L170" ca="1">OFFSET(M170,-1,-1)</f>
        <v>0</v>
      </c>
      <c r="S170" s="107" t="b" cm="1">
        <f t="array" aca="1" ref="S170" ca="1">OFFSET(T170,-1,-1)</f>
        <v>1</v>
      </c>
      <c r="T170" s="107" t="b">
        <f>AD170&lt;&gt;"19.0"</f>
        <v>0</v>
      </c>
      <c r="U170" s="690" t="b">
        <f t="shared" ca="1" si="80"/>
        <v>0</v>
      </c>
      <c r="X170" s="107" t="s">
        <v>237</v>
      </c>
      <c r="Y170" s="1481"/>
      <c r="Z170" s="1481"/>
      <c r="AB170" s="1539"/>
      <c r="AD170" s="108" t="s">
        <v>815</v>
      </c>
      <c r="AE170" s="811"/>
      <c r="AF170" s="516"/>
      <c r="AG170" s="108" t="s">
        <v>521</v>
      </c>
      <c r="AH170" s="42"/>
      <c r="AI170" s="42">
        <f>IFERROR(AI166/AI$164,0)</f>
        <v>0</v>
      </c>
      <c r="AJ170" s="42">
        <f>IFERROR(AJ166/AJ$164,0)</f>
        <v>0</v>
      </c>
      <c r="AK170" s="42"/>
      <c r="AL170" s="731">
        <f ca="1">IFERROR(AL166/AL$162,0)</f>
        <v>0</v>
      </c>
      <c r="AM170" s="42"/>
      <c r="AN170" s="42"/>
      <c r="AO170" s="731">
        <f ca="1">IFERROR(AO166/AO$162,0)</f>
        <v>0</v>
      </c>
      <c r="AP170" s="42"/>
      <c r="AQ170" s="42"/>
      <c r="AR170" s="731">
        <f ca="1">IFERROR(AR166/AR$162,0)</f>
        <v>0</v>
      </c>
      <c r="AS170" s="42"/>
      <c r="AT170" s="42"/>
      <c r="AU170" s="731">
        <f ca="1">IFERROR(AU166/AU$162,0)</f>
        <v>0</v>
      </c>
      <c r="AV170" s="42"/>
      <c r="AW170" s="42"/>
      <c r="AX170" s="731">
        <f ca="1">IFERROR(AX166/AX$162,0)</f>
        <v>0</v>
      </c>
      <c r="AY170" s="42"/>
      <c r="AZ170" s="42"/>
      <c r="BA170" s="731">
        <f ca="1">IFERROR(BA166/BA$162,0)</f>
        <v>0</v>
      </c>
      <c r="BB170" s="42"/>
      <c r="BC170" s="42"/>
      <c r="BD170" s="731">
        <f ca="1">IFERROR(BD166/BD$162,0)</f>
        <v>0</v>
      </c>
      <c r="BE170" s="42"/>
      <c r="BF170" s="42"/>
      <c r="BG170" s="731">
        <f ca="1">IFERROR(BG166/BG$162,0)</f>
        <v>0</v>
      </c>
      <c r="BH170" s="42"/>
      <c r="BI170" s="42"/>
      <c r="BJ170" s="731">
        <f ca="1">IFERROR(BJ166/BJ$162,0)</f>
        <v>0</v>
      </c>
      <c r="BK170" s="42"/>
      <c r="BL170" s="42"/>
      <c r="BM170" s="731">
        <f ca="1">IFERROR(BM166/BM$162,0)</f>
        <v>0</v>
      </c>
      <c r="BN170" s="42"/>
      <c r="BO170" s="42"/>
      <c r="BP170" s="731">
        <f ca="1">IFERROR(BP166/BP$162,0)</f>
        <v>0</v>
      </c>
      <c r="BQ170" s="818"/>
      <c r="BR170" s="818"/>
      <c r="BS170" s="731">
        <f ca="1">IFERROR(BS166/BS$162,0)</f>
        <v>0</v>
      </c>
      <c r="BT170" s="42"/>
      <c r="BU170" s="42"/>
      <c r="BV170" s="731">
        <f ca="1">IFERROR(BV166/BV$162,0)</f>
        <v>0</v>
      </c>
      <c r="BW170" s="42"/>
      <c r="BX170" s="42"/>
      <c r="BY170" s="731">
        <f ca="1">IFERROR(BY166/BY$162,0)</f>
        <v>0</v>
      </c>
      <c r="BZ170" s="42"/>
      <c r="CA170" s="42"/>
      <c r="CB170" s="731">
        <f ca="1">IFERROR(CB166/CB$162,0)</f>
        <v>0</v>
      </c>
      <c r="CC170" s="42"/>
      <c r="CD170" s="42"/>
      <c r="CE170" s="731">
        <f ca="1">IFERROR(CE166/CE$162,0)</f>
        <v>0</v>
      </c>
      <c r="CF170" s="42"/>
      <c r="CG170" s="42"/>
      <c r="CH170" s="731">
        <f ca="1">IFERROR(CH166/CH$162,0)</f>
        <v>0</v>
      </c>
      <c r="CI170" s="42"/>
      <c r="CJ170" s="42"/>
      <c r="CK170" s="731">
        <f ca="1">IFERROR(CK166/CK$162,0)</f>
        <v>0</v>
      </c>
      <c r="CL170" s="42"/>
      <c r="CM170" s="42"/>
      <c r="CN170" s="731">
        <f ca="1">IFERROR(CN166/CN$162,0)</f>
        <v>0</v>
      </c>
      <c r="CO170" s="42"/>
      <c r="CP170" s="42"/>
      <c r="CQ170" s="731">
        <f ca="1">IFERROR(CQ166/CQ$162,0)</f>
        <v>0</v>
      </c>
      <c r="CR170" s="42"/>
      <c r="CS170" s="42"/>
      <c r="CT170" s="25"/>
      <c r="CW170" s="960" t="s">
        <v>814</v>
      </c>
      <c r="CX170" s="965" t="s">
        <v>812</v>
      </c>
      <c r="CY170" s="969" cm="1">
        <f t="array" ref="CY170">AE170</f>
        <v>0</v>
      </c>
      <c r="CZ170" s="969" cm="1">
        <f t="array" ref="CZ170">AF170</f>
        <v>0</v>
      </c>
      <c r="DA170" s="966"/>
      <c r="DB170" s="966"/>
    </row>
    <row r="171" spans="1:106" s="1167" customFormat="1" ht="16.5" customHeight="1" x14ac:dyDescent="0.15">
      <c r="E171" s="668">
        <v>17.100000000000001</v>
      </c>
      <c r="F171" s="769" t="str" cm="1">
        <f t="array" aca="1" ref="F171" ca="1">OFFSET(G171,-1,-1)</f>
        <v>1</v>
      </c>
      <c r="L171" s="769" t="b" cm="1">
        <f t="array" aca="1" ref="L171" ca="1">OFFSET(M171,-1,-1)</f>
        <v>0</v>
      </c>
      <c r="S171" s="107" t="b" cm="1">
        <f t="array" aca="1" ref="S171" ca="1">OFFSET(T171,-1,-1)</f>
        <v>1</v>
      </c>
      <c r="T171" s="107" t="b">
        <f>AD171&lt;&gt;"19.0"</f>
        <v>1</v>
      </c>
      <c r="U171" s="690" t="b">
        <f t="shared" ca="1" si="80"/>
        <v>1</v>
      </c>
      <c r="X171" s="107" t="str">
        <f>'Топливо 4.4'!$AE$167&amp;'Топливо 4.4'!$AF$167</f>
        <v>Уголь длиннопламенный</v>
      </c>
      <c r="Y171" s="1481"/>
      <c r="Z171" s="1481"/>
      <c r="AB171" s="1539"/>
      <c r="AD171" s="108" t="s">
        <v>923</v>
      </c>
      <c r="AE171" s="811" t="str" cm="1">
        <f t="array" ref="AE171">IF(ISBLANK('Топливо 4.4'!$AE$167),"",'Топливо 4.4'!$AE$167)</f>
        <v>Уголь длиннопламенный</v>
      </c>
      <c r="AF171" s="516" t="str">
        <f>IF(ISBLANK('Топливо 4.4'!$AF$167),"",'Топливо 4.4'!$AF$167)</f>
        <v/>
      </c>
      <c r="AG171" s="108" t="s">
        <v>521</v>
      </c>
      <c r="AH171" s="1254">
        <v>1</v>
      </c>
      <c r="AI171" s="1254">
        <v>1</v>
      </c>
      <c r="AJ171" s="1254">
        <v>1</v>
      </c>
      <c r="AK171" s="1254">
        <v>1</v>
      </c>
      <c r="AL171" s="731">
        <f ca="1">IFERROR(AL167/AL$162,0)</f>
        <v>1</v>
      </c>
      <c r="AM171" s="1254">
        <v>1</v>
      </c>
      <c r="AN171" s="1254">
        <v>1</v>
      </c>
      <c r="AO171" s="731">
        <f ca="1">IFERROR(AO167/AO$162,0)</f>
        <v>0</v>
      </c>
      <c r="AP171" s="1254"/>
      <c r="AQ171" s="1254"/>
      <c r="AR171" s="731">
        <f ca="1">IFERROR(AR167/AR$162,0)</f>
        <v>0</v>
      </c>
      <c r="AS171" s="1254"/>
      <c r="AT171" s="1254"/>
      <c r="AU171" s="731">
        <f ca="1">IFERROR(AU167/AU$162,0)</f>
        <v>0</v>
      </c>
      <c r="AV171" s="1254"/>
      <c r="AW171" s="1254"/>
      <c r="AX171" s="731">
        <f ca="1">IFERROR(AX167/AX$162,0)</f>
        <v>0</v>
      </c>
      <c r="AY171" s="1254"/>
      <c r="AZ171" s="1254"/>
      <c r="BA171" s="731">
        <f ca="1">IFERROR(BA167/BA$162,0)</f>
        <v>0</v>
      </c>
      <c r="BB171" s="1254"/>
      <c r="BC171" s="1254"/>
      <c r="BD171" s="731">
        <f ca="1">IFERROR(BD167/BD$162,0)</f>
        <v>0</v>
      </c>
      <c r="BE171" s="1254"/>
      <c r="BF171" s="1254"/>
      <c r="BG171" s="731">
        <f ca="1">IFERROR(BG167/BG$162,0)</f>
        <v>0</v>
      </c>
      <c r="BH171" s="1254"/>
      <c r="BI171" s="1254"/>
      <c r="BJ171" s="731">
        <f ca="1">IFERROR(BJ167/BJ$162,0)</f>
        <v>0</v>
      </c>
      <c r="BK171" s="1254"/>
      <c r="BL171" s="1254"/>
      <c r="BM171" s="731">
        <f ca="1">IFERROR(BM167/BM$162,0)</f>
        <v>0</v>
      </c>
      <c r="BN171" s="1254"/>
      <c r="BO171" s="1254"/>
      <c r="BP171" s="731">
        <f ca="1">IFERROR(BP167/BP$162,0)</f>
        <v>1</v>
      </c>
      <c r="BQ171" s="818">
        <v>1</v>
      </c>
      <c r="BR171" s="818">
        <v>1</v>
      </c>
      <c r="BS171" s="731">
        <f ca="1">IFERROR(BS167/BS$162,0)</f>
        <v>0</v>
      </c>
      <c r="BT171" s="1254"/>
      <c r="BU171" s="1254"/>
      <c r="BV171" s="731">
        <f ca="1">IFERROR(BV167/BV$162,0)</f>
        <v>0</v>
      </c>
      <c r="BW171" s="1254"/>
      <c r="BX171" s="1254"/>
      <c r="BY171" s="731">
        <f ca="1">IFERROR(BY167/BY$162,0)</f>
        <v>0</v>
      </c>
      <c r="BZ171" s="1254"/>
      <c r="CA171" s="1254"/>
      <c r="CB171" s="731">
        <f ca="1">IFERROR(CB167/CB$162,0)</f>
        <v>0</v>
      </c>
      <c r="CC171" s="1254"/>
      <c r="CD171" s="1254"/>
      <c r="CE171" s="731">
        <f ca="1">IFERROR(CE167/CE$162,0)</f>
        <v>0</v>
      </c>
      <c r="CF171" s="1254"/>
      <c r="CG171" s="1254"/>
      <c r="CH171" s="731">
        <f ca="1">IFERROR(CH167/CH$162,0)</f>
        <v>0</v>
      </c>
      <c r="CI171" s="1254"/>
      <c r="CJ171" s="1254"/>
      <c r="CK171" s="731">
        <f ca="1">IFERROR(CK167/CK$162,0)</f>
        <v>0</v>
      </c>
      <c r="CL171" s="1254"/>
      <c r="CM171" s="1254"/>
      <c r="CN171" s="731">
        <f ca="1">IFERROR(CN167/CN$162,0)</f>
        <v>0</v>
      </c>
      <c r="CO171" s="1254"/>
      <c r="CP171" s="1254"/>
      <c r="CQ171" s="731">
        <f ca="1">IFERROR(CQ167/CQ$162,0)</f>
        <v>0</v>
      </c>
      <c r="CR171" s="1254"/>
      <c r="CS171" s="1254"/>
      <c r="CT171" s="1231"/>
      <c r="CW171" s="960" t="s">
        <v>814</v>
      </c>
      <c r="CX171" s="965" t="s">
        <v>812</v>
      </c>
      <c r="CY171" s="969" t="str" cm="1">
        <f t="array" ref="CY171">AE171</f>
        <v>Уголь длиннопламенный</v>
      </c>
      <c r="CZ171" s="969" t="str" cm="1">
        <f t="array" ref="CZ171">AF171</f>
        <v/>
      </c>
      <c r="DA171" s="966"/>
      <c r="DB171" s="966"/>
    </row>
    <row r="172" spans="1:106" s="1167" customFormat="1" ht="17.25" hidden="1" customHeight="1" x14ac:dyDescent="0.15">
      <c r="A172" s="1150"/>
      <c r="B172" s="773"/>
      <c r="C172" s="1150"/>
      <c r="D172" s="1150"/>
      <c r="E172" s="668">
        <v>0</v>
      </c>
      <c r="F172" s="769" t="str" cm="1">
        <f t="array" aca="1" ref="F172" ca="1">OFFSET(G172,-1,-1)</f>
        <v>1</v>
      </c>
      <c r="G172" s="804"/>
      <c r="H172" s="804"/>
      <c r="I172" s="804"/>
      <c r="J172" s="804"/>
      <c r="K172" s="804"/>
      <c r="L172" s="769" t="b" cm="1">
        <f t="array" aca="1" ref="L172" ca="1">OFFSET(M172,-1,-1)</f>
        <v>0</v>
      </c>
      <c r="M172" s="804"/>
      <c r="N172" s="804"/>
      <c r="O172" s="804"/>
      <c r="P172" s="804"/>
      <c r="Q172" s="804"/>
      <c r="R172" s="1150"/>
      <c r="S172" s="107" t="b" cm="1">
        <f t="array" aca="1" ref="S172" ca="1">OFFSET(T172,-1,-1)</f>
        <v>1</v>
      </c>
      <c r="T172" s="1150"/>
      <c r="U172" s="690" t="b">
        <f t="shared" ca="1" si="80"/>
        <v>1</v>
      </c>
      <c r="V172" s="1150"/>
      <c r="W172" s="1150"/>
      <c r="X172" s="810" t="str">
        <f>"{                  
         funcDyn: 'msg1',
         blok: 'blok_2',
         wsCross: 'Топливо 4.4',
         linkFormula: 'AE-AE#AF-AF',
         levelDyn: "&amp;Y139&amp;"
}"</f>
        <v>{                  
         funcDyn: 'msg1',
         blok: 'blok_2',
         wsCross: 'Топливо 4.4',
         linkFormula: 'AE-AE#AF-AF',
         levelDyn: 1
}</v>
      </c>
      <c r="Y172" s="1428"/>
      <c r="Z172" s="1428"/>
      <c r="AA172" s="691"/>
      <c r="AB172" s="1539"/>
      <c r="AD172" s="813"/>
      <c r="AE172" s="812" t="s">
        <v>239</v>
      </c>
      <c r="AF172" s="736"/>
      <c r="AG172" s="539"/>
      <c r="AH172" s="737"/>
      <c r="AI172" s="737"/>
      <c r="AJ172" s="737"/>
      <c r="AK172" s="737"/>
      <c r="AL172" s="737"/>
      <c r="AM172" s="737"/>
      <c r="AN172" s="737"/>
      <c r="AO172" s="737"/>
      <c r="AP172" s="737"/>
      <c r="AQ172" s="737"/>
      <c r="AR172" s="737"/>
      <c r="AS172" s="737"/>
      <c r="AT172" s="737"/>
      <c r="AU172" s="737"/>
      <c r="AV172" s="737"/>
      <c r="AW172" s="737"/>
      <c r="AX172" s="737"/>
      <c r="AY172" s="737"/>
      <c r="AZ172" s="737"/>
      <c r="BA172" s="737"/>
      <c r="BB172" s="737"/>
      <c r="BC172" s="737"/>
      <c r="BD172" s="737"/>
      <c r="BE172" s="737"/>
      <c r="BF172" s="737"/>
      <c r="BG172" s="737"/>
      <c r="BH172" s="737"/>
      <c r="BI172" s="737"/>
      <c r="BJ172" s="737"/>
      <c r="BK172" s="737"/>
      <c r="BL172" s="737"/>
      <c r="BM172" s="737"/>
      <c r="BN172" s="737"/>
      <c r="BO172" s="737"/>
      <c r="BP172" s="737"/>
      <c r="BQ172" s="737"/>
      <c r="BR172" s="737"/>
      <c r="BS172" s="737"/>
      <c r="BT172" s="737"/>
      <c r="BU172" s="737"/>
      <c r="BV172" s="737"/>
      <c r="BW172" s="737"/>
      <c r="BX172" s="737"/>
      <c r="BY172" s="737"/>
      <c r="BZ172" s="737"/>
      <c r="CA172" s="737"/>
      <c r="CB172" s="737"/>
      <c r="CC172" s="737"/>
      <c r="CD172" s="737"/>
      <c r="CE172" s="737"/>
      <c r="CF172" s="737"/>
      <c r="CG172" s="737"/>
      <c r="CH172" s="737"/>
      <c r="CI172" s="737"/>
      <c r="CJ172" s="737"/>
      <c r="CK172" s="737"/>
      <c r="CL172" s="737"/>
      <c r="CM172" s="737"/>
      <c r="CN172" s="737"/>
      <c r="CO172" s="737"/>
      <c r="CP172" s="737"/>
      <c r="CQ172" s="737"/>
      <c r="CR172" s="737"/>
      <c r="CS172" s="737"/>
      <c r="CT172" s="43"/>
      <c r="CW172" s="960" t="str">
        <f>IF(AND(ISNUMBER(VALUE(TRIM(SUBSTITUTE(AD172,".","")))),TRIM(SUBSTITUTE(AD172,".",""))&lt;&gt;""),"P"&amp;SUBSTITUTE(AD172,".",""),"")</f>
        <v/>
      </c>
      <c r="CX172" s="965"/>
      <c r="CY172" s="965"/>
      <c r="CZ172" s="965"/>
      <c r="DA172" s="966"/>
      <c r="DB172" s="966"/>
    </row>
    <row r="173" spans="1:106" s="1167" customFormat="1" ht="16.5" customHeight="1" x14ac:dyDescent="0.15">
      <c r="A173" s="1150"/>
      <c r="B173" s="773"/>
      <c r="C173" s="1150"/>
      <c r="D173" s="1150"/>
      <c r="E173" s="668">
        <v>17.100000000000001</v>
      </c>
      <c r="F173" s="769" t="str" cm="1">
        <f t="array" aca="1" ref="F173" ca="1">OFFSET(G173,-1,-1)</f>
        <v>1</v>
      </c>
      <c r="G173" s="804"/>
      <c r="H173" s="804"/>
      <c r="I173" s="804"/>
      <c r="J173" s="804"/>
      <c r="K173" s="804"/>
      <c r="L173" s="769" t="b" cm="1">
        <f t="array" aca="1" ref="L173" ca="1">OFFSET(M173,-1,-1)</f>
        <v>0</v>
      </c>
      <c r="M173" s="804"/>
      <c r="N173" s="804"/>
      <c r="O173" s="804"/>
      <c r="P173" s="804"/>
      <c r="Q173" s="804"/>
      <c r="R173" s="1150"/>
      <c r="S173" s="107" t="b" cm="1">
        <f t="array" aca="1" ref="S173" ca="1">OFFSET(T173,-1,-1)</f>
        <v>1</v>
      </c>
      <c r="T173" s="1150"/>
      <c r="U173" s="690" t="b">
        <f t="shared" ca="1" si="80"/>
        <v>1</v>
      </c>
      <c r="V173" s="1150"/>
      <c r="W173" s="1150"/>
      <c r="X173" s="1150"/>
      <c r="Y173" s="1428"/>
      <c r="Z173" s="1428"/>
      <c r="AA173" s="691"/>
      <c r="AB173" s="1539"/>
      <c r="AD173" s="108">
        <v>20</v>
      </c>
      <c r="AE173" s="1511" t="s">
        <v>816</v>
      </c>
      <c r="AF173" s="1512"/>
      <c r="AG173" s="614"/>
      <c r="AH173" s="726"/>
      <c r="AI173" s="728"/>
      <c r="AJ173" s="728"/>
      <c r="AK173" s="728"/>
      <c r="AL173" s="728"/>
      <c r="AM173" s="728"/>
      <c r="AN173" s="728"/>
      <c r="AO173" s="728"/>
      <c r="AP173" s="728"/>
      <c r="AQ173" s="728"/>
      <c r="AR173" s="728"/>
      <c r="AS173" s="728"/>
      <c r="AT173" s="728"/>
      <c r="AU173" s="728"/>
      <c r="AV173" s="728"/>
      <c r="AW173" s="728"/>
      <c r="AX173" s="728"/>
      <c r="AY173" s="728"/>
      <c r="AZ173" s="728"/>
      <c r="BA173" s="728"/>
      <c r="BB173" s="728"/>
      <c r="BC173" s="728"/>
      <c r="BD173" s="728"/>
      <c r="BE173" s="728"/>
      <c r="BF173" s="728"/>
      <c r="BG173" s="728"/>
      <c r="BH173" s="728"/>
      <c r="BI173" s="728"/>
      <c r="BJ173" s="728"/>
      <c r="BK173" s="728"/>
      <c r="BL173" s="728"/>
      <c r="BM173" s="728"/>
      <c r="BN173" s="728"/>
      <c r="BO173" s="728"/>
      <c r="BP173" s="728"/>
      <c r="BQ173" s="728"/>
      <c r="BR173" s="728"/>
      <c r="BS173" s="728"/>
      <c r="BT173" s="728"/>
      <c r="BU173" s="728"/>
      <c r="BV173" s="728"/>
      <c r="BW173" s="728"/>
      <c r="BX173" s="728"/>
      <c r="BY173" s="728"/>
      <c r="BZ173" s="728"/>
      <c r="CA173" s="728"/>
      <c r="CB173" s="728"/>
      <c r="CC173" s="728"/>
      <c r="CD173" s="728"/>
      <c r="CE173" s="728"/>
      <c r="CF173" s="728"/>
      <c r="CG173" s="728"/>
      <c r="CH173" s="728"/>
      <c r="CI173" s="728"/>
      <c r="CJ173" s="728"/>
      <c r="CK173" s="728"/>
      <c r="CL173" s="728"/>
      <c r="CM173" s="728"/>
      <c r="CN173" s="728"/>
      <c r="CO173" s="728"/>
      <c r="CP173" s="728"/>
      <c r="CQ173" s="728"/>
      <c r="CR173" s="728"/>
      <c r="CS173" s="728"/>
      <c r="CT173" s="1231"/>
      <c r="CW173" s="960" t="s">
        <v>817</v>
      </c>
      <c r="CX173" s="965"/>
      <c r="CY173" s="965"/>
      <c r="CZ173" s="965"/>
      <c r="DA173" s="966"/>
      <c r="DB173" s="966"/>
    </row>
    <row r="174" spans="1:106" s="1167" customFormat="1" ht="16.5" hidden="1" customHeight="1" x14ac:dyDescent="0.15">
      <c r="E174" s="668">
        <v>17.100000000000001</v>
      </c>
      <c r="F174" s="769" t="str" cm="1">
        <f t="array" aca="1" ref="F174" ca="1">OFFSET(G174,-1,-1)</f>
        <v>1</v>
      </c>
      <c r="L174" s="769" t="b" cm="1">
        <f t="array" aca="1" ref="L174" ca="1">OFFSET(M174,-1,-1)</f>
        <v>0</v>
      </c>
      <c r="S174" s="107" t="b" cm="1">
        <f t="array" aca="1" ref="S174" ca="1">OFFSET(T174,-1,-1)</f>
        <v>1</v>
      </c>
      <c r="T174" s="107" t="b">
        <f>AD174&lt;&gt;"20.0"</f>
        <v>0</v>
      </c>
      <c r="U174" s="690" t="b">
        <f t="shared" ca="1" si="80"/>
        <v>0</v>
      </c>
      <c r="X174" s="107" t="s">
        <v>237</v>
      </c>
      <c r="Y174" s="1481"/>
      <c r="Z174" s="1481"/>
      <c r="AB174" s="1539"/>
      <c r="AD174" s="108" t="s">
        <v>818</v>
      </c>
      <c r="AE174" s="811"/>
      <c r="AF174" s="516"/>
      <c r="AG174" s="614"/>
      <c r="AH174" s="38"/>
      <c r="AI174" s="39"/>
      <c r="AJ174" s="39"/>
      <c r="AK174" s="39"/>
      <c r="AL174" s="727">
        <f ca="1">IFERROR(AL166/AL178,0)</f>
        <v>0</v>
      </c>
      <c r="AM174" s="39"/>
      <c r="AN174" s="39" cm="1">
        <f t="array" ref="AN174">AM174</f>
        <v>0</v>
      </c>
      <c r="AO174" s="727">
        <f ca="1">IFERROR(AO166/AO178,0)</f>
        <v>0</v>
      </c>
      <c r="AP174" s="39"/>
      <c r="AQ174" s="39" cm="1">
        <f t="array" ref="AQ174">AP174</f>
        <v>0</v>
      </c>
      <c r="AR174" s="727">
        <f ca="1">IFERROR(AR166/AR178,0)</f>
        <v>0</v>
      </c>
      <c r="AS174" s="39"/>
      <c r="AT174" s="39" cm="1">
        <f t="array" ref="AT174">AS174</f>
        <v>0</v>
      </c>
      <c r="AU174" s="727">
        <f ca="1">IFERROR(AU166/AU178,0)</f>
        <v>0</v>
      </c>
      <c r="AV174" s="39"/>
      <c r="AW174" s="39" cm="1">
        <f t="array" ref="AW174">AV174</f>
        <v>0</v>
      </c>
      <c r="AX174" s="727">
        <f ca="1">IFERROR(AX166/AX178,0)</f>
        <v>0</v>
      </c>
      <c r="AY174" s="39"/>
      <c r="AZ174" s="39" cm="1">
        <f t="array" ref="AZ174">AY174</f>
        <v>0</v>
      </c>
      <c r="BA174" s="727">
        <f ca="1">IFERROR(BA166/BA178,0)</f>
        <v>0</v>
      </c>
      <c r="BB174" s="39"/>
      <c r="BC174" s="39" cm="1">
        <f t="array" ref="BC174">BB174</f>
        <v>0</v>
      </c>
      <c r="BD174" s="727">
        <f ca="1">IFERROR(BD166/BD178,0)</f>
        <v>0</v>
      </c>
      <c r="BE174" s="39"/>
      <c r="BF174" s="39" cm="1">
        <f t="array" ref="BF174">BE174</f>
        <v>0</v>
      </c>
      <c r="BG174" s="727">
        <f ca="1">IFERROR(BG166/BG178,0)</f>
        <v>0</v>
      </c>
      <c r="BH174" s="39"/>
      <c r="BI174" s="39" cm="1">
        <f t="array" ref="BI174">BH174</f>
        <v>0</v>
      </c>
      <c r="BJ174" s="727">
        <f ca="1">IFERROR(BJ166/BJ178,0)</f>
        <v>0</v>
      </c>
      <c r="BK174" s="39"/>
      <c r="BL174" s="39" cm="1">
        <f t="array" ref="BL174">BK174</f>
        <v>0</v>
      </c>
      <c r="BM174" s="727">
        <f ca="1">IFERROR(BM166/BM178,0)</f>
        <v>0</v>
      </c>
      <c r="BN174" s="39"/>
      <c r="BO174" s="39" cm="1">
        <f t="array" ref="BO174">BN174</f>
        <v>0</v>
      </c>
      <c r="BP174" s="727">
        <f ca="1">IFERROR(BP166/BP178,0)</f>
        <v>0</v>
      </c>
      <c r="BQ174" s="816"/>
      <c r="BR174" s="816" cm="1">
        <f t="array" ref="BR174">BQ174</f>
        <v>0</v>
      </c>
      <c r="BS174" s="727">
        <f ca="1">IFERROR(BS166/BS178,0)</f>
        <v>0</v>
      </c>
      <c r="BT174" s="39"/>
      <c r="BU174" s="39" cm="1">
        <f t="array" ref="BU174">BT174</f>
        <v>0</v>
      </c>
      <c r="BV174" s="727">
        <f ca="1">IFERROR(BV166/BV178,0)</f>
        <v>0</v>
      </c>
      <c r="BW174" s="39"/>
      <c r="BX174" s="39" cm="1">
        <f t="array" ref="BX174">BW174</f>
        <v>0</v>
      </c>
      <c r="BY174" s="727">
        <f ca="1">IFERROR(BY166/BY178,0)</f>
        <v>0</v>
      </c>
      <c r="BZ174" s="39"/>
      <c r="CA174" s="39" cm="1">
        <f t="array" ref="CA174">BZ174</f>
        <v>0</v>
      </c>
      <c r="CB174" s="727">
        <f ca="1">IFERROR(CB166/CB178,0)</f>
        <v>0</v>
      </c>
      <c r="CC174" s="39"/>
      <c r="CD174" s="39" cm="1">
        <f t="array" ref="CD174">CC174</f>
        <v>0</v>
      </c>
      <c r="CE174" s="727">
        <f ca="1">IFERROR(CE166/CE178,0)</f>
        <v>0</v>
      </c>
      <c r="CF174" s="39"/>
      <c r="CG174" s="39" cm="1">
        <f t="array" ref="CG174">CF174</f>
        <v>0</v>
      </c>
      <c r="CH174" s="727">
        <f ca="1">IFERROR(CH166/CH178,0)</f>
        <v>0</v>
      </c>
      <c r="CI174" s="39"/>
      <c r="CJ174" s="39" cm="1">
        <f t="array" ref="CJ174">CI174</f>
        <v>0</v>
      </c>
      <c r="CK174" s="727">
        <f ca="1">IFERROR(CK166/CK178,0)</f>
        <v>0</v>
      </c>
      <c r="CL174" s="39"/>
      <c r="CM174" s="39" cm="1">
        <f t="array" ref="CM174">CL174</f>
        <v>0</v>
      </c>
      <c r="CN174" s="727">
        <f ca="1">IFERROR(CN166/CN178,0)</f>
        <v>0</v>
      </c>
      <c r="CO174" s="39"/>
      <c r="CP174" s="39" cm="1">
        <f t="array" ref="CP174">CO174</f>
        <v>0</v>
      </c>
      <c r="CQ174" s="727">
        <f ca="1">IFERROR(CQ166/CQ178,0)</f>
        <v>0</v>
      </c>
      <c r="CR174" s="39"/>
      <c r="CS174" s="39" cm="1">
        <f t="array" ref="CS174">CR174</f>
        <v>0</v>
      </c>
      <c r="CT174" s="25"/>
      <c r="CW174" s="960" t="s">
        <v>817</v>
      </c>
      <c r="CX174" s="965" t="s">
        <v>812</v>
      </c>
      <c r="CY174" s="969" cm="1">
        <f t="array" ref="CY174">AE174</f>
        <v>0</v>
      </c>
      <c r="CZ174" s="969" cm="1">
        <f t="array" ref="CZ174">AF174</f>
        <v>0</v>
      </c>
      <c r="DA174" s="966"/>
      <c r="DB174" s="966"/>
    </row>
    <row r="175" spans="1:106" s="1167" customFormat="1" ht="16.5" customHeight="1" x14ac:dyDescent="0.15">
      <c r="E175" s="668">
        <v>17.100000000000001</v>
      </c>
      <c r="F175" s="769" t="str" cm="1">
        <f t="array" aca="1" ref="F175" ca="1">OFFSET(G175,-1,-1)</f>
        <v>1</v>
      </c>
      <c r="L175" s="769" t="b" cm="1">
        <f t="array" aca="1" ref="L175" ca="1">OFFSET(M175,-1,-1)</f>
        <v>0</v>
      </c>
      <c r="S175" s="107" t="b" cm="1">
        <f t="array" aca="1" ref="S175" ca="1">OFFSET(T175,-1,-1)</f>
        <v>1</v>
      </c>
      <c r="T175" s="107" t="b">
        <f>AD175&lt;&gt;"20.0"</f>
        <v>1</v>
      </c>
      <c r="U175" s="690" t="b">
        <f t="shared" ca="1" si="80"/>
        <v>1</v>
      </c>
      <c r="X175" s="107" t="str">
        <f>'Топливо 4.4'!$AE$171&amp;'Топливо 4.4'!$AF$171</f>
        <v>Уголь длиннопламенный</v>
      </c>
      <c r="Y175" s="1481"/>
      <c r="Z175" s="1481"/>
      <c r="AB175" s="1539"/>
      <c r="AD175" s="108" t="s">
        <v>924</v>
      </c>
      <c r="AE175" s="811" t="str" cm="1">
        <f t="array" ref="AE175">IF(ISBLANK('Топливо 4.4'!$AE$171),"",'Топливо 4.4'!$AE$171)</f>
        <v>Уголь длиннопламенный</v>
      </c>
      <c r="AF175" s="516" t="str" cm="1">
        <f t="array" ref="AF175">IF(ISBLANK('Топливо 4.4'!$AF$171),"",'Топливо 4.4'!$AF$171)</f>
        <v/>
      </c>
      <c r="AG175" s="614"/>
      <c r="AH175" s="1251">
        <v>0.74080000000000001</v>
      </c>
      <c r="AI175" s="1250">
        <v>0.76072919999999999</v>
      </c>
      <c r="AJ175" s="1250">
        <v>0.76071429999999995</v>
      </c>
      <c r="AK175" s="1250">
        <v>0.75757140000000001</v>
      </c>
      <c r="AL175" s="727">
        <f ca="1">IFERROR(AL167/AL179,0)</f>
        <v>0.76071429999999984</v>
      </c>
      <c r="AM175" s="1250">
        <v>0.76071429999999995</v>
      </c>
      <c r="AN175" s="1250" cm="1">
        <f t="array" ref="AN175">AM175</f>
        <v>0.76071429999999995</v>
      </c>
      <c r="AO175" s="727">
        <f ca="1">IFERROR(AO167/AO179,0)</f>
        <v>0</v>
      </c>
      <c r="AP175" s="1250"/>
      <c r="AQ175" s="1250" cm="1">
        <f t="array" ref="AQ175">AP175</f>
        <v>0</v>
      </c>
      <c r="AR175" s="727">
        <f ca="1">IFERROR(AR167/AR179,0)</f>
        <v>0</v>
      </c>
      <c r="AS175" s="1250"/>
      <c r="AT175" s="1250" cm="1">
        <f t="array" ref="AT175">AS175</f>
        <v>0</v>
      </c>
      <c r="AU175" s="727">
        <f ca="1">IFERROR(AU167/AU179,0)</f>
        <v>0</v>
      </c>
      <c r="AV175" s="1250"/>
      <c r="AW175" s="1250" cm="1">
        <f t="array" ref="AW175">AV175</f>
        <v>0</v>
      </c>
      <c r="AX175" s="727">
        <f ca="1">IFERROR(AX167/AX179,0)</f>
        <v>0</v>
      </c>
      <c r="AY175" s="1250"/>
      <c r="AZ175" s="1250" cm="1">
        <f t="array" ref="AZ175">AY175</f>
        <v>0</v>
      </c>
      <c r="BA175" s="727">
        <f ca="1">IFERROR(BA167/BA179,0)</f>
        <v>0</v>
      </c>
      <c r="BB175" s="1250"/>
      <c r="BC175" s="1250" cm="1">
        <f t="array" ref="BC175">BB175</f>
        <v>0</v>
      </c>
      <c r="BD175" s="727">
        <f ca="1">IFERROR(BD167/BD179,0)</f>
        <v>0</v>
      </c>
      <c r="BE175" s="1250"/>
      <c r="BF175" s="1250" cm="1">
        <f t="array" ref="BF175">BE175</f>
        <v>0</v>
      </c>
      <c r="BG175" s="727">
        <f ca="1">IFERROR(BG167/BG179,0)</f>
        <v>0</v>
      </c>
      <c r="BH175" s="1250"/>
      <c r="BI175" s="1250" cm="1">
        <f t="array" ref="BI175">BH175</f>
        <v>0</v>
      </c>
      <c r="BJ175" s="727">
        <f ca="1">IFERROR(BJ167/BJ179,0)</f>
        <v>0</v>
      </c>
      <c r="BK175" s="1250"/>
      <c r="BL175" s="1250" cm="1">
        <f t="array" ref="BL175">BK175</f>
        <v>0</v>
      </c>
      <c r="BM175" s="727">
        <f ca="1">IFERROR(BM167/BM179,0)</f>
        <v>0</v>
      </c>
      <c r="BN175" s="1250"/>
      <c r="BO175" s="1250" cm="1">
        <f t="array" ref="BO175">BN175</f>
        <v>0</v>
      </c>
      <c r="BP175" s="727">
        <f ca="1">IFERROR(BP167/BP179,0)</f>
        <v>0.76071429999999995</v>
      </c>
      <c r="BQ175" s="816">
        <v>0.76071429999999995</v>
      </c>
      <c r="BR175" s="816" cm="1">
        <f t="array" ref="BR175">BQ175</f>
        <v>0.76071429999999995</v>
      </c>
      <c r="BS175" s="727">
        <f ca="1">IFERROR(BS167/BS179,0)</f>
        <v>0</v>
      </c>
      <c r="BT175" s="1250"/>
      <c r="BU175" s="1250" cm="1">
        <f t="array" ref="BU175">BT175</f>
        <v>0</v>
      </c>
      <c r="BV175" s="727">
        <f ca="1">IFERROR(BV167/BV179,0)</f>
        <v>0</v>
      </c>
      <c r="BW175" s="1250"/>
      <c r="BX175" s="1250" cm="1">
        <f t="array" ref="BX175">BW175</f>
        <v>0</v>
      </c>
      <c r="BY175" s="727">
        <f ca="1">IFERROR(BY167/BY179,0)</f>
        <v>0</v>
      </c>
      <c r="BZ175" s="1250"/>
      <c r="CA175" s="1250" cm="1">
        <f t="array" ref="CA175">BZ175</f>
        <v>0</v>
      </c>
      <c r="CB175" s="727">
        <f ca="1">IFERROR(CB167/CB179,0)</f>
        <v>0</v>
      </c>
      <c r="CC175" s="1250"/>
      <c r="CD175" s="1250" cm="1">
        <f t="array" ref="CD175">CC175</f>
        <v>0</v>
      </c>
      <c r="CE175" s="727">
        <f ca="1">IFERROR(CE167/CE179,0)</f>
        <v>0</v>
      </c>
      <c r="CF175" s="1250"/>
      <c r="CG175" s="1250" cm="1">
        <f t="array" ref="CG175">CF175</f>
        <v>0</v>
      </c>
      <c r="CH175" s="727">
        <f ca="1">IFERROR(CH167/CH179,0)</f>
        <v>0</v>
      </c>
      <c r="CI175" s="1250"/>
      <c r="CJ175" s="1250" cm="1">
        <f t="array" ref="CJ175">CI175</f>
        <v>0</v>
      </c>
      <c r="CK175" s="727">
        <f ca="1">IFERROR(CK167/CK179,0)</f>
        <v>0</v>
      </c>
      <c r="CL175" s="1250"/>
      <c r="CM175" s="1250" cm="1">
        <f t="array" ref="CM175">CL175</f>
        <v>0</v>
      </c>
      <c r="CN175" s="727">
        <f ca="1">IFERROR(CN167/CN179,0)</f>
        <v>0</v>
      </c>
      <c r="CO175" s="1250"/>
      <c r="CP175" s="1250" cm="1">
        <f t="array" ref="CP175">CO175</f>
        <v>0</v>
      </c>
      <c r="CQ175" s="727">
        <f ca="1">IFERROR(CQ167/CQ179,0)</f>
        <v>0</v>
      </c>
      <c r="CR175" s="1250"/>
      <c r="CS175" s="1250" cm="1">
        <f t="array" ref="CS175">CR175</f>
        <v>0</v>
      </c>
      <c r="CT175" s="1231"/>
      <c r="CW175" s="960" t="s">
        <v>817</v>
      </c>
      <c r="CX175" s="965" t="s">
        <v>812</v>
      </c>
      <c r="CY175" s="969" t="str" cm="1">
        <f t="array" ref="CY175">AE175</f>
        <v>Уголь длиннопламенный</v>
      </c>
      <c r="CZ175" s="969" t="str" cm="1">
        <f t="array" ref="CZ175">AF175</f>
        <v/>
      </c>
      <c r="DA175" s="966"/>
      <c r="DB175" s="966"/>
    </row>
    <row r="176" spans="1:106" s="1167" customFormat="1" ht="17.25" hidden="1" customHeight="1" x14ac:dyDescent="0.15">
      <c r="A176" s="1150"/>
      <c r="B176" s="773"/>
      <c r="C176" s="1150"/>
      <c r="D176" s="1150"/>
      <c r="E176" s="668">
        <v>0</v>
      </c>
      <c r="F176" s="769" t="str" cm="1">
        <f t="array" aca="1" ref="F176" ca="1">OFFSET(G176,-1,-1)</f>
        <v>1</v>
      </c>
      <c r="G176" s="804"/>
      <c r="H176" s="804"/>
      <c r="I176" s="804"/>
      <c r="J176" s="804"/>
      <c r="K176" s="804"/>
      <c r="L176" s="769" t="b" cm="1">
        <f t="array" aca="1" ref="L176" ca="1">OFFSET(M176,-1,-1)</f>
        <v>0</v>
      </c>
      <c r="M176" s="804"/>
      <c r="N176" s="804"/>
      <c r="O176" s="804"/>
      <c r="P176" s="804"/>
      <c r="Q176" s="804"/>
      <c r="R176" s="1150"/>
      <c r="S176" s="107" t="b" cm="1">
        <f t="array" aca="1" ref="S176" ca="1">OFFSET(T176,-1,-1)</f>
        <v>1</v>
      </c>
      <c r="T176" s="1150"/>
      <c r="U176" s="690" t="b">
        <f t="shared" ca="1" si="80"/>
        <v>1</v>
      </c>
      <c r="V176" s="1150"/>
      <c r="W176" s="1150"/>
      <c r="X176" s="810" t="str">
        <f>"{                  
         funcDyn: 'msg1',
         blok: 'blok_2',
         wsCross: 'Топливо 4.4',
         linkFormula: 'AE-AE#AF-AF',
         levelDyn: "&amp;Y139&amp;"
}"</f>
        <v>{                  
         funcDyn: 'msg1',
         blok: 'blok_2',
         wsCross: 'Топливо 4.4',
         linkFormula: 'AE-AE#AF-AF',
         levelDyn: 1
}</v>
      </c>
      <c r="Y176" s="1428"/>
      <c r="Z176" s="1428"/>
      <c r="AA176" s="691"/>
      <c r="AB176" s="1539"/>
      <c r="AD176" s="813"/>
      <c r="AE176" s="812" t="s">
        <v>239</v>
      </c>
      <c r="AF176" s="736"/>
      <c r="AG176" s="843"/>
      <c r="AH176" s="726"/>
      <c r="AI176" s="728"/>
      <c r="AJ176" s="728"/>
      <c r="AK176" s="728"/>
      <c r="AL176" s="728"/>
      <c r="AM176" s="728"/>
      <c r="AN176" s="728"/>
      <c r="AO176" s="728"/>
      <c r="AP176" s="728"/>
      <c r="AQ176" s="728"/>
      <c r="AR176" s="728"/>
      <c r="AS176" s="728"/>
      <c r="AT176" s="728"/>
      <c r="AU176" s="728"/>
      <c r="AV176" s="728"/>
      <c r="AW176" s="728"/>
      <c r="AX176" s="728"/>
      <c r="AY176" s="728"/>
      <c r="AZ176" s="728"/>
      <c r="BA176" s="728"/>
      <c r="BB176" s="728"/>
      <c r="BC176" s="728"/>
      <c r="BD176" s="728"/>
      <c r="BE176" s="728"/>
      <c r="BF176" s="728"/>
      <c r="BG176" s="728"/>
      <c r="BH176" s="728"/>
      <c r="BI176" s="728"/>
      <c r="BJ176" s="728"/>
      <c r="BK176" s="728"/>
      <c r="BL176" s="728"/>
      <c r="BM176" s="728"/>
      <c r="BN176" s="728"/>
      <c r="BO176" s="728"/>
      <c r="BP176" s="728"/>
      <c r="BQ176" s="728"/>
      <c r="BR176" s="728"/>
      <c r="BS176" s="728"/>
      <c r="BT176" s="728"/>
      <c r="BU176" s="728"/>
      <c r="BV176" s="728"/>
      <c r="BW176" s="728"/>
      <c r="BX176" s="728"/>
      <c r="BY176" s="728"/>
      <c r="BZ176" s="728"/>
      <c r="CA176" s="728"/>
      <c r="CB176" s="728"/>
      <c r="CC176" s="728"/>
      <c r="CD176" s="728"/>
      <c r="CE176" s="728"/>
      <c r="CF176" s="728"/>
      <c r="CG176" s="728"/>
      <c r="CH176" s="728"/>
      <c r="CI176" s="728"/>
      <c r="CJ176" s="728"/>
      <c r="CK176" s="728"/>
      <c r="CL176" s="728"/>
      <c r="CM176" s="728"/>
      <c r="CN176" s="728"/>
      <c r="CO176" s="728"/>
      <c r="CP176" s="728"/>
      <c r="CQ176" s="728"/>
      <c r="CR176" s="728"/>
      <c r="CS176" s="728"/>
      <c r="CT176" s="43"/>
      <c r="CW176" s="960" t="str">
        <f>IF(AND(ISNUMBER(VALUE(TRIM(SUBSTITUTE(AD176,".","")))),TRIM(SUBSTITUTE(AD176,".",""))&lt;&gt;""),"P"&amp;SUBSTITUTE(AD176,".",""),"")</f>
        <v/>
      </c>
      <c r="CX176" s="965"/>
      <c r="CY176" s="965"/>
      <c r="CZ176" s="965"/>
      <c r="DA176" s="966"/>
      <c r="DB176" s="966"/>
    </row>
    <row r="177" spans="1:106" s="1167" customFormat="1" ht="16.5" customHeight="1" x14ac:dyDescent="0.15">
      <c r="A177" s="1150"/>
      <c r="B177" s="773"/>
      <c r="C177" s="1150"/>
      <c r="D177" s="1150"/>
      <c r="E177" s="668">
        <v>17.100000000000001</v>
      </c>
      <c r="F177" s="769" t="str" cm="1">
        <f t="array" aca="1" ref="F177" ca="1">OFFSET(G177,-1,-1)</f>
        <v>1</v>
      </c>
      <c r="G177" s="804"/>
      <c r="H177" s="804"/>
      <c r="I177" s="804"/>
      <c r="J177" s="804"/>
      <c r="K177" s="804"/>
      <c r="L177" s="769" t="b" cm="1">
        <f t="array" aca="1" ref="L177" ca="1">OFFSET(M177,-1,-1)</f>
        <v>0</v>
      </c>
      <c r="M177" s="804"/>
      <c r="N177" s="804"/>
      <c r="O177" s="804"/>
      <c r="P177" s="804"/>
      <c r="Q177" s="804"/>
      <c r="R177" s="1150"/>
      <c r="S177" s="107" t="b" cm="1">
        <f t="array" aca="1" ref="S177" ca="1">OFFSET(T177,-1,-1)</f>
        <v>1</v>
      </c>
      <c r="T177" s="1150"/>
      <c r="U177" s="690" t="b">
        <f t="shared" ca="1" si="80"/>
        <v>1</v>
      </c>
      <c r="V177" s="1150"/>
      <c r="W177" s="1150"/>
      <c r="X177" s="1150"/>
      <c r="Y177" s="1428"/>
      <c r="Z177" s="1428"/>
      <c r="AA177" s="691"/>
      <c r="AB177" s="1539"/>
      <c r="AD177" s="108">
        <v>21</v>
      </c>
      <c r="AE177" s="1521" t="s">
        <v>819</v>
      </c>
      <c r="AF177" s="1522"/>
      <c r="AG177" s="614"/>
      <c r="AH177" s="726"/>
      <c r="AI177" s="728"/>
      <c r="AJ177" s="728"/>
      <c r="AK177" s="728"/>
      <c r="AL177" s="728"/>
      <c r="AM177" s="728"/>
      <c r="AN177" s="728"/>
      <c r="AO177" s="728"/>
      <c r="AP177" s="728"/>
      <c r="AQ177" s="728"/>
      <c r="AR177" s="728"/>
      <c r="AS177" s="728"/>
      <c r="AT177" s="728"/>
      <c r="AU177" s="728"/>
      <c r="AV177" s="728"/>
      <c r="AW177" s="728"/>
      <c r="AX177" s="728"/>
      <c r="AY177" s="728"/>
      <c r="AZ177" s="728"/>
      <c r="BA177" s="728"/>
      <c r="BB177" s="728"/>
      <c r="BC177" s="728"/>
      <c r="BD177" s="728"/>
      <c r="BE177" s="728"/>
      <c r="BF177" s="728"/>
      <c r="BG177" s="728"/>
      <c r="BH177" s="728"/>
      <c r="BI177" s="728"/>
      <c r="BJ177" s="728"/>
      <c r="BK177" s="728"/>
      <c r="BL177" s="728"/>
      <c r="BM177" s="728"/>
      <c r="BN177" s="728"/>
      <c r="BO177" s="728"/>
      <c r="BP177" s="728"/>
      <c r="BQ177" s="728"/>
      <c r="BR177" s="728"/>
      <c r="BS177" s="728"/>
      <c r="BT177" s="728"/>
      <c r="BU177" s="728"/>
      <c r="BV177" s="728"/>
      <c r="BW177" s="728"/>
      <c r="BX177" s="728"/>
      <c r="BY177" s="728"/>
      <c r="BZ177" s="728"/>
      <c r="CA177" s="728"/>
      <c r="CB177" s="728"/>
      <c r="CC177" s="728"/>
      <c r="CD177" s="728"/>
      <c r="CE177" s="728"/>
      <c r="CF177" s="728"/>
      <c r="CG177" s="728"/>
      <c r="CH177" s="728"/>
      <c r="CI177" s="728"/>
      <c r="CJ177" s="728"/>
      <c r="CK177" s="728"/>
      <c r="CL177" s="728"/>
      <c r="CM177" s="728"/>
      <c r="CN177" s="728"/>
      <c r="CO177" s="728"/>
      <c r="CP177" s="728"/>
      <c r="CQ177" s="728"/>
      <c r="CR177" s="728"/>
      <c r="CS177" s="728"/>
      <c r="CT177" s="1231"/>
      <c r="CW177" s="960" t="s">
        <v>820</v>
      </c>
      <c r="CX177" s="965"/>
      <c r="CY177" s="965"/>
      <c r="CZ177" s="965"/>
      <c r="DA177" s="966"/>
      <c r="DB177" s="966"/>
    </row>
    <row r="178" spans="1:106" s="1167" customFormat="1" ht="16.5" hidden="1" customHeight="1" x14ac:dyDescent="0.15">
      <c r="E178" s="668">
        <v>17.100000000000001</v>
      </c>
      <c r="F178" s="769" t="str" cm="1">
        <f t="array" aca="1" ref="F178" ca="1">OFFSET(G178,-1,-1)</f>
        <v>1</v>
      </c>
      <c r="L178" s="769" t="b" cm="1">
        <f t="array" aca="1" ref="L178" ca="1">OFFSET(M178,-1,-1)</f>
        <v>0</v>
      </c>
      <c r="S178" s="107" t="b" cm="1">
        <f t="array" aca="1" ref="S178" ca="1">OFFSET(T178,-1,-1)</f>
        <v>1</v>
      </c>
      <c r="T178" s="107" t="b">
        <f>AD178&lt;&gt;"21.0"</f>
        <v>0</v>
      </c>
      <c r="U178" s="690" t="b">
        <f t="shared" ca="1" si="80"/>
        <v>0</v>
      </c>
      <c r="X178" s="107" t="s">
        <v>237</v>
      </c>
      <c r="Y178" s="1481"/>
      <c r="Z178" s="1481"/>
      <c r="AB178" s="1539"/>
      <c r="AD178" s="108" t="s">
        <v>821</v>
      </c>
      <c r="AE178" s="811"/>
      <c r="AF178" s="516"/>
      <c r="AG178" s="884" t="str">
        <f>IFERROR(INDEX(fuel_ed_izm_list,MATCH(AE178,fuel_list,0)),"тнт")</f>
        <v>тнт</v>
      </c>
      <c r="AH178" s="39">
        <f>IFERROR(AH166/AH174,0)</f>
        <v>0</v>
      </c>
      <c r="AI178" s="39"/>
      <c r="AJ178" s="39"/>
      <c r="AK178" s="39">
        <f>IFERROR(AK166/AK174,0)</f>
        <v>0</v>
      </c>
      <c r="AL178" s="725">
        <f ca="1">AM178+AN178</f>
        <v>0</v>
      </c>
      <c r="AM178" s="39">
        <f>IFERROR(AM166/AM174,0)</f>
        <v>0</v>
      </c>
      <c r="AN178" s="39">
        <f ca="1">IFERROR(AN166/AN174,0)</f>
        <v>0</v>
      </c>
      <c r="AO178" s="725">
        <f ca="1">AP178+AQ178</f>
        <v>0</v>
      </c>
      <c r="AP178" s="39">
        <f>IFERROR(AP166/AP174,0)</f>
        <v>0</v>
      </c>
      <c r="AQ178" s="39">
        <f ca="1">IFERROR(AQ166/AQ174,0)</f>
        <v>0</v>
      </c>
      <c r="AR178" s="725">
        <f ca="1">AS178+AT178</f>
        <v>0</v>
      </c>
      <c r="AS178" s="39">
        <f>IFERROR(AS166/AS174,0)</f>
        <v>0</v>
      </c>
      <c r="AT178" s="39">
        <f ca="1">IFERROR(AT166/AT174,0)</f>
        <v>0</v>
      </c>
      <c r="AU178" s="725">
        <f ca="1">AV178+AW178</f>
        <v>0</v>
      </c>
      <c r="AV178" s="39">
        <f>IFERROR(AV166/AV174,0)</f>
        <v>0</v>
      </c>
      <c r="AW178" s="39">
        <f ca="1">IFERROR(AW166/AW174,0)</f>
        <v>0</v>
      </c>
      <c r="AX178" s="725">
        <f ca="1">AY178+AZ178</f>
        <v>0</v>
      </c>
      <c r="AY178" s="39">
        <f>IFERROR(AY166/AY174,0)</f>
        <v>0</v>
      </c>
      <c r="AZ178" s="39">
        <f ca="1">IFERROR(AZ166/AZ174,0)</f>
        <v>0</v>
      </c>
      <c r="BA178" s="725">
        <f ca="1">BB178+BC178</f>
        <v>0</v>
      </c>
      <c r="BB178" s="39">
        <f>IFERROR(BB166/BB174,0)</f>
        <v>0</v>
      </c>
      <c r="BC178" s="39">
        <f ca="1">IFERROR(BC166/BC174,0)</f>
        <v>0</v>
      </c>
      <c r="BD178" s="725">
        <f ca="1">BE178+BF178</f>
        <v>0</v>
      </c>
      <c r="BE178" s="39">
        <f>IFERROR(BE166/BE174,0)</f>
        <v>0</v>
      </c>
      <c r="BF178" s="39">
        <f ca="1">IFERROR(BF166/BF174,0)</f>
        <v>0</v>
      </c>
      <c r="BG178" s="725">
        <f ca="1">BH178+BI178</f>
        <v>0</v>
      </c>
      <c r="BH178" s="39">
        <f>IFERROR(BH166/BH174,0)</f>
        <v>0</v>
      </c>
      <c r="BI178" s="39">
        <f ca="1">IFERROR(BI166/BI174,0)</f>
        <v>0</v>
      </c>
      <c r="BJ178" s="725">
        <f ca="1">BK178+BL178</f>
        <v>0</v>
      </c>
      <c r="BK178" s="39">
        <f>IFERROR(BK166/BK174,0)</f>
        <v>0</v>
      </c>
      <c r="BL178" s="39">
        <f ca="1">IFERROR(BL166/BL174,0)</f>
        <v>0</v>
      </c>
      <c r="BM178" s="725">
        <f ca="1">BN178+BO178</f>
        <v>0</v>
      </c>
      <c r="BN178" s="39">
        <f>IFERROR(BN166/BN174,0)</f>
        <v>0</v>
      </c>
      <c r="BO178" s="39">
        <f ca="1">IFERROR(BO166/BO174,0)</f>
        <v>0</v>
      </c>
      <c r="BP178" s="725">
        <f ca="1">BQ178+BR178</f>
        <v>0</v>
      </c>
      <c r="BQ178" s="816">
        <f>IFERROR(BQ166/BQ174,0)</f>
        <v>0</v>
      </c>
      <c r="BR178" s="816">
        <f ca="1">IFERROR(BR166/BR174,0)</f>
        <v>0</v>
      </c>
      <c r="BS178" s="725">
        <f ca="1">BT178+BU178</f>
        <v>0</v>
      </c>
      <c r="BT178" s="39">
        <f>IFERROR(BT166/BT174,0)</f>
        <v>0</v>
      </c>
      <c r="BU178" s="39">
        <f ca="1">IFERROR(BU166/BU174,0)</f>
        <v>0</v>
      </c>
      <c r="BV178" s="725">
        <f ca="1">BW178+BX178</f>
        <v>0</v>
      </c>
      <c r="BW178" s="39">
        <f>IFERROR(BW166/BW174,0)</f>
        <v>0</v>
      </c>
      <c r="BX178" s="39">
        <f ca="1">IFERROR(BX166/BX174,0)</f>
        <v>0</v>
      </c>
      <c r="BY178" s="725">
        <f ca="1">BZ178+CA178</f>
        <v>0</v>
      </c>
      <c r="BZ178" s="39">
        <f>IFERROR(BZ166/BZ174,0)</f>
        <v>0</v>
      </c>
      <c r="CA178" s="39">
        <f ca="1">IFERROR(CA166/CA174,0)</f>
        <v>0</v>
      </c>
      <c r="CB178" s="725">
        <f ca="1">CC178+CD178</f>
        <v>0</v>
      </c>
      <c r="CC178" s="39">
        <f>IFERROR(CC166/CC174,0)</f>
        <v>0</v>
      </c>
      <c r="CD178" s="39">
        <f ca="1">IFERROR(CD166/CD174,0)</f>
        <v>0</v>
      </c>
      <c r="CE178" s="725">
        <f ca="1">CF178+CG178</f>
        <v>0</v>
      </c>
      <c r="CF178" s="39">
        <f>IFERROR(CF166/CF174,0)</f>
        <v>0</v>
      </c>
      <c r="CG178" s="39">
        <f ca="1">IFERROR(CG166/CG174,0)</f>
        <v>0</v>
      </c>
      <c r="CH178" s="725">
        <f ca="1">CI178+CJ178</f>
        <v>0</v>
      </c>
      <c r="CI178" s="39">
        <f>IFERROR(CI166/CI174,0)</f>
        <v>0</v>
      </c>
      <c r="CJ178" s="39">
        <f ca="1">IFERROR(CJ166/CJ174,0)</f>
        <v>0</v>
      </c>
      <c r="CK178" s="725">
        <f ca="1">CL178+CM178</f>
        <v>0</v>
      </c>
      <c r="CL178" s="39">
        <f>IFERROR(CL166/CL174,0)</f>
        <v>0</v>
      </c>
      <c r="CM178" s="39">
        <f ca="1">IFERROR(CM166/CM174,0)</f>
        <v>0</v>
      </c>
      <c r="CN178" s="725">
        <f ca="1">CO178+CP178</f>
        <v>0</v>
      </c>
      <c r="CO178" s="39">
        <f>IFERROR(CO166/CO174,0)</f>
        <v>0</v>
      </c>
      <c r="CP178" s="39">
        <f ca="1">IFERROR(CP166/CP174,0)</f>
        <v>0</v>
      </c>
      <c r="CQ178" s="725">
        <f ca="1">CR178+CS178</f>
        <v>0</v>
      </c>
      <c r="CR178" s="39">
        <f>IFERROR(CR166/CR174,0)</f>
        <v>0</v>
      </c>
      <c r="CS178" s="39">
        <f ca="1">IFERROR(CS166/CS174,0)</f>
        <v>0</v>
      </c>
      <c r="CT178" s="25"/>
      <c r="CW178" s="960" t="s">
        <v>820</v>
      </c>
      <c r="CX178" s="965" t="s">
        <v>812</v>
      </c>
      <c r="CY178" s="969" cm="1">
        <f t="array" ref="CY178">AE178</f>
        <v>0</v>
      </c>
      <c r="CZ178" s="969" cm="1">
        <f t="array" ref="CZ178">AF178</f>
        <v>0</v>
      </c>
      <c r="DA178" s="966"/>
      <c r="DB178" s="966"/>
    </row>
    <row r="179" spans="1:106" s="1167" customFormat="1" ht="16.5" customHeight="1" x14ac:dyDescent="0.15">
      <c r="E179" s="668">
        <v>17.100000000000001</v>
      </c>
      <c r="F179" s="769" t="str" cm="1">
        <f t="array" aca="1" ref="F179" ca="1">OFFSET(G179,-1,-1)</f>
        <v>1</v>
      </c>
      <c r="L179" s="769" t="b" cm="1">
        <f t="array" aca="1" ref="L179" ca="1">OFFSET(M179,-1,-1)</f>
        <v>0</v>
      </c>
      <c r="S179" s="107" t="b" cm="1">
        <f t="array" aca="1" ref="S179" ca="1">OFFSET(T179,-1,-1)</f>
        <v>1</v>
      </c>
      <c r="T179" s="107" t="b">
        <f>AD179&lt;&gt;"21.0"</f>
        <v>1</v>
      </c>
      <c r="U179" s="690" t="b">
        <f t="shared" ca="1" si="80"/>
        <v>1</v>
      </c>
      <c r="X179" s="107" t="str">
        <f>'Топливо 4.4'!$AE$175&amp;'Топливо 4.4'!$AF$175</f>
        <v>Уголь длиннопламенный</v>
      </c>
      <c r="Y179" s="1481"/>
      <c r="Z179" s="1481"/>
      <c r="AB179" s="1539"/>
      <c r="AD179" s="108" t="s">
        <v>925</v>
      </c>
      <c r="AE179" s="811" t="str" cm="1">
        <f t="array" ref="AE179">IF(ISBLANK('Топливо 4.4'!$AE$175),"",'Топливо 4.4'!$AE$175)</f>
        <v>Уголь длиннопламенный</v>
      </c>
      <c r="AF179" s="516" t="str" cm="1">
        <f t="array" ref="AF179">IF(ISBLANK('Топливо 4.4'!$AF$175),"",'Топливо 4.4'!$AF$175)</f>
        <v/>
      </c>
      <c r="AG179" s="884" t="str">
        <f>IFERROR(INDEX(fuel_ed_izm_list,MATCH(AE179,fuel_list,0)),"тнт")</f>
        <v>тнт</v>
      </c>
      <c r="AH179" s="1250">
        <f>IFERROR(AH167/AH175,0)</f>
        <v>18500.812095032397</v>
      </c>
      <c r="AI179" s="1250">
        <v>17445.95</v>
      </c>
      <c r="AJ179" s="1250">
        <v>17815.22</v>
      </c>
      <c r="AK179" s="1250">
        <f>IFERROR(AK167/AK175,0)</f>
        <v>18453.772146097384</v>
      </c>
      <c r="AL179" s="725">
        <f ca="1">AM179+AN179</f>
        <v>17490.207274925684</v>
      </c>
      <c r="AM179" s="1250">
        <f>IFERROR(AM167/AM175,0)</f>
        <v>9026.0696242991635</v>
      </c>
      <c r="AN179" s="1250">
        <f ca="1">IFERROR(AN167/AN175,0)</f>
        <v>8464.1376506265206</v>
      </c>
      <c r="AO179" s="725">
        <f ca="1">AP179+AQ179</f>
        <v>0</v>
      </c>
      <c r="AP179" s="1250">
        <f>IFERROR(AP167/AP175,0)</f>
        <v>0</v>
      </c>
      <c r="AQ179" s="1250">
        <f ca="1">IFERROR(AQ167/AQ175,0)</f>
        <v>0</v>
      </c>
      <c r="AR179" s="725">
        <f ca="1">AS179+AT179</f>
        <v>0</v>
      </c>
      <c r="AS179" s="1250">
        <f>IFERROR(AS167/AS175,0)</f>
        <v>0</v>
      </c>
      <c r="AT179" s="1250">
        <f ca="1">IFERROR(AT167/AT175,0)</f>
        <v>0</v>
      </c>
      <c r="AU179" s="725">
        <f ca="1">AV179+AW179</f>
        <v>0</v>
      </c>
      <c r="AV179" s="1250">
        <f>IFERROR(AV167/AV175,0)</f>
        <v>0</v>
      </c>
      <c r="AW179" s="1250">
        <f ca="1">IFERROR(AW167/AW175,0)</f>
        <v>0</v>
      </c>
      <c r="AX179" s="725">
        <f ca="1">AY179+AZ179</f>
        <v>0</v>
      </c>
      <c r="AY179" s="1250">
        <f>IFERROR(AY167/AY175,0)</f>
        <v>0</v>
      </c>
      <c r="AZ179" s="1250">
        <f ca="1">IFERROR(AZ167/AZ175,0)</f>
        <v>0</v>
      </c>
      <c r="BA179" s="725">
        <f ca="1">BB179+BC179</f>
        <v>0</v>
      </c>
      <c r="BB179" s="1250">
        <f>IFERROR(BB167/BB175,0)</f>
        <v>0</v>
      </c>
      <c r="BC179" s="1250">
        <f ca="1">IFERROR(BC167/BC175,0)</f>
        <v>0</v>
      </c>
      <c r="BD179" s="725">
        <f ca="1">BE179+BF179</f>
        <v>0</v>
      </c>
      <c r="BE179" s="1250">
        <f>IFERROR(BE167/BE175,0)</f>
        <v>0</v>
      </c>
      <c r="BF179" s="1250">
        <f ca="1">IFERROR(BF167/BF175,0)</f>
        <v>0</v>
      </c>
      <c r="BG179" s="725">
        <f ca="1">BH179+BI179</f>
        <v>0</v>
      </c>
      <c r="BH179" s="1250">
        <f>IFERROR(BH167/BH175,0)</f>
        <v>0</v>
      </c>
      <c r="BI179" s="1250">
        <f ca="1">IFERROR(BI167/BI175,0)</f>
        <v>0</v>
      </c>
      <c r="BJ179" s="725">
        <f ca="1">BK179+BL179</f>
        <v>0</v>
      </c>
      <c r="BK179" s="1250">
        <f>IFERROR(BK167/BK175,0)</f>
        <v>0</v>
      </c>
      <c r="BL179" s="1250">
        <f ca="1">IFERROR(BL167/BL175,0)</f>
        <v>0</v>
      </c>
      <c r="BM179" s="725">
        <f ca="1">BN179+BO179</f>
        <v>0</v>
      </c>
      <c r="BN179" s="1250">
        <f>IFERROR(BN167/BN175,0)</f>
        <v>0</v>
      </c>
      <c r="BO179" s="1250">
        <f ca="1">IFERROR(BO167/BO175,0)</f>
        <v>0</v>
      </c>
      <c r="BP179" s="725">
        <f ca="1">BQ179+BR179</f>
        <v>17490.198094080788</v>
      </c>
      <c r="BQ179" s="816">
        <f>IFERROR(BQ167/BQ175,0)</f>
        <v>12621.61440635466</v>
      </c>
      <c r="BR179" s="816">
        <f ca="1">IFERROR(BR167/BR175,0)</f>
        <v>4868.5836877261272</v>
      </c>
      <c r="BS179" s="725">
        <f ca="1">BT179+BU179</f>
        <v>0</v>
      </c>
      <c r="BT179" s="1250">
        <f>IFERROR(BT167/BT175,0)</f>
        <v>0</v>
      </c>
      <c r="BU179" s="1250">
        <f ca="1">IFERROR(BU167/BU175,0)</f>
        <v>0</v>
      </c>
      <c r="BV179" s="725">
        <f ca="1">BW179+BX179</f>
        <v>0</v>
      </c>
      <c r="BW179" s="1250">
        <f>IFERROR(BW167/BW175,0)</f>
        <v>0</v>
      </c>
      <c r="BX179" s="1250">
        <f ca="1">IFERROR(BX167/BX175,0)</f>
        <v>0</v>
      </c>
      <c r="BY179" s="725">
        <f ca="1">BZ179+CA179</f>
        <v>0</v>
      </c>
      <c r="BZ179" s="1250">
        <f>IFERROR(BZ167/BZ175,0)</f>
        <v>0</v>
      </c>
      <c r="CA179" s="1250">
        <f ca="1">IFERROR(CA167/CA175,0)</f>
        <v>0</v>
      </c>
      <c r="CB179" s="725">
        <f ca="1">CC179+CD179</f>
        <v>0</v>
      </c>
      <c r="CC179" s="1250">
        <f>IFERROR(CC167/CC175,0)</f>
        <v>0</v>
      </c>
      <c r="CD179" s="1250">
        <f ca="1">IFERROR(CD167/CD175,0)</f>
        <v>0</v>
      </c>
      <c r="CE179" s="725">
        <f ca="1">CF179+CG179</f>
        <v>0</v>
      </c>
      <c r="CF179" s="1250">
        <f>IFERROR(CF167/CF175,0)</f>
        <v>0</v>
      </c>
      <c r="CG179" s="1250">
        <f ca="1">IFERROR(CG167/CG175,0)</f>
        <v>0</v>
      </c>
      <c r="CH179" s="725">
        <f ca="1">CI179+CJ179</f>
        <v>0</v>
      </c>
      <c r="CI179" s="1250">
        <f>IFERROR(CI167/CI175,0)</f>
        <v>0</v>
      </c>
      <c r="CJ179" s="1250">
        <f ca="1">IFERROR(CJ167/CJ175,0)</f>
        <v>0</v>
      </c>
      <c r="CK179" s="725">
        <f ca="1">CL179+CM179</f>
        <v>0</v>
      </c>
      <c r="CL179" s="1250">
        <f>IFERROR(CL167/CL175,0)</f>
        <v>0</v>
      </c>
      <c r="CM179" s="1250">
        <f ca="1">IFERROR(CM167/CM175,0)</f>
        <v>0</v>
      </c>
      <c r="CN179" s="725">
        <f ca="1">CO179+CP179</f>
        <v>0</v>
      </c>
      <c r="CO179" s="1250">
        <f>IFERROR(CO167/CO175,0)</f>
        <v>0</v>
      </c>
      <c r="CP179" s="1250">
        <f ca="1">IFERROR(CP167/CP175,0)</f>
        <v>0</v>
      </c>
      <c r="CQ179" s="725">
        <f ca="1">CR179+CS179</f>
        <v>0</v>
      </c>
      <c r="CR179" s="1250">
        <f>IFERROR(CR167/CR175,0)</f>
        <v>0</v>
      </c>
      <c r="CS179" s="1250">
        <f ca="1">IFERROR(CS167/CS175,0)</f>
        <v>0</v>
      </c>
      <c r="CT179" s="1231"/>
      <c r="CW179" s="960" t="s">
        <v>820</v>
      </c>
      <c r="CX179" s="965" t="s">
        <v>812</v>
      </c>
      <c r="CY179" s="969" t="str" cm="1">
        <f t="array" ref="CY179">AE179</f>
        <v>Уголь длиннопламенный</v>
      </c>
      <c r="CZ179" s="969" t="str" cm="1">
        <f t="array" ref="CZ179">AF179</f>
        <v/>
      </c>
      <c r="DA179" s="966"/>
      <c r="DB179" s="966"/>
    </row>
    <row r="180" spans="1:106" s="1167" customFormat="1" ht="17.25" hidden="1" customHeight="1" x14ac:dyDescent="0.15">
      <c r="A180" s="1150"/>
      <c r="B180" s="773"/>
      <c r="C180" s="1150"/>
      <c r="D180" s="1150"/>
      <c r="E180" s="668">
        <v>0</v>
      </c>
      <c r="F180" s="769" t="str" cm="1">
        <f t="array" aca="1" ref="F180" ca="1">OFFSET(G180,-1,-1)</f>
        <v>1</v>
      </c>
      <c r="G180" s="804"/>
      <c r="H180" s="804"/>
      <c r="I180" s="804"/>
      <c r="J180" s="804"/>
      <c r="K180" s="804"/>
      <c r="L180" s="769" t="b" cm="1">
        <f t="array" aca="1" ref="L180" ca="1">OFFSET(M180,-1,-1)</f>
        <v>0</v>
      </c>
      <c r="M180" s="804"/>
      <c r="N180" s="804"/>
      <c r="O180" s="804"/>
      <c r="P180" s="804"/>
      <c r="Q180" s="804"/>
      <c r="R180" s="1150"/>
      <c r="S180" s="107" t="b" cm="1">
        <f t="array" aca="1" ref="S180" ca="1">OFFSET(T180,-1,-1)</f>
        <v>1</v>
      </c>
      <c r="T180" s="1150"/>
      <c r="U180" s="690" t="b">
        <f t="shared" ca="1" si="80"/>
        <v>1</v>
      </c>
      <c r="V180" s="1150"/>
      <c r="W180" s="1150"/>
      <c r="X180" s="810" t="str">
        <f>"{                  
         funcDyn: 'msg1',
         blok: 'blok_2',
         wsCross: 'Топливо 4.4',
         linkFormula: 'AE-AE#AF-AF',
         levelDyn: "&amp;Y139&amp;"
}"</f>
        <v>{                  
         funcDyn: 'msg1',
         blok: 'blok_2',
         wsCross: 'Топливо 4.4',
         linkFormula: 'AE-AE#AF-AF',
         levelDyn: 1
}</v>
      </c>
      <c r="Y180" s="1428"/>
      <c r="Z180" s="1428"/>
      <c r="AA180" s="691"/>
      <c r="AB180" s="1540"/>
      <c r="AD180" s="813"/>
      <c r="AE180" s="812" t="s">
        <v>239</v>
      </c>
      <c r="AF180" s="736"/>
      <c r="AG180" s="843"/>
      <c r="AH180" s="726"/>
      <c r="AI180" s="728"/>
      <c r="AJ180" s="728"/>
      <c r="AK180" s="728"/>
      <c r="AL180" s="726"/>
      <c r="AM180" s="728"/>
      <c r="AN180" s="728"/>
      <c r="AO180" s="726"/>
      <c r="AP180" s="728"/>
      <c r="AQ180" s="728"/>
      <c r="AR180" s="726"/>
      <c r="AS180" s="728"/>
      <c r="AT180" s="728"/>
      <c r="AU180" s="726"/>
      <c r="AV180" s="728"/>
      <c r="AW180" s="728"/>
      <c r="AX180" s="726"/>
      <c r="AY180" s="728"/>
      <c r="AZ180" s="728"/>
      <c r="BA180" s="726"/>
      <c r="BB180" s="728"/>
      <c r="BC180" s="728"/>
      <c r="BD180" s="726"/>
      <c r="BE180" s="728"/>
      <c r="BF180" s="728"/>
      <c r="BG180" s="726"/>
      <c r="BH180" s="728"/>
      <c r="BI180" s="728"/>
      <c r="BJ180" s="726"/>
      <c r="BK180" s="728"/>
      <c r="BL180" s="728"/>
      <c r="BM180" s="726"/>
      <c r="BN180" s="728"/>
      <c r="BO180" s="728"/>
      <c r="BP180" s="726"/>
      <c r="BQ180" s="728"/>
      <c r="BR180" s="728"/>
      <c r="BS180" s="726"/>
      <c r="BT180" s="728"/>
      <c r="BU180" s="728"/>
      <c r="BV180" s="726"/>
      <c r="BW180" s="728"/>
      <c r="BX180" s="728"/>
      <c r="BY180" s="726"/>
      <c r="BZ180" s="728"/>
      <c r="CA180" s="728"/>
      <c r="CB180" s="726"/>
      <c r="CC180" s="728"/>
      <c r="CD180" s="728"/>
      <c r="CE180" s="726"/>
      <c r="CF180" s="728"/>
      <c r="CG180" s="728"/>
      <c r="CH180" s="726"/>
      <c r="CI180" s="728"/>
      <c r="CJ180" s="728"/>
      <c r="CK180" s="726"/>
      <c r="CL180" s="728"/>
      <c r="CM180" s="728"/>
      <c r="CN180" s="726"/>
      <c r="CO180" s="728"/>
      <c r="CP180" s="728"/>
      <c r="CQ180" s="726"/>
      <c r="CR180" s="728"/>
      <c r="CS180" s="728"/>
      <c r="CT180" s="43"/>
      <c r="CW180" s="960" t="str">
        <f>IF(AND(ISNUMBER(VALUE(TRIM(SUBSTITUTE(AD180,".","")))),TRIM(SUBSTITUTE(AD180,".",""))&lt;&gt;""),"P"&amp;SUBSTITUTE(AD180,".",""),"")</f>
        <v/>
      </c>
      <c r="CX180" s="965"/>
      <c r="CY180" s="965"/>
      <c r="CZ180" s="965"/>
      <c r="DA180" s="966"/>
      <c r="DB180" s="966"/>
    </row>
    <row r="181" spans="1:106" s="1167" customFormat="1" ht="16.5" customHeight="1" x14ac:dyDescent="0.15">
      <c r="A181" s="1150"/>
      <c r="B181" s="773"/>
      <c r="C181" s="1150"/>
      <c r="D181" s="1150"/>
      <c r="E181" s="668">
        <v>17.100000000000001</v>
      </c>
      <c r="F181" s="769" t="str" cm="1">
        <f t="array" aca="1" ref="F181" ca="1">OFFSET(G181,-1,-1)</f>
        <v>1</v>
      </c>
      <c r="G181" s="804"/>
      <c r="H181" s="804"/>
      <c r="I181" s="804"/>
      <c r="J181" s="804"/>
      <c r="K181" s="804"/>
      <c r="L181" s="769" t="b" cm="1">
        <f t="array" aca="1" ref="L181" ca="1">OFFSET(M181,-1,-1)</f>
        <v>0</v>
      </c>
      <c r="M181" s="804"/>
      <c r="N181" s="804"/>
      <c r="O181" s="804"/>
      <c r="P181" s="804"/>
      <c r="Q181" s="804"/>
      <c r="R181" s="1150"/>
      <c r="S181" s="107" t="b" cm="1">
        <f t="array" aca="1" ref="S181" ca="1">OFFSET(T181,-1,-1)</f>
        <v>1</v>
      </c>
      <c r="T181" s="1150"/>
      <c r="U181" s="690" t="b">
        <f t="shared" ca="1" si="80"/>
        <v>1</v>
      </c>
      <c r="V181" s="1150"/>
      <c r="W181" s="1150"/>
      <c r="X181" s="1150"/>
      <c r="Y181" s="1428"/>
      <c r="Z181" s="1428"/>
      <c r="AA181" s="691"/>
      <c r="AB181" s="1535" t="s">
        <v>822</v>
      </c>
      <c r="AD181" s="108">
        <v>22</v>
      </c>
      <c r="AE181" s="1511" t="s">
        <v>823</v>
      </c>
      <c r="AF181" s="1512"/>
      <c r="AG181" s="614"/>
      <c r="AH181" s="726"/>
      <c r="AI181" s="728"/>
      <c r="AJ181" s="728"/>
      <c r="AK181" s="728"/>
      <c r="AL181" s="728"/>
      <c r="AM181" s="728"/>
      <c r="AN181" s="728"/>
      <c r="AO181" s="728"/>
      <c r="AP181" s="728"/>
      <c r="AQ181" s="728"/>
      <c r="AR181" s="728"/>
      <c r="AS181" s="728"/>
      <c r="AT181" s="728"/>
      <c r="AU181" s="728"/>
      <c r="AV181" s="728"/>
      <c r="AW181" s="728"/>
      <c r="AX181" s="728"/>
      <c r="AY181" s="728"/>
      <c r="AZ181" s="728"/>
      <c r="BA181" s="728"/>
      <c r="BB181" s="728"/>
      <c r="BC181" s="728"/>
      <c r="BD181" s="728"/>
      <c r="BE181" s="728"/>
      <c r="BF181" s="728"/>
      <c r="BG181" s="728"/>
      <c r="BH181" s="728"/>
      <c r="BI181" s="728"/>
      <c r="BJ181" s="728"/>
      <c r="BK181" s="728"/>
      <c r="BL181" s="728"/>
      <c r="BM181" s="728"/>
      <c r="BN181" s="728"/>
      <c r="BO181" s="728"/>
      <c r="BP181" s="728"/>
      <c r="BQ181" s="728"/>
      <c r="BR181" s="728"/>
      <c r="BS181" s="728"/>
      <c r="BT181" s="728"/>
      <c r="BU181" s="728"/>
      <c r="BV181" s="728"/>
      <c r="BW181" s="728"/>
      <c r="BX181" s="728"/>
      <c r="BY181" s="728"/>
      <c r="BZ181" s="728"/>
      <c r="CA181" s="728"/>
      <c r="CB181" s="728"/>
      <c r="CC181" s="728"/>
      <c r="CD181" s="728"/>
      <c r="CE181" s="728"/>
      <c r="CF181" s="728"/>
      <c r="CG181" s="728"/>
      <c r="CH181" s="728"/>
      <c r="CI181" s="728"/>
      <c r="CJ181" s="728"/>
      <c r="CK181" s="728"/>
      <c r="CL181" s="728"/>
      <c r="CM181" s="728"/>
      <c r="CN181" s="728"/>
      <c r="CO181" s="728"/>
      <c r="CP181" s="728"/>
      <c r="CQ181" s="728"/>
      <c r="CR181" s="728"/>
      <c r="CS181" s="728"/>
      <c r="CT181" s="1231"/>
      <c r="CW181" s="960" t="s">
        <v>824</v>
      </c>
      <c r="CX181" s="965"/>
      <c r="CY181" s="965"/>
      <c r="CZ181" s="965"/>
      <c r="DA181" s="966"/>
      <c r="DB181" s="966"/>
    </row>
    <row r="182" spans="1:106" s="1167" customFormat="1" ht="16.5" hidden="1" customHeight="1" x14ac:dyDescent="0.15">
      <c r="E182" s="668">
        <v>17.100000000000001</v>
      </c>
      <c r="F182" s="769" t="str" cm="1">
        <f t="array" aca="1" ref="F182" ca="1">OFFSET(G182,-1,-1)</f>
        <v>1</v>
      </c>
      <c r="L182" s="769" t="b" cm="1">
        <f t="array" aca="1" ref="L182" ca="1">OFFSET(M182,-1,-1)</f>
        <v>0</v>
      </c>
      <c r="S182" s="107" t="b" cm="1">
        <f t="array" aca="1" ref="S182" ca="1">OFFSET(T182,-1,-1)</f>
        <v>1</v>
      </c>
      <c r="T182" s="107" t="b">
        <f>AD182&lt;&gt;"22.0"</f>
        <v>0</v>
      </c>
      <c r="U182" s="690" t="b">
        <f t="shared" ca="1" si="80"/>
        <v>0</v>
      </c>
      <c r="X182" s="107" t="s">
        <v>237</v>
      </c>
      <c r="Y182" s="1481"/>
      <c r="Z182" s="1481"/>
      <c r="AB182" s="1536"/>
      <c r="AD182" s="108" t="s">
        <v>825</v>
      </c>
      <c r="AE182" s="811"/>
      <c r="AF182" s="516"/>
      <c r="AG182" s="843" t="s">
        <v>521</v>
      </c>
      <c r="AH182" s="44"/>
      <c r="AI182" s="45"/>
      <c r="AJ182" s="45"/>
      <c r="AK182" s="45"/>
      <c r="AL182" s="863"/>
      <c r="AM182" s="45"/>
      <c r="AN182" s="45"/>
      <c r="AO182" s="863"/>
      <c r="AP182" s="45"/>
      <c r="AQ182" s="45"/>
      <c r="AR182" s="863"/>
      <c r="AS182" s="45"/>
      <c r="AT182" s="45"/>
      <c r="AU182" s="863"/>
      <c r="AV182" s="45"/>
      <c r="AW182" s="45"/>
      <c r="AX182" s="863"/>
      <c r="AY182" s="45"/>
      <c r="AZ182" s="45"/>
      <c r="BA182" s="863"/>
      <c r="BB182" s="45"/>
      <c r="BC182" s="45"/>
      <c r="BD182" s="863"/>
      <c r="BE182" s="45"/>
      <c r="BF182" s="45"/>
      <c r="BG182" s="863"/>
      <c r="BH182" s="45"/>
      <c r="BI182" s="45"/>
      <c r="BJ182" s="863"/>
      <c r="BK182" s="45"/>
      <c r="BL182" s="45"/>
      <c r="BM182" s="863"/>
      <c r="BN182" s="45"/>
      <c r="BO182" s="45"/>
      <c r="BP182" s="863"/>
      <c r="BQ182" s="862"/>
      <c r="BR182" s="862"/>
      <c r="BS182" s="863"/>
      <c r="BT182" s="45"/>
      <c r="BU182" s="45"/>
      <c r="BV182" s="863"/>
      <c r="BW182" s="45"/>
      <c r="BX182" s="45"/>
      <c r="BY182" s="863"/>
      <c r="BZ182" s="45"/>
      <c r="CA182" s="45"/>
      <c r="CB182" s="863"/>
      <c r="CC182" s="45"/>
      <c r="CD182" s="45"/>
      <c r="CE182" s="863"/>
      <c r="CF182" s="45"/>
      <c r="CG182" s="45"/>
      <c r="CH182" s="863"/>
      <c r="CI182" s="45"/>
      <c r="CJ182" s="45"/>
      <c r="CK182" s="863"/>
      <c r="CL182" s="45"/>
      <c r="CM182" s="45"/>
      <c r="CN182" s="863"/>
      <c r="CO182" s="45"/>
      <c r="CP182" s="45"/>
      <c r="CQ182" s="863"/>
      <c r="CR182" s="45"/>
      <c r="CS182" s="45"/>
      <c r="CT182" s="25"/>
      <c r="CW182" s="960" t="s">
        <v>824</v>
      </c>
      <c r="CX182" s="965" t="s">
        <v>812</v>
      </c>
      <c r="CY182" s="969" cm="1">
        <f t="array" ref="CY182">AE182</f>
        <v>0</v>
      </c>
      <c r="CZ182" s="969" cm="1">
        <f t="array" ref="CZ182">AF182</f>
        <v>0</v>
      </c>
      <c r="DA182" s="966"/>
      <c r="DB182" s="966"/>
    </row>
    <row r="183" spans="1:106" s="1167" customFormat="1" ht="16.5" customHeight="1" x14ac:dyDescent="0.15">
      <c r="E183" s="668">
        <v>17.100000000000001</v>
      </c>
      <c r="F183" s="769" t="str" cm="1">
        <f t="array" aca="1" ref="F183" ca="1">OFFSET(G183,-1,-1)</f>
        <v>1</v>
      </c>
      <c r="L183" s="769" t="b" cm="1">
        <f t="array" aca="1" ref="L183" ca="1">OFFSET(M183,-1,-1)</f>
        <v>0</v>
      </c>
      <c r="S183" s="107" t="b" cm="1">
        <f t="array" aca="1" ref="S183" ca="1">OFFSET(T183,-1,-1)</f>
        <v>1</v>
      </c>
      <c r="T183" s="107" t="b">
        <f>AD183&lt;&gt;"22.0"</f>
        <v>1</v>
      </c>
      <c r="U183" s="690" t="b">
        <f t="shared" ca="1" si="80"/>
        <v>1</v>
      </c>
      <c r="X183" s="107" t="str">
        <f>'Топливо 4.4'!$AE$179&amp;'Топливо 4.4'!$AF$179</f>
        <v>Уголь длиннопламенный</v>
      </c>
      <c r="Y183" s="1481"/>
      <c r="Z183" s="1481"/>
      <c r="AB183" s="1536"/>
      <c r="AD183" s="108" t="s">
        <v>926</v>
      </c>
      <c r="AE183" s="811" t="str" cm="1">
        <f t="array" ref="AE183">IF(ISBLANK('Топливо 4.4'!$AE$179),"",'Топливо 4.4'!$AE$179)</f>
        <v>Уголь длиннопламенный</v>
      </c>
      <c r="AF183" s="516" t="str" cm="1">
        <f t="array" ref="AF183">IF(ISBLANK('Топливо 4.4'!$AF$179),"",'Топливо 4.4'!$AF$179)</f>
        <v/>
      </c>
      <c r="AG183" s="843" t="s">
        <v>521</v>
      </c>
      <c r="AH183" s="1255"/>
      <c r="AI183" s="1256"/>
      <c r="AJ183" s="1256"/>
      <c r="AK183" s="1256"/>
      <c r="AL183" s="863"/>
      <c r="AM183" s="1256"/>
      <c r="AN183" s="1256"/>
      <c r="AO183" s="863"/>
      <c r="AP183" s="1256"/>
      <c r="AQ183" s="1256"/>
      <c r="AR183" s="863"/>
      <c r="AS183" s="1256"/>
      <c r="AT183" s="1256"/>
      <c r="AU183" s="863"/>
      <c r="AV183" s="1256"/>
      <c r="AW183" s="1256"/>
      <c r="AX183" s="863"/>
      <c r="AY183" s="1256"/>
      <c r="AZ183" s="1256"/>
      <c r="BA183" s="863"/>
      <c r="BB183" s="1256"/>
      <c r="BC183" s="1256"/>
      <c r="BD183" s="863"/>
      <c r="BE183" s="1256"/>
      <c r="BF183" s="1256"/>
      <c r="BG183" s="863"/>
      <c r="BH183" s="1256"/>
      <c r="BI183" s="1256"/>
      <c r="BJ183" s="863"/>
      <c r="BK183" s="1256"/>
      <c r="BL183" s="1256"/>
      <c r="BM183" s="863"/>
      <c r="BN183" s="1256"/>
      <c r="BO183" s="1256"/>
      <c r="BP183" s="863"/>
      <c r="BQ183" s="862"/>
      <c r="BR183" s="862"/>
      <c r="BS183" s="863"/>
      <c r="BT183" s="1256"/>
      <c r="BU183" s="1256"/>
      <c r="BV183" s="863"/>
      <c r="BW183" s="1256"/>
      <c r="BX183" s="1256"/>
      <c r="BY183" s="863"/>
      <c r="BZ183" s="1256"/>
      <c r="CA183" s="1256"/>
      <c r="CB183" s="863"/>
      <c r="CC183" s="1256"/>
      <c r="CD183" s="1256"/>
      <c r="CE183" s="863"/>
      <c r="CF183" s="1256"/>
      <c r="CG183" s="1256"/>
      <c r="CH183" s="863"/>
      <c r="CI183" s="1256"/>
      <c r="CJ183" s="1256"/>
      <c r="CK183" s="863"/>
      <c r="CL183" s="1256"/>
      <c r="CM183" s="1256"/>
      <c r="CN183" s="863"/>
      <c r="CO183" s="1256"/>
      <c r="CP183" s="1256"/>
      <c r="CQ183" s="863"/>
      <c r="CR183" s="1256"/>
      <c r="CS183" s="1256"/>
      <c r="CT183" s="1231"/>
      <c r="CW183" s="960" t="s">
        <v>824</v>
      </c>
      <c r="CX183" s="965" t="s">
        <v>812</v>
      </c>
      <c r="CY183" s="969" t="str" cm="1">
        <f t="array" ref="CY183">AE183</f>
        <v>Уголь длиннопламенный</v>
      </c>
      <c r="CZ183" s="969" t="str" cm="1">
        <f t="array" ref="CZ183">AF183</f>
        <v/>
      </c>
      <c r="DA183" s="966"/>
      <c r="DB183" s="966"/>
    </row>
    <row r="184" spans="1:106" s="1167" customFormat="1" ht="17.25" hidden="1" customHeight="1" x14ac:dyDescent="0.15">
      <c r="A184" s="1150"/>
      <c r="B184" s="773"/>
      <c r="C184" s="1150"/>
      <c r="D184" s="1150"/>
      <c r="E184" s="668">
        <v>0</v>
      </c>
      <c r="F184" s="769" t="str" cm="1">
        <f t="array" aca="1" ref="F184" ca="1">OFFSET(G184,-1,-1)</f>
        <v>1</v>
      </c>
      <c r="G184" s="804"/>
      <c r="H184" s="804"/>
      <c r="I184" s="804"/>
      <c r="J184" s="804"/>
      <c r="K184" s="804"/>
      <c r="L184" s="769" t="b" cm="1">
        <f t="array" aca="1" ref="L184" ca="1">OFFSET(M184,-1,-1)</f>
        <v>0</v>
      </c>
      <c r="M184" s="804"/>
      <c r="N184" s="804"/>
      <c r="O184" s="804"/>
      <c r="P184" s="804"/>
      <c r="Q184" s="804"/>
      <c r="R184" s="1150"/>
      <c r="S184" s="107" t="b" cm="1">
        <f t="array" aca="1" ref="S184" ca="1">OFFSET(T184,-1,-1)</f>
        <v>1</v>
      </c>
      <c r="T184" s="1150"/>
      <c r="U184" s="690" t="b">
        <f t="shared" ca="1" si="80"/>
        <v>1</v>
      </c>
      <c r="V184" s="1150"/>
      <c r="W184" s="1150"/>
      <c r="X184" s="810" t="str">
        <f>"{                  
         funcDyn: 'msg1',
         blok: 'blok_2',
         wsCross: 'Топливо 4.4',
         linkFormula: 'AE-AE#AF-AF',
         levelDyn: "&amp;Y139&amp;"
}"</f>
        <v>{                  
         funcDyn: 'msg1',
         blok: 'blok_2',
         wsCross: 'Топливо 4.4',
         linkFormula: 'AE-AE#AF-AF',
         levelDyn: 1
}</v>
      </c>
      <c r="Y184" s="1428"/>
      <c r="Z184" s="1428"/>
      <c r="AA184" s="691"/>
      <c r="AB184" s="1536"/>
      <c r="AD184" s="813"/>
      <c r="AE184" s="812" t="s">
        <v>239</v>
      </c>
      <c r="AF184" s="736"/>
      <c r="AG184" s="843"/>
      <c r="AH184" s="726"/>
      <c r="AI184" s="728"/>
      <c r="AJ184" s="728"/>
      <c r="AK184" s="728"/>
      <c r="AL184" s="728"/>
      <c r="AM184" s="728"/>
      <c r="AN184" s="728"/>
      <c r="AO184" s="728"/>
      <c r="AP184" s="728"/>
      <c r="AQ184" s="728"/>
      <c r="AR184" s="728"/>
      <c r="AS184" s="728"/>
      <c r="AT184" s="728"/>
      <c r="AU184" s="728"/>
      <c r="AV184" s="728"/>
      <c r="AW184" s="728"/>
      <c r="AX184" s="728"/>
      <c r="AY184" s="728"/>
      <c r="AZ184" s="728"/>
      <c r="BA184" s="728"/>
      <c r="BB184" s="728"/>
      <c r="BC184" s="728"/>
      <c r="BD184" s="728"/>
      <c r="BE184" s="728"/>
      <c r="BF184" s="728"/>
      <c r="BG184" s="728"/>
      <c r="BH184" s="728"/>
      <c r="BI184" s="728"/>
      <c r="BJ184" s="728"/>
      <c r="BK184" s="728"/>
      <c r="BL184" s="728"/>
      <c r="BM184" s="728"/>
      <c r="BN184" s="728"/>
      <c r="BO184" s="728"/>
      <c r="BP184" s="728"/>
      <c r="BQ184" s="728"/>
      <c r="BR184" s="728"/>
      <c r="BS184" s="728"/>
      <c r="BT184" s="728"/>
      <c r="BU184" s="728"/>
      <c r="BV184" s="728"/>
      <c r="BW184" s="728"/>
      <c r="BX184" s="728"/>
      <c r="BY184" s="728"/>
      <c r="BZ184" s="728"/>
      <c r="CA184" s="728"/>
      <c r="CB184" s="728"/>
      <c r="CC184" s="728"/>
      <c r="CD184" s="728"/>
      <c r="CE184" s="728"/>
      <c r="CF184" s="728"/>
      <c r="CG184" s="728"/>
      <c r="CH184" s="728"/>
      <c r="CI184" s="728"/>
      <c r="CJ184" s="728"/>
      <c r="CK184" s="728"/>
      <c r="CL184" s="728"/>
      <c r="CM184" s="728"/>
      <c r="CN184" s="728"/>
      <c r="CO184" s="728"/>
      <c r="CP184" s="728"/>
      <c r="CQ184" s="728"/>
      <c r="CR184" s="728"/>
      <c r="CS184" s="728"/>
      <c r="CT184" s="43"/>
      <c r="CW184" s="960" t="str">
        <f>IF(AND(ISNUMBER(VALUE(TRIM(SUBSTITUTE(AD184,".","")))),TRIM(SUBSTITUTE(AD184,".",""))&lt;&gt;""),"P"&amp;SUBSTITUTE(AD184,".",""),"")</f>
        <v/>
      </c>
      <c r="CX184" s="965"/>
      <c r="CY184" s="965"/>
      <c r="CZ184" s="965"/>
      <c r="DA184" s="966"/>
      <c r="DB184" s="966"/>
    </row>
    <row r="185" spans="1:106" s="1167" customFormat="1" ht="16.5" customHeight="1" x14ac:dyDescent="0.15">
      <c r="A185" s="1150"/>
      <c r="B185" s="773"/>
      <c r="C185" s="1150"/>
      <c r="D185" s="1150"/>
      <c r="E185" s="668">
        <v>17.100000000000001</v>
      </c>
      <c r="F185" s="769" t="str" cm="1">
        <f t="array" aca="1" ref="F185" ca="1">OFFSET(G185,-1,-1)</f>
        <v>1</v>
      </c>
      <c r="G185" s="804"/>
      <c r="H185" s="804"/>
      <c r="I185" s="804"/>
      <c r="J185" s="804"/>
      <c r="K185" s="804"/>
      <c r="L185" s="769" t="b" cm="1">
        <f t="array" aca="1" ref="L185" ca="1">OFFSET(M185,-1,-1)</f>
        <v>0</v>
      </c>
      <c r="M185" s="804"/>
      <c r="N185" s="804"/>
      <c r="O185" s="804"/>
      <c r="P185" s="804"/>
      <c r="Q185" s="804"/>
      <c r="R185" s="1150"/>
      <c r="S185" s="107" t="b" cm="1">
        <f t="array" aca="1" ref="S185" ca="1">OFFSET(T185,-1,-1)</f>
        <v>1</v>
      </c>
      <c r="T185" s="1150"/>
      <c r="U185" s="690" t="b">
        <f t="shared" ca="1" si="80"/>
        <v>1</v>
      </c>
      <c r="V185" s="1150"/>
      <c r="W185" s="1150"/>
      <c r="X185" s="1150"/>
      <c r="Y185" s="1428"/>
      <c r="Z185" s="1428"/>
      <c r="AA185" s="691"/>
      <c r="AB185" s="1536"/>
      <c r="AD185" s="108">
        <v>23</v>
      </c>
      <c r="AE185" s="1511" t="s">
        <v>826</v>
      </c>
      <c r="AF185" s="1512"/>
      <c r="AG185" s="614"/>
      <c r="AH185" s="726"/>
      <c r="AI185" s="728"/>
      <c r="AJ185" s="728"/>
      <c r="AK185" s="728"/>
      <c r="AL185" s="728"/>
      <c r="AM185" s="728"/>
      <c r="AN185" s="728"/>
      <c r="AO185" s="728"/>
      <c r="AP185" s="728"/>
      <c r="AQ185" s="728"/>
      <c r="AR185" s="728"/>
      <c r="AS185" s="728"/>
      <c r="AT185" s="728"/>
      <c r="AU185" s="728"/>
      <c r="AV185" s="728"/>
      <c r="AW185" s="728"/>
      <c r="AX185" s="728"/>
      <c r="AY185" s="728"/>
      <c r="AZ185" s="728"/>
      <c r="BA185" s="728"/>
      <c r="BB185" s="728"/>
      <c r="BC185" s="728"/>
      <c r="BD185" s="728"/>
      <c r="BE185" s="728"/>
      <c r="BF185" s="728"/>
      <c r="BG185" s="728"/>
      <c r="BH185" s="728"/>
      <c r="BI185" s="728"/>
      <c r="BJ185" s="728"/>
      <c r="BK185" s="728"/>
      <c r="BL185" s="728"/>
      <c r="BM185" s="728"/>
      <c r="BN185" s="728"/>
      <c r="BO185" s="728"/>
      <c r="BP185" s="728"/>
      <c r="BQ185" s="728"/>
      <c r="BR185" s="728"/>
      <c r="BS185" s="728"/>
      <c r="BT185" s="728"/>
      <c r="BU185" s="728"/>
      <c r="BV185" s="728"/>
      <c r="BW185" s="728"/>
      <c r="BX185" s="728"/>
      <c r="BY185" s="728"/>
      <c r="BZ185" s="728"/>
      <c r="CA185" s="728"/>
      <c r="CB185" s="728"/>
      <c r="CC185" s="728"/>
      <c r="CD185" s="728"/>
      <c r="CE185" s="728"/>
      <c r="CF185" s="728"/>
      <c r="CG185" s="728"/>
      <c r="CH185" s="728"/>
      <c r="CI185" s="728"/>
      <c r="CJ185" s="728"/>
      <c r="CK185" s="728"/>
      <c r="CL185" s="728"/>
      <c r="CM185" s="728"/>
      <c r="CN185" s="728"/>
      <c r="CO185" s="728"/>
      <c r="CP185" s="728"/>
      <c r="CQ185" s="728"/>
      <c r="CR185" s="728"/>
      <c r="CS185" s="728"/>
      <c r="CT185" s="1231"/>
      <c r="CW185" s="960" t="s">
        <v>827</v>
      </c>
      <c r="CX185" s="965"/>
      <c r="CY185" s="965"/>
      <c r="CZ185" s="965"/>
      <c r="DA185" s="966"/>
      <c r="DB185" s="966"/>
    </row>
    <row r="186" spans="1:106" s="1167" customFormat="1" ht="16.5" hidden="1" customHeight="1" x14ac:dyDescent="0.15">
      <c r="E186" s="668">
        <v>17.100000000000001</v>
      </c>
      <c r="F186" s="769" t="str" cm="1">
        <f t="array" aca="1" ref="F186" ca="1">OFFSET(G186,-1,-1)</f>
        <v>1</v>
      </c>
      <c r="L186" s="769" t="b" cm="1">
        <f t="array" aca="1" ref="L186" ca="1">OFFSET(M186,-1,-1)</f>
        <v>0</v>
      </c>
      <c r="S186" s="107" t="b" cm="1">
        <f t="array" aca="1" ref="S186" ca="1">OFFSET(T186,-1,-1)</f>
        <v>1</v>
      </c>
      <c r="T186" s="107" t="b">
        <f>AD186&lt;&gt;"23.0"</f>
        <v>0</v>
      </c>
      <c r="U186" s="690" t="b">
        <f t="shared" ca="1" si="80"/>
        <v>0</v>
      </c>
      <c r="X186" s="107" t="s">
        <v>237</v>
      </c>
      <c r="Y186" s="1481"/>
      <c r="Z186" s="1481"/>
      <c r="AB186" s="1536"/>
      <c r="AD186" s="108" t="s">
        <v>828</v>
      </c>
      <c r="AE186" s="811"/>
      <c r="AF186" s="516"/>
      <c r="AG186" s="884" t="str">
        <f>"руб./"&amp;IFERROR(INDEX(fuel_ed_izm_list,MATCH(AE186,fuel_list,0)),"")</f>
        <v>руб./</v>
      </c>
      <c r="AH186" s="38">
        <f t="shared" ref="AH186:AL187" si="87">IFERROR(AH191/AH178,0)*1000</f>
        <v>0</v>
      </c>
      <c r="AI186" s="39">
        <f t="shared" si="87"/>
        <v>0</v>
      </c>
      <c r="AJ186" s="39">
        <f t="shared" si="87"/>
        <v>0</v>
      </c>
      <c r="AK186" s="39">
        <f t="shared" si="87"/>
        <v>0</v>
      </c>
      <c r="AL186" s="727">
        <f t="shared" ca="1" si="87"/>
        <v>0</v>
      </c>
      <c r="AM186" s="39"/>
      <c r="AN186" s="39"/>
      <c r="AO186" s="727">
        <f ca="1">IFERROR(AO191/AO178,0)*1000</f>
        <v>0</v>
      </c>
      <c r="AP186" s="39"/>
      <c r="AQ186" s="39"/>
      <c r="AR186" s="727">
        <f ca="1">IFERROR(AR191/AR178,0)*1000</f>
        <v>0</v>
      </c>
      <c r="AS186" s="39"/>
      <c r="AT186" s="39"/>
      <c r="AU186" s="727">
        <f ca="1">IFERROR(AU191/AU178,0)*1000</f>
        <v>0</v>
      </c>
      <c r="AV186" s="39"/>
      <c r="AW186" s="39"/>
      <c r="AX186" s="727">
        <f ca="1">IFERROR(AX191/AX178,0)*1000</f>
        <v>0</v>
      </c>
      <c r="AY186" s="39"/>
      <c r="AZ186" s="39"/>
      <c r="BA186" s="727">
        <f ca="1">IFERROR(BA191/BA178,0)*1000</f>
        <v>0</v>
      </c>
      <c r="BB186" s="39"/>
      <c r="BC186" s="39"/>
      <c r="BD186" s="727">
        <f ca="1">IFERROR(BD191/BD178,0)*1000</f>
        <v>0</v>
      </c>
      <c r="BE186" s="39"/>
      <c r="BF186" s="39"/>
      <c r="BG186" s="727">
        <f ca="1">IFERROR(BG191/BG178,0)*1000</f>
        <v>0</v>
      </c>
      <c r="BH186" s="39"/>
      <c r="BI186" s="39"/>
      <c r="BJ186" s="727">
        <f ca="1">IFERROR(BJ191/BJ178,0)*1000</f>
        <v>0</v>
      </c>
      <c r="BK186" s="39"/>
      <c r="BL186" s="39"/>
      <c r="BM186" s="727">
        <f ca="1">IFERROR(BM191/BM178,0)*1000</f>
        <v>0</v>
      </c>
      <c r="BN186" s="39"/>
      <c r="BO186" s="39"/>
      <c r="BP186" s="727">
        <f ca="1">IFERROR(BP191/BP178,0)*1000</f>
        <v>0</v>
      </c>
      <c r="BQ186" s="816"/>
      <c r="BR186" s="816"/>
      <c r="BS186" s="727">
        <f ca="1">IFERROR(BS191/BS178,0)*1000</f>
        <v>0</v>
      </c>
      <c r="BT186" s="39"/>
      <c r="BU186" s="39"/>
      <c r="BV186" s="727">
        <f ca="1">IFERROR(BV191/BV178,0)*1000</f>
        <v>0</v>
      </c>
      <c r="BW186" s="39"/>
      <c r="BX186" s="39"/>
      <c r="BY186" s="727">
        <f ca="1">IFERROR(BY191/BY178,0)*1000</f>
        <v>0</v>
      </c>
      <c r="BZ186" s="39"/>
      <c r="CA186" s="39"/>
      <c r="CB186" s="727">
        <f ca="1">IFERROR(CB191/CB178,0)*1000</f>
        <v>0</v>
      </c>
      <c r="CC186" s="39"/>
      <c r="CD186" s="39"/>
      <c r="CE186" s="727">
        <f ca="1">IFERROR(CE191/CE178,0)*1000</f>
        <v>0</v>
      </c>
      <c r="CF186" s="39"/>
      <c r="CG186" s="39"/>
      <c r="CH186" s="727">
        <f ca="1">IFERROR(CH191/CH178,0)*1000</f>
        <v>0</v>
      </c>
      <c r="CI186" s="39"/>
      <c r="CJ186" s="39"/>
      <c r="CK186" s="727">
        <f ca="1">IFERROR(CK191/CK178,0)*1000</f>
        <v>0</v>
      </c>
      <c r="CL186" s="39"/>
      <c r="CM186" s="39"/>
      <c r="CN186" s="727">
        <f ca="1">IFERROR(CN191/CN178,0)*1000</f>
        <v>0</v>
      </c>
      <c r="CO186" s="39"/>
      <c r="CP186" s="39"/>
      <c r="CQ186" s="727">
        <f ca="1">IFERROR(CQ191/CQ178,0)*1000</f>
        <v>0</v>
      </c>
      <c r="CR186" s="39"/>
      <c r="CS186" s="39"/>
      <c r="CT186" s="25"/>
      <c r="CW186" s="960" t="s">
        <v>827</v>
      </c>
      <c r="CX186" s="965" t="s">
        <v>812</v>
      </c>
      <c r="CY186" s="969" cm="1">
        <f t="array" ref="CY186">AE186</f>
        <v>0</v>
      </c>
      <c r="CZ186" s="969" cm="1">
        <f t="array" ref="CZ186">AF186</f>
        <v>0</v>
      </c>
      <c r="DA186" s="966"/>
      <c r="DB186" s="966"/>
    </row>
    <row r="187" spans="1:106" s="1167" customFormat="1" ht="16.5" customHeight="1" x14ac:dyDescent="0.15">
      <c r="E187" s="668">
        <v>17.100000000000001</v>
      </c>
      <c r="F187" s="769" t="str" cm="1">
        <f t="array" aca="1" ref="F187" ca="1">OFFSET(G187,-1,-1)</f>
        <v>1</v>
      </c>
      <c r="L187" s="769" t="b" cm="1">
        <f t="array" aca="1" ref="L187" ca="1">OFFSET(M187,-1,-1)</f>
        <v>0</v>
      </c>
      <c r="S187" s="107" t="b" cm="1">
        <f t="array" aca="1" ref="S187" ca="1">OFFSET(T187,-1,-1)</f>
        <v>1</v>
      </c>
      <c r="T187" s="107" t="b">
        <f>AD187&lt;&gt;"23.0"</f>
        <v>1</v>
      </c>
      <c r="U187" s="690" t="b">
        <f t="shared" ca="1" si="80"/>
        <v>1</v>
      </c>
      <c r="X187" s="107" t="str">
        <f>'Топливо 4.4'!$AE$183&amp;'Топливо 4.4'!$AF$183</f>
        <v>Уголь длиннопламенный</v>
      </c>
      <c r="Y187" s="1481"/>
      <c r="Z187" s="1481"/>
      <c r="AB187" s="1536"/>
      <c r="AD187" s="108" t="s">
        <v>927</v>
      </c>
      <c r="AE187" s="811" t="str" cm="1">
        <f t="array" ref="AE187">IF(ISBLANK('Топливо 4.4'!$AE$183),"",'Топливо 4.4'!$AE$183)</f>
        <v>Уголь длиннопламенный</v>
      </c>
      <c r="AF187" s="516" t="str" cm="1">
        <f t="array" ref="AF187">IF(ISBLANK('Топливо 4.4'!$AF$183),"",'Топливо 4.4'!$AF$183)</f>
        <v/>
      </c>
      <c r="AG187" s="884" t="str">
        <f>"руб./"&amp;IFERROR(INDEX(fuel_ed_izm_list,MATCH(AE187,fuel_list,0)),"")</f>
        <v>руб./тнт</v>
      </c>
      <c r="AH187" s="1251">
        <f t="shared" si="87"/>
        <v>1526.800005043267</v>
      </c>
      <c r="AI187" s="1250">
        <f t="shared" si="87"/>
        <v>1510.5251935262911</v>
      </c>
      <c r="AJ187" s="1250">
        <f t="shared" si="87"/>
        <v>1479.2155247030348</v>
      </c>
      <c r="AK187" s="1250">
        <f t="shared" si="87"/>
        <v>1530.4832950358548</v>
      </c>
      <c r="AL187" s="727">
        <f t="shared" ca="1" si="87"/>
        <v>2600</v>
      </c>
      <c r="AM187" s="1250">
        <v>2600</v>
      </c>
      <c r="AN187" s="1250">
        <v>2600</v>
      </c>
      <c r="AO187" s="727">
        <f ca="1">IFERROR(AO192/AO179,0)*1000</f>
        <v>0</v>
      </c>
      <c r="AP187" s="1250"/>
      <c r="AQ187" s="1250"/>
      <c r="AR187" s="727">
        <f ca="1">IFERROR(AR192/AR179,0)*1000</f>
        <v>0</v>
      </c>
      <c r="AS187" s="1250"/>
      <c r="AT187" s="1250"/>
      <c r="AU187" s="727">
        <f ca="1">IFERROR(AU192/AU179,0)*1000</f>
        <v>0</v>
      </c>
      <c r="AV187" s="1250"/>
      <c r="AW187" s="1250"/>
      <c r="AX187" s="727">
        <f ca="1">IFERROR(AX192/AX179,0)*1000</f>
        <v>0</v>
      </c>
      <c r="AY187" s="1250"/>
      <c r="AZ187" s="1250"/>
      <c r="BA187" s="727">
        <f ca="1">IFERROR(BA192/BA179,0)*1000</f>
        <v>0</v>
      </c>
      <c r="BB187" s="1250"/>
      <c r="BC187" s="1250"/>
      <c r="BD187" s="727">
        <f ca="1">IFERROR(BD192/BD179,0)*1000</f>
        <v>0</v>
      </c>
      <c r="BE187" s="1250"/>
      <c r="BF187" s="1250"/>
      <c r="BG187" s="727">
        <f ca="1">IFERROR(BG192/BG179,0)*1000</f>
        <v>0</v>
      </c>
      <c r="BH187" s="1250"/>
      <c r="BI187" s="1250"/>
      <c r="BJ187" s="727">
        <f ca="1">IFERROR(BJ192/BJ179,0)*1000</f>
        <v>0</v>
      </c>
      <c r="BK187" s="1250"/>
      <c r="BL187" s="1250"/>
      <c r="BM187" s="727">
        <f ca="1">IFERROR(BM192/BM179,0)*1000</f>
        <v>0</v>
      </c>
      <c r="BN187" s="1250"/>
      <c r="BO187" s="1250"/>
      <c r="BP187" s="727">
        <f ca="1">IFERROR(BP192/BP179,0)*1000</f>
        <v>2400</v>
      </c>
      <c r="BQ187" s="816">
        <v>2400</v>
      </c>
      <c r="BR187" s="816">
        <v>2400</v>
      </c>
      <c r="BS187" s="727">
        <f ca="1">IFERROR(BS192/BS179,0)*1000</f>
        <v>0</v>
      </c>
      <c r="BT187" s="1250"/>
      <c r="BU187" s="1250"/>
      <c r="BV187" s="727">
        <f ca="1">IFERROR(BV192/BV179,0)*1000</f>
        <v>0</v>
      </c>
      <c r="BW187" s="1250"/>
      <c r="BX187" s="1250"/>
      <c r="BY187" s="727">
        <f ca="1">IFERROR(BY192/BY179,0)*1000</f>
        <v>0</v>
      </c>
      <c r="BZ187" s="1250"/>
      <c r="CA187" s="1250"/>
      <c r="CB187" s="727">
        <f ca="1">IFERROR(CB192/CB179,0)*1000</f>
        <v>0</v>
      </c>
      <c r="CC187" s="1250"/>
      <c r="CD187" s="1250"/>
      <c r="CE187" s="727">
        <f ca="1">IFERROR(CE192/CE179,0)*1000</f>
        <v>0</v>
      </c>
      <c r="CF187" s="1250"/>
      <c r="CG187" s="1250"/>
      <c r="CH187" s="727">
        <f ca="1">IFERROR(CH192/CH179,0)*1000</f>
        <v>0</v>
      </c>
      <c r="CI187" s="1250"/>
      <c r="CJ187" s="1250"/>
      <c r="CK187" s="727">
        <f ca="1">IFERROR(CK192/CK179,0)*1000</f>
        <v>0</v>
      </c>
      <c r="CL187" s="1250"/>
      <c r="CM187" s="1250"/>
      <c r="CN187" s="727">
        <f ca="1">IFERROR(CN192/CN179,0)*1000</f>
        <v>0</v>
      </c>
      <c r="CO187" s="1250"/>
      <c r="CP187" s="1250"/>
      <c r="CQ187" s="727">
        <f ca="1">IFERROR(CQ192/CQ179,0)*1000</f>
        <v>0</v>
      </c>
      <c r="CR187" s="1250"/>
      <c r="CS187" s="1250"/>
      <c r="CT187" s="1231"/>
      <c r="CW187" s="960" t="s">
        <v>827</v>
      </c>
      <c r="CX187" s="965" t="s">
        <v>812</v>
      </c>
      <c r="CY187" s="969" t="str" cm="1">
        <f t="array" ref="CY187">AE187</f>
        <v>Уголь длиннопламенный</v>
      </c>
      <c r="CZ187" s="969" t="str" cm="1">
        <f t="array" ref="CZ187">AF187</f>
        <v/>
      </c>
      <c r="DA187" s="966"/>
      <c r="DB187" s="966"/>
    </row>
    <row r="188" spans="1:106" s="1167" customFormat="1" ht="17.25" hidden="1" customHeight="1" x14ac:dyDescent="0.15">
      <c r="A188" s="1150"/>
      <c r="B188" s="773"/>
      <c r="C188" s="1150"/>
      <c r="D188" s="1150"/>
      <c r="E188" s="668">
        <v>0</v>
      </c>
      <c r="F188" s="769" t="str" cm="1">
        <f t="array" aca="1" ref="F188" ca="1">OFFSET(G188,-1,-1)</f>
        <v>1</v>
      </c>
      <c r="G188" s="804"/>
      <c r="H188" s="804"/>
      <c r="I188" s="804"/>
      <c r="J188" s="804"/>
      <c r="K188" s="804"/>
      <c r="L188" s="769" t="b" cm="1">
        <f t="array" aca="1" ref="L188" ca="1">OFFSET(M188,-1,-1)</f>
        <v>0</v>
      </c>
      <c r="M188" s="804"/>
      <c r="N188" s="804"/>
      <c r="O188" s="804"/>
      <c r="P188" s="804"/>
      <c r="Q188" s="804"/>
      <c r="R188" s="1150"/>
      <c r="S188" s="107" t="b" cm="1">
        <f t="array" aca="1" ref="S188" ca="1">OFFSET(T188,-1,-1)</f>
        <v>1</v>
      </c>
      <c r="T188" s="1150"/>
      <c r="U188" s="690" t="b">
        <f t="shared" ca="1" si="80"/>
        <v>1</v>
      </c>
      <c r="V188" s="1150"/>
      <c r="W188" s="1150"/>
      <c r="X188" s="810" t="str">
        <f>"{                  
         funcDyn: 'msg1',
         blok: 'blok_2',
         wsCross: 'Топливо 4.4',
         linkFormula: 'AE-AE#AF-AF',
         levelDyn: "&amp;Y139&amp;"
}"</f>
        <v>{                  
         funcDyn: 'msg1',
         blok: 'blok_2',
         wsCross: 'Топливо 4.4',
         linkFormula: 'AE-AE#AF-AF',
         levelDyn: 1
}</v>
      </c>
      <c r="Y188" s="1428"/>
      <c r="Z188" s="1428"/>
      <c r="AA188" s="691"/>
      <c r="AB188" s="1536"/>
      <c r="AD188" s="813"/>
      <c r="AE188" s="812" t="s">
        <v>239</v>
      </c>
      <c r="AF188" s="736"/>
      <c r="AG188" s="843"/>
      <c r="AH188" s="726"/>
      <c r="AI188" s="728"/>
      <c r="AJ188" s="728"/>
      <c r="AK188" s="728"/>
      <c r="AL188" s="728"/>
      <c r="AM188" s="728"/>
      <c r="AN188" s="728"/>
      <c r="AO188" s="728"/>
      <c r="AP188" s="728"/>
      <c r="AQ188" s="728"/>
      <c r="AR188" s="728"/>
      <c r="AS188" s="728"/>
      <c r="AT188" s="728"/>
      <c r="AU188" s="728"/>
      <c r="AV188" s="728"/>
      <c r="AW188" s="728"/>
      <c r="AX188" s="728"/>
      <c r="AY188" s="728"/>
      <c r="AZ188" s="728"/>
      <c r="BA188" s="728"/>
      <c r="BB188" s="728"/>
      <c r="BC188" s="728"/>
      <c r="BD188" s="728"/>
      <c r="BE188" s="728"/>
      <c r="BF188" s="728"/>
      <c r="BG188" s="728"/>
      <c r="BH188" s="728"/>
      <c r="BI188" s="728"/>
      <c r="BJ188" s="728"/>
      <c r="BK188" s="728"/>
      <c r="BL188" s="728"/>
      <c r="BM188" s="728"/>
      <c r="BN188" s="728"/>
      <c r="BO188" s="728"/>
      <c r="BP188" s="728"/>
      <c r="BQ188" s="728"/>
      <c r="BR188" s="728"/>
      <c r="BS188" s="728"/>
      <c r="BT188" s="728"/>
      <c r="BU188" s="728"/>
      <c r="BV188" s="728"/>
      <c r="BW188" s="728"/>
      <c r="BX188" s="728"/>
      <c r="BY188" s="728"/>
      <c r="BZ188" s="728"/>
      <c r="CA188" s="728"/>
      <c r="CB188" s="728"/>
      <c r="CC188" s="728"/>
      <c r="CD188" s="728"/>
      <c r="CE188" s="728"/>
      <c r="CF188" s="728"/>
      <c r="CG188" s="728"/>
      <c r="CH188" s="728"/>
      <c r="CI188" s="728"/>
      <c r="CJ188" s="728"/>
      <c r="CK188" s="728"/>
      <c r="CL188" s="728"/>
      <c r="CM188" s="728"/>
      <c r="CN188" s="728"/>
      <c r="CO188" s="728"/>
      <c r="CP188" s="728"/>
      <c r="CQ188" s="728"/>
      <c r="CR188" s="728"/>
      <c r="CS188" s="728"/>
      <c r="CT188" s="43"/>
      <c r="CW188" s="960" t="str">
        <f>IF(AND(ISNUMBER(VALUE(TRIM(SUBSTITUTE(AD188,".","")))),TRIM(SUBSTITUTE(AD188,".",""))&lt;&gt;""),"P"&amp;SUBSTITUTE(AD188,".",""),"")</f>
        <v/>
      </c>
      <c r="CX188" s="965"/>
      <c r="CY188" s="965"/>
      <c r="CZ188" s="965"/>
      <c r="DA188" s="966"/>
      <c r="DB188" s="966"/>
    </row>
    <row r="189" spans="1:106" s="1167" customFormat="1" ht="16.5" customHeight="1" x14ac:dyDescent="0.15">
      <c r="A189" s="1150"/>
      <c r="B189" s="773"/>
      <c r="C189" s="1150"/>
      <c r="D189" s="1150"/>
      <c r="E189" s="668">
        <v>17.100000000000001</v>
      </c>
      <c r="F189" s="769" t="str" cm="1">
        <f t="array" aca="1" ref="F189" ca="1">OFFSET(G189,-1,-1)</f>
        <v>1</v>
      </c>
      <c r="G189" s="804"/>
      <c r="H189" s="804"/>
      <c r="I189" s="804"/>
      <c r="J189" s="804"/>
      <c r="K189" s="804"/>
      <c r="L189" s="769" t="b" cm="1">
        <f t="array" aca="1" ref="L189" ca="1">OFFSET(M189,-1,-1)</f>
        <v>0</v>
      </c>
      <c r="M189" s="804"/>
      <c r="N189" s="804"/>
      <c r="O189" s="804"/>
      <c r="P189" s="804"/>
      <c r="Q189" s="804"/>
      <c r="R189" s="1150"/>
      <c r="S189" s="107" t="b" cm="1">
        <f t="array" aca="1" ref="S189" ca="1">OFFSET(T189,-1,-1)</f>
        <v>1</v>
      </c>
      <c r="T189" s="1150"/>
      <c r="U189" s="690" t="b">
        <f t="shared" ca="1" si="80"/>
        <v>1</v>
      </c>
      <c r="V189" s="1150"/>
      <c r="W189" s="1150"/>
      <c r="X189" s="1150"/>
      <c r="Y189" s="1428"/>
      <c r="Z189" s="1428"/>
      <c r="AA189" s="691"/>
      <c r="AB189" s="1536"/>
      <c r="AD189" s="108">
        <v>24</v>
      </c>
      <c r="AE189" s="1511" t="s">
        <v>829</v>
      </c>
      <c r="AF189" s="1512"/>
      <c r="AG189" s="843" t="s">
        <v>830</v>
      </c>
      <c r="AH189" s="725">
        <f t="shared" ref="AH189:BM189" si="88">SUM(AH191:AH193)</f>
        <v>28247.040000000001</v>
      </c>
      <c r="AI189" s="725">
        <f t="shared" si="88"/>
        <v>26352.546999999999</v>
      </c>
      <c r="AJ189" s="725">
        <f t="shared" si="88"/>
        <v>26352.55</v>
      </c>
      <c r="AK189" s="725">
        <f t="shared" si="88"/>
        <v>28243.19</v>
      </c>
      <c r="AL189" s="725">
        <f t="shared" ca="1" si="88"/>
        <v>45474.538914806777</v>
      </c>
      <c r="AM189" s="725">
        <f t="shared" si="88"/>
        <v>23467.781023177824</v>
      </c>
      <c r="AN189" s="725">
        <f t="shared" ca="1" si="88"/>
        <v>22006.757891628953</v>
      </c>
      <c r="AO189" s="725">
        <f t="shared" ca="1" si="88"/>
        <v>0</v>
      </c>
      <c r="AP189" s="725">
        <f t="shared" si="88"/>
        <v>0</v>
      </c>
      <c r="AQ189" s="725">
        <f t="shared" ca="1" si="88"/>
        <v>0</v>
      </c>
      <c r="AR189" s="725">
        <f t="shared" ca="1" si="88"/>
        <v>0</v>
      </c>
      <c r="AS189" s="725">
        <f t="shared" si="88"/>
        <v>0</v>
      </c>
      <c r="AT189" s="725">
        <f t="shared" ca="1" si="88"/>
        <v>0</v>
      </c>
      <c r="AU189" s="725">
        <f t="shared" ca="1" si="88"/>
        <v>0</v>
      </c>
      <c r="AV189" s="725">
        <f t="shared" si="88"/>
        <v>0</v>
      </c>
      <c r="AW189" s="725">
        <f t="shared" ca="1" si="88"/>
        <v>0</v>
      </c>
      <c r="AX189" s="725">
        <f t="shared" ca="1" si="88"/>
        <v>0</v>
      </c>
      <c r="AY189" s="725">
        <f t="shared" si="88"/>
        <v>0</v>
      </c>
      <c r="AZ189" s="725">
        <f t="shared" ca="1" si="88"/>
        <v>0</v>
      </c>
      <c r="BA189" s="725">
        <f t="shared" ca="1" si="88"/>
        <v>0</v>
      </c>
      <c r="BB189" s="725">
        <f t="shared" si="88"/>
        <v>0</v>
      </c>
      <c r="BC189" s="725">
        <f t="shared" ca="1" si="88"/>
        <v>0</v>
      </c>
      <c r="BD189" s="725">
        <f t="shared" ca="1" si="88"/>
        <v>0</v>
      </c>
      <c r="BE189" s="725">
        <f t="shared" si="88"/>
        <v>0</v>
      </c>
      <c r="BF189" s="725">
        <f t="shared" ca="1" si="88"/>
        <v>0</v>
      </c>
      <c r="BG189" s="725">
        <f t="shared" ca="1" si="88"/>
        <v>0</v>
      </c>
      <c r="BH189" s="725">
        <f t="shared" si="88"/>
        <v>0</v>
      </c>
      <c r="BI189" s="725">
        <f t="shared" ca="1" si="88"/>
        <v>0</v>
      </c>
      <c r="BJ189" s="725">
        <f t="shared" ca="1" si="88"/>
        <v>0</v>
      </c>
      <c r="BK189" s="725">
        <f t="shared" si="88"/>
        <v>0</v>
      </c>
      <c r="BL189" s="725">
        <f t="shared" ca="1" si="88"/>
        <v>0</v>
      </c>
      <c r="BM189" s="725">
        <f t="shared" ca="1" si="88"/>
        <v>0</v>
      </c>
      <c r="BN189" s="725">
        <f t="shared" ref="BN189:CS189" si="89">SUM(BN191:BN193)</f>
        <v>0</v>
      </c>
      <c r="BO189" s="725">
        <f t="shared" ca="1" si="89"/>
        <v>0</v>
      </c>
      <c r="BP189" s="725">
        <f t="shared" ca="1" si="89"/>
        <v>41976.475425793891</v>
      </c>
      <c r="BQ189" s="725">
        <f t="shared" si="89"/>
        <v>30291.874575251186</v>
      </c>
      <c r="BR189" s="725">
        <f t="shared" ca="1" si="89"/>
        <v>11684.600850542705</v>
      </c>
      <c r="BS189" s="725">
        <f t="shared" ca="1" si="89"/>
        <v>0</v>
      </c>
      <c r="BT189" s="725">
        <f t="shared" si="89"/>
        <v>0</v>
      </c>
      <c r="BU189" s="725">
        <f t="shared" ca="1" si="89"/>
        <v>0</v>
      </c>
      <c r="BV189" s="725">
        <f t="shared" ca="1" si="89"/>
        <v>0</v>
      </c>
      <c r="BW189" s="725">
        <f t="shared" si="89"/>
        <v>0</v>
      </c>
      <c r="BX189" s="725">
        <f t="shared" ca="1" si="89"/>
        <v>0</v>
      </c>
      <c r="BY189" s="725">
        <f t="shared" ca="1" si="89"/>
        <v>0</v>
      </c>
      <c r="BZ189" s="725">
        <f t="shared" si="89"/>
        <v>0</v>
      </c>
      <c r="CA189" s="725">
        <f t="shared" ca="1" si="89"/>
        <v>0</v>
      </c>
      <c r="CB189" s="725">
        <f t="shared" ca="1" si="89"/>
        <v>0</v>
      </c>
      <c r="CC189" s="725">
        <f t="shared" si="89"/>
        <v>0</v>
      </c>
      <c r="CD189" s="725">
        <f t="shared" ca="1" si="89"/>
        <v>0</v>
      </c>
      <c r="CE189" s="725">
        <f t="shared" ca="1" si="89"/>
        <v>0</v>
      </c>
      <c r="CF189" s="725">
        <f t="shared" si="89"/>
        <v>0</v>
      </c>
      <c r="CG189" s="725">
        <f t="shared" ca="1" si="89"/>
        <v>0</v>
      </c>
      <c r="CH189" s="725">
        <f t="shared" ca="1" si="89"/>
        <v>0</v>
      </c>
      <c r="CI189" s="725">
        <f t="shared" si="89"/>
        <v>0</v>
      </c>
      <c r="CJ189" s="725">
        <f t="shared" ca="1" si="89"/>
        <v>0</v>
      </c>
      <c r="CK189" s="725">
        <f t="shared" ca="1" si="89"/>
        <v>0</v>
      </c>
      <c r="CL189" s="725">
        <f t="shared" si="89"/>
        <v>0</v>
      </c>
      <c r="CM189" s="725">
        <f t="shared" ca="1" si="89"/>
        <v>0</v>
      </c>
      <c r="CN189" s="725">
        <f t="shared" ca="1" si="89"/>
        <v>0</v>
      </c>
      <c r="CO189" s="725">
        <f t="shared" si="89"/>
        <v>0</v>
      </c>
      <c r="CP189" s="725">
        <f t="shared" ca="1" si="89"/>
        <v>0</v>
      </c>
      <c r="CQ189" s="725">
        <f t="shared" ca="1" si="89"/>
        <v>0</v>
      </c>
      <c r="CR189" s="725">
        <f t="shared" si="89"/>
        <v>0</v>
      </c>
      <c r="CS189" s="725">
        <f t="shared" ca="1" si="89"/>
        <v>0</v>
      </c>
      <c r="CT189" s="1231"/>
      <c r="CW189" s="960" t="s">
        <v>831</v>
      </c>
      <c r="CX189" s="965"/>
      <c r="CY189" s="965"/>
      <c r="CZ189" s="965"/>
      <c r="DA189" s="966"/>
      <c r="DB189" s="966"/>
    </row>
    <row r="190" spans="1:106" s="1167" customFormat="1" ht="16.5" hidden="1" customHeight="1" x14ac:dyDescent="0.15">
      <c r="A190" s="1150"/>
      <c r="B190" s="773"/>
      <c r="C190" s="1150"/>
      <c r="D190" s="1150"/>
      <c r="E190" s="668">
        <v>17.100000000000001</v>
      </c>
      <c r="F190" s="769" t="str" cm="1">
        <f t="array" aca="1" ref="F190" ca="1">OFFSET(G190,-1,-1)</f>
        <v>1</v>
      </c>
      <c r="G190" s="804"/>
      <c r="H190" s="804"/>
      <c r="I190" s="804"/>
      <c r="J190" s="804"/>
      <c r="K190" s="804"/>
      <c r="L190" s="769" t="b" cm="1">
        <f t="array" aca="1" ref="L190" ca="1">OFFSET(M190,-1,-1)</f>
        <v>0</v>
      </c>
      <c r="M190" s="804"/>
      <c r="N190" s="804"/>
      <c r="O190" s="804"/>
      <c r="P190" s="804"/>
      <c r="Q190" s="804"/>
      <c r="R190" s="769" t="s">
        <v>750</v>
      </c>
      <c r="S190" s="107" t="b" cm="1">
        <f t="array" aca="1" ref="S190" ca="1">OFFSET(T190,-1,-1)</f>
        <v>1</v>
      </c>
      <c r="T190" s="769" t="b">
        <v>0</v>
      </c>
      <c r="U190" s="690" t="b">
        <f t="shared" ca="1" si="80"/>
        <v>0</v>
      </c>
      <c r="V190" s="1150"/>
      <c r="W190" s="1150"/>
      <c r="X190" s="1150"/>
      <c r="Y190" s="1428"/>
      <c r="Z190" s="1428"/>
      <c r="AA190" s="691"/>
      <c r="AB190" s="1536"/>
      <c r="AD190" s="108" t="str">
        <f>AD189&amp;".0"</f>
        <v>24.0</v>
      </c>
      <c r="AE190" s="1523" t="s">
        <v>761</v>
      </c>
      <c r="AF190" s="1524"/>
      <c r="AG190" s="843" t="s">
        <v>830</v>
      </c>
      <c r="AH190" s="38">
        <f>AH$163*AH189/1000</f>
        <v>28.247040000000002</v>
      </c>
      <c r="AI190" s="38">
        <f>AI$163*AI189/1000</f>
        <v>26.352546999999998</v>
      </c>
      <c r="AJ190" s="38">
        <f>AJ$163*AJ189/1000</f>
        <v>26.352550000000001</v>
      </c>
      <c r="AK190" s="38">
        <f>AK$163*AK189/1000</f>
        <v>28.243189999999998</v>
      </c>
      <c r="AL190" s="727">
        <f ca="1">AM190+AN190</f>
        <v>45474.538914806777</v>
      </c>
      <c r="AM190" s="39">
        <f>AM$163*AM189</f>
        <v>23467.781023177824</v>
      </c>
      <c r="AN190" s="39">
        <f ca="1">AN$163*AN189</f>
        <v>22006.757891628953</v>
      </c>
      <c r="AO190" s="727">
        <f ca="1">AP190+AQ190</f>
        <v>0</v>
      </c>
      <c r="AP190" s="1244">
        <f>AP$163*AP189</f>
        <v>0</v>
      </c>
      <c r="AQ190" s="1244">
        <f ca="1">AQ$163*AQ189</f>
        <v>0</v>
      </c>
      <c r="AR190" s="727">
        <f ca="1">AS190+AT190</f>
        <v>0</v>
      </c>
      <c r="AS190" s="1244">
        <f>AS$163*AS189</f>
        <v>0</v>
      </c>
      <c r="AT190" s="1244">
        <f ca="1">AT$163*AT189</f>
        <v>0</v>
      </c>
      <c r="AU190" s="727">
        <f ca="1">AV190+AW190</f>
        <v>0</v>
      </c>
      <c r="AV190" s="39">
        <f>AV$163*AV189</f>
        <v>0</v>
      </c>
      <c r="AW190" s="39">
        <f ca="1">AW$163*AW189</f>
        <v>0</v>
      </c>
      <c r="AX190" s="727">
        <f ca="1">AY190+AZ190</f>
        <v>0</v>
      </c>
      <c r="AY190" s="39">
        <f>AY$163*AY189</f>
        <v>0</v>
      </c>
      <c r="AZ190" s="39">
        <f ca="1">AZ$163*AZ189</f>
        <v>0</v>
      </c>
      <c r="BA190" s="727">
        <f ca="1">BB190+BC190</f>
        <v>0</v>
      </c>
      <c r="BB190" s="39">
        <f>BB$163*BB189</f>
        <v>0</v>
      </c>
      <c r="BC190" s="39">
        <f ca="1">BC$163*BC189</f>
        <v>0</v>
      </c>
      <c r="BD190" s="727">
        <f ca="1">BE190+BF190</f>
        <v>0</v>
      </c>
      <c r="BE190" s="39">
        <f>BE$163*BE189</f>
        <v>0</v>
      </c>
      <c r="BF190" s="39">
        <f ca="1">BF$163*BF189</f>
        <v>0</v>
      </c>
      <c r="BG190" s="727">
        <f ca="1">BH190+BI190</f>
        <v>0</v>
      </c>
      <c r="BH190" s="39">
        <f>BH$163*BH189</f>
        <v>0</v>
      </c>
      <c r="BI190" s="39">
        <f ca="1">BI$163*BI189</f>
        <v>0</v>
      </c>
      <c r="BJ190" s="727">
        <f ca="1">BK190+BL190</f>
        <v>0</v>
      </c>
      <c r="BK190" s="39">
        <f>BK$163*BK189</f>
        <v>0</v>
      </c>
      <c r="BL190" s="39">
        <f ca="1">BL$163*BL189</f>
        <v>0</v>
      </c>
      <c r="BM190" s="727">
        <f ca="1">BN190+BO190</f>
        <v>0</v>
      </c>
      <c r="BN190" s="39">
        <f>BN$163*BN189</f>
        <v>0</v>
      </c>
      <c r="BO190" s="39">
        <f ca="1">BO$163*BO189</f>
        <v>0</v>
      </c>
      <c r="BP190" s="727">
        <f ca="1">BQ190+BR190</f>
        <v>41976.475425793891</v>
      </c>
      <c r="BQ190" s="816">
        <f>BQ$163*BQ189</f>
        <v>30291.874575251186</v>
      </c>
      <c r="BR190" s="816">
        <f ca="1">BR$163*BR189</f>
        <v>11684.600850542705</v>
      </c>
      <c r="BS190" s="727">
        <f ca="1">BT190+BU190</f>
        <v>0</v>
      </c>
      <c r="BT190" s="1244">
        <f>BT$163*BT189</f>
        <v>0</v>
      </c>
      <c r="BU190" s="1244">
        <f ca="1">BU$163*BU189</f>
        <v>0</v>
      </c>
      <c r="BV190" s="727">
        <f ca="1">BW190+BX190</f>
        <v>0</v>
      </c>
      <c r="BW190" s="1244">
        <f>BW$163*BW189</f>
        <v>0</v>
      </c>
      <c r="BX190" s="1244">
        <f ca="1">BX$163*BX189</f>
        <v>0</v>
      </c>
      <c r="BY190" s="727">
        <f ca="1">BZ190+CA190</f>
        <v>0</v>
      </c>
      <c r="BZ190" s="39">
        <f>BZ$163*BZ189</f>
        <v>0</v>
      </c>
      <c r="CA190" s="39">
        <f ca="1">CA$163*CA189</f>
        <v>0</v>
      </c>
      <c r="CB190" s="727">
        <f ca="1">CC190+CD190</f>
        <v>0</v>
      </c>
      <c r="CC190" s="39">
        <f>CC$163*CC189</f>
        <v>0</v>
      </c>
      <c r="CD190" s="39">
        <f ca="1">CD$163*CD189</f>
        <v>0</v>
      </c>
      <c r="CE190" s="727">
        <f ca="1">CF190+CG190</f>
        <v>0</v>
      </c>
      <c r="CF190" s="39">
        <f>CF$163*CF189</f>
        <v>0</v>
      </c>
      <c r="CG190" s="39">
        <f ca="1">CG$163*CG189</f>
        <v>0</v>
      </c>
      <c r="CH190" s="727">
        <f ca="1">CI190+CJ190</f>
        <v>0</v>
      </c>
      <c r="CI190" s="39">
        <f>CI$163*CI189</f>
        <v>0</v>
      </c>
      <c r="CJ190" s="39">
        <f ca="1">CJ$163*CJ189</f>
        <v>0</v>
      </c>
      <c r="CK190" s="727">
        <f ca="1">CL190+CM190</f>
        <v>0</v>
      </c>
      <c r="CL190" s="39">
        <f>CL$163*CL189</f>
        <v>0</v>
      </c>
      <c r="CM190" s="39">
        <f ca="1">CM$163*CM189</f>
        <v>0</v>
      </c>
      <c r="CN190" s="727">
        <f ca="1">CO190+CP190</f>
        <v>0</v>
      </c>
      <c r="CO190" s="39">
        <f>CO$163*CO189</f>
        <v>0</v>
      </c>
      <c r="CP190" s="39">
        <f ca="1">CP$163*CP189</f>
        <v>0</v>
      </c>
      <c r="CQ190" s="727">
        <f ca="1">CR190+CS190</f>
        <v>0</v>
      </c>
      <c r="CR190" s="39">
        <f>CR$163*CR189</f>
        <v>0</v>
      </c>
      <c r="CS190" s="39">
        <f ca="1">CS$163*CS189</f>
        <v>0</v>
      </c>
      <c r="CT190" s="25"/>
      <c r="CW190" s="960" t="s">
        <v>832</v>
      </c>
      <c r="CX190" s="965"/>
      <c r="CY190" s="965"/>
      <c r="CZ190" s="965"/>
      <c r="DA190" s="966"/>
      <c r="DB190" s="966"/>
    </row>
    <row r="191" spans="1:106" s="1167" customFormat="1" ht="16.5" hidden="1" customHeight="1" x14ac:dyDescent="0.15">
      <c r="E191" s="668">
        <v>17.100000000000001</v>
      </c>
      <c r="F191" s="769" t="str" cm="1">
        <f t="array" aca="1" ref="F191" ca="1">OFFSET(G191,-1,-1)</f>
        <v>1</v>
      </c>
      <c r="L191" s="769" t="b" cm="1">
        <f t="array" aca="1" ref="L191" ca="1">OFFSET(M191,-1,-1)</f>
        <v>0</v>
      </c>
      <c r="S191" s="107" t="b" cm="1">
        <f t="array" aca="1" ref="S191" ca="1">OFFSET(T191,-1,-1)</f>
        <v>1</v>
      </c>
      <c r="T191" s="107" t="b">
        <f>AD191&lt;&gt;"24.0"</f>
        <v>0</v>
      </c>
      <c r="U191" s="690" t="b">
        <f t="shared" ca="1" si="80"/>
        <v>0</v>
      </c>
      <c r="X191" s="107" t="s">
        <v>237</v>
      </c>
      <c r="Y191" s="1481"/>
      <c r="Z191" s="1481"/>
      <c r="AB191" s="1536"/>
      <c r="AD191" s="108" t="s">
        <v>833</v>
      </c>
      <c r="AE191" s="811"/>
      <c r="AF191" s="516"/>
      <c r="AG191" s="843" t="s">
        <v>830</v>
      </c>
      <c r="AH191" s="38"/>
      <c r="AI191" s="39"/>
      <c r="AJ191" s="39"/>
      <c r="AK191" s="39"/>
      <c r="AL191" s="727">
        <f ca="1">AM191+AN191</f>
        <v>0</v>
      </c>
      <c r="AM191" s="39">
        <f>AM186*AM178/1000</f>
        <v>0</v>
      </c>
      <c r="AN191" s="39">
        <f ca="1">AN186*AN178/1000</f>
        <v>0</v>
      </c>
      <c r="AO191" s="727">
        <f ca="1">AP191+AQ191</f>
        <v>0</v>
      </c>
      <c r="AP191" s="39">
        <f>AP186*AP178/1000</f>
        <v>0</v>
      </c>
      <c r="AQ191" s="39">
        <f ca="1">AQ186*AQ178/1000</f>
        <v>0</v>
      </c>
      <c r="AR191" s="727">
        <f ca="1">AS191+AT191</f>
        <v>0</v>
      </c>
      <c r="AS191" s="39">
        <f>AS186*AS178/1000</f>
        <v>0</v>
      </c>
      <c r="AT191" s="39">
        <f ca="1">AT186*AT178/1000</f>
        <v>0</v>
      </c>
      <c r="AU191" s="727">
        <f ca="1">AV191+AW191</f>
        <v>0</v>
      </c>
      <c r="AV191" s="39">
        <f>AV186*AV178/1000</f>
        <v>0</v>
      </c>
      <c r="AW191" s="39">
        <f ca="1">AW186*AW178/1000</f>
        <v>0</v>
      </c>
      <c r="AX191" s="727">
        <f ca="1">AY191+AZ191</f>
        <v>0</v>
      </c>
      <c r="AY191" s="39">
        <f>AY186*AY178/1000</f>
        <v>0</v>
      </c>
      <c r="AZ191" s="39">
        <f ca="1">AZ186*AZ178/1000</f>
        <v>0</v>
      </c>
      <c r="BA191" s="727">
        <f ca="1">BB191+BC191</f>
        <v>0</v>
      </c>
      <c r="BB191" s="39">
        <f>BB186*BB178/1000</f>
        <v>0</v>
      </c>
      <c r="BC191" s="39">
        <f ca="1">BC186*BC178/1000</f>
        <v>0</v>
      </c>
      <c r="BD191" s="727">
        <f ca="1">BE191+BF191</f>
        <v>0</v>
      </c>
      <c r="BE191" s="39">
        <f>BE186*BE178/1000</f>
        <v>0</v>
      </c>
      <c r="BF191" s="39">
        <f ca="1">BF186*BF178/1000</f>
        <v>0</v>
      </c>
      <c r="BG191" s="727">
        <f ca="1">BH191+BI191</f>
        <v>0</v>
      </c>
      <c r="BH191" s="39">
        <f>BH186*BH178/1000</f>
        <v>0</v>
      </c>
      <c r="BI191" s="39">
        <f ca="1">BI186*BI178/1000</f>
        <v>0</v>
      </c>
      <c r="BJ191" s="727">
        <f ca="1">BK191+BL191</f>
        <v>0</v>
      </c>
      <c r="BK191" s="39">
        <f>BK186*BK178/1000</f>
        <v>0</v>
      </c>
      <c r="BL191" s="39">
        <f ca="1">BL186*BL178/1000</f>
        <v>0</v>
      </c>
      <c r="BM191" s="727">
        <f ca="1">BN191+BO191</f>
        <v>0</v>
      </c>
      <c r="BN191" s="39">
        <f>BN186*BN178/1000</f>
        <v>0</v>
      </c>
      <c r="BO191" s="39">
        <f ca="1">BO186*BO178/1000</f>
        <v>0</v>
      </c>
      <c r="BP191" s="727">
        <f ca="1">BQ191+BR191</f>
        <v>0</v>
      </c>
      <c r="BQ191" s="816">
        <f>BQ186*BQ178/1000</f>
        <v>0</v>
      </c>
      <c r="BR191" s="816">
        <f ca="1">BR186*BR178/1000</f>
        <v>0</v>
      </c>
      <c r="BS191" s="727">
        <f ca="1">BT191+BU191</f>
        <v>0</v>
      </c>
      <c r="BT191" s="39">
        <f>BT186*BT178/1000</f>
        <v>0</v>
      </c>
      <c r="BU191" s="39">
        <f ca="1">BU186*BU178/1000</f>
        <v>0</v>
      </c>
      <c r="BV191" s="727">
        <f ca="1">BW191+BX191</f>
        <v>0</v>
      </c>
      <c r="BW191" s="39">
        <f>BW186*BW178/1000</f>
        <v>0</v>
      </c>
      <c r="BX191" s="39">
        <f ca="1">BX186*BX178/1000</f>
        <v>0</v>
      </c>
      <c r="BY191" s="727">
        <f ca="1">BZ191+CA191</f>
        <v>0</v>
      </c>
      <c r="BZ191" s="39">
        <f>BZ186*BZ178/1000</f>
        <v>0</v>
      </c>
      <c r="CA191" s="39">
        <f ca="1">CA186*CA178/1000</f>
        <v>0</v>
      </c>
      <c r="CB191" s="727">
        <f ca="1">CC191+CD191</f>
        <v>0</v>
      </c>
      <c r="CC191" s="39">
        <f>CC186*CC178/1000</f>
        <v>0</v>
      </c>
      <c r="CD191" s="39">
        <f ca="1">CD186*CD178/1000</f>
        <v>0</v>
      </c>
      <c r="CE191" s="727">
        <f ca="1">CF191+CG191</f>
        <v>0</v>
      </c>
      <c r="CF191" s="39">
        <f>CF186*CF178/1000</f>
        <v>0</v>
      </c>
      <c r="CG191" s="39">
        <f ca="1">CG186*CG178/1000</f>
        <v>0</v>
      </c>
      <c r="CH191" s="727">
        <f ca="1">CI191+CJ191</f>
        <v>0</v>
      </c>
      <c r="CI191" s="39">
        <f>CI186*CI178/1000</f>
        <v>0</v>
      </c>
      <c r="CJ191" s="39">
        <f ca="1">CJ186*CJ178/1000</f>
        <v>0</v>
      </c>
      <c r="CK191" s="727">
        <f ca="1">CL191+CM191</f>
        <v>0</v>
      </c>
      <c r="CL191" s="39">
        <f>CL186*CL178/1000</f>
        <v>0</v>
      </c>
      <c r="CM191" s="39">
        <f ca="1">CM186*CM178/1000</f>
        <v>0</v>
      </c>
      <c r="CN191" s="727">
        <f ca="1">CO191+CP191</f>
        <v>0</v>
      </c>
      <c r="CO191" s="39">
        <f>CO186*CO178/1000</f>
        <v>0</v>
      </c>
      <c r="CP191" s="39">
        <f ca="1">CP186*CP178/1000</f>
        <v>0</v>
      </c>
      <c r="CQ191" s="727">
        <f ca="1">CR191+CS191</f>
        <v>0</v>
      </c>
      <c r="CR191" s="39">
        <f>CR186*CR178/1000</f>
        <v>0</v>
      </c>
      <c r="CS191" s="39">
        <f ca="1">CS186*CS178/1000</f>
        <v>0</v>
      </c>
      <c r="CT191" s="25"/>
      <c r="CW191" s="960" t="s">
        <v>832</v>
      </c>
      <c r="CX191" s="965" t="s">
        <v>812</v>
      </c>
      <c r="CY191" s="969" cm="1">
        <f t="array" ref="CY191">AE191</f>
        <v>0</v>
      </c>
      <c r="CZ191" s="969" cm="1">
        <f t="array" ref="CZ191">AF191</f>
        <v>0</v>
      </c>
      <c r="DA191" s="966"/>
      <c r="DB191" s="966"/>
    </row>
    <row r="192" spans="1:106" s="1167" customFormat="1" ht="16.5" customHeight="1" x14ac:dyDescent="0.15">
      <c r="E192" s="668">
        <v>17.100000000000001</v>
      </c>
      <c r="F192" s="769" t="str" cm="1">
        <f t="array" aca="1" ref="F192" ca="1">OFFSET(G192,-1,-1)</f>
        <v>1</v>
      </c>
      <c r="L192" s="769" t="b" cm="1">
        <f t="array" aca="1" ref="L192" ca="1">OFFSET(M192,-1,-1)</f>
        <v>0</v>
      </c>
      <c r="S192" s="107" t="b" cm="1">
        <f t="array" aca="1" ref="S192" ca="1">OFFSET(T192,-1,-1)</f>
        <v>1</v>
      </c>
      <c r="T192" s="107" t="b">
        <f>AD192&lt;&gt;"24.0"</f>
        <v>1</v>
      </c>
      <c r="U192" s="690" t="b">
        <f t="shared" ca="1" si="80"/>
        <v>1</v>
      </c>
      <c r="X192" s="107" t="str">
        <f>'Топливо 4.4'!$AE$187&amp;'Топливо 4.4'!$AF$187</f>
        <v>Уголь длиннопламенный</v>
      </c>
      <c r="Y192" s="1481"/>
      <c r="Z192" s="1481"/>
      <c r="AB192" s="1536"/>
      <c r="AD192" s="108" t="s">
        <v>928</v>
      </c>
      <c r="AE192" s="811" t="str" cm="1">
        <f t="array" ref="AE192">IF(ISBLANK('Топливо 4.4'!$AE$187),"",'Топливо 4.4'!$AE$187)</f>
        <v>Уголь длиннопламенный</v>
      </c>
      <c r="AF192" s="516" t="str" cm="1">
        <f t="array" ref="AF192">IF(ISBLANK('Топливо 4.4'!$AF$187),"",'Топливо 4.4'!$AF$187)</f>
        <v/>
      </c>
      <c r="AG192" s="843" t="s">
        <v>830</v>
      </c>
      <c r="AH192" s="1251">
        <v>28247.040000000001</v>
      </c>
      <c r="AI192" s="1250">
        <v>26352.546999999999</v>
      </c>
      <c r="AJ192" s="1250">
        <v>26352.55</v>
      </c>
      <c r="AK192" s="1250">
        <v>28243.19</v>
      </c>
      <c r="AL192" s="727">
        <f ca="1">AM192+AN192</f>
        <v>45474.538914806777</v>
      </c>
      <c r="AM192" s="1250">
        <f>AM187*AM179/1000</f>
        <v>23467.781023177824</v>
      </c>
      <c r="AN192" s="1250">
        <f ca="1">AN187*AN179/1000</f>
        <v>22006.757891628953</v>
      </c>
      <c r="AO192" s="727">
        <f ca="1">AP192+AQ192</f>
        <v>0</v>
      </c>
      <c r="AP192" s="1250">
        <f>AP187*AP179/1000</f>
        <v>0</v>
      </c>
      <c r="AQ192" s="1250">
        <f ca="1">AQ187*AQ179/1000</f>
        <v>0</v>
      </c>
      <c r="AR192" s="727">
        <f ca="1">AS192+AT192</f>
        <v>0</v>
      </c>
      <c r="AS192" s="1250">
        <f>AS187*AS179/1000</f>
        <v>0</v>
      </c>
      <c r="AT192" s="1250">
        <f ca="1">AT187*AT179/1000</f>
        <v>0</v>
      </c>
      <c r="AU192" s="727">
        <f ca="1">AV192+AW192</f>
        <v>0</v>
      </c>
      <c r="AV192" s="1250">
        <f>AV187*AV179/1000</f>
        <v>0</v>
      </c>
      <c r="AW192" s="1250">
        <f ca="1">AW187*AW179/1000</f>
        <v>0</v>
      </c>
      <c r="AX192" s="727">
        <f ca="1">AY192+AZ192</f>
        <v>0</v>
      </c>
      <c r="AY192" s="1250">
        <f>AY187*AY179/1000</f>
        <v>0</v>
      </c>
      <c r="AZ192" s="1250">
        <f ca="1">AZ187*AZ179/1000</f>
        <v>0</v>
      </c>
      <c r="BA192" s="727">
        <f ca="1">BB192+BC192</f>
        <v>0</v>
      </c>
      <c r="BB192" s="1250">
        <f>BB187*BB179/1000</f>
        <v>0</v>
      </c>
      <c r="BC192" s="1250">
        <f ca="1">BC187*BC179/1000</f>
        <v>0</v>
      </c>
      <c r="BD192" s="727">
        <f ca="1">BE192+BF192</f>
        <v>0</v>
      </c>
      <c r="BE192" s="1250">
        <f>BE187*BE179/1000</f>
        <v>0</v>
      </c>
      <c r="BF192" s="1250">
        <f ca="1">BF187*BF179/1000</f>
        <v>0</v>
      </c>
      <c r="BG192" s="727">
        <f ca="1">BH192+BI192</f>
        <v>0</v>
      </c>
      <c r="BH192" s="1250">
        <f>BH187*BH179/1000</f>
        <v>0</v>
      </c>
      <c r="BI192" s="1250">
        <f ca="1">BI187*BI179/1000</f>
        <v>0</v>
      </c>
      <c r="BJ192" s="727">
        <f ca="1">BK192+BL192</f>
        <v>0</v>
      </c>
      <c r="BK192" s="1250">
        <f>BK187*BK179/1000</f>
        <v>0</v>
      </c>
      <c r="BL192" s="1250">
        <f ca="1">BL187*BL179/1000</f>
        <v>0</v>
      </c>
      <c r="BM192" s="727">
        <f ca="1">BN192+BO192</f>
        <v>0</v>
      </c>
      <c r="BN192" s="1250">
        <f>BN187*BN179/1000</f>
        <v>0</v>
      </c>
      <c r="BO192" s="1250">
        <f ca="1">BO187*BO179/1000</f>
        <v>0</v>
      </c>
      <c r="BP192" s="727">
        <f ca="1">BQ192+BR192</f>
        <v>41976.475425793891</v>
      </c>
      <c r="BQ192" s="816">
        <f>BQ187*BQ179/1000</f>
        <v>30291.874575251186</v>
      </c>
      <c r="BR192" s="816">
        <f ca="1">BR187*BR179/1000</f>
        <v>11684.600850542705</v>
      </c>
      <c r="BS192" s="727">
        <f ca="1">BT192+BU192</f>
        <v>0</v>
      </c>
      <c r="BT192" s="1250">
        <f>BT187*BT179/1000</f>
        <v>0</v>
      </c>
      <c r="BU192" s="1250">
        <f ca="1">BU187*BU179/1000</f>
        <v>0</v>
      </c>
      <c r="BV192" s="727">
        <f ca="1">BW192+BX192</f>
        <v>0</v>
      </c>
      <c r="BW192" s="1250">
        <f>BW187*BW179/1000</f>
        <v>0</v>
      </c>
      <c r="BX192" s="1250">
        <f ca="1">BX187*BX179/1000</f>
        <v>0</v>
      </c>
      <c r="BY192" s="727">
        <f ca="1">BZ192+CA192</f>
        <v>0</v>
      </c>
      <c r="BZ192" s="1250">
        <f>BZ187*BZ179/1000</f>
        <v>0</v>
      </c>
      <c r="CA192" s="1250">
        <f ca="1">CA187*CA179/1000</f>
        <v>0</v>
      </c>
      <c r="CB192" s="727">
        <f ca="1">CC192+CD192</f>
        <v>0</v>
      </c>
      <c r="CC192" s="1250">
        <f>CC187*CC179/1000</f>
        <v>0</v>
      </c>
      <c r="CD192" s="1250">
        <f ca="1">CD187*CD179/1000</f>
        <v>0</v>
      </c>
      <c r="CE192" s="727">
        <f ca="1">CF192+CG192</f>
        <v>0</v>
      </c>
      <c r="CF192" s="1250">
        <f>CF187*CF179/1000</f>
        <v>0</v>
      </c>
      <c r="CG192" s="1250">
        <f ca="1">CG187*CG179/1000</f>
        <v>0</v>
      </c>
      <c r="CH192" s="727">
        <f ca="1">CI192+CJ192</f>
        <v>0</v>
      </c>
      <c r="CI192" s="1250">
        <f>CI187*CI179/1000</f>
        <v>0</v>
      </c>
      <c r="CJ192" s="1250">
        <f ca="1">CJ187*CJ179/1000</f>
        <v>0</v>
      </c>
      <c r="CK192" s="727">
        <f ca="1">CL192+CM192</f>
        <v>0</v>
      </c>
      <c r="CL192" s="1250">
        <f>CL187*CL179/1000</f>
        <v>0</v>
      </c>
      <c r="CM192" s="1250">
        <f ca="1">CM187*CM179/1000</f>
        <v>0</v>
      </c>
      <c r="CN192" s="727">
        <f ca="1">CO192+CP192</f>
        <v>0</v>
      </c>
      <c r="CO192" s="1250">
        <f>CO187*CO179/1000</f>
        <v>0</v>
      </c>
      <c r="CP192" s="1250">
        <f ca="1">CP187*CP179/1000</f>
        <v>0</v>
      </c>
      <c r="CQ192" s="727">
        <f ca="1">CR192+CS192</f>
        <v>0</v>
      </c>
      <c r="CR192" s="1250">
        <f>CR187*CR179/1000</f>
        <v>0</v>
      </c>
      <c r="CS192" s="1250">
        <f ca="1">CS187*CS179/1000</f>
        <v>0</v>
      </c>
      <c r="CT192" s="1231"/>
      <c r="CW192" s="960" t="s">
        <v>832</v>
      </c>
      <c r="CX192" s="965" t="s">
        <v>812</v>
      </c>
      <c r="CY192" s="969" t="str" cm="1">
        <f t="array" ref="CY192">AE192</f>
        <v>Уголь длиннопламенный</v>
      </c>
      <c r="CZ192" s="969" t="str" cm="1">
        <f t="array" ref="CZ192">AF192</f>
        <v/>
      </c>
      <c r="DA192" s="966"/>
      <c r="DB192" s="966"/>
    </row>
    <row r="193" spans="1:106" s="1167" customFormat="1" ht="17.25" hidden="1" customHeight="1" x14ac:dyDescent="0.15">
      <c r="A193" s="1150"/>
      <c r="B193" s="773"/>
      <c r="C193" s="1150"/>
      <c r="D193" s="1150"/>
      <c r="E193" s="668">
        <v>0</v>
      </c>
      <c r="F193" s="769" t="str" cm="1">
        <f t="array" aca="1" ref="F193" ca="1">OFFSET(G193,-1,-1)</f>
        <v>1</v>
      </c>
      <c r="G193" s="804"/>
      <c r="H193" s="804"/>
      <c r="I193" s="804"/>
      <c r="J193" s="804"/>
      <c r="K193" s="804"/>
      <c r="L193" s="769" t="b" cm="1">
        <f t="array" aca="1" ref="L193" ca="1">OFFSET(M193,-1,-1)</f>
        <v>0</v>
      </c>
      <c r="M193" s="804"/>
      <c r="N193" s="804"/>
      <c r="O193" s="804"/>
      <c r="P193" s="804"/>
      <c r="Q193" s="804"/>
      <c r="R193" s="1150"/>
      <c r="S193" s="107" t="b" cm="1">
        <f t="array" aca="1" ref="S193" ca="1">OFFSET(T193,-1,-1)</f>
        <v>1</v>
      </c>
      <c r="T193" s="1150"/>
      <c r="U193" s="690" t="b">
        <f t="shared" ca="1" si="80"/>
        <v>1</v>
      </c>
      <c r="V193" s="1150"/>
      <c r="W193" s="1150"/>
      <c r="X193" s="810" t="str">
        <f>"{                  
         funcDyn: 'msg1',
         blok: 'blok_2',
         wsCross: 'Топливо 4.4',
         linkFormula: 'AE-AE#AF-AF',
         levelDyn: "&amp;Y139&amp;"
}"</f>
        <v>{                  
         funcDyn: 'msg1',
         blok: 'blok_2',
         wsCross: 'Топливо 4.4',
         linkFormula: 'AE-AE#AF-AF',
         levelDyn: 1
}</v>
      </c>
      <c r="Y193" s="1428"/>
      <c r="Z193" s="1428"/>
      <c r="AA193" s="691"/>
      <c r="AB193" s="1536"/>
      <c r="AD193" s="813"/>
      <c r="AE193" s="812" t="s">
        <v>239</v>
      </c>
      <c r="AF193" s="736"/>
      <c r="AG193" s="724"/>
      <c r="AH193" s="726"/>
      <c r="AI193" s="728"/>
      <c r="AJ193" s="728"/>
      <c r="AK193" s="728"/>
      <c r="AL193" s="728"/>
      <c r="AM193" s="728"/>
      <c r="AN193" s="728"/>
      <c r="AO193" s="728"/>
      <c r="AP193" s="728"/>
      <c r="AQ193" s="728"/>
      <c r="AR193" s="728"/>
      <c r="AS193" s="728"/>
      <c r="AT193" s="728"/>
      <c r="AU193" s="728"/>
      <c r="AV193" s="728"/>
      <c r="AW193" s="728"/>
      <c r="AX193" s="728"/>
      <c r="AY193" s="728"/>
      <c r="AZ193" s="728"/>
      <c r="BA193" s="728"/>
      <c r="BB193" s="728"/>
      <c r="BC193" s="728"/>
      <c r="BD193" s="728"/>
      <c r="BE193" s="728"/>
      <c r="BF193" s="728"/>
      <c r="BG193" s="728"/>
      <c r="BH193" s="728"/>
      <c r="BI193" s="728"/>
      <c r="BJ193" s="728"/>
      <c r="BK193" s="728"/>
      <c r="BL193" s="728"/>
      <c r="BM193" s="728"/>
      <c r="BN193" s="728"/>
      <c r="BO193" s="728"/>
      <c r="BP193" s="728"/>
      <c r="BQ193" s="728"/>
      <c r="BR193" s="728"/>
      <c r="BS193" s="728"/>
      <c r="BT193" s="728"/>
      <c r="BU193" s="728"/>
      <c r="BV193" s="728"/>
      <c r="BW193" s="728"/>
      <c r="BX193" s="728"/>
      <c r="BY193" s="728"/>
      <c r="BZ193" s="728"/>
      <c r="CA193" s="728"/>
      <c r="CB193" s="728"/>
      <c r="CC193" s="728"/>
      <c r="CD193" s="728"/>
      <c r="CE193" s="728"/>
      <c r="CF193" s="728"/>
      <c r="CG193" s="728"/>
      <c r="CH193" s="728"/>
      <c r="CI193" s="728"/>
      <c r="CJ193" s="728"/>
      <c r="CK193" s="728"/>
      <c r="CL193" s="728"/>
      <c r="CM193" s="728"/>
      <c r="CN193" s="728"/>
      <c r="CO193" s="728"/>
      <c r="CP193" s="728"/>
      <c r="CQ193" s="728"/>
      <c r="CR193" s="728"/>
      <c r="CS193" s="728"/>
      <c r="CT193" s="43"/>
      <c r="CW193" s="960" t="str">
        <f>IF(AND(ISNUMBER(VALUE(TRIM(SUBSTITUTE(AD193,".","")))),TRIM(SUBSTITUTE(AD193,".",""))&lt;&gt;""),"P"&amp;SUBSTITUTE(AD193,".",""),"")</f>
        <v/>
      </c>
      <c r="CX193" s="965"/>
      <c r="CY193" s="965"/>
      <c r="CZ193" s="965"/>
      <c r="DA193" s="966"/>
      <c r="DB193" s="966"/>
    </row>
    <row r="194" spans="1:106" s="1167" customFormat="1" ht="21.75" hidden="1" customHeight="1" x14ac:dyDescent="0.15">
      <c r="A194" s="1150"/>
      <c r="B194" s="773"/>
      <c r="C194" s="1150"/>
      <c r="D194" s="1150"/>
      <c r="E194" s="668">
        <v>22.5</v>
      </c>
      <c r="F194" s="769" t="str" cm="1">
        <f t="array" aca="1" ref="F194" ca="1">OFFSET(G194,-1,-1)</f>
        <v>1</v>
      </c>
      <c r="G194" s="804"/>
      <c r="H194" s="804"/>
      <c r="I194" s="804"/>
      <c r="J194" s="804"/>
      <c r="K194" s="804"/>
      <c r="L194" s="769" t="b" cm="1">
        <f t="array" aca="1" ref="L194" ca="1">OFFSET(M194,-1,-1)</f>
        <v>0</v>
      </c>
      <c r="M194" s="804"/>
      <c r="N194" s="804"/>
      <c r="O194" s="804"/>
      <c r="P194" s="804"/>
      <c r="Q194" s="804"/>
      <c r="R194" s="769" t="s">
        <v>750</v>
      </c>
      <c r="S194" s="107" t="b" cm="1">
        <f t="array" aca="1" ref="S194" ca="1">OFFSET(T194,-1,-1)</f>
        <v>1</v>
      </c>
      <c r="T194" s="107" t="b" cm="1">
        <f t="array" aca="1" ref="T194" ca="1">L194</f>
        <v>0</v>
      </c>
      <c r="U194" s="690" t="b">
        <f t="shared" ca="1" si="80"/>
        <v>0</v>
      </c>
      <c r="V194" s="1150"/>
      <c r="W194" s="1150"/>
      <c r="X194" s="1150"/>
      <c r="Y194" s="1428"/>
      <c r="Z194" s="1428"/>
      <c r="AA194" s="691"/>
      <c r="AB194" s="1536"/>
      <c r="AD194" s="108">
        <v>25</v>
      </c>
      <c r="AE194" s="1521" t="s">
        <v>834</v>
      </c>
      <c r="AF194" s="1522"/>
      <c r="AG194" s="843" t="s">
        <v>830</v>
      </c>
      <c r="AH194" s="725">
        <f t="shared" ref="AH194:BM194" si="90">SUM(AH195:AH197)</f>
        <v>28247.040000000001</v>
      </c>
      <c r="AI194" s="725">
        <f t="shared" si="90"/>
        <v>26352.546999999999</v>
      </c>
      <c r="AJ194" s="725">
        <f t="shared" si="90"/>
        <v>26352.55</v>
      </c>
      <c r="AK194" s="725">
        <f t="shared" si="90"/>
        <v>28243.19</v>
      </c>
      <c r="AL194" s="725">
        <f t="shared" ca="1" si="90"/>
        <v>45474.538914806777</v>
      </c>
      <c r="AM194" s="725">
        <f t="shared" si="90"/>
        <v>23467.781023177824</v>
      </c>
      <c r="AN194" s="725">
        <f t="shared" ca="1" si="90"/>
        <v>22006.757891628953</v>
      </c>
      <c r="AO194" s="725">
        <f t="shared" ca="1" si="90"/>
        <v>0</v>
      </c>
      <c r="AP194" s="725">
        <f t="shared" si="90"/>
        <v>0</v>
      </c>
      <c r="AQ194" s="725">
        <f t="shared" ca="1" si="90"/>
        <v>0</v>
      </c>
      <c r="AR194" s="725">
        <f t="shared" ca="1" si="90"/>
        <v>0</v>
      </c>
      <c r="AS194" s="725">
        <f t="shared" si="90"/>
        <v>0</v>
      </c>
      <c r="AT194" s="725">
        <f t="shared" ca="1" si="90"/>
        <v>0</v>
      </c>
      <c r="AU194" s="725">
        <f t="shared" ca="1" si="90"/>
        <v>0</v>
      </c>
      <c r="AV194" s="725">
        <f t="shared" si="90"/>
        <v>0</v>
      </c>
      <c r="AW194" s="725">
        <f t="shared" ca="1" si="90"/>
        <v>0</v>
      </c>
      <c r="AX194" s="725">
        <f t="shared" ca="1" si="90"/>
        <v>0</v>
      </c>
      <c r="AY194" s="725">
        <f t="shared" si="90"/>
        <v>0</v>
      </c>
      <c r="AZ194" s="725">
        <f t="shared" ca="1" si="90"/>
        <v>0</v>
      </c>
      <c r="BA194" s="725">
        <f t="shared" ca="1" si="90"/>
        <v>0</v>
      </c>
      <c r="BB194" s="725">
        <f t="shared" si="90"/>
        <v>0</v>
      </c>
      <c r="BC194" s="725">
        <f t="shared" ca="1" si="90"/>
        <v>0</v>
      </c>
      <c r="BD194" s="725">
        <f t="shared" ca="1" si="90"/>
        <v>0</v>
      </c>
      <c r="BE194" s="725">
        <f t="shared" si="90"/>
        <v>0</v>
      </c>
      <c r="BF194" s="725">
        <f t="shared" ca="1" si="90"/>
        <v>0</v>
      </c>
      <c r="BG194" s="725">
        <f t="shared" ca="1" si="90"/>
        <v>0</v>
      </c>
      <c r="BH194" s="725">
        <f t="shared" si="90"/>
        <v>0</v>
      </c>
      <c r="BI194" s="725">
        <f t="shared" ca="1" si="90"/>
        <v>0</v>
      </c>
      <c r="BJ194" s="725">
        <f t="shared" ca="1" si="90"/>
        <v>0</v>
      </c>
      <c r="BK194" s="725">
        <f t="shared" si="90"/>
        <v>0</v>
      </c>
      <c r="BL194" s="725">
        <f t="shared" ca="1" si="90"/>
        <v>0</v>
      </c>
      <c r="BM194" s="725">
        <f t="shared" ca="1" si="90"/>
        <v>0</v>
      </c>
      <c r="BN194" s="725">
        <f t="shared" ref="BN194:CS194" si="91">SUM(BN195:BN197)</f>
        <v>0</v>
      </c>
      <c r="BO194" s="725">
        <f t="shared" ca="1" si="91"/>
        <v>0</v>
      </c>
      <c r="BP194" s="725">
        <f t="shared" ca="1" si="91"/>
        <v>41976.475425793891</v>
      </c>
      <c r="BQ194" s="725">
        <f t="shared" si="91"/>
        <v>30291.874575251186</v>
      </c>
      <c r="BR194" s="725">
        <f t="shared" ca="1" si="91"/>
        <v>11684.600850542705</v>
      </c>
      <c r="BS194" s="725">
        <f t="shared" ca="1" si="91"/>
        <v>0</v>
      </c>
      <c r="BT194" s="725">
        <f t="shared" si="91"/>
        <v>0</v>
      </c>
      <c r="BU194" s="725">
        <f t="shared" ca="1" si="91"/>
        <v>0</v>
      </c>
      <c r="BV194" s="725">
        <f t="shared" ca="1" si="91"/>
        <v>0</v>
      </c>
      <c r="BW194" s="725">
        <f t="shared" si="91"/>
        <v>0</v>
      </c>
      <c r="BX194" s="725">
        <f t="shared" ca="1" si="91"/>
        <v>0</v>
      </c>
      <c r="BY194" s="725">
        <f t="shared" ca="1" si="91"/>
        <v>0</v>
      </c>
      <c r="BZ194" s="725">
        <f t="shared" si="91"/>
        <v>0</v>
      </c>
      <c r="CA194" s="725">
        <f t="shared" ca="1" si="91"/>
        <v>0</v>
      </c>
      <c r="CB194" s="725">
        <f t="shared" ca="1" si="91"/>
        <v>0</v>
      </c>
      <c r="CC194" s="725">
        <f t="shared" si="91"/>
        <v>0</v>
      </c>
      <c r="CD194" s="725">
        <f t="shared" ca="1" si="91"/>
        <v>0</v>
      </c>
      <c r="CE194" s="725">
        <f t="shared" ca="1" si="91"/>
        <v>0</v>
      </c>
      <c r="CF194" s="725">
        <f t="shared" si="91"/>
        <v>0</v>
      </c>
      <c r="CG194" s="725">
        <f t="shared" ca="1" si="91"/>
        <v>0</v>
      </c>
      <c r="CH194" s="725">
        <f t="shared" ca="1" si="91"/>
        <v>0</v>
      </c>
      <c r="CI194" s="725">
        <f t="shared" si="91"/>
        <v>0</v>
      </c>
      <c r="CJ194" s="725">
        <f t="shared" ca="1" si="91"/>
        <v>0</v>
      </c>
      <c r="CK194" s="725">
        <f t="shared" ca="1" si="91"/>
        <v>0</v>
      </c>
      <c r="CL194" s="725">
        <f t="shared" si="91"/>
        <v>0</v>
      </c>
      <c r="CM194" s="725">
        <f t="shared" ca="1" si="91"/>
        <v>0</v>
      </c>
      <c r="CN194" s="725">
        <f t="shared" ca="1" si="91"/>
        <v>0</v>
      </c>
      <c r="CO194" s="725">
        <f t="shared" si="91"/>
        <v>0</v>
      </c>
      <c r="CP194" s="725">
        <f t="shared" ca="1" si="91"/>
        <v>0</v>
      </c>
      <c r="CQ194" s="725">
        <f t="shared" ca="1" si="91"/>
        <v>0</v>
      </c>
      <c r="CR194" s="725">
        <f t="shared" si="91"/>
        <v>0</v>
      </c>
      <c r="CS194" s="725">
        <f t="shared" ca="1" si="91"/>
        <v>0</v>
      </c>
      <c r="CT194" s="25"/>
      <c r="CW194" s="960" t="s">
        <v>835</v>
      </c>
      <c r="CX194" s="965"/>
      <c r="CY194" s="965"/>
      <c r="CZ194" s="965"/>
      <c r="DA194" s="966"/>
      <c r="DB194" s="966"/>
    </row>
    <row r="195" spans="1:106" s="1167" customFormat="1" ht="16.5" hidden="1" customHeight="1" x14ac:dyDescent="0.15">
      <c r="E195" s="668">
        <v>17.100000000000001</v>
      </c>
      <c r="F195" s="769" t="str" cm="1">
        <f t="array" aca="1" ref="F195" ca="1">OFFSET(G195,-1,-1)</f>
        <v>1</v>
      </c>
      <c r="L195" s="769" t="b" cm="1">
        <f t="array" aca="1" ref="L195" ca="1">OFFSET(M195,-1,-1)</f>
        <v>0</v>
      </c>
      <c r="R195" s="769" t="s">
        <v>750</v>
      </c>
      <c r="S195" s="107" t="b" cm="1">
        <f t="array" aca="1" ref="S195" ca="1">OFFSET(T195,-1,-1)</f>
        <v>1</v>
      </c>
      <c r="T195" s="107" t="b">
        <f ca="1">AND(L195,AD195&lt;&gt;"25.0")</f>
        <v>0</v>
      </c>
      <c r="U195" s="690" t="b">
        <f t="shared" ca="1" si="80"/>
        <v>0</v>
      </c>
      <c r="X195" s="107" t="s">
        <v>237</v>
      </c>
      <c r="Y195" s="1481"/>
      <c r="Z195" s="1481"/>
      <c r="AB195" s="1536"/>
      <c r="AD195" s="108" t="s">
        <v>836</v>
      </c>
      <c r="AE195" s="811"/>
      <c r="AF195" s="516"/>
      <c r="AG195" s="843" t="s">
        <v>830</v>
      </c>
      <c r="AH195" s="38">
        <f t="shared" ref="AH195:AK196" si="92">AH$163*AH191</f>
        <v>0</v>
      </c>
      <c r="AI195" s="39">
        <f t="shared" si="92"/>
        <v>0</v>
      </c>
      <c r="AJ195" s="39">
        <f t="shared" si="92"/>
        <v>0</v>
      </c>
      <c r="AK195" s="39">
        <f t="shared" si="92"/>
        <v>0</v>
      </c>
      <c r="AL195" s="727">
        <f ca="1">AM195+AN195</f>
        <v>0</v>
      </c>
      <c r="AM195" s="39">
        <f>AM$163*AM191</f>
        <v>0</v>
      </c>
      <c r="AN195" s="39">
        <f ca="1">AN$163*AN191</f>
        <v>0</v>
      </c>
      <c r="AO195" s="727">
        <f ca="1">AP195+AQ195</f>
        <v>0</v>
      </c>
      <c r="AP195" s="39">
        <f>AP$163*AP191</f>
        <v>0</v>
      </c>
      <c r="AQ195" s="39">
        <f ca="1">AQ$163*AQ191</f>
        <v>0</v>
      </c>
      <c r="AR195" s="727">
        <f ca="1">AS195+AT195</f>
        <v>0</v>
      </c>
      <c r="AS195" s="39">
        <f>AS$163*AS191</f>
        <v>0</v>
      </c>
      <c r="AT195" s="39">
        <f ca="1">AT$163*AT191</f>
        <v>0</v>
      </c>
      <c r="AU195" s="727">
        <f ca="1">AV195+AW195</f>
        <v>0</v>
      </c>
      <c r="AV195" s="39">
        <f>AV$163*AV191</f>
        <v>0</v>
      </c>
      <c r="AW195" s="39">
        <f ca="1">AW$163*AW191</f>
        <v>0</v>
      </c>
      <c r="AX195" s="727">
        <f ca="1">AY195+AZ195</f>
        <v>0</v>
      </c>
      <c r="AY195" s="39">
        <f>AY$163*AY191</f>
        <v>0</v>
      </c>
      <c r="AZ195" s="39">
        <f ca="1">AZ$163*AZ191</f>
        <v>0</v>
      </c>
      <c r="BA195" s="727">
        <f ca="1">BB195+BC195</f>
        <v>0</v>
      </c>
      <c r="BB195" s="39">
        <f>BB$163*BB191</f>
        <v>0</v>
      </c>
      <c r="BC195" s="39">
        <f ca="1">BC$163*BC191</f>
        <v>0</v>
      </c>
      <c r="BD195" s="727">
        <f ca="1">BE195+BF195</f>
        <v>0</v>
      </c>
      <c r="BE195" s="39">
        <f>BE$163*BE191</f>
        <v>0</v>
      </c>
      <c r="BF195" s="39">
        <f ca="1">BF$163*BF191</f>
        <v>0</v>
      </c>
      <c r="BG195" s="727">
        <f ca="1">BH195+BI195</f>
        <v>0</v>
      </c>
      <c r="BH195" s="39">
        <f>BH$163*BH191</f>
        <v>0</v>
      </c>
      <c r="BI195" s="39">
        <f ca="1">BI$163*BI191</f>
        <v>0</v>
      </c>
      <c r="BJ195" s="727">
        <f ca="1">BK195+BL195</f>
        <v>0</v>
      </c>
      <c r="BK195" s="39">
        <f>BK$163*BK191</f>
        <v>0</v>
      </c>
      <c r="BL195" s="39">
        <f ca="1">BL$163*BL191</f>
        <v>0</v>
      </c>
      <c r="BM195" s="727">
        <f ca="1">BN195+BO195</f>
        <v>0</v>
      </c>
      <c r="BN195" s="39">
        <f>BN$163*BN191</f>
        <v>0</v>
      </c>
      <c r="BO195" s="39">
        <f ca="1">BO$163*BO191</f>
        <v>0</v>
      </c>
      <c r="BP195" s="727">
        <f ca="1">BQ195+BR195</f>
        <v>0</v>
      </c>
      <c r="BQ195" s="816">
        <f>BQ$163*BQ191</f>
        <v>0</v>
      </c>
      <c r="BR195" s="816">
        <f ca="1">BR$163*BR191</f>
        <v>0</v>
      </c>
      <c r="BS195" s="727">
        <f ca="1">BT195+BU195</f>
        <v>0</v>
      </c>
      <c r="BT195" s="39">
        <f>BT$163*BT191</f>
        <v>0</v>
      </c>
      <c r="BU195" s="39">
        <f ca="1">BU$163*BU191</f>
        <v>0</v>
      </c>
      <c r="BV195" s="727">
        <f ca="1">BW195+BX195</f>
        <v>0</v>
      </c>
      <c r="BW195" s="39">
        <f>BW$163*BW191</f>
        <v>0</v>
      </c>
      <c r="BX195" s="39">
        <f ca="1">BX$163*BX191</f>
        <v>0</v>
      </c>
      <c r="BY195" s="727">
        <f ca="1">BZ195+CA195</f>
        <v>0</v>
      </c>
      <c r="BZ195" s="39">
        <f>BZ$163*BZ191</f>
        <v>0</v>
      </c>
      <c r="CA195" s="39">
        <f ca="1">CA$163*CA191</f>
        <v>0</v>
      </c>
      <c r="CB195" s="727">
        <f ca="1">CC195+CD195</f>
        <v>0</v>
      </c>
      <c r="CC195" s="39">
        <f>CC$163*CC191</f>
        <v>0</v>
      </c>
      <c r="CD195" s="39">
        <f ca="1">CD$163*CD191</f>
        <v>0</v>
      </c>
      <c r="CE195" s="727">
        <f ca="1">CF195+CG195</f>
        <v>0</v>
      </c>
      <c r="CF195" s="39">
        <f>CF$163*CF191</f>
        <v>0</v>
      </c>
      <c r="CG195" s="39">
        <f ca="1">CG$163*CG191</f>
        <v>0</v>
      </c>
      <c r="CH195" s="727">
        <f ca="1">CI195+CJ195</f>
        <v>0</v>
      </c>
      <c r="CI195" s="39">
        <f>CI$163*CI191</f>
        <v>0</v>
      </c>
      <c r="CJ195" s="39">
        <f ca="1">CJ$163*CJ191</f>
        <v>0</v>
      </c>
      <c r="CK195" s="727">
        <f ca="1">CL195+CM195</f>
        <v>0</v>
      </c>
      <c r="CL195" s="39">
        <f>CL$163*CL191</f>
        <v>0</v>
      </c>
      <c r="CM195" s="39">
        <f ca="1">CM$163*CM191</f>
        <v>0</v>
      </c>
      <c r="CN195" s="727">
        <f ca="1">CO195+CP195</f>
        <v>0</v>
      </c>
      <c r="CO195" s="39">
        <f>CO$163*CO191</f>
        <v>0</v>
      </c>
      <c r="CP195" s="39">
        <f ca="1">CP$163*CP191</f>
        <v>0</v>
      </c>
      <c r="CQ195" s="727">
        <f ca="1">CR195+CS195</f>
        <v>0</v>
      </c>
      <c r="CR195" s="39">
        <f>CR$163*CR191</f>
        <v>0</v>
      </c>
      <c r="CS195" s="39">
        <f ca="1">CS$163*CS191</f>
        <v>0</v>
      </c>
      <c r="CT195" s="25"/>
      <c r="CW195" s="960" t="s">
        <v>835</v>
      </c>
      <c r="CX195" s="965" t="s">
        <v>812</v>
      </c>
      <c r="CY195" s="969" cm="1">
        <f t="array" ref="CY195">AE195</f>
        <v>0</v>
      </c>
      <c r="CZ195" s="969" cm="1">
        <f t="array" ref="CZ195">AF195</f>
        <v>0</v>
      </c>
      <c r="DA195" s="966"/>
      <c r="DB195" s="966"/>
    </row>
    <row r="196" spans="1:106" s="1167" customFormat="1" ht="16.5" hidden="1" customHeight="1" x14ac:dyDescent="0.15">
      <c r="E196" s="668">
        <v>17.100000000000001</v>
      </c>
      <c r="F196" s="769" t="str" cm="1">
        <f t="array" aca="1" ref="F196" ca="1">OFFSET(G196,-1,-1)</f>
        <v>1</v>
      </c>
      <c r="L196" s="769" t="b" cm="1">
        <f t="array" aca="1" ref="L196" ca="1">OFFSET(M196,-1,-1)</f>
        <v>0</v>
      </c>
      <c r="R196" s="769" t="s">
        <v>750</v>
      </c>
      <c r="S196" s="107" t="b" cm="1">
        <f t="array" aca="1" ref="S196" ca="1">OFFSET(T196,-1,-1)</f>
        <v>1</v>
      </c>
      <c r="T196" s="107" t="b">
        <f ca="1">AND(L196,AD196&lt;&gt;"25.0")</f>
        <v>0</v>
      </c>
      <c r="U196" s="690" t="b">
        <f t="shared" ca="1" si="80"/>
        <v>0</v>
      </c>
      <c r="X196" s="107" t="str">
        <f>'Топливо 4.4'!$AE$192&amp;'Топливо 4.4'!$AF$192</f>
        <v>Уголь длиннопламенный</v>
      </c>
      <c r="Y196" s="1481"/>
      <c r="Z196" s="1481"/>
      <c r="AB196" s="1536"/>
      <c r="AD196" s="108" t="s">
        <v>929</v>
      </c>
      <c r="AE196" s="811" t="str" cm="1">
        <f t="array" ref="AE196">IF(ISBLANK('Топливо 4.4'!$AE$192),"",'Топливо 4.4'!$AE$192)</f>
        <v>Уголь длиннопламенный</v>
      </c>
      <c r="AF196" s="516" t="str" cm="1">
        <f t="array" ref="AF196">IF(ISBLANK('Топливо 4.4'!$AF$192),"",'Топливо 4.4'!$AF$192)</f>
        <v/>
      </c>
      <c r="AG196" s="843" t="s">
        <v>830</v>
      </c>
      <c r="AH196" s="38">
        <f t="shared" si="92"/>
        <v>28247.040000000001</v>
      </c>
      <c r="AI196" s="39">
        <f t="shared" si="92"/>
        <v>26352.546999999999</v>
      </c>
      <c r="AJ196" s="39">
        <f t="shared" si="92"/>
        <v>26352.55</v>
      </c>
      <c r="AK196" s="39">
        <f t="shared" si="92"/>
        <v>28243.19</v>
      </c>
      <c r="AL196" s="727">
        <f ca="1">AM196+AN196</f>
        <v>45474.538914806777</v>
      </c>
      <c r="AM196" s="39">
        <f>AM$163*AM192</f>
        <v>23467.781023177824</v>
      </c>
      <c r="AN196" s="39">
        <f ca="1">AN$163*AN192</f>
        <v>22006.757891628953</v>
      </c>
      <c r="AO196" s="727">
        <f ca="1">AP196+AQ196</f>
        <v>0</v>
      </c>
      <c r="AP196" s="39">
        <f>AP$163*AP192</f>
        <v>0</v>
      </c>
      <c r="AQ196" s="39">
        <f ca="1">AQ$163*AQ192</f>
        <v>0</v>
      </c>
      <c r="AR196" s="727">
        <f ca="1">AS196+AT196</f>
        <v>0</v>
      </c>
      <c r="AS196" s="39">
        <f>AS$163*AS192</f>
        <v>0</v>
      </c>
      <c r="AT196" s="39">
        <f ca="1">AT$163*AT192</f>
        <v>0</v>
      </c>
      <c r="AU196" s="727">
        <f ca="1">AV196+AW196</f>
        <v>0</v>
      </c>
      <c r="AV196" s="39">
        <f>AV$163*AV192</f>
        <v>0</v>
      </c>
      <c r="AW196" s="39">
        <f ca="1">AW$163*AW192</f>
        <v>0</v>
      </c>
      <c r="AX196" s="727">
        <f ca="1">AY196+AZ196</f>
        <v>0</v>
      </c>
      <c r="AY196" s="39">
        <f>AY$163*AY192</f>
        <v>0</v>
      </c>
      <c r="AZ196" s="39">
        <f ca="1">AZ$163*AZ192</f>
        <v>0</v>
      </c>
      <c r="BA196" s="727">
        <f ca="1">BB196+BC196</f>
        <v>0</v>
      </c>
      <c r="BB196" s="39">
        <f>BB$163*BB192</f>
        <v>0</v>
      </c>
      <c r="BC196" s="39">
        <f ca="1">BC$163*BC192</f>
        <v>0</v>
      </c>
      <c r="BD196" s="727">
        <f ca="1">BE196+BF196</f>
        <v>0</v>
      </c>
      <c r="BE196" s="39">
        <f>BE$163*BE192</f>
        <v>0</v>
      </c>
      <c r="BF196" s="39">
        <f ca="1">BF$163*BF192</f>
        <v>0</v>
      </c>
      <c r="BG196" s="727">
        <f ca="1">BH196+BI196</f>
        <v>0</v>
      </c>
      <c r="BH196" s="39">
        <f>BH$163*BH192</f>
        <v>0</v>
      </c>
      <c r="BI196" s="39">
        <f ca="1">BI$163*BI192</f>
        <v>0</v>
      </c>
      <c r="BJ196" s="727">
        <f ca="1">BK196+BL196</f>
        <v>0</v>
      </c>
      <c r="BK196" s="39">
        <f>BK$163*BK192</f>
        <v>0</v>
      </c>
      <c r="BL196" s="39">
        <f ca="1">BL$163*BL192</f>
        <v>0</v>
      </c>
      <c r="BM196" s="727">
        <f ca="1">BN196+BO196</f>
        <v>0</v>
      </c>
      <c r="BN196" s="39">
        <f>BN$163*BN192</f>
        <v>0</v>
      </c>
      <c r="BO196" s="39">
        <f ca="1">BO$163*BO192</f>
        <v>0</v>
      </c>
      <c r="BP196" s="727">
        <f ca="1">BQ196+BR196</f>
        <v>41976.475425793891</v>
      </c>
      <c r="BQ196" s="816">
        <f>BQ$163*BQ192</f>
        <v>30291.874575251186</v>
      </c>
      <c r="BR196" s="816">
        <f ca="1">BR$163*BR192</f>
        <v>11684.600850542705</v>
      </c>
      <c r="BS196" s="727">
        <f ca="1">BT196+BU196</f>
        <v>0</v>
      </c>
      <c r="BT196" s="39">
        <f>BT$163*BT192</f>
        <v>0</v>
      </c>
      <c r="BU196" s="39">
        <f ca="1">BU$163*BU192</f>
        <v>0</v>
      </c>
      <c r="BV196" s="727">
        <f ca="1">BW196+BX196</f>
        <v>0</v>
      </c>
      <c r="BW196" s="39">
        <f>BW$163*BW192</f>
        <v>0</v>
      </c>
      <c r="BX196" s="39">
        <f ca="1">BX$163*BX192</f>
        <v>0</v>
      </c>
      <c r="BY196" s="727">
        <f ca="1">BZ196+CA196</f>
        <v>0</v>
      </c>
      <c r="BZ196" s="39">
        <f>BZ$163*BZ192</f>
        <v>0</v>
      </c>
      <c r="CA196" s="39">
        <f ca="1">CA$163*CA192</f>
        <v>0</v>
      </c>
      <c r="CB196" s="727">
        <f ca="1">CC196+CD196</f>
        <v>0</v>
      </c>
      <c r="CC196" s="39">
        <f>CC$163*CC192</f>
        <v>0</v>
      </c>
      <c r="CD196" s="39">
        <f ca="1">CD$163*CD192</f>
        <v>0</v>
      </c>
      <c r="CE196" s="727">
        <f ca="1">CF196+CG196</f>
        <v>0</v>
      </c>
      <c r="CF196" s="39">
        <f>CF$163*CF192</f>
        <v>0</v>
      </c>
      <c r="CG196" s="39">
        <f ca="1">CG$163*CG192</f>
        <v>0</v>
      </c>
      <c r="CH196" s="727">
        <f ca="1">CI196+CJ196</f>
        <v>0</v>
      </c>
      <c r="CI196" s="39">
        <f>CI$163*CI192</f>
        <v>0</v>
      </c>
      <c r="CJ196" s="39">
        <f ca="1">CJ$163*CJ192</f>
        <v>0</v>
      </c>
      <c r="CK196" s="727">
        <f ca="1">CL196+CM196</f>
        <v>0</v>
      </c>
      <c r="CL196" s="39">
        <f>CL$163*CL192</f>
        <v>0</v>
      </c>
      <c r="CM196" s="39">
        <f ca="1">CM$163*CM192</f>
        <v>0</v>
      </c>
      <c r="CN196" s="727">
        <f ca="1">CO196+CP196</f>
        <v>0</v>
      </c>
      <c r="CO196" s="39">
        <f>CO$163*CO192</f>
        <v>0</v>
      </c>
      <c r="CP196" s="39">
        <f ca="1">CP$163*CP192</f>
        <v>0</v>
      </c>
      <c r="CQ196" s="727">
        <f ca="1">CR196+CS196</f>
        <v>0</v>
      </c>
      <c r="CR196" s="39">
        <f>CR$163*CR192</f>
        <v>0</v>
      </c>
      <c r="CS196" s="39">
        <f ca="1">CS$163*CS192</f>
        <v>0</v>
      </c>
      <c r="CT196" s="25"/>
      <c r="CW196" s="960" t="s">
        <v>835</v>
      </c>
      <c r="CX196" s="965" t="s">
        <v>812</v>
      </c>
      <c r="CY196" s="969" t="str" cm="1">
        <f t="array" ref="CY196">AE196</f>
        <v>Уголь длиннопламенный</v>
      </c>
      <c r="CZ196" s="969" t="str" cm="1">
        <f t="array" ref="CZ196">AF196</f>
        <v/>
      </c>
      <c r="DA196" s="966"/>
      <c r="DB196" s="966"/>
    </row>
    <row r="197" spans="1:106" s="1167" customFormat="1" ht="15" hidden="1" customHeight="1" x14ac:dyDescent="0.15">
      <c r="A197" s="1150"/>
      <c r="B197" s="773"/>
      <c r="C197" s="1150"/>
      <c r="D197" s="1150"/>
      <c r="E197" s="668">
        <v>0</v>
      </c>
      <c r="F197" s="769" t="str" cm="1">
        <f t="array" aca="1" ref="F197" ca="1">OFFSET(G197,-1,-1)</f>
        <v>1</v>
      </c>
      <c r="G197" s="804"/>
      <c r="H197" s="804"/>
      <c r="I197" s="804"/>
      <c r="J197" s="804"/>
      <c r="K197" s="804"/>
      <c r="L197" s="769" t="b" cm="1">
        <f t="array" aca="1" ref="L197" ca="1">OFFSET(M197,-1,-1)</f>
        <v>0</v>
      </c>
      <c r="M197" s="804"/>
      <c r="N197" s="804"/>
      <c r="O197" s="804"/>
      <c r="P197" s="804"/>
      <c r="Q197" s="804"/>
      <c r="R197" s="1150"/>
      <c r="S197" s="107" t="b" cm="1">
        <f t="array" aca="1" ref="S197" ca="1">OFFSET(T197,-1,-1)</f>
        <v>1</v>
      </c>
      <c r="T197" s="1150"/>
      <c r="U197" s="690" t="b">
        <f t="shared" ca="1" si="80"/>
        <v>1</v>
      </c>
      <c r="V197" s="1150"/>
      <c r="W197" s="1150"/>
      <c r="X197" s="810" t="str">
        <f>"{                  
         funcDyn: 'msg1',
         blok: 'blok_2',
         wsCross: 'Топливо 4.4',
         linkFormula: 'AE-AE#AF-AF',
         levelDyn: "&amp;Y139&amp;"
}"</f>
        <v>{                  
         funcDyn: 'msg1',
         blok: 'blok_2',
         wsCross: 'Топливо 4.4',
         linkFormula: 'AE-AE#AF-AF',
         levelDyn: 1
}</v>
      </c>
      <c r="Y197" s="1428"/>
      <c r="Z197" s="1428"/>
      <c r="AA197" s="691"/>
      <c r="AB197" s="1537"/>
      <c r="AD197" s="813"/>
      <c r="AE197" s="812" t="s">
        <v>239</v>
      </c>
      <c r="AF197" s="736"/>
      <c r="AG197" s="843"/>
      <c r="AH197" s="726"/>
      <c r="AI197" s="728"/>
      <c r="AJ197" s="728"/>
      <c r="AK197" s="728"/>
      <c r="AL197" s="728"/>
      <c r="AM197" s="728"/>
      <c r="AN197" s="728"/>
      <c r="AO197" s="728"/>
      <c r="AP197" s="728"/>
      <c r="AQ197" s="728"/>
      <c r="AR197" s="728"/>
      <c r="AS197" s="728"/>
      <c r="AT197" s="728"/>
      <c r="AU197" s="728"/>
      <c r="AV197" s="728"/>
      <c r="AW197" s="728"/>
      <c r="AX197" s="728"/>
      <c r="AY197" s="728"/>
      <c r="AZ197" s="728"/>
      <c r="BA197" s="728"/>
      <c r="BB197" s="728"/>
      <c r="BC197" s="728"/>
      <c r="BD197" s="728"/>
      <c r="BE197" s="728"/>
      <c r="BF197" s="728"/>
      <c r="BG197" s="728"/>
      <c r="BH197" s="728"/>
      <c r="BI197" s="728"/>
      <c r="BJ197" s="728"/>
      <c r="BK197" s="728"/>
      <c r="BL197" s="728"/>
      <c r="BM197" s="728"/>
      <c r="BN197" s="728"/>
      <c r="BO197" s="728"/>
      <c r="BP197" s="728"/>
      <c r="BQ197" s="728"/>
      <c r="BR197" s="728"/>
      <c r="BS197" s="728"/>
      <c r="BT197" s="728"/>
      <c r="BU197" s="728"/>
      <c r="BV197" s="728"/>
      <c r="BW197" s="728"/>
      <c r="BX197" s="728"/>
      <c r="BY197" s="728"/>
      <c r="BZ197" s="728"/>
      <c r="CA197" s="728"/>
      <c r="CB197" s="728"/>
      <c r="CC197" s="728"/>
      <c r="CD197" s="728"/>
      <c r="CE197" s="728"/>
      <c r="CF197" s="728"/>
      <c r="CG197" s="728"/>
      <c r="CH197" s="728"/>
      <c r="CI197" s="728"/>
      <c r="CJ197" s="728"/>
      <c r="CK197" s="728"/>
      <c r="CL197" s="728"/>
      <c r="CM197" s="728"/>
      <c r="CN197" s="728"/>
      <c r="CO197" s="728"/>
      <c r="CP197" s="728"/>
      <c r="CQ197" s="728"/>
      <c r="CR197" s="728"/>
      <c r="CS197" s="728"/>
      <c r="CT197" s="43"/>
      <c r="CW197" s="960" t="str">
        <f>IF(AND(ISNUMBER(VALUE(TRIM(SUBSTITUTE(AD197,".","")))),TRIM(SUBSTITUTE(AD197,".",""))&lt;&gt;""),"P"&amp;SUBSTITUTE(AD197,".",""),"")</f>
        <v/>
      </c>
      <c r="CX197" s="965"/>
      <c r="CY197" s="965"/>
      <c r="CZ197" s="965"/>
      <c r="DA197" s="966"/>
      <c r="DB197" s="966"/>
    </row>
    <row r="198" spans="1:106" s="1167" customFormat="1" ht="16.5" customHeight="1" x14ac:dyDescent="0.15">
      <c r="A198" s="1150"/>
      <c r="B198" s="773"/>
      <c r="C198" s="1150"/>
      <c r="D198" s="1150"/>
      <c r="E198" s="668">
        <v>17.100000000000001</v>
      </c>
      <c r="F198" s="769" t="str" cm="1">
        <f t="array" aca="1" ref="F198" ca="1">OFFSET(G198,-1,-1)</f>
        <v>1</v>
      </c>
      <c r="G198" s="804"/>
      <c r="H198" s="804"/>
      <c r="I198" s="804"/>
      <c r="J198" s="804"/>
      <c r="K198" s="804"/>
      <c r="L198" s="769" t="b" cm="1">
        <f t="array" aca="1" ref="L198" ca="1">OFFSET(M198,-1,-1)</f>
        <v>0</v>
      </c>
      <c r="M198" s="804"/>
      <c r="N198" s="804"/>
      <c r="O198" s="804"/>
      <c r="P198" s="804"/>
      <c r="Q198" s="804"/>
      <c r="R198" s="1150"/>
      <c r="S198" s="107" t="b" cm="1">
        <f t="array" aca="1" ref="S198" ca="1">OFFSET(T198,-1,-1)</f>
        <v>1</v>
      </c>
      <c r="T198" s="1150"/>
      <c r="U198" s="690" t="b">
        <f t="shared" ca="1" si="80"/>
        <v>1</v>
      </c>
      <c r="V198" s="1150"/>
      <c r="W198" s="1150"/>
      <c r="X198" s="1150"/>
      <c r="Y198" s="1428"/>
      <c r="Z198" s="1428"/>
      <c r="AA198" s="691"/>
      <c r="AB198" s="1541" t="s">
        <v>837</v>
      </c>
      <c r="AD198" s="121">
        <v>26</v>
      </c>
      <c r="AE198" s="1510" t="s">
        <v>838</v>
      </c>
      <c r="AF198" s="1493"/>
      <c r="AG198" s="839"/>
      <c r="AH198" s="726"/>
      <c r="AI198" s="728"/>
      <c r="AJ198" s="728"/>
      <c r="AK198" s="728"/>
      <c r="AL198" s="728"/>
      <c r="AM198" s="728"/>
      <c r="AN198" s="728"/>
      <c r="AO198" s="728"/>
      <c r="AP198" s="728"/>
      <c r="AQ198" s="728"/>
      <c r="AR198" s="728"/>
      <c r="AS198" s="728"/>
      <c r="AT198" s="728"/>
      <c r="AU198" s="728"/>
      <c r="AV198" s="728"/>
      <c r="AW198" s="728"/>
      <c r="AX198" s="728"/>
      <c r="AY198" s="728"/>
      <c r="AZ198" s="728"/>
      <c r="BA198" s="728"/>
      <c r="BB198" s="728"/>
      <c r="BC198" s="728"/>
      <c r="BD198" s="728"/>
      <c r="BE198" s="728"/>
      <c r="BF198" s="728"/>
      <c r="BG198" s="728"/>
      <c r="BH198" s="728"/>
      <c r="BI198" s="728"/>
      <c r="BJ198" s="728"/>
      <c r="BK198" s="728"/>
      <c r="BL198" s="728"/>
      <c r="BM198" s="728"/>
      <c r="BN198" s="728"/>
      <c r="BO198" s="728"/>
      <c r="BP198" s="728"/>
      <c r="BQ198" s="728"/>
      <c r="BR198" s="728"/>
      <c r="BS198" s="728"/>
      <c r="BT198" s="728"/>
      <c r="BU198" s="728"/>
      <c r="BV198" s="728"/>
      <c r="BW198" s="728"/>
      <c r="BX198" s="728"/>
      <c r="BY198" s="728"/>
      <c r="BZ198" s="728"/>
      <c r="CA198" s="728"/>
      <c r="CB198" s="728"/>
      <c r="CC198" s="728"/>
      <c r="CD198" s="728"/>
      <c r="CE198" s="728"/>
      <c r="CF198" s="728"/>
      <c r="CG198" s="728"/>
      <c r="CH198" s="728"/>
      <c r="CI198" s="728"/>
      <c r="CJ198" s="728"/>
      <c r="CK198" s="728"/>
      <c r="CL198" s="728"/>
      <c r="CM198" s="728"/>
      <c r="CN198" s="728"/>
      <c r="CO198" s="728"/>
      <c r="CP198" s="728"/>
      <c r="CQ198" s="728"/>
      <c r="CR198" s="728"/>
      <c r="CS198" s="728"/>
      <c r="CT198" s="1231"/>
      <c r="CW198" s="960" t="s">
        <v>839</v>
      </c>
      <c r="CX198" s="965"/>
      <c r="CY198" s="965"/>
      <c r="CZ198" s="965"/>
      <c r="DA198" s="966"/>
      <c r="DB198" s="966"/>
    </row>
    <row r="199" spans="1:106" s="1167" customFormat="1" ht="16.5" hidden="1" customHeight="1" x14ac:dyDescent="0.15">
      <c r="E199" s="668">
        <v>17.100000000000001</v>
      </c>
      <c r="F199" s="769" t="str" cm="1">
        <f t="array" aca="1" ref="F199" ca="1">OFFSET(G199,-1,-1)</f>
        <v>1</v>
      </c>
      <c r="L199" s="769" t="b" cm="1">
        <f t="array" aca="1" ref="L199" ca="1">OFFSET(M199,-1,-1)</f>
        <v>0</v>
      </c>
      <c r="S199" s="107" t="b" cm="1">
        <f t="array" aca="1" ref="S199" ca="1">OFFSET(T199,-1,-1)</f>
        <v>1</v>
      </c>
      <c r="T199" s="107" t="b">
        <f>AD199&lt;&gt;"26.0"</f>
        <v>0</v>
      </c>
      <c r="U199" s="690" t="b">
        <f t="shared" ca="1" si="80"/>
        <v>0</v>
      </c>
      <c r="X199" s="107" t="s">
        <v>237</v>
      </c>
      <c r="Y199" s="1481"/>
      <c r="Z199" s="1481"/>
      <c r="AB199" s="1542"/>
      <c r="AD199" s="108" t="s">
        <v>840</v>
      </c>
      <c r="AE199" s="811"/>
      <c r="AF199" s="516"/>
      <c r="AG199" s="724" t="s">
        <v>521</v>
      </c>
      <c r="AH199" s="42"/>
      <c r="AI199" s="46"/>
      <c r="AJ199" s="46"/>
      <c r="AK199" s="46"/>
      <c r="AL199" s="728"/>
      <c r="AM199" s="39"/>
      <c r="AN199" s="39"/>
      <c r="AO199" s="728"/>
      <c r="AP199" s="46"/>
      <c r="AQ199" s="46"/>
      <c r="AR199" s="728"/>
      <c r="AS199" s="46"/>
      <c r="AT199" s="46"/>
      <c r="AU199" s="728"/>
      <c r="AV199" s="46"/>
      <c r="AW199" s="46"/>
      <c r="AX199" s="728"/>
      <c r="AY199" s="46"/>
      <c r="AZ199" s="46"/>
      <c r="BA199" s="728"/>
      <c r="BB199" s="46"/>
      <c r="BC199" s="46"/>
      <c r="BD199" s="728"/>
      <c r="BE199" s="46"/>
      <c r="BF199" s="46"/>
      <c r="BG199" s="728"/>
      <c r="BH199" s="46"/>
      <c r="BI199" s="46"/>
      <c r="BJ199" s="728"/>
      <c r="BK199" s="46"/>
      <c r="BL199" s="46"/>
      <c r="BM199" s="728"/>
      <c r="BN199" s="46"/>
      <c r="BO199" s="46"/>
      <c r="BP199" s="728"/>
      <c r="BQ199" s="819"/>
      <c r="BR199" s="819"/>
      <c r="BS199" s="728"/>
      <c r="BT199" s="46"/>
      <c r="BU199" s="46"/>
      <c r="BV199" s="728"/>
      <c r="BW199" s="46"/>
      <c r="BX199" s="46"/>
      <c r="BY199" s="728"/>
      <c r="BZ199" s="46"/>
      <c r="CA199" s="46"/>
      <c r="CB199" s="728"/>
      <c r="CC199" s="46"/>
      <c r="CD199" s="46"/>
      <c r="CE199" s="728"/>
      <c r="CF199" s="46"/>
      <c r="CG199" s="46"/>
      <c r="CH199" s="728"/>
      <c r="CI199" s="46"/>
      <c r="CJ199" s="46"/>
      <c r="CK199" s="728"/>
      <c r="CL199" s="46"/>
      <c r="CM199" s="46"/>
      <c r="CN199" s="728"/>
      <c r="CO199" s="46"/>
      <c r="CP199" s="46"/>
      <c r="CQ199" s="728"/>
      <c r="CR199" s="46"/>
      <c r="CS199" s="46"/>
      <c r="CT199" s="25"/>
      <c r="CW199" s="960" t="s">
        <v>839</v>
      </c>
      <c r="CX199" s="965" t="s">
        <v>812</v>
      </c>
      <c r="CY199" s="969" cm="1">
        <f t="array" ref="CY199">AE199</f>
        <v>0</v>
      </c>
      <c r="CZ199" s="969" cm="1">
        <f t="array" ref="CZ199">AF199</f>
        <v>0</v>
      </c>
      <c r="DA199" s="966"/>
      <c r="DB199" s="966"/>
    </row>
    <row r="200" spans="1:106" s="1167" customFormat="1" ht="16.5" customHeight="1" x14ac:dyDescent="0.15">
      <c r="E200" s="668">
        <v>17.100000000000001</v>
      </c>
      <c r="F200" s="769" t="str" cm="1">
        <f t="array" aca="1" ref="F200" ca="1">OFFSET(G200,-1,-1)</f>
        <v>1</v>
      </c>
      <c r="L200" s="769" t="b" cm="1">
        <f t="array" aca="1" ref="L200" ca="1">OFFSET(M200,-1,-1)</f>
        <v>0</v>
      </c>
      <c r="S200" s="107" t="b" cm="1">
        <f t="array" aca="1" ref="S200" ca="1">OFFSET(T200,-1,-1)</f>
        <v>1</v>
      </c>
      <c r="T200" s="107" t="b">
        <f>AD200&lt;&gt;"26.0"</f>
        <v>1</v>
      </c>
      <c r="U200" s="690" t="b">
        <f t="shared" ca="1" si="80"/>
        <v>1</v>
      </c>
      <c r="X200" s="107" t="str">
        <f>'Топливо 4.4'!$AE$196&amp;'Топливо 4.4'!$AF$196</f>
        <v>Уголь длиннопламенный</v>
      </c>
      <c r="Y200" s="1481"/>
      <c r="Z200" s="1481"/>
      <c r="AB200" s="1542"/>
      <c r="AD200" s="108" t="s">
        <v>930</v>
      </c>
      <c r="AE200" s="811" t="str" cm="1">
        <f t="array" ref="AE200">IF(ISBLANK('Топливо 4.4'!$AE$196),"",'Топливо 4.4'!$AE$196)</f>
        <v>Уголь длиннопламенный</v>
      </c>
      <c r="AF200" s="516" t="str" cm="1">
        <f t="array" ref="AF200">IF(ISBLANK('Топливо 4.4'!$AF$196),"",'Топливо 4.4'!$AF$196)</f>
        <v/>
      </c>
      <c r="AG200" s="724" t="s">
        <v>521</v>
      </c>
      <c r="AH200" s="1254"/>
      <c r="AI200" s="1257"/>
      <c r="AJ200" s="1257"/>
      <c r="AK200" s="1257"/>
      <c r="AL200" s="728"/>
      <c r="AM200" s="1250"/>
      <c r="AN200" s="1250"/>
      <c r="AO200" s="728"/>
      <c r="AP200" s="1257"/>
      <c r="AQ200" s="1257"/>
      <c r="AR200" s="728"/>
      <c r="AS200" s="1257"/>
      <c r="AT200" s="1257"/>
      <c r="AU200" s="728"/>
      <c r="AV200" s="1257"/>
      <c r="AW200" s="1257"/>
      <c r="AX200" s="728"/>
      <c r="AY200" s="1257"/>
      <c r="AZ200" s="1257"/>
      <c r="BA200" s="728"/>
      <c r="BB200" s="1257"/>
      <c r="BC200" s="1257"/>
      <c r="BD200" s="728"/>
      <c r="BE200" s="1257"/>
      <c r="BF200" s="1257"/>
      <c r="BG200" s="728"/>
      <c r="BH200" s="1257"/>
      <c r="BI200" s="1257"/>
      <c r="BJ200" s="728"/>
      <c r="BK200" s="1257"/>
      <c r="BL200" s="1257"/>
      <c r="BM200" s="728"/>
      <c r="BN200" s="1257"/>
      <c r="BO200" s="1257"/>
      <c r="BP200" s="728"/>
      <c r="BQ200" s="819"/>
      <c r="BR200" s="819"/>
      <c r="BS200" s="728"/>
      <c r="BT200" s="1257"/>
      <c r="BU200" s="1257"/>
      <c r="BV200" s="728"/>
      <c r="BW200" s="1257"/>
      <c r="BX200" s="1257"/>
      <c r="BY200" s="728"/>
      <c r="BZ200" s="1257"/>
      <c r="CA200" s="1257"/>
      <c r="CB200" s="728"/>
      <c r="CC200" s="1257"/>
      <c r="CD200" s="1257"/>
      <c r="CE200" s="728"/>
      <c r="CF200" s="1257"/>
      <c r="CG200" s="1257"/>
      <c r="CH200" s="728"/>
      <c r="CI200" s="1257"/>
      <c r="CJ200" s="1257"/>
      <c r="CK200" s="728"/>
      <c r="CL200" s="1257"/>
      <c r="CM200" s="1257"/>
      <c r="CN200" s="728"/>
      <c r="CO200" s="1257"/>
      <c r="CP200" s="1257"/>
      <c r="CQ200" s="728"/>
      <c r="CR200" s="1257"/>
      <c r="CS200" s="1257"/>
      <c r="CT200" s="1231"/>
      <c r="CW200" s="960" t="s">
        <v>839</v>
      </c>
      <c r="CX200" s="965" t="s">
        <v>812</v>
      </c>
      <c r="CY200" s="969" t="str" cm="1">
        <f t="array" ref="CY200">AE200</f>
        <v>Уголь длиннопламенный</v>
      </c>
      <c r="CZ200" s="969" t="str" cm="1">
        <f t="array" ref="CZ200">AF200</f>
        <v/>
      </c>
      <c r="DA200" s="966"/>
      <c r="DB200" s="966"/>
    </row>
    <row r="201" spans="1:106" s="1167" customFormat="1" ht="15" hidden="1" customHeight="1" x14ac:dyDescent="0.15">
      <c r="A201" s="1150"/>
      <c r="B201" s="773"/>
      <c r="C201" s="1150"/>
      <c r="D201" s="1150"/>
      <c r="E201" s="668">
        <v>0</v>
      </c>
      <c r="F201" s="769" t="str" cm="1">
        <f t="array" aca="1" ref="F201" ca="1">OFFSET(G201,-1,-1)</f>
        <v>1</v>
      </c>
      <c r="G201" s="804"/>
      <c r="H201" s="804"/>
      <c r="I201" s="804"/>
      <c r="J201" s="804"/>
      <c r="K201" s="804"/>
      <c r="L201" s="769" t="b" cm="1">
        <f t="array" aca="1" ref="L201" ca="1">OFFSET(M201,-1,-1)</f>
        <v>0</v>
      </c>
      <c r="M201" s="804"/>
      <c r="N201" s="804"/>
      <c r="O201" s="804"/>
      <c r="P201" s="804"/>
      <c r="Q201" s="804"/>
      <c r="R201" s="1150"/>
      <c r="S201" s="107" t="b" cm="1">
        <f t="array" aca="1" ref="S201" ca="1">OFFSET(T201,-1,-1)</f>
        <v>1</v>
      </c>
      <c r="T201" s="1150"/>
      <c r="U201" s="690" t="b">
        <f t="shared" ca="1" si="80"/>
        <v>1</v>
      </c>
      <c r="V201" s="1150"/>
      <c r="W201" s="1150"/>
      <c r="X201" s="810" t="str">
        <f>"{                  
         funcDyn: 'msg1',
         blok: 'blok_2',
         wsCross: 'Топливо 4.4',
         linkFormula: 'AE-AE#AF-AF',
         levelDyn: "&amp;Y139&amp;"
}"</f>
        <v>{                  
         funcDyn: 'msg1',
         blok: 'blok_2',
         wsCross: 'Топливо 4.4',
         linkFormula: 'AE-AE#AF-AF',
         levelDyn: 1
}</v>
      </c>
      <c r="Y201" s="1428"/>
      <c r="Z201" s="1428"/>
      <c r="AA201" s="691"/>
      <c r="AB201" s="1542"/>
      <c r="AD201" s="813"/>
      <c r="AE201" s="812" t="s">
        <v>239</v>
      </c>
      <c r="AF201" s="736"/>
      <c r="AG201" s="724"/>
      <c r="AH201" s="737"/>
      <c r="AI201" s="47"/>
      <c r="AJ201" s="47"/>
      <c r="AK201" s="47"/>
      <c r="AL201" s="728"/>
      <c r="AM201" s="47"/>
      <c r="AN201" s="47"/>
      <c r="AO201" s="728"/>
      <c r="AP201" s="47"/>
      <c r="AQ201" s="47"/>
      <c r="AR201" s="728"/>
      <c r="AS201" s="47"/>
      <c r="AT201" s="47"/>
      <c r="AU201" s="728"/>
      <c r="AV201" s="47"/>
      <c r="AW201" s="47"/>
      <c r="AX201" s="728"/>
      <c r="AY201" s="47"/>
      <c r="AZ201" s="47"/>
      <c r="BA201" s="728"/>
      <c r="BB201" s="47"/>
      <c r="BC201" s="47"/>
      <c r="BD201" s="728"/>
      <c r="BE201" s="47"/>
      <c r="BF201" s="47"/>
      <c r="BG201" s="728"/>
      <c r="BH201" s="47"/>
      <c r="BI201" s="47"/>
      <c r="BJ201" s="728"/>
      <c r="BK201" s="47"/>
      <c r="BL201" s="47"/>
      <c r="BM201" s="728"/>
      <c r="BN201" s="47"/>
      <c r="BO201" s="47"/>
      <c r="BP201" s="728"/>
      <c r="BQ201" s="47"/>
      <c r="BR201" s="47"/>
      <c r="BS201" s="728"/>
      <c r="BT201" s="47"/>
      <c r="BU201" s="47"/>
      <c r="BV201" s="728"/>
      <c r="BW201" s="47"/>
      <c r="BX201" s="47"/>
      <c r="BY201" s="728"/>
      <c r="BZ201" s="47"/>
      <c r="CA201" s="47"/>
      <c r="CB201" s="728"/>
      <c r="CC201" s="47"/>
      <c r="CD201" s="47"/>
      <c r="CE201" s="728"/>
      <c r="CF201" s="47"/>
      <c r="CG201" s="47"/>
      <c r="CH201" s="728"/>
      <c r="CI201" s="47"/>
      <c r="CJ201" s="47"/>
      <c r="CK201" s="728"/>
      <c r="CL201" s="47"/>
      <c r="CM201" s="47"/>
      <c r="CN201" s="728"/>
      <c r="CO201" s="47"/>
      <c r="CP201" s="47"/>
      <c r="CQ201" s="728"/>
      <c r="CR201" s="47"/>
      <c r="CS201" s="47"/>
      <c r="CT201" s="43"/>
      <c r="CW201" s="960" t="str">
        <f>IF(AND(ISNUMBER(VALUE(TRIM(SUBSTITUTE(AD201,".","")))),TRIM(SUBSTITUTE(AD201,".",""))&lt;&gt;""),"P"&amp;SUBSTITUTE(AD201,".",""),"")</f>
        <v/>
      </c>
      <c r="CX201" s="965"/>
      <c r="CY201" s="965"/>
      <c r="CZ201" s="965"/>
      <c r="DA201" s="966"/>
      <c r="DB201" s="966"/>
    </row>
    <row r="202" spans="1:106" s="1167" customFormat="1" ht="16.5" customHeight="1" x14ac:dyDescent="0.15">
      <c r="A202" s="1150"/>
      <c r="B202" s="773"/>
      <c r="C202" s="1150"/>
      <c r="D202" s="1150"/>
      <c r="E202" s="668">
        <v>17.100000000000001</v>
      </c>
      <c r="F202" s="769" t="str" cm="1">
        <f t="array" aca="1" ref="F202" ca="1">OFFSET(G202,-1,-1)</f>
        <v>1</v>
      </c>
      <c r="G202" s="804"/>
      <c r="H202" s="804"/>
      <c r="I202" s="804"/>
      <c r="J202" s="804"/>
      <c r="K202" s="804"/>
      <c r="L202" s="769" t="b" cm="1">
        <f t="array" aca="1" ref="L202" ca="1">OFFSET(M202,-1,-1)</f>
        <v>0</v>
      </c>
      <c r="M202" s="804"/>
      <c r="N202" s="804"/>
      <c r="O202" s="804"/>
      <c r="P202" s="804"/>
      <c r="Q202" s="804"/>
      <c r="R202" s="1150"/>
      <c r="S202" s="107" t="b" cm="1">
        <f t="array" aca="1" ref="S202" ca="1">OFFSET(T202,-1,-1)</f>
        <v>1</v>
      </c>
      <c r="T202" s="1150"/>
      <c r="U202" s="690" t="b">
        <f t="shared" ca="1" si="80"/>
        <v>1</v>
      </c>
      <c r="V202" s="1150"/>
      <c r="W202" s="1150"/>
      <c r="X202" s="1150"/>
      <c r="Y202" s="1428"/>
      <c r="Z202" s="1428"/>
      <c r="AA202" s="691"/>
      <c r="AB202" s="1542"/>
      <c r="AD202" s="121">
        <v>27</v>
      </c>
      <c r="AE202" s="1510" t="s">
        <v>841</v>
      </c>
      <c r="AF202" s="1493"/>
      <c r="AG202" s="839"/>
      <c r="AH202" s="726"/>
      <c r="AI202" s="728"/>
      <c r="AJ202" s="728"/>
      <c r="AK202" s="728"/>
      <c r="AL202" s="728"/>
      <c r="AM202" s="728"/>
      <c r="AN202" s="728"/>
      <c r="AO202" s="728"/>
      <c r="AP202" s="728"/>
      <c r="AQ202" s="728"/>
      <c r="AR202" s="728"/>
      <c r="AS202" s="728"/>
      <c r="AT202" s="728"/>
      <c r="AU202" s="728"/>
      <c r="AV202" s="728"/>
      <c r="AW202" s="728"/>
      <c r="AX202" s="728"/>
      <c r="AY202" s="728"/>
      <c r="AZ202" s="728"/>
      <c r="BA202" s="728"/>
      <c r="BB202" s="728"/>
      <c r="BC202" s="728"/>
      <c r="BD202" s="728"/>
      <c r="BE202" s="728"/>
      <c r="BF202" s="728"/>
      <c r="BG202" s="728"/>
      <c r="BH202" s="728"/>
      <c r="BI202" s="728"/>
      <c r="BJ202" s="728"/>
      <c r="BK202" s="728"/>
      <c r="BL202" s="728"/>
      <c r="BM202" s="728"/>
      <c r="BN202" s="728"/>
      <c r="BO202" s="728"/>
      <c r="BP202" s="728"/>
      <c r="BQ202" s="728"/>
      <c r="BR202" s="728"/>
      <c r="BS202" s="728"/>
      <c r="BT202" s="728"/>
      <c r="BU202" s="728"/>
      <c r="BV202" s="728"/>
      <c r="BW202" s="728"/>
      <c r="BX202" s="728"/>
      <c r="BY202" s="728"/>
      <c r="BZ202" s="728"/>
      <c r="CA202" s="728"/>
      <c r="CB202" s="728"/>
      <c r="CC202" s="728"/>
      <c r="CD202" s="728"/>
      <c r="CE202" s="728"/>
      <c r="CF202" s="728"/>
      <c r="CG202" s="728"/>
      <c r="CH202" s="728"/>
      <c r="CI202" s="728"/>
      <c r="CJ202" s="728"/>
      <c r="CK202" s="728"/>
      <c r="CL202" s="728"/>
      <c r="CM202" s="728"/>
      <c r="CN202" s="728"/>
      <c r="CO202" s="728"/>
      <c r="CP202" s="728"/>
      <c r="CQ202" s="728"/>
      <c r="CR202" s="728"/>
      <c r="CS202" s="728"/>
      <c r="CT202" s="1231"/>
      <c r="CW202" s="960" t="s">
        <v>842</v>
      </c>
      <c r="CX202" s="965"/>
      <c r="CY202" s="965"/>
      <c r="CZ202" s="965"/>
      <c r="DA202" s="966"/>
      <c r="DB202" s="966"/>
    </row>
    <row r="203" spans="1:106" s="1167" customFormat="1" ht="16.5" hidden="1" customHeight="1" x14ac:dyDescent="0.15">
      <c r="E203" s="668">
        <v>17.100000000000001</v>
      </c>
      <c r="F203" s="769" t="str" cm="1">
        <f t="array" aca="1" ref="F203" ca="1">OFFSET(G203,-1,-1)</f>
        <v>1</v>
      </c>
      <c r="L203" s="769" t="b" cm="1">
        <f t="array" aca="1" ref="L203" ca="1">OFFSET(M203,-1,-1)</f>
        <v>0</v>
      </c>
      <c r="S203" s="107" t="b" cm="1">
        <f t="array" aca="1" ref="S203" ca="1">OFFSET(T203,-1,-1)</f>
        <v>1</v>
      </c>
      <c r="T203" s="107" t="b">
        <f>AD203&lt;&gt;"27.0"</f>
        <v>0</v>
      </c>
      <c r="U203" s="690" t="b">
        <f t="shared" ca="1" si="80"/>
        <v>0</v>
      </c>
      <c r="X203" s="107" t="s">
        <v>237</v>
      </c>
      <c r="Y203" s="1481"/>
      <c r="Z203" s="1481"/>
      <c r="AB203" s="1542"/>
      <c r="AD203" s="108" t="s">
        <v>843</v>
      </c>
      <c r="AE203" s="811"/>
      <c r="AF203" s="516"/>
      <c r="AG203" s="884" t="str">
        <f>"руб./"&amp;IFERROR(INDEX(fuel_ed_izm_list,MATCH(AE203,fuel_list,0)),"")</f>
        <v>руб./</v>
      </c>
      <c r="AH203" s="38">
        <f t="shared" ref="AH203:AL204" si="93">IFERROR(AH208/AH178,0)*1000</f>
        <v>0</v>
      </c>
      <c r="AI203" s="38">
        <f t="shared" si="93"/>
        <v>0</v>
      </c>
      <c r="AJ203" s="38">
        <f t="shared" si="93"/>
        <v>0</v>
      </c>
      <c r="AK203" s="38">
        <f t="shared" si="93"/>
        <v>0</v>
      </c>
      <c r="AL203" s="727">
        <f t="shared" ca="1" si="93"/>
        <v>0</v>
      </c>
      <c r="AM203" s="39"/>
      <c r="AN203" s="39"/>
      <c r="AO203" s="727">
        <f ca="1">IFERROR(AO208/AO178,0)*1000</f>
        <v>0</v>
      </c>
      <c r="AP203" s="39"/>
      <c r="AQ203" s="39"/>
      <c r="AR203" s="727">
        <f ca="1">IFERROR(AR208/AR178,0)*1000</f>
        <v>0</v>
      </c>
      <c r="AS203" s="39"/>
      <c r="AT203" s="39"/>
      <c r="AU203" s="727">
        <f ca="1">IFERROR(AU208/AU178,0)*1000</f>
        <v>0</v>
      </c>
      <c r="AV203" s="39"/>
      <c r="AW203" s="39"/>
      <c r="AX203" s="727">
        <f ca="1">IFERROR(AX208/AX178,0)*1000</f>
        <v>0</v>
      </c>
      <c r="AY203" s="39"/>
      <c r="AZ203" s="39"/>
      <c r="BA203" s="727">
        <f ca="1">IFERROR(BA208/BA178,0)*1000</f>
        <v>0</v>
      </c>
      <c r="BB203" s="39"/>
      <c r="BC203" s="39"/>
      <c r="BD203" s="727">
        <f ca="1">IFERROR(BD208/BD178,0)*1000</f>
        <v>0</v>
      </c>
      <c r="BE203" s="39"/>
      <c r="BF203" s="39"/>
      <c r="BG203" s="727">
        <f ca="1">IFERROR(BG208/BG178,0)*1000</f>
        <v>0</v>
      </c>
      <c r="BH203" s="39"/>
      <c r="BI203" s="39"/>
      <c r="BJ203" s="727">
        <f ca="1">IFERROR(BJ208/BJ178,0)*1000</f>
        <v>0</v>
      </c>
      <c r="BK203" s="39"/>
      <c r="BL203" s="39"/>
      <c r="BM203" s="727">
        <f ca="1">IFERROR(BM208/BM178,0)*1000</f>
        <v>0</v>
      </c>
      <c r="BN203" s="39"/>
      <c r="BO203" s="39"/>
      <c r="BP203" s="727">
        <f ca="1">IFERROR(BP208/BP178,0)*1000</f>
        <v>0</v>
      </c>
      <c r="BQ203" s="816"/>
      <c r="BR203" s="816"/>
      <c r="BS203" s="727">
        <f ca="1">IFERROR(BS208/BS178,0)*1000</f>
        <v>0</v>
      </c>
      <c r="BT203" s="39"/>
      <c r="BU203" s="39"/>
      <c r="BV203" s="727">
        <f ca="1">IFERROR(BV208/BV178,0)*1000</f>
        <v>0</v>
      </c>
      <c r="BW203" s="39"/>
      <c r="BX203" s="39"/>
      <c r="BY203" s="727">
        <f ca="1">IFERROR(BY208/BY178,0)*1000</f>
        <v>0</v>
      </c>
      <c r="BZ203" s="39"/>
      <c r="CA203" s="39"/>
      <c r="CB203" s="727">
        <f ca="1">IFERROR(CB208/CB178,0)*1000</f>
        <v>0</v>
      </c>
      <c r="CC203" s="39"/>
      <c r="CD203" s="39"/>
      <c r="CE203" s="727">
        <f ca="1">IFERROR(CE208/CE178,0)*1000</f>
        <v>0</v>
      </c>
      <c r="CF203" s="39"/>
      <c r="CG203" s="39"/>
      <c r="CH203" s="727">
        <f ca="1">IFERROR(CH208/CH178,0)*1000</f>
        <v>0</v>
      </c>
      <c r="CI203" s="39"/>
      <c r="CJ203" s="39"/>
      <c r="CK203" s="727">
        <f ca="1">IFERROR(CK208/CK178,0)*1000</f>
        <v>0</v>
      </c>
      <c r="CL203" s="39"/>
      <c r="CM203" s="39"/>
      <c r="CN203" s="727">
        <f ca="1">IFERROR(CN208/CN178,0)*1000</f>
        <v>0</v>
      </c>
      <c r="CO203" s="39"/>
      <c r="CP203" s="39"/>
      <c r="CQ203" s="727">
        <f ca="1">IFERROR(CQ208/CQ178,0)*1000</f>
        <v>0</v>
      </c>
      <c r="CR203" s="39"/>
      <c r="CS203" s="39"/>
      <c r="CT203" s="25"/>
      <c r="CW203" s="960" t="s">
        <v>842</v>
      </c>
      <c r="CX203" s="965" t="s">
        <v>812</v>
      </c>
      <c r="CY203" s="969" cm="1">
        <f t="array" ref="CY203">AE203</f>
        <v>0</v>
      </c>
      <c r="CZ203" s="969" cm="1">
        <f t="array" ref="CZ203">AF203</f>
        <v>0</v>
      </c>
      <c r="DA203" s="966"/>
      <c r="DB203" s="966"/>
    </row>
    <row r="204" spans="1:106" s="1167" customFormat="1" ht="16.5" customHeight="1" x14ac:dyDescent="0.15">
      <c r="E204" s="668">
        <v>17.100000000000001</v>
      </c>
      <c r="F204" s="769" t="str" cm="1">
        <f t="array" aca="1" ref="F204" ca="1">OFFSET(G204,-1,-1)</f>
        <v>1</v>
      </c>
      <c r="L204" s="769" t="b" cm="1">
        <f t="array" aca="1" ref="L204" ca="1">OFFSET(M204,-1,-1)</f>
        <v>0</v>
      </c>
      <c r="S204" s="107" t="b" cm="1">
        <f t="array" aca="1" ref="S204" ca="1">OFFSET(T204,-1,-1)</f>
        <v>1</v>
      </c>
      <c r="T204" s="107" t="b">
        <f>AD204&lt;&gt;"27.0"</f>
        <v>1</v>
      </c>
      <c r="U204" s="690" t="b">
        <f t="shared" ca="1" si="80"/>
        <v>1</v>
      </c>
      <c r="X204" s="107" t="str">
        <f>'Топливо 4.4'!$AE$200&amp;'Топливо 4.4'!$AF$200</f>
        <v>Уголь длиннопламенный</v>
      </c>
      <c r="Y204" s="1481"/>
      <c r="Z204" s="1481"/>
      <c r="AB204" s="1542"/>
      <c r="AD204" s="108" t="s">
        <v>931</v>
      </c>
      <c r="AE204" s="811" t="str" cm="1">
        <f t="array" ref="AE204">IF(ISBLANK('Топливо 4.4'!$AE$200),"",'Топливо 4.4'!$AE$200)</f>
        <v>Уголь длиннопламенный</v>
      </c>
      <c r="AF204" s="516" t="str" cm="1">
        <f t="array" ref="AF204">IF(ISBLANK('Топливо 4.4'!$AF$200),"",'Топливо 4.4'!$AF$200)</f>
        <v/>
      </c>
      <c r="AG204" s="884" t="str">
        <f>"руб./"&amp;IFERROR(INDEX(fuel_ed_izm_list,MATCH(AE204,fuel_list,0)),"")</f>
        <v>руб./тнт</v>
      </c>
      <c r="AH204" s="1251">
        <f t="shared" si="93"/>
        <v>587.96197400009055</v>
      </c>
      <c r="AI204" s="1251">
        <f t="shared" si="93"/>
        <v>763.32335011850887</v>
      </c>
      <c r="AJ204" s="1251">
        <f t="shared" si="93"/>
        <v>747.50129383751641</v>
      </c>
      <c r="AK204" s="1251">
        <f t="shared" si="93"/>
        <v>925.42163546825657</v>
      </c>
      <c r="AL204" s="727">
        <f t="shared" ca="1" si="93"/>
        <v>799.99999999999989</v>
      </c>
      <c r="AM204" s="1250">
        <v>800</v>
      </c>
      <c r="AN204" s="1250">
        <v>800</v>
      </c>
      <c r="AO204" s="727">
        <f ca="1">IFERROR(AO209/AO179,0)*1000</f>
        <v>0</v>
      </c>
      <c r="AP204" s="1250"/>
      <c r="AQ204" s="1250"/>
      <c r="AR204" s="727">
        <f ca="1">IFERROR(AR209/AR179,0)*1000</f>
        <v>0</v>
      </c>
      <c r="AS204" s="1250"/>
      <c r="AT204" s="1250"/>
      <c r="AU204" s="727">
        <f ca="1">IFERROR(AU209/AU179,0)*1000</f>
        <v>0</v>
      </c>
      <c r="AV204" s="1250"/>
      <c r="AW204" s="1250"/>
      <c r="AX204" s="727">
        <f ca="1">IFERROR(AX209/AX179,0)*1000</f>
        <v>0</v>
      </c>
      <c r="AY204" s="1250"/>
      <c r="AZ204" s="1250"/>
      <c r="BA204" s="727">
        <f ca="1">IFERROR(BA209/BA179,0)*1000</f>
        <v>0</v>
      </c>
      <c r="BB204" s="1250"/>
      <c r="BC204" s="1250"/>
      <c r="BD204" s="727">
        <f ca="1">IFERROR(BD209/BD179,0)*1000</f>
        <v>0</v>
      </c>
      <c r="BE204" s="1250"/>
      <c r="BF204" s="1250"/>
      <c r="BG204" s="727">
        <f ca="1">IFERROR(BG209/BG179,0)*1000</f>
        <v>0</v>
      </c>
      <c r="BH204" s="1250"/>
      <c r="BI204" s="1250"/>
      <c r="BJ204" s="727">
        <f ca="1">IFERROR(BJ209/BJ179,0)*1000</f>
        <v>0</v>
      </c>
      <c r="BK204" s="1250"/>
      <c r="BL204" s="1250"/>
      <c r="BM204" s="727">
        <f ca="1">IFERROR(BM209/BM179,0)*1000</f>
        <v>0</v>
      </c>
      <c r="BN204" s="1250"/>
      <c r="BO204" s="1250"/>
      <c r="BP204" s="727">
        <f ca="1">IFERROR(BP209/BP179,0)*1000</f>
        <v>800</v>
      </c>
      <c r="BQ204" s="816">
        <v>800</v>
      </c>
      <c r="BR204" s="816">
        <v>800</v>
      </c>
      <c r="BS204" s="727">
        <f ca="1">IFERROR(BS209/BS179,0)*1000</f>
        <v>0</v>
      </c>
      <c r="BT204" s="1250"/>
      <c r="BU204" s="1250"/>
      <c r="BV204" s="727">
        <f ca="1">IFERROR(BV209/BV179,0)*1000</f>
        <v>0</v>
      </c>
      <c r="BW204" s="1250"/>
      <c r="BX204" s="1250"/>
      <c r="BY204" s="727">
        <f ca="1">IFERROR(BY209/BY179,0)*1000</f>
        <v>0</v>
      </c>
      <c r="BZ204" s="1250"/>
      <c r="CA204" s="1250"/>
      <c r="CB204" s="727">
        <f ca="1">IFERROR(CB209/CB179,0)*1000</f>
        <v>0</v>
      </c>
      <c r="CC204" s="1250"/>
      <c r="CD204" s="1250"/>
      <c r="CE204" s="727">
        <f ca="1">IFERROR(CE209/CE179,0)*1000</f>
        <v>0</v>
      </c>
      <c r="CF204" s="1250"/>
      <c r="CG204" s="1250"/>
      <c r="CH204" s="727">
        <f ca="1">IFERROR(CH209/CH179,0)*1000</f>
        <v>0</v>
      </c>
      <c r="CI204" s="1250"/>
      <c r="CJ204" s="1250"/>
      <c r="CK204" s="727">
        <f ca="1">IFERROR(CK209/CK179,0)*1000</f>
        <v>0</v>
      </c>
      <c r="CL204" s="1250"/>
      <c r="CM204" s="1250"/>
      <c r="CN204" s="727">
        <f ca="1">IFERROR(CN209/CN179,0)*1000</f>
        <v>0</v>
      </c>
      <c r="CO204" s="1250"/>
      <c r="CP204" s="1250"/>
      <c r="CQ204" s="727">
        <f ca="1">IFERROR(CQ209/CQ179,0)*1000</f>
        <v>0</v>
      </c>
      <c r="CR204" s="1250"/>
      <c r="CS204" s="1250"/>
      <c r="CT204" s="1231"/>
      <c r="CW204" s="960" t="s">
        <v>842</v>
      </c>
      <c r="CX204" s="965" t="s">
        <v>812</v>
      </c>
      <c r="CY204" s="969" t="str" cm="1">
        <f t="array" ref="CY204">AE204</f>
        <v>Уголь длиннопламенный</v>
      </c>
      <c r="CZ204" s="969" t="str" cm="1">
        <f t="array" ref="CZ204">AF204</f>
        <v/>
      </c>
      <c r="DA204" s="966"/>
      <c r="DB204" s="966"/>
    </row>
    <row r="205" spans="1:106" s="1167" customFormat="1" ht="15" hidden="1" customHeight="1" x14ac:dyDescent="0.15">
      <c r="A205" s="1150"/>
      <c r="B205" s="773"/>
      <c r="C205" s="1150"/>
      <c r="D205" s="1150"/>
      <c r="E205" s="668">
        <v>0</v>
      </c>
      <c r="F205" s="769" t="str" cm="1">
        <f t="array" aca="1" ref="F205" ca="1">OFFSET(G205,-1,-1)</f>
        <v>1</v>
      </c>
      <c r="G205" s="804"/>
      <c r="H205" s="804"/>
      <c r="I205" s="804"/>
      <c r="J205" s="804"/>
      <c r="K205" s="804"/>
      <c r="L205" s="769" t="b" cm="1">
        <f t="array" aca="1" ref="L205" ca="1">OFFSET(M205,-1,-1)</f>
        <v>0</v>
      </c>
      <c r="M205" s="804"/>
      <c r="N205" s="804"/>
      <c r="O205" s="804"/>
      <c r="P205" s="804"/>
      <c r="Q205" s="804"/>
      <c r="R205" s="1150"/>
      <c r="S205" s="107" t="b" cm="1">
        <f t="array" aca="1" ref="S205" ca="1">OFFSET(T205,-1,-1)</f>
        <v>1</v>
      </c>
      <c r="T205" s="1150"/>
      <c r="U205" s="690" t="b">
        <f t="shared" ca="1" si="80"/>
        <v>1</v>
      </c>
      <c r="V205" s="1150"/>
      <c r="W205" s="1150"/>
      <c r="X205" s="810" t="str">
        <f>"{                  
         funcDyn: 'msg1',
         blok: 'blok_2',
         wsCross: 'Топливо 4.4',
         linkFormula: 'AE-AE#AF-AF',
         levelDyn: "&amp;Y139&amp;"
}"</f>
        <v>{                  
         funcDyn: 'msg1',
         blok: 'blok_2',
         wsCross: 'Топливо 4.4',
         linkFormula: 'AE-AE#AF-AF',
         levelDyn: 1
}</v>
      </c>
      <c r="Y205" s="1428"/>
      <c r="Z205" s="1428"/>
      <c r="AA205" s="691"/>
      <c r="AB205" s="1542"/>
      <c r="AD205" s="813"/>
      <c r="AE205" s="812" t="s">
        <v>239</v>
      </c>
      <c r="AF205" s="736"/>
      <c r="AG205" s="724"/>
      <c r="AH205" s="726"/>
      <c r="AI205" s="728"/>
      <c r="AJ205" s="728"/>
      <c r="AK205" s="728"/>
      <c r="AL205" s="728"/>
      <c r="AM205" s="728"/>
      <c r="AN205" s="728"/>
      <c r="AO205" s="728"/>
      <c r="AP205" s="728"/>
      <c r="AQ205" s="728"/>
      <c r="AR205" s="728"/>
      <c r="AS205" s="728"/>
      <c r="AT205" s="728"/>
      <c r="AU205" s="728"/>
      <c r="AV205" s="728"/>
      <c r="AW205" s="728"/>
      <c r="AX205" s="728"/>
      <c r="AY205" s="728"/>
      <c r="AZ205" s="728"/>
      <c r="BA205" s="728"/>
      <c r="BB205" s="728"/>
      <c r="BC205" s="728"/>
      <c r="BD205" s="728"/>
      <c r="BE205" s="728"/>
      <c r="BF205" s="728"/>
      <c r="BG205" s="728"/>
      <c r="BH205" s="728"/>
      <c r="BI205" s="728"/>
      <c r="BJ205" s="728"/>
      <c r="BK205" s="728"/>
      <c r="BL205" s="728"/>
      <c r="BM205" s="728"/>
      <c r="BN205" s="728"/>
      <c r="BO205" s="728"/>
      <c r="BP205" s="728"/>
      <c r="BQ205" s="728"/>
      <c r="BR205" s="728"/>
      <c r="BS205" s="728"/>
      <c r="BT205" s="728"/>
      <c r="BU205" s="728"/>
      <c r="BV205" s="728"/>
      <c r="BW205" s="728"/>
      <c r="BX205" s="728"/>
      <c r="BY205" s="728"/>
      <c r="BZ205" s="728"/>
      <c r="CA205" s="728"/>
      <c r="CB205" s="728"/>
      <c r="CC205" s="728"/>
      <c r="CD205" s="728"/>
      <c r="CE205" s="728"/>
      <c r="CF205" s="728"/>
      <c r="CG205" s="728"/>
      <c r="CH205" s="728"/>
      <c r="CI205" s="728"/>
      <c r="CJ205" s="728"/>
      <c r="CK205" s="728"/>
      <c r="CL205" s="728"/>
      <c r="CM205" s="728"/>
      <c r="CN205" s="728"/>
      <c r="CO205" s="728"/>
      <c r="CP205" s="728"/>
      <c r="CQ205" s="728"/>
      <c r="CR205" s="728"/>
      <c r="CS205" s="728"/>
      <c r="CT205" s="43"/>
      <c r="CW205" s="960" t="str">
        <f>IF(AND(ISNUMBER(VALUE(TRIM(SUBSTITUTE(AD205,".","")))),TRIM(SUBSTITUTE(AD205,".",""))&lt;&gt;""),"P"&amp;SUBSTITUTE(AD205,".",""),"")</f>
        <v/>
      </c>
      <c r="CX205" s="965"/>
      <c r="CY205" s="965"/>
      <c r="CZ205" s="965"/>
      <c r="DA205" s="966"/>
      <c r="DB205" s="966"/>
    </row>
    <row r="206" spans="1:106" s="1167" customFormat="1" ht="16.5" customHeight="1" x14ac:dyDescent="0.15">
      <c r="A206" s="1150"/>
      <c r="B206" s="773"/>
      <c r="C206" s="1150"/>
      <c r="D206" s="1150"/>
      <c r="E206" s="668">
        <v>17.100000000000001</v>
      </c>
      <c r="F206" s="769" t="str" cm="1">
        <f t="array" aca="1" ref="F206" ca="1">OFFSET(G206,-1,-1)</f>
        <v>1</v>
      </c>
      <c r="G206" s="804"/>
      <c r="H206" s="804"/>
      <c r="I206" s="804"/>
      <c r="J206" s="804"/>
      <c r="K206" s="804"/>
      <c r="L206" s="769" t="b" cm="1">
        <f t="array" aca="1" ref="L206" ca="1">OFFSET(M206,-1,-1)</f>
        <v>0</v>
      </c>
      <c r="M206" s="804"/>
      <c r="N206" s="804"/>
      <c r="O206" s="804"/>
      <c r="P206" s="804"/>
      <c r="Q206" s="804"/>
      <c r="R206" s="1150"/>
      <c r="S206" s="107" t="b" cm="1">
        <f t="array" aca="1" ref="S206" ca="1">OFFSET(T206,-1,-1)</f>
        <v>1</v>
      </c>
      <c r="T206" s="1150"/>
      <c r="U206" s="690" t="b">
        <f t="shared" ca="1" si="80"/>
        <v>1</v>
      </c>
      <c r="V206" s="1150"/>
      <c r="W206" s="1150"/>
      <c r="X206" s="1150"/>
      <c r="Y206" s="1428"/>
      <c r="Z206" s="1428"/>
      <c r="AA206" s="691"/>
      <c r="AB206" s="1542"/>
      <c r="AD206" s="121">
        <v>28</v>
      </c>
      <c r="AE206" s="1510" t="s">
        <v>844</v>
      </c>
      <c r="AF206" s="1493"/>
      <c r="AG206" s="724" t="s">
        <v>830</v>
      </c>
      <c r="AH206" s="725">
        <f t="shared" ref="AH206:BM206" si="94">SUM(AH208:AH210)</f>
        <v>10877.773999999999</v>
      </c>
      <c r="AI206" s="725">
        <f t="shared" si="94"/>
        <v>13316.901</v>
      </c>
      <c r="AJ206" s="725">
        <f t="shared" si="94"/>
        <v>13316.9</v>
      </c>
      <c r="AK206" s="725">
        <f t="shared" si="94"/>
        <v>17077.52</v>
      </c>
      <c r="AL206" s="725">
        <f t="shared" ca="1" si="94"/>
        <v>13992.165819940546</v>
      </c>
      <c r="AM206" s="725">
        <f t="shared" si="94"/>
        <v>7220.8556994393311</v>
      </c>
      <c r="AN206" s="725">
        <f t="shared" ca="1" si="94"/>
        <v>6771.3101205012163</v>
      </c>
      <c r="AO206" s="725">
        <f t="shared" ca="1" si="94"/>
        <v>0</v>
      </c>
      <c r="AP206" s="725">
        <f t="shared" si="94"/>
        <v>0</v>
      </c>
      <c r="AQ206" s="725">
        <f t="shared" ca="1" si="94"/>
        <v>0</v>
      </c>
      <c r="AR206" s="725">
        <f t="shared" ca="1" si="94"/>
        <v>0</v>
      </c>
      <c r="AS206" s="725">
        <f t="shared" si="94"/>
        <v>0</v>
      </c>
      <c r="AT206" s="725">
        <f t="shared" ca="1" si="94"/>
        <v>0</v>
      </c>
      <c r="AU206" s="725">
        <f t="shared" ca="1" si="94"/>
        <v>0</v>
      </c>
      <c r="AV206" s="725">
        <f t="shared" si="94"/>
        <v>0</v>
      </c>
      <c r="AW206" s="725">
        <f t="shared" ca="1" si="94"/>
        <v>0</v>
      </c>
      <c r="AX206" s="725">
        <f t="shared" ca="1" si="94"/>
        <v>0</v>
      </c>
      <c r="AY206" s="725">
        <f t="shared" si="94"/>
        <v>0</v>
      </c>
      <c r="AZ206" s="725">
        <f t="shared" ca="1" si="94"/>
        <v>0</v>
      </c>
      <c r="BA206" s="725">
        <f t="shared" ca="1" si="94"/>
        <v>0</v>
      </c>
      <c r="BB206" s="725">
        <f t="shared" si="94"/>
        <v>0</v>
      </c>
      <c r="BC206" s="725">
        <f t="shared" ca="1" si="94"/>
        <v>0</v>
      </c>
      <c r="BD206" s="725">
        <f t="shared" ca="1" si="94"/>
        <v>0</v>
      </c>
      <c r="BE206" s="725">
        <f t="shared" si="94"/>
        <v>0</v>
      </c>
      <c r="BF206" s="725">
        <f t="shared" ca="1" si="94"/>
        <v>0</v>
      </c>
      <c r="BG206" s="725">
        <f t="shared" ca="1" si="94"/>
        <v>0</v>
      </c>
      <c r="BH206" s="725">
        <f t="shared" si="94"/>
        <v>0</v>
      </c>
      <c r="BI206" s="725">
        <f t="shared" ca="1" si="94"/>
        <v>0</v>
      </c>
      <c r="BJ206" s="725">
        <f t="shared" ca="1" si="94"/>
        <v>0</v>
      </c>
      <c r="BK206" s="725">
        <f t="shared" si="94"/>
        <v>0</v>
      </c>
      <c r="BL206" s="725">
        <f t="shared" ca="1" si="94"/>
        <v>0</v>
      </c>
      <c r="BM206" s="725">
        <f t="shared" ca="1" si="94"/>
        <v>0</v>
      </c>
      <c r="BN206" s="725">
        <f t="shared" ref="BN206:CS206" si="95">SUM(BN208:BN210)</f>
        <v>0</v>
      </c>
      <c r="BO206" s="725">
        <f t="shared" ca="1" si="95"/>
        <v>0</v>
      </c>
      <c r="BP206" s="725">
        <f t="shared" ca="1" si="95"/>
        <v>13992.15847526463</v>
      </c>
      <c r="BQ206" s="725">
        <f t="shared" si="95"/>
        <v>10097.291525083729</v>
      </c>
      <c r="BR206" s="725">
        <f t="shared" ca="1" si="95"/>
        <v>3894.8669501809018</v>
      </c>
      <c r="BS206" s="725">
        <f t="shared" ca="1" si="95"/>
        <v>0</v>
      </c>
      <c r="BT206" s="725">
        <f t="shared" si="95"/>
        <v>0</v>
      </c>
      <c r="BU206" s="725">
        <f t="shared" ca="1" si="95"/>
        <v>0</v>
      </c>
      <c r="BV206" s="725">
        <f t="shared" ca="1" si="95"/>
        <v>0</v>
      </c>
      <c r="BW206" s="725">
        <f t="shared" si="95"/>
        <v>0</v>
      </c>
      <c r="BX206" s="725">
        <f t="shared" ca="1" si="95"/>
        <v>0</v>
      </c>
      <c r="BY206" s="725">
        <f t="shared" ca="1" si="95"/>
        <v>0</v>
      </c>
      <c r="BZ206" s="725">
        <f t="shared" si="95"/>
        <v>0</v>
      </c>
      <c r="CA206" s="725">
        <f t="shared" ca="1" si="95"/>
        <v>0</v>
      </c>
      <c r="CB206" s="725">
        <f t="shared" ca="1" si="95"/>
        <v>0</v>
      </c>
      <c r="CC206" s="725">
        <f t="shared" si="95"/>
        <v>0</v>
      </c>
      <c r="CD206" s="725">
        <f t="shared" ca="1" si="95"/>
        <v>0</v>
      </c>
      <c r="CE206" s="725">
        <f t="shared" ca="1" si="95"/>
        <v>0</v>
      </c>
      <c r="CF206" s="725">
        <f t="shared" si="95"/>
        <v>0</v>
      </c>
      <c r="CG206" s="725">
        <f t="shared" ca="1" si="95"/>
        <v>0</v>
      </c>
      <c r="CH206" s="725">
        <f t="shared" ca="1" si="95"/>
        <v>0</v>
      </c>
      <c r="CI206" s="725">
        <f t="shared" si="95"/>
        <v>0</v>
      </c>
      <c r="CJ206" s="725">
        <f t="shared" ca="1" si="95"/>
        <v>0</v>
      </c>
      <c r="CK206" s="725">
        <f t="shared" ca="1" si="95"/>
        <v>0</v>
      </c>
      <c r="CL206" s="725">
        <f t="shared" si="95"/>
        <v>0</v>
      </c>
      <c r="CM206" s="725">
        <f t="shared" ca="1" si="95"/>
        <v>0</v>
      </c>
      <c r="CN206" s="725">
        <f t="shared" ca="1" si="95"/>
        <v>0</v>
      </c>
      <c r="CO206" s="725">
        <f t="shared" si="95"/>
        <v>0</v>
      </c>
      <c r="CP206" s="725">
        <f t="shared" ca="1" si="95"/>
        <v>0</v>
      </c>
      <c r="CQ206" s="725">
        <f t="shared" ca="1" si="95"/>
        <v>0</v>
      </c>
      <c r="CR206" s="725">
        <f t="shared" si="95"/>
        <v>0</v>
      </c>
      <c r="CS206" s="725">
        <f t="shared" ca="1" si="95"/>
        <v>0</v>
      </c>
      <c r="CT206" s="1231"/>
      <c r="CW206" s="960" t="s">
        <v>845</v>
      </c>
      <c r="CX206" s="965"/>
      <c r="CY206" s="965"/>
      <c r="CZ206" s="965"/>
      <c r="DA206" s="966"/>
      <c r="DB206" s="966"/>
    </row>
    <row r="207" spans="1:106" s="1167" customFormat="1" ht="16.5" hidden="1" customHeight="1" x14ac:dyDescent="0.15">
      <c r="A207" s="1150"/>
      <c r="B207" s="773"/>
      <c r="C207" s="1150"/>
      <c r="D207" s="1150"/>
      <c r="E207" s="668">
        <v>17.100000000000001</v>
      </c>
      <c r="F207" s="769" t="str" cm="1">
        <f t="array" aca="1" ref="F207" ca="1">OFFSET(G207,-1,-1)</f>
        <v>1</v>
      </c>
      <c r="G207" s="804"/>
      <c r="H207" s="804"/>
      <c r="I207" s="804"/>
      <c r="J207" s="804"/>
      <c r="K207" s="804"/>
      <c r="L207" s="769" t="b" cm="1">
        <f t="array" aca="1" ref="L207" ca="1">OFFSET(M207,-1,-1)</f>
        <v>0</v>
      </c>
      <c r="M207" s="804"/>
      <c r="N207" s="804"/>
      <c r="O207" s="804"/>
      <c r="P207" s="804"/>
      <c r="Q207" s="804"/>
      <c r="R207" s="769" t="s">
        <v>750</v>
      </c>
      <c r="S207" s="107" t="b" cm="1">
        <f t="array" aca="1" ref="S207" ca="1">OFFSET(T207,-1,-1)</f>
        <v>1</v>
      </c>
      <c r="T207" s="769" t="b">
        <v>0</v>
      </c>
      <c r="U207" s="690" t="b">
        <f t="shared" ca="1" si="80"/>
        <v>0</v>
      </c>
      <c r="V207" s="1150"/>
      <c r="W207" s="1150"/>
      <c r="X207" s="1150"/>
      <c r="Y207" s="1428"/>
      <c r="Z207" s="1428"/>
      <c r="AA207" s="691"/>
      <c r="AB207" s="1542"/>
      <c r="AD207" s="108" t="str">
        <f>AD206&amp;".0"</f>
        <v>28.0</v>
      </c>
      <c r="AE207" s="1513" t="s">
        <v>761</v>
      </c>
      <c r="AF207" s="1514"/>
      <c r="AG207" s="724" t="s">
        <v>830</v>
      </c>
      <c r="AH207" s="38">
        <f>AH$163*AH206</f>
        <v>10877.773999999999</v>
      </c>
      <c r="AI207" s="39">
        <f>AI$163*AI206</f>
        <v>13316.901</v>
      </c>
      <c r="AJ207" s="39">
        <f>AJ$163*AJ206</f>
        <v>13316.9</v>
      </c>
      <c r="AK207" s="39">
        <f>AK$163*AK206</f>
        <v>17077.52</v>
      </c>
      <c r="AL207" s="727">
        <f ca="1">AM207+AN207</f>
        <v>13992.165819940546</v>
      </c>
      <c r="AM207" s="39">
        <f>AM$163*AM206</f>
        <v>7220.8556994393311</v>
      </c>
      <c r="AN207" s="39">
        <f ca="1">AN$163*AN206</f>
        <v>6771.3101205012163</v>
      </c>
      <c r="AO207" s="727">
        <f ca="1">AP207+AQ207</f>
        <v>0</v>
      </c>
      <c r="AP207" s="1244">
        <f>AP$163*AP206</f>
        <v>0</v>
      </c>
      <c r="AQ207" s="1244">
        <f ca="1">AQ$163*AQ206</f>
        <v>0</v>
      </c>
      <c r="AR207" s="727">
        <f ca="1">AS207+AT207</f>
        <v>0</v>
      </c>
      <c r="AS207" s="1244">
        <f>AS$163*AS206</f>
        <v>0</v>
      </c>
      <c r="AT207" s="1244">
        <f ca="1">AT$163*AT206</f>
        <v>0</v>
      </c>
      <c r="AU207" s="727">
        <f ca="1">AV207+AW207</f>
        <v>0</v>
      </c>
      <c r="AV207" s="39">
        <f>AV$163*AV206</f>
        <v>0</v>
      </c>
      <c r="AW207" s="39">
        <f ca="1">AW$163*AW206</f>
        <v>0</v>
      </c>
      <c r="AX207" s="727">
        <f ca="1">AY207+AZ207</f>
        <v>0</v>
      </c>
      <c r="AY207" s="39">
        <f>AY$163*AY206</f>
        <v>0</v>
      </c>
      <c r="AZ207" s="39">
        <f ca="1">AZ$163*AZ206</f>
        <v>0</v>
      </c>
      <c r="BA207" s="727">
        <f ca="1">BB207+BC207</f>
        <v>0</v>
      </c>
      <c r="BB207" s="39">
        <f>BB$163*BB206</f>
        <v>0</v>
      </c>
      <c r="BC207" s="39">
        <f ca="1">BC$163*BC206</f>
        <v>0</v>
      </c>
      <c r="BD207" s="727">
        <f ca="1">BE207+BF207</f>
        <v>0</v>
      </c>
      <c r="BE207" s="39">
        <f>BE$163*BE206</f>
        <v>0</v>
      </c>
      <c r="BF207" s="39">
        <f ca="1">BF$163*BF206</f>
        <v>0</v>
      </c>
      <c r="BG207" s="727">
        <f ca="1">BH207+BI207</f>
        <v>0</v>
      </c>
      <c r="BH207" s="39">
        <f>BH$163*BH206</f>
        <v>0</v>
      </c>
      <c r="BI207" s="39">
        <f ca="1">BI$163*BI206</f>
        <v>0</v>
      </c>
      <c r="BJ207" s="727">
        <f ca="1">BK207+BL207</f>
        <v>0</v>
      </c>
      <c r="BK207" s="39">
        <f>BK$163*BK206</f>
        <v>0</v>
      </c>
      <c r="BL207" s="39">
        <f ca="1">BL$163*BL206</f>
        <v>0</v>
      </c>
      <c r="BM207" s="727">
        <f ca="1">BN207+BO207</f>
        <v>0</v>
      </c>
      <c r="BN207" s="39">
        <f>BN$163*BN206</f>
        <v>0</v>
      </c>
      <c r="BO207" s="39">
        <f ca="1">BO$163*BO206</f>
        <v>0</v>
      </c>
      <c r="BP207" s="727">
        <f ca="1">BQ207+BR207</f>
        <v>13992.15847526463</v>
      </c>
      <c r="BQ207" s="816">
        <f>BQ$163*BQ206</f>
        <v>10097.291525083729</v>
      </c>
      <c r="BR207" s="816">
        <f ca="1">BR$163*BR206</f>
        <v>3894.8669501809018</v>
      </c>
      <c r="BS207" s="727">
        <f ca="1">BT207+BU207</f>
        <v>0</v>
      </c>
      <c r="BT207" s="1244">
        <f>BT$163*BT206</f>
        <v>0</v>
      </c>
      <c r="BU207" s="1244">
        <f ca="1">BU$163*BU206</f>
        <v>0</v>
      </c>
      <c r="BV207" s="727">
        <f ca="1">BW207+BX207</f>
        <v>0</v>
      </c>
      <c r="BW207" s="1244">
        <f>BW$163*BW206</f>
        <v>0</v>
      </c>
      <c r="BX207" s="1244">
        <f ca="1">BX$163*BX206</f>
        <v>0</v>
      </c>
      <c r="BY207" s="727">
        <f ca="1">BZ207+CA207</f>
        <v>0</v>
      </c>
      <c r="BZ207" s="39">
        <f>BZ$163*BZ206</f>
        <v>0</v>
      </c>
      <c r="CA207" s="39">
        <f ca="1">CA$163*CA206</f>
        <v>0</v>
      </c>
      <c r="CB207" s="727">
        <f ca="1">CC207+CD207</f>
        <v>0</v>
      </c>
      <c r="CC207" s="39">
        <f>CC$163*CC206</f>
        <v>0</v>
      </c>
      <c r="CD207" s="39">
        <f ca="1">CD$163*CD206</f>
        <v>0</v>
      </c>
      <c r="CE207" s="727">
        <f ca="1">CF207+CG207</f>
        <v>0</v>
      </c>
      <c r="CF207" s="39">
        <f>CF$163*CF206</f>
        <v>0</v>
      </c>
      <c r="CG207" s="39">
        <f ca="1">CG$163*CG206</f>
        <v>0</v>
      </c>
      <c r="CH207" s="727">
        <f ca="1">CI207+CJ207</f>
        <v>0</v>
      </c>
      <c r="CI207" s="39">
        <f>CI$163*CI206</f>
        <v>0</v>
      </c>
      <c r="CJ207" s="39">
        <f ca="1">CJ$163*CJ206</f>
        <v>0</v>
      </c>
      <c r="CK207" s="727">
        <f ca="1">CL207+CM207</f>
        <v>0</v>
      </c>
      <c r="CL207" s="39">
        <f>CL$163*CL206</f>
        <v>0</v>
      </c>
      <c r="CM207" s="39">
        <f ca="1">CM$163*CM206</f>
        <v>0</v>
      </c>
      <c r="CN207" s="727">
        <f ca="1">CO207+CP207</f>
        <v>0</v>
      </c>
      <c r="CO207" s="39">
        <f>CO$163*CO206</f>
        <v>0</v>
      </c>
      <c r="CP207" s="39">
        <f ca="1">CP$163*CP206</f>
        <v>0</v>
      </c>
      <c r="CQ207" s="727">
        <f ca="1">CR207+CS207</f>
        <v>0</v>
      </c>
      <c r="CR207" s="39">
        <f>CR$163*CR206</f>
        <v>0</v>
      </c>
      <c r="CS207" s="39">
        <f ca="1">CS$163*CS206</f>
        <v>0</v>
      </c>
      <c r="CT207" s="25"/>
      <c r="CW207" s="960" t="s">
        <v>846</v>
      </c>
      <c r="CX207" s="965"/>
      <c r="CY207" s="965"/>
      <c r="CZ207" s="965"/>
      <c r="DA207" s="966"/>
      <c r="DB207" s="966"/>
    </row>
    <row r="208" spans="1:106" s="1167" customFormat="1" ht="16.5" hidden="1" customHeight="1" x14ac:dyDescent="0.15">
      <c r="E208" s="668">
        <v>17.100000000000001</v>
      </c>
      <c r="F208" s="769" t="str" cm="1">
        <f t="array" aca="1" ref="F208" ca="1">OFFSET(G208,-1,-1)</f>
        <v>1</v>
      </c>
      <c r="L208" s="769" t="b" cm="1">
        <f t="array" aca="1" ref="L208" ca="1">OFFSET(M208,-1,-1)</f>
        <v>0</v>
      </c>
      <c r="S208" s="107" t="b" cm="1">
        <f t="array" aca="1" ref="S208" ca="1">OFFSET(T208,-1,-1)</f>
        <v>1</v>
      </c>
      <c r="T208" s="107" t="b">
        <f>AD208&lt;&gt;"28.0"</f>
        <v>0</v>
      </c>
      <c r="U208" s="690" t="b">
        <f t="shared" ca="1" si="80"/>
        <v>0</v>
      </c>
      <c r="X208" s="107" t="s">
        <v>237</v>
      </c>
      <c r="Y208" s="1481"/>
      <c r="Z208" s="1481"/>
      <c r="AB208" s="1542"/>
      <c r="AD208" s="108" t="s">
        <v>847</v>
      </c>
      <c r="AE208" s="811"/>
      <c r="AF208" s="516"/>
      <c r="AG208" s="724" t="s">
        <v>830</v>
      </c>
      <c r="AH208" s="38"/>
      <c r="AI208" s="39"/>
      <c r="AJ208" s="39"/>
      <c r="AK208" s="39"/>
      <c r="AL208" s="727">
        <f ca="1">AM208+AN208</f>
        <v>0</v>
      </c>
      <c r="AM208" s="39">
        <f>AM203*AM178/1000</f>
        <v>0</v>
      </c>
      <c r="AN208" s="39">
        <f ca="1">AN203*AN178/1000</f>
        <v>0</v>
      </c>
      <c r="AO208" s="727">
        <f ca="1">AP208+AQ208</f>
        <v>0</v>
      </c>
      <c r="AP208" s="39">
        <f>AP203*AP178/1000</f>
        <v>0</v>
      </c>
      <c r="AQ208" s="39">
        <f ca="1">AQ203*AQ178/1000</f>
        <v>0</v>
      </c>
      <c r="AR208" s="727">
        <f ca="1">AS208+AT208</f>
        <v>0</v>
      </c>
      <c r="AS208" s="39">
        <f>AS203*AS178/1000</f>
        <v>0</v>
      </c>
      <c r="AT208" s="39">
        <f ca="1">AT203*AT178/1000</f>
        <v>0</v>
      </c>
      <c r="AU208" s="727">
        <f ca="1">AV208+AW208</f>
        <v>0</v>
      </c>
      <c r="AV208" s="39">
        <f>AV203*AV178/1000</f>
        <v>0</v>
      </c>
      <c r="AW208" s="39">
        <f ca="1">AW203*AW178/1000</f>
        <v>0</v>
      </c>
      <c r="AX208" s="727">
        <f ca="1">AY208+AZ208</f>
        <v>0</v>
      </c>
      <c r="AY208" s="39">
        <f>AY203*AY178/1000</f>
        <v>0</v>
      </c>
      <c r="AZ208" s="39">
        <f ca="1">AZ203*AZ178/1000</f>
        <v>0</v>
      </c>
      <c r="BA208" s="727">
        <f ca="1">BB208+BC208</f>
        <v>0</v>
      </c>
      <c r="BB208" s="39">
        <f>BB203*BB178/1000</f>
        <v>0</v>
      </c>
      <c r="BC208" s="39">
        <f ca="1">BC203*BC178/1000</f>
        <v>0</v>
      </c>
      <c r="BD208" s="727">
        <f ca="1">BE208+BF208</f>
        <v>0</v>
      </c>
      <c r="BE208" s="39">
        <f>BE203*BE178/1000</f>
        <v>0</v>
      </c>
      <c r="BF208" s="39">
        <f ca="1">BF203*BF178/1000</f>
        <v>0</v>
      </c>
      <c r="BG208" s="727">
        <f ca="1">BH208+BI208</f>
        <v>0</v>
      </c>
      <c r="BH208" s="39">
        <f>BH203*BH178/1000</f>
        <v>0</v>
      </c>
      <c r="BI208" s="39">
        <f ca="1">BI203*BI178/1000</f>
        <v>0</v>
      </c>
      <c r="BJ208" s="727">
        <f ca="1">BK208+BL208</f>
        <v>0</v>
      </c>
      <c r="BK208" s="39">
        <f>BK203*BK178/1000</f>
        <v>0</v>
      </c>
      <c r="BL208" s="39">
        <f ca="1">BL203*BL178/1000</f>
        <v>0</v>
      </c>
      <c r="BM208" s="727">
        <f ca="1">BN208+BO208</f>
        <v>0</v>
      </c>
      <c r="BN208" s="39">
        <f>BN203*BN178/1000</f>
        <v>0</v>
      </c>
      <c r="BO208" s="39">
        <f ca="1">BO203*BO178/1000</f>
        <v>0</v>
      </c>
      <c r="BP208" s="727">
        <f ca="1">BQ208+BR208</f>
        <v>0</v>
      </c>
      <c r="BQ208" s="816">
        <f>BQ203*BQ178/1000</f>
        <v>0</v>
      </c>
      <c r="BR208" s="816">
        <f ca="1">BR203*BR178/1000</f>
        <v>0</v>
      </c>
      <c r="BS208" s="727">
        <f ca="1">BT208+BU208</f>
        <v>0</v>
      </c>
      <c r="BT208" s="39">
        <f>BT203*BT178/1000</f>
        <v>0</v>
      </c>
      <c r="BU208" s="39">
        <f ca="1">BU203*BU178/1000</f>
        <v>0</v>
      </c>
      <c r="BV208" s="727">
        <f ca="1">BW208+BX208</f>
        <v>0</v>
      </c>
      <c r="BW208" s="39">
        <f>BW203*BW178/1000</f>
        <v>0</v>
      </c>
      <c r="BX208" s="39">
        <f ca="1">BX203*BX178/1000</f>
        <v>0</v>
      </c>
      <c r="BY208" s="727">
        <f ca="1">BZ208+CA208</f>
        <v>0</v>
      </c>
      <c r="BZ208" s="39">
        <f>BZ203*BZ178/1000</f>
        <v>0</v>
      </c>
      <c r="CA208" s="39">
        <f ca="1">CA203*CA178/1000</f>
        <v>0</v>
      </c>
      <c r="CB208" s="727">
        <f ca="1">CC208+CD208</f>
        <v>0</v>
      </c>
      <c r="CC208" s="39">
        <f>CC203*CC178/1000</f>
        <v>0</v>
      </c>
      <c r="CD208" s="39">
        <f ca="1">CD203*CD178/1000</f>
        <v>0</v>
      </c>
      <c r="CE208" s="727">
        <f ca="1">CF208+CG208</f>
        <v>0</v>
      </c>
      <c r="CF208" s="39">
        <f>CF203*CF178/1000</f>
        <v>0</v>
      </c>
      <c r="CG208" s="39">
        <f ca="1">CG203*CG178/1000</f>
        <v>0</v>
      </c>
      <c r="CH208" s="727">
        <f ca="1">CI208+CJ208</f>
        <v>0</v>
      </c>
      <c r="CI208" s="39">
        <f>CI203*CI178/1000</f>
        <v>0</v>
      </c>
      <c r="CJ208" s="39">
        <f ca="1">CJ203*CJ178/1000</f>
        <v>0</v>
      </c>
      <c r="CK208" s="727">
        <f ca="1">CL208+CM208</f>
        <v>0</v>
      </c>
      <c r="CL208" s="39">
        <f>CL203*CL178/1000</f>
        <v>0</v>
      </c>
      <c r="CM208" s="39">
        <f ca="1">CM203*CM178/1000</f>
        <v>0</v>
      </c>
      <c r="CN208" s="727">
        <f ca="1">CO208+CP208</f>
        <v>0</v>
      </c>
      <c r="CO208" s="39">
        <f>CO203*CO178/1000</f>
        <v>0</v>
      </c>
      <c r="CP208" s="39">
        <f ca="1">CP203*CP178/1000</f>
        <v>0</v>
      </c>
      <c r="CQ208" s="727">
        <f ca="1">CR208+CS208</f>
        <v>0</v>
      </c>
      <c r="CR208" s="39">
        <f>CR203*CR178/1000</f>
        <v>0</v>
      </c>
      <c r="CS208" s="39">
        <f ca="1">CS203*CS178/1000</f>
        <v>0</v>
      </c>
      <c r="CT208" s="25"/>
      <c r="CW208" s="960" t="s">
        <v>846</v>
      </c>
      <c r="CX208" s="965" t="s">
        <v>812</v>
      </c>
      <c r="CY208" s="969" cm="1">
        <f t="array" ref="CY208">AE208</f>
        <v>0</v>
      </c>
      <c r="CZ208" s="969" cm="1">
        <f t="array" ref="CZ208">AF208</f>
        <v>0</v>
      </c>
      <c r="DA208" s="966"/>
      <c r="DB208" s="966"/>
    </row>
    <row r="209" spans="1:106" s="1167" customFormat="1" ht="16.5" customHeight="1" x14ac:dyDescent="0.15">
      <c r="E209" s="668">
        <v>17.100000000000001</v>
      </c>
      <c r="F209" s="769" t="str" cm="1">
        <f t="array" aca="1" ref="F209" ca="1">OFFSET(G209,-1,-1)</f>
        <v>1</v>
      </c>
      <c r="L209" s="769" t="b" cm="1">
        <f t="array" aca="1" ref="L209" ca="1">OFFSET(M209,-1,-1)</f>
        <v>0</v>
      </c>
      <c r="S209" s="107" t="b" cm="1">
        <f t="array" aca="1" ref="S209" ca="1">OFFSET(T209,-1,-1)</f>
        <v>1</v>
      </c>
      <c r="T209" s="107" t="b">
        <f>AD209&lt;&gt;"28.0"</f>
        <v>1</v>
      </c>
      <c r="U209" s="690" t="b">
        <f t="shared" ca="1" si="80"/>
        <v>1</v>
      </c>
      <c r="X209" s="107" t="str">
        <f>'Топливо 4.4'!$AE$204&amp;'Топливо 4.4'!$AF$204</f>
        <v>Уголь длиннопламенный</v>
      </c>
      <c r="Y209" s="1481"/>
      <c r="Z209" s="1481"/>
      <c r="AB209" s="1542"/>
      <c r="AD209" s="108" t="s">
        <v>932</v>
      </c>
      <c r="AE209" s="811" t="str" cm="1">
        <f t="array" ref="AE209">IF(ISBLANK('Топливо 4.4'!$AE$204),"",'Топливо 4.4'!$AE$204)</f>
        <v>Уголь длиннопламенный</v>
      </c>
      <c r="AF209" s="516" t="str" cm="1">
        <f t="array" ref="AF209">IF(ISBLANK('Топливо 4.4'!$AF$204),"",'Топливо 4.4'!$AF$204)</f>
        <v/>
      </c>
      <c r="AG209" s="724" t="s">
        <v>830</v>
      </c>
      <c r="AH209" s="1251">
        <v>10877.773999999999</v>
      </c>
      <c r="AI209" s="1250">
        <v>13316.901</v>
      </c>
      <c r="AJ209" s="1250">
        <v>13316.9</v>
      </c>
      <c r="AK209" s="1250">
        <v>17077.52</v>
      </c>
      <c r="AL209" s="727">
        <f ca="1">AM209+AN209</f>
        <v>13992.165819940546</v>
      </c>
      <c r="AM209" s="1250">
        <f>AM204*AM179/1000</f>
        <v>7220.8556994393311</v>
      </c>
      <c r="AN209" s="1250">
        <f ca="1">AN204*AN179/1000</f>
        <v>6771.3101205012163</v>
      </c>
      <c r="AO209" s="727">
        <f ca="1">AP209+AQ209</f>
        <v>0</v>
      </c>
      <c r="AP209" s="1250">
        <f>AP204*AP179/1000</f>
        <v>0</v>
      </c>
      <c r="AQ209" s="1250">
        <f ca="1">AQ204*AQ179/1000</f>
        <v>0</v>
      </c>
      <c r="AR209" s="727">
        <f ca="1">AS209+AT209</f>
        <v>0</v>
      </c>
      <c r="AS209" s="1250">
        <f>AS204*AS179/1000</f>
        <v>0</v>
      </c>
      <c r="AT209" s="1250">
        <f ca="1">AT204*AT179/1000</f>
        <v>0</v>
      </c>
      <c r="AU209" s="727">
        <f ca="1">AV209+AW209</f>
        <v>0</v>
      </c>
      <c r="AV209" s="1250">
        <f>AV204*AV179/1000</f>
        <v>0</v>
      </c>
      <c r="AW209" s="1250">
        <f ca="1">AW204*AW179/1000</f>
        <v>0</v>
      </c>
      <c r="AX209" s="727">
        <f ca="1">AY209+AZ209</f>
        <v>0</v>
      </c>
      <c r="AY209" s="1250">
        <f>AY204*AY179/1000</f>
        <v>0</v>
      </c>
      <c r="AZ209" s="1250">
        <f ca="1">AZ204*AZ179/1000</f>
        <v>0</v>
      </c>
      <c r="BA209" s="727">
        <f ca="1">BB209+BC209</f>
        <v>0</v>
      </c>
      <c r="BB209" s="1250">
        <f>BB204*BB179/1000</f>
        <v>0</v>
      </c>
      <c r="BC209" s="1250">
        <f ca="1">BC204*BC179/1000</f>
        <v>0</v>
      </c>
      <c r="BD209" s="727">
        <f ca="1">BE209+BF209</f>
        <v>0</v>
      </c>
      <c r="BE209" s="1250">
        <f>BE204*BE179/1000</f>
        <v>0</v>
      </c>
      <c r="BF209" s="1250">
        <f ca="1">BF204*BF179/1000</f>
        <v>0</v>
      </c>
      <c r="BG209" s="727">
        <f ca="1">BH209+BI209</f>
        <v>0</v>
      </c>
      <c r="BH209" s="1250">
        <f>BH204*BH179/1000</f>
        <v>0</v>
      </c>
      <c r="BI209" s="1250">
        <f ca="1">BI204*BI179/1000</f>
        <v>0</v>
      </c>
      <c r="BJ209" s="727">
        <f ca="1">BK209+BL209</f>
        <v>0</v>
      </c>
      <c r="BK209" s="1250">
        <f>BK204*BK179/1000</f>
        <v>0</v>
      </c>
      <c r="BL209" s="1250">
        <f ca="1">BL204*BL179/1000</f>
        <v>0</v>
      </c>
      <c r="BM209" s="727">
        <f ca="1">BN209+BO209</f>
        <v>0</v>
      </c>
      <c r="BN209" s="1250">
        <f>BN204*BN179/1000</f>
        <v>0</v>
      </c>
      <c r="BO209" s="1250">
        <f ca="1">BO204*BO179/1000</f>
        <v>0</v>
      </c>
      <c r="BP209" s="727">
        <f ca="1">BQ209+BR209</f>
        <v>13992.15847526463</v>
      </c>
      <c r="BQ209" s="816">
        <f>BQ204*BQ179/1000</f>
        <v>10097.291525083729</v>
      </c>
      <c r="BR209" s="816">
        <f ca="1">BR204*BR179/1000</f>
        <v>3894.8669501809018</v>
      </c>
      <c r="BS209" s="727">
        <f ca="1">BT209+BU209</f>
        <v>0</v>
      </c>
      <c r="BT209" s="1250">
        <f>BT204*BT179/1000</f>
        <v>0</v>
      </c>
      <c r="BU209" s="1250">
        <f ca="1">BU204*BU179/1000</f>
        <v>0</v>
      </c>
      <c r="BV209" s="727">
        <f ca="1">BW209+BX209</f>
        <v>0</v>
      </c>
      <c r="BW209" s="1250">
        <f>BW204*BW179/1000</f>
        <v>0</v>
      </c>
      <c r="BX209" s="1250">
        <f ca="1">BX204*BX179/1000</f>
        <v>0</v>
      </c>
      <c r="BY209" s="727">
        <f ca="1">BZ209+CA209</f>
        <v>0</v>
      </c>
      <c r="BZ209" s="1250">
        <f>BZ204*BZ179/1000</f>
        <v>0</v>
      </c>
      <c r="CA209" s="1250">
        <f ca="1">CA204*CA179/1000</f>
        <v>0</v>
      </c>
      <c r="CB209" s="727">
        <f ca="1">CC209+CD209</f>
        <v>0</v>
      </c>
      <c r="CC209" s="1250">
        <f>CC204*CC179/1000</f>
        <v>0</v>
      </c>
      <c r="CD209" s="1250">
        <f ca="1">CD204*CD179/1000</f>
        <v>0</v>
      </c>
      <c r="CE209" s="727">
        <f ca="1">CF209+CG209</f>
        <v>0</v>
      </c>
      <c r="CF209" s="1250">
        <f>CF204*CF179/1000</f>
        <v>0</v>
      </c>
      <c r="CG209" s="1250">
        <f ca="1">CG204*CG179/1000</f>
        <v>0</v>
      </c>
      <c r="CH209" s="727">
        <f ca="1">CI209+CJ209</f>
        <v>0</v>
      </c>
      <c r="CI209" s="1250">
        <f>CI204*CI179/1000</f>
        <v>0</v>
      </c>
      <c r="CJ209" s="1250">
        <f ca="1">CJ204*CJ179/1000</f>
        <v>0</v>
      </c>
      <c r="CK209" s="727">
        <f ca="1">CL209+CM209</f>
        <v>0</v>
      </c>
      <c r="CL209" s="1250">
        <f>CL204*CL179/1000</f>
        <v>0</v>
      </c>
      <c r="CM209" s="1250">
        <f ca="1">CM204*CM179/1000</f>
        <v>0</v>
      </c>
      <c r="CN209" s="727">
        <f ca="1">CO209+CP209</f>
        <v>0</v>
      </c>
      <c r="CO209" s="1250">
        <f>CO204*CO179/1000</f>
        <v>0</v>
      </c>
      <c r="CP209" s="1250">
        <f ca="1">CP204*CP179/1000</f>
        <v>0</v>
      </c>
      <c r="CQ209" s="727">
        <f ca="1">CR209+CS209</f>
        <v>0</v>
      </c>
      <c r="CR209" s="1250">
        <f>CR204*CR179/1000</f>
        <v>0</v>
      </c>
      <c r="CS209" s="1250">
        <f ca="1">CS204*CS179/1000</f>
        <v>0</v>
      </c>
      <c r="CT209" s="1231"/>
      <c r="CW209" s="960" t="s">
        <v>846</v>
      </c>
      <c r="CX209" s="965" t="s">
        <v>812</v>
      </c>
      <c r="CY209" s="969" t="str" cm="1">
        <f t="array" ref="CY209">AE209</f>
        <v>Уголь длиннопламенный</v>
      </c>
      <c r="CZ209" s="969" t="str" cm="1">
        <f t="array" ref="CZ209">AF209</f>
        <v/>
      </c>
      <c r="DA209" s="966"/>
      <c r="DB209" s="966"/>
    </row>
    <row r="210" spans="1:106" s="1167" customFormat="1" ht="15" hidden="1" customHeight="1" x14ac:dyDescent="0.15">
      <c r="A210" s="1150"/>
      <c r="B210" s="773"/>
      <c r="C210" s="1150"/>
      <c r="D210" s="1150"/>
      <c r="E210" s="668">
        <v>0</v>
      </c>
      <c r="F210" s="769" t="str" cm="1">
        <f t="array" aca="1" ref="F210" ca="1">OFFSET(G210,-1,-1)</f>
        <v>1</v>
      </c>
      <c r="G210" s="804"/>
      <c r="H210" s="804"/>
      <c r="I210" s="804"/>
      <c r="J210" s="804"/>
      <c r="K210" s="804"/>
      <c r="L210" s="769" t="b" cm="1">
        <f t="array" aca="1" ref="L210" ca="1">OFFSET(M210,-1,-1)</f>
        <v>0</v>
      </c>
      <c r="M210" s="804"/>
      <c r="N210" s="804"/>
      <c r="O210" s="804"/>
      <c r="P210" s="804"/>
      <c r="Q210" s="804"/>
      <c r="R210" s="1150"/>
      <c r="S210" s="107" t="b" cm="1">
        <f t="array" aca="1" ref="S210" ca="1">OFFSET(T210,-1,-1)</f>
        <v>1</v>
      </c>
      <c r="T210" s="1150"/>
      <c r="U210" s="690" t="b">
        <f t="shared" ca="1" si="80"/>
        <v>1</v>
      </c>
      <c r="V210" s="1150"/>
      <c r="W210" s="1150"/>
      <c r="X210" s="810" t="str">
        <f>"{                  
         funcDyn: 'msg1',
         blok: 'blok_2',
         wsCross: 'Топливо 4.4',
         linkFormula: 'AE-AE#AF-AF',
         levelDyn: "&amp;Y139&amp;"
}"</f>
        <v>{                  
         funcDyn: 'msg1',
         blok: 'blok_2',
         wsCross: 'Топливо 4.4',
         linkFormula: 'AE-AE#AF-AF',
         levelDyn: 1
}</v>
      </c>
      <c r="Y210" s="1428"/>
      <c r="Z210" s="1428"/>
      <c r="AA210" s="691"/>
      <c r="AB210" s="1542"/>
      <c r="AD210" s="813"/>
      <c r="AE210" s="812" t="s">
        <v>239</v>
      </c>
      <c r="AF210" s="736"/>
      <c r="AG210" s="724"/>
      <c r="AH210" s="726"/>
      <c r="AI210" s="728"/>
      <c r="AJ210" s="728"/>
      <c r="AK210" s="728"/>
      <c r="AL210" s="728"/>
      <c r="AM210" s="728"/>
      <c r="AN210" s="728"/>
      <c r="AO210" s="728"/>
      <c r="AP210" s="728"/>
      <c r="AQ210" s="728"/>
      <c r="AR210" s="728"/>
      <c r="AS210" s="728"/>
      <c r="AT210" s="728"/>
      <c r="AU210" s="728"/>
      <c r="AV210" s="728"/>
      <c r="AW210" s="728"/>
      <c r="AX210" s="728"/>
      <c r="AY210" s="728"/>
      <c r="AZ210" s="728"/>
      <c r="BA210" s="728"/>
      <c r="BB210" s="728"/>
      <c r="BC210" s="728"/>
      <c r="BD210" s="728"/>
      <c r="BE210" s="728"/>
      <c r="BF210" s="728"/>
      <c r="BG210" s="728"/>
      <c r="BH210" s="728"/>
      <c r="BI210" s="728"/>
      <c r="BJ210" s="728"/>
      <c r="BK210" s="728"/>
      <c r="BL210" s="728"/>
      <c r="BM210" s="728"/>
      <c r="BN210" s="728"/>
      <c r="BO210" s="728"/>
      <c r="BP210" s="728"/>
      <c r="BQ210" s="728"/>
      <c r="BR210" s="728"/>
      <c r="BS210" s="728"/>
      <c r="BT210" s="728"/>
      <c r="BU210" s="728"/>
      <c r="BV210" s="728"/>
      <c r="BW210" s="728"/>
      <c r="BX210" s="728"/>
      <c r="BY210" s="728"/>
      <c r="BZ210" s="728"/>
      <c r="CA210" s="728"/>
      <c r="CB210" s="728"/>
      <c r="CC210" s="728"/>
      <c r="CD210" s="728"/>
      <c r="CE210" s="728"/>
      <c r="CF210" s="728"/>
      <c r="CG210" s="728"/>
      <c r="CH210" s="728"/>
      <c r="CI210" s="728"/>
      <c r="CJ210" s="728"/>
      <c r="CK210" s="728"/>
      <c r="CL210" s="728"/>
      <c r="CM210" s="728"/>
      <c r="CN210" s="728"/>
      <c r="CO210" s="728"/>
      <c r="CP210" s="728"/>
      <c r="CQ210" s="728"/>
      <c r="CR210" s="728"/>
      <c r="CS210" s="728"/>
      <c r="CT210" s="43"/>
      <c r="CW210" s="960" t="str">
        <f>IF(AND(ISNUMBER(VALUE(TRIM(SUBSTITUTE(AD210,".","")))),TRIM(SUBSTITUTE(AD210,".",""))&lt;&gt;""),"P"&amp;SUBSTITUTE(AD210,".",""),"")</f>
        <v/>
      </c>
      <c r="CX210" s="965"/>
      <c r="CY210" s="965"/>
      <c r="CZ210" s="965"/>
      <c r="DA210" s="966"/>
      <c r="DB210" s="966"/>
    </row>
    <row r="211" spans="1:106" s="1167" customFormat="1" ht="29.25" hidden="1" customHeight="1" x14ac:dyDescent="0.15">
      <c r="A211" s="1150"/>
      <c r="B211" s="773"/>
      <c r="C211" s="1150"/>
      <c r="D211" s="1150"/>
      <c r="E211" s="668">
        <v>30</v>
      </c>
      <c r="F211" s="769" t="str" cm="1">
        <f t="array" aca="1" ref="F211" ca="1">OFFSET(G211,-1,-1)</f>
        <v>1</v>
      </c>
      <c r="G211" s="804"/>
      <c r="H211" s="804"/>
      <c r="I211" s="804"/>
      <c r="J211" s="804"/>
      <c r="K211" s="804"/>
      <c r="L211" s="769" t="b" cm="1">
        <f t="array" aca="1" ref="L211" ca="1">OFFSET(M211,-1,-1)</f>
        <v>0</v>
      </c>
      <c r="M211" s="804"/>
      <c r="N211" s="804"/>
      <c r="O211" s="804"/>
      <c r="P211" s="804"/>
      <c r="Q211" s="804"/>
      <c r="R211" s="769" t="s">
        <v>750</v>
      </c>
      <c r="S211" s="107" t="b" cm="1">
        <f t="array" aca="1" ref="S211" ca="1">OFFSET(T211,-1,-1)</f>
        <v>1</v>
      </c>
      <c r="T211" s="107" t="b" cm="1">
        <f t="array" aca="1" ref="T211" ca="1">L211</f>
        <v>0</v>
      </c>
      <c r="U211" s="690" t="b">
        <f t="shared" ca="1" si="80"/>
        <v>0</v>
      </c>
      <c r="V211" s="1150"/>
      <c r="W211" s="1150"/>
      <c r="X211" s="1150"/>
      <c r="Y211" s="1428"/>
      <c r="Z211" s="1428"/>
      <c r="AA211" s="691"/>
      <c r="AB211" s="1542"/>
      <c r="AD211" s="121">
        <v>29</v>
      </c>
      <c r="AE211" s="1515" t="s">
        <v>848</v>
      </c>
      <c r="AF211" s="1516"/>
      <c r="AG211" s="724" t="s">
        <v>830</v>
      </c>
      <c r="AH211" s="725">
        <f t="shared" ref="AH211:BM211" si="96">SUM(AH212:AH214)</f>
        <v>10877.773999999999</v>
      </c>
      <c r="AI211" s="725">
        <f t="shared" si="96"/>
        <v>13316.901</v>
      </c>
      <c r="AJ211" s="725">
        <f t="shared" si="96"/>
        <v>13316.9</v>
      </c>
      <c r="AK211" s="725">
        <f t="shared" si="96"/>
        <v>17077.52</v>
      </c>
      <c r="AL211" s="725">
        <f t="shared" ca="1" si="96"/>
        <v>13992.165819940546</v>
      </c>
      <c r="AM211" s="725">
        <f t="shared" si="96"/>
        <v>7220.8556994393311</v>
      </c>
      <c r="AN211" s="725">
        <f t="shared" ca="1" si="96"/>
        <v>6771.3101205012163</v>
      </c>
      <c r="AO211" s="725">
        <f t="shared" ca="1" si="96"/>
        <v>0</v>
      </c>
      <c r="AP211" s="725">
        <f t="shared" si="96"/>
        <v>0</v>
      </c>
      <c r="AQ211" s="725">
        <f t="shared" ca="1" si="96"/>
        <v>0</v>
      </c>
      <c r="AR211" s="725">
        <f t="shared" ca="1" si="96"/>
        <v>0</v>
      </c>
      <c r="AS211" s="725">
        <f t="shared" si="96"/>
        <v>0</v>
      </c>
      <c r="AT211" s="725">
        <f t="shared" ca="1" si="96"/>
        <v>0</v>
      </c>
      <c r="AU211" s="725">
        <f t="shared" ca="1" si="96"/>
        <v>0</v>
      </c>
      <c r="AV211" s="725">
        <f t="shared" si="96"/>
        <v>0</v>
      </c>
      <c r="AW211" s="725">
        <f t="shared" ca="1" si="96"/>
        <v>0</v>
      </c>
      <c r="AX211" s="725">
        <f t="shared" ca="1" si="96"/>
        <v>0</v>
      </c>
      <c r="AY211" s="725">
        <f t="shared" si="96"/>
        <v>0</v>
      </c>
      <c r="AZ211" s="725">
        <f t="shared" ca="1" si="96"/>
        <v>0</v>
      </c>
      <c r="BA211" s="725">
        <f t="shared" ca="1" si="96"/>
        <v>0</v>
      </c>
      <c r="BB211" s="725">
        <f t="shared" si="96"/>
        <v>0</v>
      </c>
      <c r="BC211" s="725">
        <f t="shared" ca="1" si="96"/>
        <v>0</v>
      </c>
      <c r="BD211" s="725">
        <f t="shared" ca="1" si="96"/>
        <v>0</v>
      </c>
      <c r="BE211" s="725">
        <f t="shared" si="96"/>
        <v>0</v>
      </c>
      <c r="BF211" s="725">
        <f t="shared" ca="1" si="96"/>
        <v>0</v>
      </c>
      <c r="BG211" s="725">
        <f t="shared" ca="1" si="96"/>
        <v>0</v>
      </c>
      <c r="BH211" s="725">
        <f t="shared" si="96"/>
        <v>0</v>
      </c>
      <c r="BI211" s="725">
        <f t="shared" ca="1" si="96"/>
        <v>0</v>
      </c>
      <c r="BJ211" s="725">
        <f t="shared" ca="1" si="96"/>
        <v>0</v>
      </c>
      <c r="BK211" s="725">
        <f t="shared" si="96"/>
        <v>0</v>
      </c>
      <c r="BL211" s="725">
        <f t="shared" ca="1" si="96"/>
        <v>0</v>
      </c>
      <c r="BM211" s="725">
        <f t="shared" ca="1" si="96"/>
        <v>0</v>
      </c>
      <c r="BN211" s="725">
        <f t="shared" ref="BN211:CS211" si="97">SUM(BN212:BN214)</f>
        <v>0</v>
      </c>
      <c r="BO211" s="725">
        <f t="shared" ca="1" si="97"/>
        <v>0</v>
      </c>
      <c r="BP211" s="725">
        <f t="shared" ca="1" si="97"/>
        <v>13992.15847526463</v>
      </c>
      <c r="BQ211" s="725">
        <f t="shared" si="97"/>
        <v>10097.291525083729</v>
      </c>
      <c r="BR211" s="725">
        <f t="shared" ca="1" si="97"/>
        <v>3894.8669501809018</v>
      </c>
      <c r="BS211" s="725">
        <f t="shared" ca="1" si="97"/>
        <v>0</v>
      </c>
      <c r="BT211" s="725">
        <f t="shared" si="97"/>
        <v>0</v>
      </c>
      <c r="BU211" s="725">
        <f t="shared" ca="1" si="97"/>
        <v>0</v>
      </c>
      <c r="BV211" s="725">
        <f t="shared" ca="1" si="97"/>
        <v>0</v>
      </c>
      <c r="BW211" s="725">
        <f t="shared" si="97"/>
        <v>0</v>
      </c>
      <c r="BX211" s="725">
        <f t="shared" ca="1" si="97"/>
        <v>0</v>
      </c>
      <c r="BY211" s="725">
        <f t="shared" ca="1" si="97"/>
        <v>0</v>
      </c>
      <c r="BZ211" s="725">
        <f t="shared" si="97"/>
        <v>0</v>
      </c>
      <c r="CA211" s="725">
        <f t="shared" ca="1" si="97"/>
        <v>0</v>
      </c>
      <c r="CB211" s="725">
        <f t="shared" ca="1" si="97"/>
        <v>0</v>
      </c>
      <c r="CC211" s="725">
        <f t="shared" si="97"/>
        <v>0</v>
      </c>
      <c r="CD211" s="725">
        <f t="shared" ca="1" si="97"/>
        <v>0</v>
      </c>
      <c r="CE211" s="725">
        <f t="shared" ca="1" si="97"/>
        <v>0</v>
      </c>
      <c r="CF211" s="725">
        <f t="shared" si="97"/>
        <v>0</v>
      </c>
      <c r="CG211" s="725">
        <f t="shared" ca="1" si="97"/>
        <v>0</v>
      </c>
      <c r="CH211" s="725">
        <f t="shared" ca="1" si="97"/>
        <v>0</v>
      </c>
      <c r="CI211" s="725">
        <f t="shared" si="97"/>
        <v>0</v>
      </c>
      <c r="CJ211" s="725">
        <f t="shared" ca="1" si="97"/>
        <v>0</v>
      </c>
      <c r="CK211" s="725">
        <f t="shared" ca="1" si="97"/>
        <v>0</v>
      </c>
      <c r="CL211" s="725">
        <f t="shared" si="97"/>
        <v>0</v>
      </c>
      <c r="CM211" s="725">
        <f t="shared" ca="1" si="97"/>
        <v>0</v>
      </c>
      <c r="CN211" s="725">
        <f t="shared" ca="1" si="97"/>
        <v>0</v>
      </c>
      <c r="CO211" s="725">
        <f t="shared" si="97"/>
        <v>0</v>
      </c>
      <c r="CP211" s="725">
        <f t="shared" ca="1" si="97"/>
        <v>0</v>
      </c>
      <c r="CQ211" s="725">
        <f t="shared" ca="1" si="97"/>
        <v>0</v>
      </c>
      <c r="CR211" s="725">
        <f t="shared" si="97"/>
        <v>0</v>
      </c>
      <c r="CS211" s="725">
        <f t="shared" ca="1" si="97"/>
        <v>0</v>
      </c>
      <c r="CT211" s="25"/>
      <c r="CW211" s="960" t="s">
        <v>849</v>
      </c>
      <c r="CX211" s="965"/>
      <c r="CY211" s="965"/>
      <c r="CZ211" s="965"/>
      <c r="DA211" s="966"/>
      <c r="DB211" s="966"/>
    </row>
    <row r="212" spans="1:106" s="1167" customFormat="1" ht="16.5" hidden="1" customHeight="1" x14ac:dyDescent="0.15">
      <c r="E212" s="668">
        <v>17.100000000000001</v>
      </c>
      <c r="F212" s="769" t="str" cm="1">
        <f t="array" aca="1" ref="F212" ca="1">OFFSET(G212,-1,-1)</f>
        <v>1</v>
      </c>
      <c r="L212" s="769" t="b" cm="1">
        <f t="array" aca="1" ref="L212" ca="1">OFFSET(M212,-1,-1)</f>
        <v>0</v>
      </c>
      <c r="R212" s="769" t="s">
        <v>750</v>
      </c>
      <c r="S212" s="107" t="b" cm="1">
        <f t="array" aca="1" ref="S212" ca="1">OFFSET(T212,-1,-1)</f>
        <v>1</v>
      </c>
      <c r="T212" s="107" t="b">
        <f ca="1">AND(L212,AD212&lt;&gt;"29.0")</f>
        <v>0</v>
      </c>
      <c r="U212" s="690" t="b">
        <f t="shared" ca="1" si="80"/>
        <v>0</v>
      </c>
      <c r="X212" s="107" t="s">
        <v>237</v>
      </c>
      <c r="Y212" s="1481"/>
      <c r="Z212" s="1481"/>
      <c r="AB212" s="1542"/>
      <c r="AD212" s="108" t="s">
        <v>850</v>
      </c>
      <c r="AE212" s="811"/>
      <c r="AF212" s="516"/>
      <c r="AG212" s="724" t="s">
        <v>830</v>
      </c>
      <c r="AH212" s="38">
        <f t="shared" ref="AH212:AK213" si="98">AH$163*AH208</f>
        <v>0</v>
      </c>
      <c r="AI212" s="39">
        <f t="shared" si="98"/>
        <v>0</v>
      </c>
      <c r="AJ212" s="39">
        <f t="shared" si="98"/>
        <v>0</v>
      </c>
      <c r="AK212" s="39">
        <f t="shared" si="98"/>
        <v>0</v>
      </c>
      <c r="AL212" s="727">
        <f ca="1">AM212+AN212</f>
        <v>0</v>
      </c>
      <c r="AM212" s="39">
        <f>AM$163*AM208</f>
        <v>0</v>
      </c>
      <c r="AN212" s="39">
        <f ca="1">AN$163*AN208</f>
        <v>0</v>
      </c>
      <c r="AO212" s="727">
        <f ca="1">AP212+AQ212</f>
        <v>0</v>
      </c>
      <c r="AP212" s="39">
        <f>AP$163*AP208</f>
        <v>0</v>
      </c>
      <c r="AQ212" s="39">
        <f ca="1">AQ$163*AQ208</f>
        <v>0</v>
      </c>
      <c r="AR212" s="727">
        <f ca="1">AS212+AT212</f>
        <v>0</v>
      </c>
      <c r="AS212" s="39">
        <f>AS$163*AS208</f>
        <v>0</v>
      </c>
      <c r="AT212" s="39">
        <f ca="1">AT$163*AT208</f>
        <v>0</v>
      </c>
      <c r="AU212" s="727">
        <f ca="1">AV212+AW212</f>
        <v>0</v>
      </c>
      <c r="AV212" s="39">
        <f>AV$163*AV208</f>
        <v>0</v>
      </c>
      <c r="AW212" s="39">
        <f ca="1">AW$163*AW208</f>
        <v>0</v>
      </c>
      <c r="AX212" s="727">
        <f ca="1">AY212+AZ212</f>
        <v>0</v>
      </c>
      <c r="AY212" s="39">
        <f>AY$163*AY208</f>
        <v>0</v>
      </c>
      <c r="AZ212" s="39">
        <f ca="1">AZ$163*AZ208</f>
        <v>0</v>
      </c>
      <c r="BA212" s="727">
        <f ca="1">BB212+BC212</f>
        <v>0</v>
      </c>
      <c r="BB212" s="39">
        <f>BB$163*BB208</f>
        <v>0</v>
      </c>
      <c r="BC212" s="39">
        <f ca="1">BC$163*BC208</f>
        <v>0</v>
      </c>
      <c r="BD212" s="727">
        <f ca="1">BE212+BF212</f>
        <v>0</v>
      </c>
      <c r="BE212" s="39">
        <f>BE$163*BE208</f>
        <v>0</v>
      </c>
      <c r="BF212" s="39">
        <f ca="1">BF$163*BF208</f>
        <v>0</v>
      </c>
      <c r="BG212" s="727">
        <f ca="1">BH212+BI212</f>
        <v>0</v>
      </c>
      <c r="BH212" s="39">
        <f>BH$163*BH208</f>
        <v>0</v>
      </c>
      <c r="BI212" s="39">
        <f ca="1">BI$163*BI208</f>
        <v>0</v>
      </c>
      <c r="BJ212" s="727">
        <f ca="1">BK212+BL212</f>
        <v>0</v>
      </c>
      <c r="BK212" s="39">
        <f>BK$163*BK208</f>
        <v>0</v>
      </c>
      <c r="BL212" s="39">
        <f ca="1">BL$163*BL208</f>
        <v>0</v>
      </c>
      <c r="BM212" s="727">
        <f ca="1">BN212+BO212</f>
        <v>0</v>
      </c>
      <c r="BN212" s="39">
        <f>BN$163*BN208</f>
        <v>0</v>
      </c>
      <c r="BO212" s="39">
        <f ca="1">BO$163*BO208</f>
        <v>0</v>
      </c>
      <c r="BP212" s="727">
        <f ca="1">BQ212+BR212</f>
        <v>0</v>
      </c>
      <c r="BQ212" s="816">
        <f>BQ$163*BQ208</f>
        <v>0</v>
      </c>
      <c r="BR212" s="816">
        <f ca="1">BR$163*BR208</f>
        <v>0</v>
      </c>
      <c r="BS212" s="727">
        <f ca="1">BT212+BU212</f>
        <v>0</v>
      </c>
      <c r="BT212" s="39">
        <f>BT$163*BT208</f>
        <v>0</v>
      </c>
      <c r="BU212" s="39">
        <f ca="1">BU$163*BU208</f>
        <v>0</v>
      </c>
      <c r="BV212" s="727">
        <f ca="1">BW212+BX212</f>
        <v>0</v>
      </c>
      <c r="BW212" s="39">
        <f>BW$163*BW208</f>
        <v>0</v>
      </c>
      <c r="BX212" s="39">
        <f ca="1">BX$163*BX208</f>
        <v>0</v>
      </c>
      <c r="BY212" s="727">
        <f ca="1">BZ212+CA212</f>
        <v>0</v>
      </c>
      <c r="BZ212" s="39">
        <f>BZ$163*BZ208</f>
        <v>0</v>
      </c>
      <c r="CA212" s="39">
        <f ca="1">CA$163*CA208</f>
        <v>0</v>
      </c>
      <c r="CB212" s="727">
        <f ca="1">CC212+CD212</f>
        <v>0</v>
      </c>
      <c r="CC212" s="39">
        <f>CC$163*CC208</f>
        <v>0</v>
      </c>
      <c r="CD212" s="39">
        <f ca="1">CD$163*CD208</f>
        <v>0</v>
      </c>
      <c r="CE212" s="727">
        <f ca="1">CF212+CG212</f>
        <v>0</v>
      </c>
      <c r="CF212" s="39">
        <f>CF$163*CF208</f>
        <v>0</v>
      </c>
      <c r="CG212" s="39">
        <f ca="1">CG$163*CG208</f>
        <v>0</v>
      </c>
      <c r="CH212" s="727">
        <f ca="1">CI212+CJ212</f>
        <v>0</v>
      </c>
      <c r="CI212" s="39">
        <f>CI$163*CI208</f>
        <v>0</v>
      </c>
      <c r="CJ212" s="39">
        <f ca="1">CJ$163*CJ208</f>
        <v>0</v>
      </c>
      <c r="CK212" s="727">
        <f ca="1">CL212+CM212</f>
        <v>0</v>
      </c>
      <c r="CL212" s="39">
        <f>CL$163*CL208</f>
        <v>0</v>
      </c>
      <c r="CM212" s="39">
        <f ca="1">CM$163*CM208</f>
        <v>0</v>
      </c>
      <c r="CN212" s="727">
        <f ca="1">CO212+CP212</f>
        <v>0</v>
      </c>
      <c r="CO212" s="39">
        <f>CO$163*CO208</f>
        <v>0</v>
      </c>
      <c r="CP212" s="39">
        <f ca="1">CP$163*CP208</f>
        <v>0</v>
      </c>
      <c r="CQ212" s="727">
        <f ca="1">CR212+CS212</f>
        <v>0</v>
      </c>
      <c r="CR212" s="39">
        <f>CR$163*CR208</f>
        <v>0</v>
      </c>
      <c r="CS212" s="39">
        <f ca="1">CS$163*CS208</f>
        <v>0</v>
      </c>
      <c r="CT212" s="25"/>
      <c r="CW212" s="960" t="s">
        <v>849</v>
      </c>
      <c r="CX212" s="965" t="s">
        <v>812</v>
      </c>
      <c r="CY212" s="969" cm="1">
        <f t="array" ref="CY212">AE212</f>
        <v>0</v>
      </c>
      <c r="CZ212" s="969" cm="1">
        <f t="array" ref="CZ212">AF212</f>
        <v>0</v>
      </c>
      <c r="DA212" s="966"/>
      <c r="DB212" s="966"/>
    </row>
    <row r="213" spans="1:106" s="1167" customFormat="1" ht="16.5" hidden="1" customHeight="1" x14ac:dyDescent="0.15">
      <c r="E213" s="668">
        <v>17.100000000000001</v>
      </c>
      <c r="F213" s="769" t="str" cm="1">
        <f t="array" aca="1" ref="F213" ca="1">OFFSET(G213,-1,-1)</f>
        <v>1</v>
      </c>
      <c r="L213" s="769" t="b" cm="1">
        <f t="array" aca="1" ref="L213" ca="1">OFFSET(M213,-1,-1)</f>
        <v>0</v>
      </c>
      <c r="R213" s="769" t="s">
        <v>750</v>
      </c>
      <c r="S213" s="107" t="b" cm="1">
        <f t="array" aca="1" ref="S213" ca="1">OFFSET(T213,-1,-1)</f>
        <v>1</v>
      </c>
      <c r="T213" s="107" t="b">
        <f ca="1">AND(L213,AD213&lt;&gt;"29.0")</f>
        <v>0</v>
      </c>
      <c r="U213" s="690" t="b">
        <f t="shared" ca="1" si="80"/>
        <v>0</v>
      </c>
      <c r="X213" s="107" t="str">
        <f>'Топливо 4.4'!$AE$209&amp;'Топливо 4.4'!$AF$209</f>
        <v>Уголь длиннопламенный</v>
      </c>
      <c r="Y213" s="1481"/>
      <c r="Z213" s="1481"/>
      <c r="AB213" s="1542"/>
      <c r="AD213" s="108" t="s">
        <v>933</v>
      </c>
      <c r="AE213" s="811" t="str" cm="1">
        <f t="array" ref="AE213">IF(ISBLANK('Топливо 4.4'!$AE$209),"",'Топливо 4.4'!$AE$209)</f>
        <v>Уголь длиннопламенный</v>
      </c>
      <c r="AF213" s="516" t="str" cm="1">
        <f t="array" ref="AF213">IF(ISBLANK('Топливо 4.4'!$AF$209),"",'Топливо 4.4'!$AF$209)</f>
        <v/>
      </c>
      <c r="AG213" s="724" t="s">
        <v>830</v>
      </c>
      <c r="AH213" s="38">
        <f t="shared" si="98"/>
        <v>10877.773999999999</v>
      </c>
      <c r="AI213" s="39">
        <f t="shared" si="98"/>
        <v>13316.901</v>
      </c>
      <c r="AJ213" s="39">
        <f t="shared" si="98"/>
        <v>13316.9</v>
      </c>
      <c r="AK213" s="39">
        <f t="shared" si="98"/>
        <v>17077.52</v>
      </c>
      <c r="AL213" s="727">
        <f ca="1">AM213+AN213</f>
        <v>13992.165819940546</v>
      </c>
      <c r="AM213" s="39">
        <f>AM$163*AM209</f>
        <v>7220.8556994393311</v>
      </c>
      <c r="AN213" s="39">
        <f ca="1">AN$163*AN209</f>
        <v>6771.3101205012163</v>
      </c>
      <c r="AO213" s="727">
        <f ca="1">AP213+AQ213</f>
        <v>0</v>
      </c>
      <c r="AP213" s="39">
        <f>AP$163*AP209</f>
        <v>0</v>
      </c>
      <c r="AQ213" s="39">
        <f ca="1">AQ$163*AQ209</f>
        <v>0</v>
      </c>
      <c r="AR213" s="727">
        <f ca="1">AS213+AT213</f>
        <v>0</v>
      </c>
      <c r="AS213" s="39">
        <f>AS$163*AS209</f>
        <v>0</v>
      </c>
      <c r="AT213" s="39">
        <f ca="1">AT$163*AT209</f>
        <v>0</v>
      </c>
      <c r="AU213" s="727">
        <f ca="1">AV213+AW213</f>
        <v>0</v>
      </c>
      <c r="AV213" s="39">
        <f>AV$163*AV209</f>
        <v>0</v>
      </c>
      <c r="AW213" s="39">
        <f ca="1">AW$163*AW209</f>
        <v>0</v>
      </c>
      <c r="AX213" s="727">
        <f ca="1">AY213+AZ213</f>
        <v>0</v>
      </c>
      <c r="AY213" s="39">
        <f>AY$163*AY209</f>
        <v>0</v>
      </c>
      <c r="AZ213" s="39">
        <f ca="1">AZ$163*AZ209</f>
        <v>0</v>
      </c>
      <c r="BA213" s="727">
        <f ca="1">BB213+BC213</f>
        <v>0</v>
      </c>
      <c r="BB213" s="39">
        <f>BB$163*BB209</f>
        <v>0</v>
      </c>
      <c r="BC213" s="39">
        <f ca="1">BC$163*BC209</f>
        <v>0</v>
      </c>
      <c r="BD213" s="727">
        <f ca="1">BE213+BF213</f>
        <v>0</v>
      </c>
      <c r="BE213" s="39">
        <f>BE$163*BE209</f>
        <v>0</v>
      </c>
      <c r="BF213" s="39">
        <f ca="1">BF$163*BF209</f>
        <v>0</v>
      </c>
      <c r="BG213" s="727">
        <f ca="1">BH213+BI213</f>
        <v>0</v>
      </c>
      <c r="BH213" s="39">
        <f>BH$163*BH209</f>
        <v>0</v>
      </c>
      <c r="BI213" s="39">
        <f ca="1">BI$163*BI209</f>
        <v>0</v>
      </c>
      <c r="BJ213" s="727">
        <f ca="1">BK213+BL213</f>
        <v>0</v>
      </c>
      <c r="BK213" s="39">
        <f>BK$163*BK209</f>
        <v>0</v>
      </c>
      <c r="BL213" s="39">
        <f ca="1">BL$163*BL209</f>
        <v>0</v>
      </c>
      <c r="BM213" s="727">
        <f ca="1">BN213+BO213</f>
        <v>0</v>
      </c>
      <c r="BN213" s="39">
        <f>BN$163*BN209</f>
        <v>0</v>
      </c>
      <c r="BO213" s="39">
        <f ca="1">BO$163*BO209</f>
        <v>0</v>
      </c>
      <c r="BP213" s="727">
        <f ca="1">BQ213+BR213</f>
        <v>13992.15847526463</v>
      </c>
      <c r="BQ213" s="816">
        <f>BQ$163*BQ209</f>
        <v>10097.291525083729</v>
      </c>
      <c r="BR213" s="816">
        <f ca="1">BR$163*BR209</f>
        <v>3894.8669501809018</v>
      </c>
      <c r="BS213" s="727">
        <f ca="1">BT213+BU213</f>
        <v>0</v>
      </c>
      <c r="BT213" s="39">
        <f>BT$163*BT209</f>
        <v>0</v>
      </c>
      <c r="BU213" s="39">
        <f ca="1">BU$163*BU209</f>
        <v>0</v>
      </c>
      <c r="BV213" s="727">
        <f ca="1">BW213+BX213</f>
        <v>0</v>
      </c>
      <c r="BW213" s="39">
        <f>BW$163*BW209</f>
        <v>0</v>
      </c>
      <c r="BX213" s="39">
        <f ca="1">BX$163*BX209</f>
        <v>0</v>
      </c>
      <c r="BY213" s="727">
        <f ca="1">BZ213+CA213</f>
        <v>0</v>
      </c>
      <c r="BZ213" s="39">
        <f>BZ$163*BZ209</f>
        <v>0</v>
      </c>
      <c r="CA213" s="39">
        <f ca="1">CA$163*CA209</f>
        <v>0</v>
      </c>
      <c r="CB213" s="727">
        <f ca="1">CC213+CD213</f>
        <v>0</v>
      </c>
      <c r="CC213" s="39">
        <f>CC$163*CC209</f>
        <v>0</v>
      </c>
      <c r="CD213" s="39">
        <f ca="1">CD$163*CD209</f>
        <v>0</v>
      </c>
      <c r="CE213" s="727">
        <f ca="1">CF213+CG213</f>
        <v>0</v>
      </c>
      <c r="CF213" s="39">
        <f>CF$163*CF209</f>
        <v>0</v>
      </c>
      <c r="CG213" s="39">
        <f ca="1">CG$163*CG209</f>
        <v>0</v>
      </c>
      <c r="CH213" s="727">
        <f ca="1">CI213+CJ213</f>
        <v>0</v>
      </c>
      <c r="CI213" s="39">
        <f>CI$163*CI209</f>
        <v>0</v>
      </c>
      <c r="CJ213" s="39">
        <f ca="1">CJ$163*CJ209</f>
        <v>0</v>
      </c>
      <c r="CK213" s="727">
        <f ca="1">CL213+CM213</f>
        <v>0</v>
      </c>
      <c r="CL213" s="39">
        <f>CL$163*CL209</f>
        <v>0</v>
      </c>
      <c r="CM213" s="39">
        <f ca="1">CM$163*CM209</f>
        <v>0</v>
      </c>
      <c r="CN213" s="727">
        <f ca="1">CO213+CP213</f>
        <v>0</v>
      </c>
      <c r="CO213" s="39">
        <f>CO$163*CO209</f>
        <v>0</v>
      </c>
      <c r="CP213" s="39">
        <f ca="1">CP$163*CP209</f>
        <v>0</v>
      </c>
      <c r="CQ213" s="727">
        <f ca="1">CR213+CS213</f>
        <v>0</v>
      </c>
      <c r="CR213" s="39">
        <f>CR$163*CR209</f>
        <v>0</v>
      </c>
      <c r="CS213" s="39">
        <f ca="1">CS$163*CS209</f>
        <v>0</v>
      </c>
      <c r="CT213" s="25"/>
      <c r="CW213" s="960" t="s">
        <v>849</v>
      </c>
      <c r="CX213" s="965" t="s">
        <v>812</v>
      </c>
      <c r="CY213" s="969" t="str" cm="1">
        <f t="array" ref="CY213">AE213</f>
        <v>Уголь длиннопламенный</v>
      </c>
      <c r="CZ213" s="969" t="str" cm="1">
        <f t="array" ref="CZ213">AF213</f>
        <v/>
      </c>
      <c r="DA213" s="966"/>
      <c r="DB213" s="966"/>
    </row>
    <row r="214" spans="1:106" s="1167" customFormat="1" ht="15" hidden="1" customHeight="1" x14ac:dyDescent="0.15">
      <c r="A214" s="1150"/>
      <c r="B214" s="773"/>
      <c r="C214" s="1150"/>
      <c r="D214" s="1150"/>
      <c r="E214" s="668">
        <v>0</v>
      </c>
      <c r="F214" s="769" t="str" cm="1">
        <f t="array" aca="1" ref="F214" ca="1">OFFSET(G214,-1,-1)</f>
        <v>1</v>
      </c>
      <c r="G214" s="804"/>
      <c r="H214" s="804"/>
      <c r="I214" s="804"/>
      <c r="J214" s="804"/>
      <c r="K214" s="804"/>
      <c r="L214" s="769" t="b" cm="1">
        <f t="array" aca="1" ref="L214" ca="1">OFFSET(M214,-1,-1)</f>
        <v>0</v>
      </c>
      <c r="M214" s="804"/>
      <c r="N214" s="804"/>
      <c r="O214" s="804"/>
      <c r="P214" s="804"/>
      <c r="Q214" s="804"/>
      <c r="R214" s="1150"/>
      <c r="S214" s="107" t="b" cm="1">
        <f t="array" aca="1" ref="S214" ca="1">OFFSET(T214,-1,-1)</f>
        <v>1</v>
      </c>
      <c r="T214" s="1150"/>
      <c r="U214" s="690" t="b">
        <f t="shared" ca="1" si="80"/>
        <v>1</v>
      </c>
      <c r="V214" s="1150"/>
      <c r="W214" s="1150"/>
      <c r="X214" s="810" t="str">
        <f>"{                  
         funcDyn: 'msg1',
         blok: 'blok_2',
         wsCross: 'Топливо 4.4',
         linkFormula: 'AE-AE#AF-AF',
         levelDyn: "&amp;Y139&amp;"
}"</f>
        <v>{                  
         funcDyn: 'msg1',
         blok: 'blok_2',
         wsCross: 'Топливо 4.4',
         linkFormula: 'AE-AE#AF-AF',
         levelDyn: 1
}</v>
      </c>
      <c r="Y214" s="1428"/>
      <c r="Z214" s="1428"/>
      <c r="AA214" s="691"/>
      <c r="AB214" s="1543"/>
      <c r="AD214" s="813"/>
      <c r="AE214" s="812" t="s">
        <v>239</v>
      </c>
      <c r="AF214" s="736"/>
      <c r="AG214" s="724"/>
      <c r="AH214" s="726"/>
      <c r="AI214" s="728"/>
      <c r="AJ214" s="728"/>
      <c r="AK214" s="728"/>
      <c r="AL214" s="728"/>
      <c r="AM214" s="728"/>
      <c r="AN214" s="728"/>
      <c r="AO214" s="728"/>
      <c r="AP214" s="728"/>
      <c r="AQ214" s="728"/>
      <c r="AR214" s="728"/>
      <c r="AS214" s="728"/>
      <c r="AT214" s="728"/>
      <c r="AU214" s="728"/>
      <c r="AV214" s="728"/>
      <c r="AW214" s="728"/>
      <c r="AX214" s="728"/>
      <c r="AY214" s="728"/>
      <c r="AZ214" s="728"/>
      <c r="BA214" s="728"/>
      <c r="BB214" s="728"/>
      <c r="BC214" s="728"/>
      <c r="BD214" s="728"/>
      <c r="BE214" s="728"/>
      <c r="BF214" s="728"/>
      <c r="BG214" s="728"/>
      <c r="BH214" s="728"/>
      <c r="BI214" s="728"/>
      <c r="BJ214" s="728"/>
      <c r="BK214" s="728"/>
      <c r="BL214" s="728"/>
      <c r="BM214" s="728"/>
      <c r="BN214" s="728"/>
      <c r="BO214" s="728"/>
      <c r="BP214" s="728"/>
      <c r="BQ214" s="728"/>
      <c r="BR214" s="728"/>
      <c r="BS214" s="728"/>
      <c r="BT214" s="728"/>
      <c r="BU214" s="728"/>
      <c r="BV214" s="728"/>
      <c r="BW214" s="728"/>
      <c r="BX214" s="728"/>
      <c r="BY214" s="728"/>
      <c r="BZ214" s="728"/>
      <c r="CA214" s="728"/>
      <c r="CB214" s="728"/>
      <c r="CC214" s="728"/>
      <c r="CD214" s="728"/>
      <c r="CE214" s="728"/>
      <c r="CF214" s="728"/>
      <c r="CG214" s="728"/>
      <c r="CH214" s="728"/>
      <c r="CI214" s="728"/>
      <c r="CJ214" s="728"/>
      <c r="CK214" s="728"/>
      <c r="CL214" s="728"/>
      <c r="CM214" s="728"/>
      <c r="CN214" s="728"/>
      <c r="CO214" s="728"/>
      <c r="CP214" s="728"/>
      <c r="CQ214" s="728"/>
      <c r="CR214" s="728"/>
      <c r="CS214" s="728"/>
      <c r="CT214" s="43"/>
      <c r="CW214" s="960" t="str">
        <f>IF(AND(ISNUMBER(VALUE(TRIM(SUBSTITUTE(AD214,".","")))),TRIM(SUBSTITUTE(AD214,".",""))&lt;&gt;""),"P"&amp;SUBSTITUTE(AD214,".",""),"")</f>
        <v/>
      </c>
      <c r="CX214" s="965"/>
      <c r="CY214" s="965"/>
      <c r="CZ214" s="965"/>
      <c r="DA214" s="966"/>
      <c r="DB214" s="966"/>
    </row>
    <row r="215" spans="1:106" s="1167" customFormat="1" ht="16.5" customHeight="1" x14ac:dyDescent="0.15">
      <c r="A215" s="1150"/>
      <c r="B215" s="773"/>
      <c r="C215" s="1150"/>
      <c r="D215" s="1150"/>
      <c r="E215" s="668">
        <v>17.100000000000001</v>
      </c>
      <c r="F215" s="769" t="str" cm="1">
        <f t="array" aca="1" ref="F215" ca="1">OFFSET(G215,-1,-1)</f>
        <v>1</v>
      </c>
      <c r="G215" s="804"/>
      <c r="H215" s="804"/>
      <c r="I215" s="804"/>
      <c r="J215" s="804"/>
      <c r="K215" s="804"/>
      <c r="L215" s="769" t="b" cm="1">
        <f t="array" aca="1" ref="L215" ca="1">OFFSET(M215,-1,-1)</f>
        <v>0</v>
      </c>
      <c r="M215" s="804"/>
      <c r="N215" s="804"/>
      <c r="O215" s="804"/>
      <c r="P215" s="804"/>
      <c r="Q215" s="804"/>
      <c r="R215" s="1150"/>
      <c r="S215" s="107" t="b" cm="1">
        <f t="array" aca="1" ref="S215" ca="1">OFFSET(T215,-1,-1)</f>
        <v>1</v>
      </c>
      <c r="T215" s="1150"/>
      <c r="U215" s="690" t="b">
        <f t="shared" ca="1" si="80"/>
        <v>1</v>
      </c>
      <c r="V215" s="1150"/>
      <c r="W215" s="1150"/>
      <c r="X215" s="1150"/>
      <c r="Y215" s="1428"/>
      <c r="Z215" s="1428"/>
      <c r="AA215" s="691"/>
      <c r="AB215" s="1544" t="s">
        <v>851</v>
      </c>
      <c r="AD215" s="121" t="s">
        <v>852</v>
      </c>
      <c r="AE215" s="1510" t="s">
        <v>853</v>
      </c>
      <c r="AF215" s="1493"/>
      <c r="AG215" s="839"/>
      <c r="AH215" s="726"/>
      <c r="AI215" s="728"/>
      <c r="AJ215" s="728"/>
      <c r="AK215" s="728"/>
      <c r="AL215" s="728"/>
      <c r="AM215" s="728"/>
      <c r="AN215" s="728"/>
      <c r="AO215" s="728"/>
      <c r="AP215" s="728"/>
      <c r="AQ215" s="728"/>
      <c r="AR215" s="728"/>
      <c r="AS215" s="728"/>
      <c r="AT215" s="728"/>
      <c r="AU215" s="728"/>
      <c r="AV215" s="728"/>
      <c r="AW215" s="728"/>
      <c r="AX215" s="728"/>
      <c r="AY215" s="728"/>
      <c r="AZ215" s="728"/>
      <c r="BA215" s="728"/>
      <c r="BB215" s="728"/>
      <c r="BC215" s="728"/>
      <c r="BD215" s="728"/>
      <c r="BE215" s="728"/>
      <c r="BF215" s="728"/>
      <c r="BG215" s="728"/>
      <c r="BH215" s="728"/>
      <c r="BI215" s="728"/>
      <c r="BJ215" s="728"/>
      <c r="BK215" s="728"/>
      <c r="BL215" s="728"/>
      <c r="BM215" s="728"/>
      <c r="BN215" s="728"/>
      <c r="BO215" s="728"/>
      <c r="BP215" s="728"/>
      <c r="BQ215" s="728"/>
      <c r="BR215" s="728"/>
      <c r="BS215" s="728"/>
      <c r="BT215" s="728"/>
      <c r="BU215" s="728"/>
      <c r="BV215" s="728"/>
      <c r="BW215" s="728"/>
      <c r="BX215" s="728"/>
      <c r="BY215" s="728"/>
      <c r="BZ215" s="728"/>
      <c r="CA215" s="728"/>
      <c r="CB215" s="728"/>
      <c r="CC215" s="728"/>
      <c r="CD215" s="728"/>
      <c r="CE215" s="728"/>
      <c r="CF215" s="728"/>
      <c r="CG215" s="728"/>
      <c r="CH215" s="728"/>
      <c r="CI215" s="728"/>
      <c r="CJ215" s="728"/>
      <c r="CK215" s="728"/>
      <c r="CL215" s="728"/>
      <c r="CM215" s="728"/>
      <c r="CN215" s="728"/>
      <c r="CO215" s="728"/>
      <c r="CP215" s="728"/>
      <c r="CQ215" s="728"/>
      <c r="CR215" s="728"/>
      <c r="CS215" s="728"/>
      <c r="CT215" s="1231"/>
      <c r="CW215" s="960" t="s">
        <v>854</v>
      </c>
      <c r="CX215" s="965"/>
      <c r="CY215" s="965"/>
      <c r="CZ215" s="965"/>
      <c r="DA215" s="966"/>
      <c r="DB215" s="966"/>
    </row>
    <row r="216" spans="1:106" s="1167" customFormat="1" ht="16.5" hidden="1" customHeight="1" x14ac:dyDescent="0.15">
      <c r="E216" s="668">
        <v>17.100000000000001</v>
      </c>
      <c r="F216" s="769" t="str" cm="1">
        <f t="array" aca="1" ref="F216" ca="1">OFFSET(G216,-1,-1)</f>
        <v>1</v>
      </c>
      <c r="L216" s="769" t="b" cm="1">
        <f t="array" aca="1" ref="L216" ca="1">OFFSET(M216,-1,-1)</f>
        <v>0</v>
      </c>
      <c r="S216" s="107" t="b" cm="1">
        <f t="array" aca="1" ref="S216" ca="1">OFFSET(T216,-1,-1)</f>
        <v>1</v>
      </c>
      <c r="T216" s="107" t="b">
        <f>AD216&lt;&gt;"30.0"</f>
        <v>0</v>
      </c>
      <c r="U216" s="690" t="b">
        <f t="shared" ca="1" si="80"/>
        <v>0</v>
      </c>
      <c r="X216" s="107" t="s">
        <v>237</v>
      </c>
      <c r="Y216" s="1481"/>
      <c r="Z216" s="1481"/>
      <c r="AB216" s="1545"/>
      <c r="AD216" s="108" t="s">
        <v>855</v>
      </c>
      <c r="AE216" s="811"/>
      <c r="AF216" s="516"/>
      <c r="AG216" s="724" t="s">
        <v>521</v>
      </c>
      <c r="AH216" s="42"/>
      <c r="AI216" s="46"/>
      <c r="AJ216" s="46"/>
      <c r="AK216" s="46"/>
      <c r="AL216" s="728"/>
      <c r="AM216" s="46"/>
      <c r="AN216" s="46"/>
      <c r="AO216" s="728"/>
      <c r="AP216" s="46"/>
      <c r="AQ216" s="46"/>
      <c r="AR216" s="728"/>
      <c r="AS216" s="46"/>
      <c r="AT216" s="46"/>
      <c r="AU216" s="728"/>
      <c r="AV216" s="46"/>
      <c r="AW216" s="46"/>
      <c r="AX216" s="728"/>
      <c r="AY216" s="46"/>
      <c r="AZ216" s="46"/>
      <c r="BA216" s="728"/>
      <c r="BB216" s="46"/>
      <c r="BC216" s="46"/>
      <c r="BD216" s="728"/>
      <c r="BE216" s="46"/>
      <c r="BF216" s="46"/>
      <c r="BG216" s="728"/>
      <c r="BH216" s="46"/>
      <c r="BI216" s="46"/>
      <c r="BJ216" s="728"/>
      <c r="BK216" s="46"/>
      <c r="BL216" s="46"/>
      <c r="BM216" s="728"/>
      <c r="BN216" s="46"/>
      <c r="BO216" s="46"/>
      <c r="BP216" s="728"/>
      <c r="BQ216" s="819"/>
      <c r="BR216" s="819"/>
      <c r="BS216" s="728"/>
      <c r="BT216" s="46"/>
      <c r="BU216" s="46"/>
      <c r="BV216" s="728"/>
      <c r="BW216" s="46"/>
      <c r="BX216" s="46"/>
      <c r="BY216" s="728"/>
      <c r="BZ216" s="46"/>
      <c r="CA216" s="46"/>
      <c r="CB216" s="728"/>
      <c r="CC216" s="46"/>
      <c r="CD216" s="46"/>
      <c r="CE216" s="728"/>
      <c r="CF216" s="46"/>
      <c r="CG216" s="46"/>
      <c r="CH216" s="728"/>
      <c r="CI216" s="46"/>
      <c r="CJ216" s="46"/>
      <c r="CK216" s="728"/>
      <c r="CL216" s="46"/>
      <c r="CM216" s="46"/>
      <c r="CN216" s="728"/>
      <c r="CO216" s="46"/>
      <c r="CP216" s="46"/>
      <c r="CQ216" s="728"/>
      <c r="CR216" s="46"/>
      <c r="CS216" s="46"/>
      <c r="CT216" s="25"/>
      <c r="CW216" s="960" t="s">
        <v>854</v>
      </c>
      <c r="CX216" s="965" t="s">
        <v>812</v>
      </c>
      <c r="CY216" s="969" cm="1">
        <f t="array" ref="CY216">AE216</f>
        <v>0</v>
      </c>
      <c r="CZ216" s="969" cm="1">
        <f t="array" ref="CZ216">AF216</f>
        <v>0</v>
      </c>
      <c r="DA216" s="966"/>
      <c r="DB216" s="966"/>
    </row>
    <row r="217" spans="1:106" s="1167" customFormat="1" ht="16.5" customHeight="1" x14ac:dyDescent="0.15">
      <c r="E217" s="668">
        <v>17.100000000000001</v>
      </c>
      <c r="F217" s="769" t="str" cm="1">
        <f t="array" aca="1" ref="F217" ca="1">OFFSET(G217,-1,-1)</f>
        <v>1</v>
      </c>
      <c r="L217" s="769" t="b" cm="1">
        <f t="array" aca="1" ref="L217" ca="1">OFFSET(M217,-1,-1)</f>
        <v>0</v>
      </c>
      <c r="S217" s="107" t="b" cm="1">
        <f t="array" aca="1" ref="S217" ca="1">OFFSET(T217,-1,-1)</f>
        <v>1</v>
      </c>
      <c r="T217" s="107" t="b">
        <f>AD217&lt;&gt;"30.0"</f>
        <v>1</v>
      </c>
      <c r="U217" s="690" t="b">
        <f t="shared" ca="1" si="80"/>
        <v>1</v>
      </c>
      <c r="X217" s="107" t="str">
        <f>'Топливо 4.4'!$AE$213&amp;'Топливо 4.4'!$AF$213</f>
        <v>Уголь длиннопламенный</v>
      </c>
      <c r="Y217" s="1481"/>
      <c r="Z217" s="1481"/>
      <c r="AB217" s="1545"/>
      <c r="AD217" s="108" t="s">
        <v>934</v>
      </c>
      <c r="AE217" s="811" t="str" cm="1">
        <f t="array" ref="AE217">IF(ISBLANK('Топливо 4.4'!$AE$213),"",'Топливо 4.4'!$AE$213)</f>
        <v>Уголь длиннопламенный</v>
      </c>
      <c r="AF217" s="516" t="str" cm="1">
        <f t="array" ref="AF217">IF(ISBLANK('Топливо 4.4'!$AF$213),"",'Топливо 4.4'!$AF$213)</f>
        <v/>
      </c>
      <c r="AG217" s="724" t="s">
        <v>521</v>
      </c>
      <c r="AH217" s="1254"/>
      <c r="AI217" s="1257"/>
      <c r="AJ217" s="1257"/>
      <c r="AK217" s="1257"/>
      <c r="AL217" s="728"/>
      <c r="AM217" s="1257"/>
      <c r="AN217" s="1257"/>
      <c r="AO217" s="728"/>
      <c r="AP217" s="1257"/>
      <c r="AQ217" s="1257"/>
      <c r="AR217" s="728"/>
      <c r="AS217" s="1257"/>
      <c r="AT217" s="1257"/>
      <c r="AU217" s="728"/>
      <c r="AV217" s="1257"/>
      <c r="AW217" s="1257"/>
      <c r="AX217" s="728"/>
      <c r="AY217" s="1257"/>
      <c r="AZ217" s="1257"/>
      <c r="BA217" s="728"/>
      <c r="BB217" s="1257"/>
      <c r="BC217" s="1257"/>
      <c r="BD217" s="728"/>
      <c r="BE217" s="1257"/>
      <c r="BF217" s="1257"/>
      <c r="BG217" s="728"/>
      <c r="BH217" s="1257"/>
      <c r="BI217" s="1257"/>
      <c r="BJ217" s="728"/>
      <c r="BK217" s="1257"/>
      <c r="BL217" s="1257"/>
      <c r="BM217" s="728"/>
      <c r="BN217" s="1257"/>
      <c r="BO217" s="1257"/>
      <c r="BP217" s="728"/>
      <c r="BQ217" s="819"/>
      <c r="BR217" s="819"/>
      <c r="BS217" s="728"/>
      <c r="BT217" s="1257"/>
      <c r="BU217" s="1257"/>
      <c r="BV217" s="728"/>
      <c r="BW217" s="1257"/>
      <c r="BX217" s="1257"/>
      <c r="BY217" s="728"/>
      <c r="BZ217" s="1257"/>
      <c r="CA217" s="1257"/>
      <c r="CB217" s="728"/>
      <c r="CC217" s="1257"/>
      <c r="CD217" s="1257"/>
      <c r="CE217" s="728"/>
      <c r="CF217" s="1257"/>
      <c r="CG217" s="1257"/>
      <c r="CH217" s="728"/>
      <c r="CI217" s="1257"/>
      <c r="CJ217" s="1257"/>
      <c r="CK217" s="728"/>
      <c r="CL217" s="1257"/>
      <c r="CM217" s="1257"/>
      <c r="CN217" s="728"/>
      <c r="CO217" s="1257"/>
      <c r="CP217" s="1257"/>
      <c r="CQ217" s="728"/>
      <c r="CR217" s="1257"/>
      <c r="CS217" s="1257"/>
      <c r="CT217" s="1231"/>
      <c r="CW217" s="960" t="s">
        <v>854</v>
      </c>
      <c r="CX217" s="965" t="s">
        <v>812</v>
      </c>
      <c r="CY217" s="969" t="str" cm="1">
        <f t="array" ref="CY217">AE217</f>
        <v>Уголь длиннопламенный</v>
      </c>
      <c r="CZ217" s="969" t="str" cm="1">
        <f t="array" ref="CZ217">AF217</f>
        <v/>
      </c>
      <c r="DA217" s="966"/>
      <c r="DB217" s="966"/>
    </row>
    <row r="218" spans="1:106" s="1167" customFormat="1" ht="15" hidden="1" customHeight="1" x14ac:dyDescent="0.15">
      <c r="A218" s="1150"/>
      <c r="B218" s="773"/>
      <c r="C218" s="1150"/>
      <c r="D218" s="1150"/>
      <c r="E218" s="668">
        <v>0</v>
      </c>
      <c r="F218" s="769" t="str" cm="1">
        <f t="array" aca="1" ref="F218" ca="1">OFFSET(G218,-1,-1)</f>
        <v>1</v>
      </c>
      <c r="G218" s="804"/>
      <c r="H218" s="804"/>
      <c r="I218" s="804"/>
      <c r="J218" s="804"/>
      <c r="K218" s="804"/>
      <c r="L218" s="769" t="b" cm="1">
        <f t="array" aca="1" ref="L218" ca="1">OFFSET(M218,-1,-1)</f>
        <v>0</v>
      </c>
      <c r="M218" s="804"/>
      <c r="N218" s="804"/>
      <c r="O218" s="804"/>
      <c r="P218" s="804"/>
      <c r="Q218" s="804"/>
      <c r="R218" s="1150"/>
      <c r="S218" s="107" t="b" cm="1">
        <f t="array" aca="1" ref="S218" ca="1">OFFSET(T218,-1,-1)</f>
        <v>1</v>
      </c>
      <c r="T218" s="1150"/>
      <c r="U218" s="690" t="b">
        <f t="shared" ca="1" si="80"/>
        <v>1</v>
      </c>
      <c r="V218" s="1150"/>
      <c r="W218" s="1150"/>
      <c r="X218" s="810" t="str">
        <f>"{                  
         funcDyn: 'msg1',
         blok: 'blok_2',
         wsCross: 'Топливо 4.4',
         linkFormula: 'AE-AE#AF-AF',
         levelDyn: "&amp;Y139&amp;"
}"</f>
        <v>{                  
         funcDyn: 'msg1',
         blok: 'blok_2',
         wsCross: 'Топливо 4.4',
         linkFormula: 'AE-AE#AF-AF',
         levelDyn: 1
}</v>
      </c>
      <c r="Y218" s="1428"/>
      <c r="Z218" s="1428"/>
      <c r="AA218" s="691"/>
      <c r="AB218" s="1545"/>
      <c r="AD218" s="813"/>
      <c r="AE218" s="812" t="s">
        <v>239</v>
      </c>
      <c r="AF218" s="736"/>
      <c r="AG218" s="724"/>
      <c r="AH218" s="737"/>
      <c r="AI218" s="47"/>
      <c r="AJ218" s="47"/>
      <c r="AK218" s="47"/>
      <c r="AL218" s="728"/>
      <c r="AM218" s="47"/>
      <c r="AN218" s="47"/>
      <c r="AO218" s="728"/>
      <c r="AP218" s="47"/>
      <c r="AQ218" s="47"/>
      <c r="AR218" s="728"/>
      <c r="AS218" s="47"/>
      <c r="AT218" s="47"/>
      <c r="AU218" s="728"/>
      <c r="AV218" s="47"/>
      <c r="AW218" s="47"/>
      <c r="AX218" s="728"/>
      <c r="AY218" s="47"/>
      <c r="AZ218" s="47"/>
      <c r="BA218" s="728"/>
      <c r="BB218" s="47"/>
      <c r="BC218" s="47"/>
      <c r="BD218" s="728"/>
      <c r="BE218" s="47"/>
      <c r="BF218" s="47"/>
      <c r="BG218" s="728"/>
      <c r="BH218" s="47"/>
      <c r="BI218" s="47"/>
      <c r="BJ218" s="728"/>
      <c r="BK218" s="47"/>
      <c r="BL218" s="47"/>
      <c r="BM218" s="728"/>
      <c r="BN218" s="47"/>
      <c r="BO218" s="47"/>
      <c r="BP218" s="728"/>
      <c r="BQ218" s="47"/>
      <c r="BR218" s="47"/>
      <c r="BS218" s="728"/>
      <c r="BT218" s="47"/>
      <c r="BU218" s="47"/>
      <c r="BV218" s="728"/>
      <c r="BW218" s="47"/>
      <c r="BX218" s="47"/>
      <c r="BY218" s="728"/>
      <c r="BZ218" s="47"/>
      <c r="CA218" s="47"/>
      <c r="CB218" s="728"/>
      <c r="CC218" s="47"/>
      <c r="CD218" s="47"/>
      <c r="CE218" s="728"/>
      <c r="CF218" s="47"/>
      <c r="CG218" s="47"/>
      <c r="CH218" s="728"/>
      <c r="CI218" s="47"/>
      <c r="CJ218" s="47"/>
      <c r="CK218" s="728"/>
      <c r="CL218" s="47"/>
      <c r="CM218" s="47"/>
      <c r="CN218" s="728"/>
      <c r="CO218" s="47"/>
      <c r="CP218" s="47"/>
      <c r="CQ218" s="728"/>
      <c r="CR218" s="47"/>
      <c r="CS218" s="47"/>
      <c r="CT218" s="43"/>
      <c r="CW218" s="960" t="str">
        <f>IF(AND(ISNUMBER(VALUE(TRIM(SUBSTITUTE(AD218,".","")))),TRIM(SUBSTITUTE(AD218,".",""))&lt;&gt;""),"P"&amp;SUBSTITUTE(AD218,".",""),"")</f>
        <v/>
      </c>
      <c r="CX218" s="965"/>
      <c r="CY218" s="965"/>
      <c r="CZ218" s="965"/>
      <c r="DA218" s="966"/>
      <c r="DB218" s="966"/>
    </row>
    <row r="219" spans="1:106" s="1167" customFormat="1" ht="16.5" customHeight="1" x14ac:dyDescent="0.15">
      <c r="A219" s="1150"/>
      <c r="B219" s="773"/>
      <c r="C219" s="1150"/>
      <c r="D219" s="1150"/>
      <c r="E219" s="668">
        <v>17.100000000000001</v>
      </c>
      <c r="F219" s="769" t="str" cm="1">
        <f t="array" aca="1" ref="F219" ca="1">OFFSET(G219,-1,-1)</f>
        <v>1</v>
      </c>
      <c r="G219" s="804"/>
      <c r="H219" s="804"/>
      <c r="I219" s="804"/>
      <c r="J219" s="804"/>
      <c r="K219" s="804"/>
      <c r="L219" s="769" t="b" cm="1">
        <f t="array" aca="1" ref="L219" ca="1">OFFSET(M219,-1,-1)</f>
        <v>0</v>
      </c>
      <c r="M219" s="804"/>
      <c r="N219" s="804"/>
      <c r="O219" s="804"/>
      <c r="P219" s="804"/>
      <c r="Q219" s="804"/>
      <c r="R219" s="1150"/>
      <c r="S219" s="107" t="b" cm="1">
        <f t="array" aca="1" ref="S219" ca="1">OFFSET(T219,-1,-1)</f>
        <v>1</v>
      </c>
      <c r="T219" s="1150"/>
      <c r="U219" s="690" t="b">
        <f t="shared" ca="1" si="80"/>
        <v>1</v>
      </c>
      <c r="V219" s="1150"/>
      <c r="W219" s="1150"/>
      <c r="X219" s="1150"/>
      <c r="Y219" s="1428"/>
      <c r="Z219" s="1428"/>
      <c r="AA219" s="691"/>
      <c r="AB219" s="1545"/>
      <c r="AD219" s="121" t="s">
        <v>856</v>
      </c>
      <c r="AE219" s="1510" t="s">
        <v>857</v>
      </c>
      <c r="AF219" s="1493"/>
      <c r="AG219" s="839"/>
      <c r="AH219" s="726"/>
      <c r="AI219" s="728"/>
      <c r="AJ219" s="728"/>
      <c r="AK219" s="728"/>
      <c r="AL219" s="728"/>
      <c r="AM219" s="728"/>
      <c r="AN219" s="728"/>
      <c r="AO219" s="728"/>
      <c r="AP219" s="728"/>
      <c r="AQ219" s="728"/>
      <c r="AR219" s="728"/>
      <c r="AS219" s="728"/>
      <c r="AT219" s="728"/>
      <c r="AU219" s="728"/>
      <c r="AV219" s="728"/>
      <c r="AW219" s="728"/>
      <c r="AX219" s="728"/>
      <c r="AY219" s="728"/>
      <c r="AZ219" s="728"/>
      <c r="BA219" s="728"/>
      <c r="BB219" s="728"/>
      <c r="BC219" s="728"/>
      <c r="BD219" s="728"/>
      <c r="BE219" s="728"/>
      <c r="BF219" s="728"/>
      <c r="BG219" s="728"/>
      <c r="BH219" s="728"/>
      <c r="BI219" s="728"/>
      <c r="BJ219" s="728"/>
      <c r="BK219" s="728"/>
      <c r="BL219" s="728"/>
      <c r="BM219" s="728"/>
      <c r="BN219" s="728"/>
      <c r="BO219" s="728"/>
      <c r="BP219" s="728"/>
      <c r="BQ219" s="728"/>
      <c r="BR219" s="728"/>
      <c r="BS219" s="728"/>
      <c r="BT219" s="728"/>
      <c r="BU219" s="728"/>
      <c r="BV219" s="728"/>
      <c r="BW219" s="728"/>
      <c r="BX219" s="728"/>
      <c r="BY219" s="728"/>
      <c r="BZ219" s="728"/>
      <c r="CA219" s="728"/>
      <c r="CB219" s="728"/>
      <c r="CC219" s="728"/>
      <c r="CD219" s="728"/>
      <c r="CE219" s="728"/>
      <c r="CF219" s="728"/>
      <c r="CG219" s="728"/>
      <c r="CH219" s="728"/>
      <c r="CI219" s="728"/>
      <c r="CJ219" s="728"/>
      <c r="CK219" s="728"/>
      <c r="CL219" s="728"/>
      <c r="CM219" s="728"/>
      <c r="CN219" s="728"/>
      <c r="CO219" s="728"/>
      <c r="CP219" s="728"/>
      <c r="CQ219" s="728"/>
      <c r="CR219" s="728"/>
      <c r="CS219" s="728"/>
      <c r="CT219" s="1231"/>
      <c r="CW219" s="960" t="s">
        <v>858</v>
      </c>
      <c r="CX219" s="965"/>
      <c r="CY219" s="965"/>
      <c r="CZ219" s="965"/>
      <c r="DA219" s="966"/>
      <c r="DB219" s="966"/>
    </row>
    <row r="220" spans="1:106" s="1167" customFormat="1" ht="16.5" hidden="1" customHeight="1" x14ac:dyDescent="0.15">
      <c r="E220" s="668">
        <v>17.100000000000001</v>
      </c>
      <c r="F220" s="769" t="str" cm="1">
        <f t="array" aca="1" ref="F220" ca="1">OFFSET(G220,-1,-1)</f>
        <v>1</v>
      </c>
      <c r="L220" s="769" t="b" cm="1">
        <f t="array" aca="1" ref="L220" ca="1">OFFSET(M220,-1,-1)</f>
        <v>0</v>
      </c>
      <c r="S220" s="107" t="b" cm="1">
        <f t="array" aca="1" ref="S220" ca="1">OFFSET(T220,-1,-1)</f>
        <v>1</v>
      </c>
      <c r="T220" s="107" t="b">
        <f>AD220&lt;&gt;"31.0"</f>
        <v>0</v>
      </c>
      <c r="U220" s="690" t="b">
        <f t="shared" ref="U220:U274" ca="1" si="99">AND(S220,IF(ISBLANK(T220),TRUE,T220))</f>
        <v>0</v>
      </c>
      <c r="X220" s="107" t="s">
        <v>237</v>
      </c>
      <c r="Y220" s="1481"/>
      <c r="Z220" s="1481"/>
      <c r="AB220" s="1545"/>
      <c r="AD220" s="108" t="s">
        <v>859</v>
      </c>
      <c r="AE220" s="811"/>
      <c r="AF220" s="516"/>
      <c r="AG220" s="884" t="str">
        <f>"руб./"&amp;IFERROR(INDEX(fuel_ed_izm_list,MATCH(AE220,fuel_list,0)),"")</f>
        <v>руб./</v>
      </c>
      <c r="AH220" s="38">
        <f t="shared" ref="AH220:AL221" si="100">IFERROR(AH225/AH178,0)*1000</f>
        <v>0</v>
      </c>
      <c r="AI220" s="38">
        <f t="shared" si="100"/>
        <v>0</v>
      </c>
      <c r="AJ220" s="38">
        <f t="shared" si="100"/>
        <v>0</v>
      </c>
      <c r="AK220" s="38">
        <f t="shared" si="100"/>
        <v>0</v>
      </c>
      <c r="AL220" s="727">
        <f t="shared" ca="1" si="100"/>
        <v>0</v>
      </c>
      <c r="AM220" s="39"/>
      <c r="AN220" s="39"/>
      <c r="AO220" s="727">
        <f ca="1">IFERROR(AO225/AO178,0)*1000</f>
        <v>0</v>
      </c>
      <c r="AP220" s="39"/>
      <c r="AQ220" s="39"/>
      <c r="AR220" s="727">
        <f ca="1">IFERROR(AR225/AR178,0)*1000</f>
        <v>0</v>
      </c>
      <c r="AS220" s="39"/>
      <c r="AT220" s="39"/>
      <c r="AU220" s="727">
        <f ca="1">IFERROR(AU225/AU178,0)*1000</f>
        <v>0</v>
      </c>
      <c r="AV220" s="39"/>
      <c r="AW220" s="39"/>
      <c r="AX220" s="727">
        <f ca="1">IFERROR(AX225/AX178,0)*1000</f>
        <v>0</v>
      </c>
      <c r="AY220" s="39"/>
      <c r="AZ220" s="39"/>
      <c r="BA220" s="727">
        <f ca="1">IFERROR(BA225/BA178,0)*1000</f>
        <v>0</v>
      </c>
      <c r="BB220" s="39"/>
      <c r="BC220" s="39"/>
      <c r="BD220" s="727">
        <f ca="1">IFERROR(BD225/BD178,0)*1000</f>
        <v>0</v>
      </c>
      <c r="BE220" s="39"/>
      <c r="BF220" s="39"/>
      <c r="BG220" s="727">
        <f ca="1">IFERROR(BG225/BG178,0)*1000</f>
        <v>0</v>
      </c>
      <c r="BH220" s="39"/>
      <c r="BI220" s="39"/>
      <c r="BJ220" s="727">
        <f ca="1">IFERROR(BJ225/BJ178,0)*1000</f>
        <v>0</v>
      </c>
      <c r="BK220" s="39"/>
      <c r="BL220" s="39"/>
      <c r="BM220" s="727">
        <f ca="1">IFERROR(BM225/BM178,0)*1000</f>
        <v>0</v>
      </c>
      <c r="BN220" s="39"/>
      <c r="BO220" s="39"/>
      <c r="BP220" s="727">
        <f ca="1">IFERROR(BP225/BP178,0)*1000</f>
        <v>0</v>
      </c>
      <c r="BQ220" s="816"/>
      <c r="BR220" s="816"/>
      <c r="BS220" s="727">
        <f ca="1">IFERROR(BS225/BS178,0)*1000</f>
        <v>0</v>
      </c>
      <c r="BT220" s="39"/>
      <c r="BU220" s="39"/>
      <c r="BV220" s="727">
        <f ca="1">IFERROR(BV225/BV178,0)*1000</f>
        <v>0</v>
      </c>
      <c r="BW220" s="39"/>
      <c r="BX220" s="39"/>
      <c r="BY220" s="727">
        <f ca="1">IFERROR(BY225/BY178,0)*1000</f>
        <v>0</v>
      </c>
      <c r="BZ220" s="39"/>
      <c r="CA220" s="39"/>
      <c r="CB220" s="727">
        <f ca="1">IFERROR(CB225/CB178,0)*1000</f>
        <v>0</v>
      </c>
      <c r="CC220" s="39"/>
      <c r="CD220" s="39"/>
      <c r="CE220" s="727">
        <f ca="1">IFERROR(CE225/CE178,0)*1000</f>
        <v>0</v>
      </c>
      <c r="CF220" s="39"/>
      <c r="CG220" s="39"/>
      <c r="CH220" s="727">
        <f ca="1">IFERROR(CH225/CH178,0)*1000</f>
        <v>0</v>
      </c>
      <c r="CI220" s="39"/>
      <c r="CJ220" s="39"/>
      <c r="CK220" s="727">
        <f ca="1">IFERROR(CK225/CK178,0)*1000</f>
        <v>0</v>
      </c>
      <c r="CL220" s="39"/>
      <c r="CM220" s="39"/>
      <c r="CN220" s="727">
        <f ca="1">IFERROR(CN225/CN178,0)*1000</f>
        <v>0</v>
      </c>
      <c r="CO220" s="39"/>
      <c r="CP220" s="39"/>
      <c r="CQ220" s="727">
        <f ca="1">IFERROR(CQ225/CQ178,0)*1000</f>
        <v>0</v>
      </c>
      <c r="CR220" s="39"/>
      <c r="CS220" s="39"/>
      <c r="CT220" s="25"/>
      <c r="CW220" s="960" t="s">
        <v>858</v>
      </c>
      <c r="CX220" s="965" t="s">
        <v>812</v>
      </c>
      <c r="CY220" s="969" cm="1">
        <f t="array" ref="CY220">AE220</f>
        <v>0</v>
      </c>
      <c r="CZ220" s="969" cm="1">
        <f t="array" ref="CZ220">AF220</f>
        <v>0</v>
      </c>
      <c r="DA220" s="966"/>
      <c r="DB220" s="966"/>
    </row>
    <row r="221" spans="1:106" s="1167" customFormat="1" ht="16.5" customHeight="1" x14ac:dyDescent="0.15">
      <c r="E221" s="668">
        <v>17.100000000000001</v>
      </c>
      <c r="F221" s="769" t="str" cm="1">
        <f t="array" aca="1" ref="F221" ca="1">OFFSET(G221,-1,-1)</f>
        <v>1</v>
      </c>
      <c r="L221" s="769" t="b" cm="1">
        <f t="array" aca="1" ref="L221" ca="1">OFFSET(M221,-1,-1)</f>
        <v>0</v>
      </c>
      <c r="S221" s="107" t="b" cm="1">
        <f t="array" aca="1" ref="S221" ca="1">OFFSET(T221,-1,-1)</f>
        <v>1</v>
      </c>
      <c r="T221" s="107" t="b">
        <f>AD221&lt;&gt;"31.0"</f>
        <v>1</v>
      </c>
      <c r="U221" s="690" t="b">
        <f t="shared" ca="1" si="99"/>
        <v>1</v>
      </c>
      <c r="X221" s="107" t="str">
        <f>'Топливо 4.4'!$AE$217&amp;'Топливо 4.4'!$AF$217</f>
        <v>Уголь длиннопламенный</v>
      </c>
      <c r="Y221" s="1481"/>
      <c r="Z221" s="1481"/>
      <c r="AB221" s="1545"/>
      <c r="AD221" s="108" t="s">
        <v>935</v>
      </c>
      <c r="AE221" s="811" t="str" cm="1">
        <f t="array" ref="AE221">IF(ISBLANK('Топливо 4.4'!$AE$217),"",'Топливо 4.4'!$AE$217)</f>
        <v>Уголь длиннопламенный</v>
      </c>
      <c r="AF221" s="516" t="str" cm="1">
        <f t="array" ref="AF221">IF(ISBLANK('Топливо 4.4'!$AF$217),"",'Топливо 4.4'!$AF$217)</f>
        <v/>
      </c>
      <c r="AG221" s="884" t="str">
        <f>"руб./"&amp;IFERROR(INDEX(fuel_ed_izm_list,MATCH(AE221,fuel_list,0)),"")</f>
        <v>руб./тнт</v>
      </c>
      <c r="AH221" s="1251">
        <f t="shared" si="100"/>
        <v>0</v>
      </c>
      <c r="AI221" s="1251">
        <f t="shared" si="100"/>
        <v>0</v>
      </c>
      <c r="AJ221" s="1251">
        <f t="shared" si="100"/>
        <v>0</v>
      </c>
      <c r="AK221" s="1251">
        <f t="shared" si="100"/>
        <v>0</v>
      </c>
      <c r="AL221" s="727">
        <f t="shared" ca="1" si="100"/>
        <v>0</v>
      </c>
      <c r="AM221" s="1250"/>
      <c r="AN221" s="1250"/>
      <c r="AO221" s="727">
        <f ca="1">IFERROR(AO226/AO179,0)*1000</f>
        <v>0</v>
      </c>
      <c r="AP221" s="1250"/>
      <c r="AQ221" s="1250"/>
      <c r="AR221" s="727">
        <f ca="1">IFERROR(AR226/AR179,0)*1000</f>
        <v>0</v>
      </c>
      <c r="AS221" s="1250"/>
      <c r="AT221" s="1250"/>
      <c r="AU221" s="727">
        <f ca="1">IFERROR(AU226/AU179,0)*1000</f>
        <v>0</v>
      </c>
      <c r="AV221" s="1250"/>
      <c r="AW221" s="1250"/>
      <c r="AX221" s="727">
        <f ca="1">IFERROR(AX226/AX179,0)*1000</f>
        <v>0</v>
      </c>
      <c r="AY221" s="1250"/>
      <c r="AZ221" s="1250"/>
      <c r="BA221" s="727">
        <f ca="1">IFERROR(BA226/BA179,0)*1000</f>
        <v>0</v>
      </c>
      <c r="BB221" s="1250"/>
      <c r="BC221" s="1250"/>
      <c r="BD221" s="727">
        <f ca="1">IFERROR(BD226/BD179,0)*1000</f>
        <v>0</v>
      </c>
      <c r="BE221" s="1250"/>
      <c r="BF221" s="1250"/>
      <c r="BG221" s="727">
        <f ca="1">IFERROR(BG226/BG179,0)*1000</f>
        <v>0</v>
      </c>
      <c r="BH221" s="1250"/>
      <c r="BI221" s="1250"/>
      <c r="BJ221" s="727">
        <f ca="1">IFERROR(BJ226/BJ179,0)*1000</f>
        <v>0</v>
      </c>
      <c r="BK221" s="1250"/>
      <c r="BL221" s="1250"/>
      <c r="BM221" s="727">
        <f ca="1">IFERROR(BM226/BM179,0)*1000</f>
        <v>0</v>
      </c>
      <c r="BN221" s="1250"/>
      <c r="BO221" s="1250"/>
      <c r="BP221" s="727">
        <f ca="1">IFERROR(BP226/BP179,0)*1000</f>
        <v>0</v>
      </c>
      <c r="BQ221" s="816"/>
      <c r="BR221" s="816"/>
      <c r="BS221" s="727">
        <f ca="1">IFERROR(BS226/BS179,0)*1000</f>
        <v>0</v>
      </c>
      <c r="BT221" s="1250"/>
      <c r="BU221" s="1250"/>
      <c r="BV221" s="727">
        <f ca="1">IFERROR(BV226/BV179,0)*1000</f>
        <v>0</v>
      </c>
      <c r="BW221" s="1250"/>
      <c r="BX221" s="1250"/>
      <c r="BY221" s="727">
        <f ca="1">IFERROR(BY226/BY179,0)*1000</f>
        <v>0</v>
      </c>
      <c r="BZ221" s="1250"/>
      <c r="CA221" s="1250"/>
      <c r="CB221" s="727">
        <f ca="1">IFERROR(CB226/CB179,0)*1000</f>
        <v>0</v>
      </c>
      <c r="CC221" s="1250"/>
      <c r="CD221" s="1250"/>
      <c r="CE221" s="727">
        <f ca="1">IFERROR(CE226/CE179,0)*1000</f>
        <v>0</v>
      </c>
      <c r="CF221" s="1250"/>
      <c r="CG221" s="1250"/>
      <c r="CH221" s="727">
        <f ca="1">IFERROR(CH226/CH179,0)*1000</f>
        <v>0</v>
      </c>
      <c r="CI221" s="1250"/>
      <c r="CJ221" s="1250"/>
      <c r="CK221" s="727">
        <f ca="1">IFERROR(CK226/CK179,0)*1000</f>
        <v>0</v>
      </c>
      <c r="CL221" s="1250"/>
      <c r="CM221" s="1250"/>
      <c r="CN221" s="727">
        <f ca="1">IFERROR(CN226/CN179,0)*1000</f>
        <v>0</v>
      </c>
      <c r="CO221" s="1250"/>
      <c r="CP221" s="1250"/>
      <c r="CQ221" s="727">
        <f ca="1">IFERROR(CQ226/CQ179,0)*1000</f>
        <v>0</v>
      </c>
      <c r="CR221" s="1250"/>
      <c r="CS221" s="1250"/>
      <c r="CT221" s="1231"/>
      <c r="CW221" s="960" t="s">
        <v>858</v>
      </c>
      <c r="CX221" s="965" t="s">
        <v>812</v>
      </c>
      <c r="CY221" s="969" t="str" cm="1">
        <f t="array" ref="CY221">AE221</f>
        <v>Уголь длиннопламенный</v>
      </c>
      <c r="CZ221" s="969" t="str" cm="1">
        <f t="array" ref="CZ221">AF221</f>
        <v/>
      </c>
      <c r="DA221" s="966"/>
      <c r="DB221" s="966"/>
    </row>
    <row r="222" spans="1:106" s="1167" customFormat="1" ht="15" hidden="1" customHeight="1" x14ac:dyDescent="0.15">
      <c r="A222" s="1150"/>
      <c r="B222" s="773"/>
      <c r="C222" s="1150"/>
      <c r="D222" s="1150"/>
      <c r="E222" s="668">
        <v>0</v>
      </c>
      <c r="F222" s="769" t="str" cm="1">
        <f t="array" aca="1" ref="F222" ca="1">OFFSET(G222,-1,-1)</f>
        <v>1</v>
      </c>
      <c r="G222" s="804"/>
      <c r="H222" s="804"/>
      <c r="I222" s="804"/>
      <c r="J222" s="804"/>
      <c r="K222" s="804"/>
      <c r="L222" s="769" t="b" cm="1">
        <f t="array" aca="1" ref="L222" ca="1">OFFSET(M222,-1,-1)</f>
        <v>0</v>
      </c>
      <c r="M222" s="804"/>
      <c r="N222" s="804"/>
      <c r="O222" s="804"/>
      <c r="P222" s="804"/>
      <c r="Q222" s="804"/>
      <c r="R222" s="1150"/>
      <c r="S222" s="107" t="b" cm="1">
        <f t="array" aca="1" ref="S222" ca="1">OFFSET(T222,-1,-1)</f>
        <v>1</v>
      </c>
      <c r="T222" s="1150"/>
      <c r="U222" s="690" t="b">
        <f t="shared" ca="1" si="99"/>
        <v>1</v>
      </c>
      <c r="V222" s="1150"/>
      <c r="W222" s="1150"/>
      <c r="X222" s="810" t="str">
        <f>"{                  
         funcDyn: 'msg1',
         blok: 'blok_2',
         wsCross: 'Топливо 4.4',
         linkFormula: 'AE-AE#AF-AF',
         levelDyn: "&amp;Y139&amp;"
}"</f>
        <v>{                  
         funcDyn: 'msg1',
         blok: 'blok_2',
         wsCross: 'Топливо 4.4',
         linkFormula: 'AE-AE#AF-AF',
         levelDyn: 1
}</v>
      </c>
      <c r="Y222" s="1428"/>
      <c r="Z222" s="1428"/>
      <c r="AA222" s="691"/>
      <c r="AB222" s="1545"/>
      <c r="AD222" s="813"/>
      <c r="AE222" s="812" t="s">
        <v>239</v>
      </c>
      <c r="AF222" s="736"/>
      <c r="AG222" s="724"/>
      <c r="AH222" s="728"/>
      <c r="AI222" s="728"/>
      <c r="AJ222" s="728"/>
      <c r="AK222" s="728"/>
      <c r="AL222" s="728"/>
      <c r="AM222" s="728"/>
      <c r="AN222" s="728"/>
      <c r="AO222" s="728"/>
      <c r="AP222" s="728"/>
      <c r="AQ222" s="728"/>
      <c r="AR222" s="728"/>
      <c r="AS222" s="728"/>
      <c r="AT222" s="728"/>
      <c r="AU222" s="728"/>
      <c r="AV222" s="728"/>
      <c r="AW222" s="728"/>
      <c r="AX222" s="728"/>
      <c r="AY222" s="728"/>
      <c r="AZ222" s="728"/>
      <c r="BA222" s="728"/>
      <c r="BB222" s="728"/>
      <c r="BC222" s="728"/>
      <c r="BD222" s="728"/>
      <c r="BE222" s="728"/>
      <c r="BF222" s="728"/>
      <c r="BG222" s="728"/>
      <c r="BH222" s="728"/>
      <c r="BI222" s="728"/>
      <c r="BJ222" s="728"/>
      <c r="BK222" s="728"/>
      <c r="BL222" s="728"/>
      <c r="BM222" s="728"/>
      <c r="BN222" s="728"/>
      <c r="BO222" s="728"/>
      <c r="BP222" s="728"/>
      <c r="BQ222" s="728"/>
      <c r="BR222" s="728"/>
      <c r="BS222" s="728"/>
      <c r="BT222" s="728"/>
      <c r="BU222" s="728"/>
      <c r="BV222" s="728"/>
      <c r="BW222" s="728"/>
      <c r="BX222" s="728"/>
      <c r="BY222" s="728"/>
      <c r="BZ222" s="728"/>
      <c r="CA222" s="728"/>
      <c r="CB222" s="728"/>
      <c r="CC222" s="728"/>
      <c r="CD222" s="728"/>
      <c r="CE222" s="728"/>
      <c r="CF222" s="728"/>
      <c r="CG222" s="728"/>
      <c r="CH222" s="728"/>
      <c r="CI222" s="728"/>
      <c r="CJ222" s="728"/>
      <c r="CK222" s="728"/>
      <c r="CL222" s="728"/>
      <c r="CM222" s="728"/>
      <c r="CN222" s="728"/>
      <c r="CO222" s="728"/>
      <c r="CP222" s="728"/>
      <c r="CQ222" s="728"/>
      <c r="CR222" s="728"/>
      <c r="CS222" s="728"/>
      <c r="CT222" s="43"/>
      <c r="CW222" s="960" t="str">
        <f>IF(AND(ISNUMBER(VALUE(TRIM(SUBSTITUTE(AD222,".","")))),TRIM(SUBSTITUTE(AD222,".",""))&lt;&gt;""),"P"&amp;SUBSTITUTE(AD222,".",""),"")</f>
        <v/>
      </c>
      <c r="CX222" s="965"/>
      <c r="CY222" s="965"/>
      <c r="CZ222" s="965"/>
      <c r="DA222" s="966"/>
      <c r="DB222" s="966"/>
    </row>
    <row r="223" spans="1:106" s="1167" customFormat="1" ht="16.5" customHeight="1" x14ac:dyDescent="0.15">
      <c r="A223" s="1150"/>
      <c r="B223" s="773"/>
      <c r="C223" s="1150"/>
      <c r="D223" s="1150"/>
      <c r="E223" s="668">
        <v>17.100000000000001</v>
      </c>
      <c r="F223" s="769" t="str" cm="1">
        <f t="array" aca="1" ref="F223" ca="1">OFFSET(G223,-1,-1)</f>
        <v>1</v>
      </c>
      <c r="G223" s="804"/>
      <c r="H223" s="804"/>
      <c r="I223" s="804"/>
      <c r="J223" s="804"/>
      <c r="K223" s="804"/>
      <c r="L223" s="769" t="b" cm="1">
        <f t="array" aca="1" ref="L223" ca="1">OFFSET(M223,-1,-1)</f>
        <v>0</v>
      </c>
      <c r="M223" s="804"/>
      <c r="N223" s="804"/>
      <c r="O223" s="804"/>
      <c r="P223" s="804"/>
      <c r="Q223" s="804"/>
      <c r="R223" s="1150"/>
      <c r="S223" s="107" t="b" cm="1">
        <f t="array" aca="1" ref="S223" ca="1">OFFSET(T223,-1,-1)</f>
        <v>1</v>
      </c>
      <c r="T223" s="1150"/>
      <c r="U223" s="690" t="b">
        <f t="shared" ca="1" si="99"/>
        <v>1</v>
      </c>
      <c r="V223" s="1150"/>
      <c r="W223" s="1150"/>
      <c r="X223" s="1150"/>
      <c r="Y223" s="1428"/>
      <c r="Z223" s="1428"/>
      <c r="AA223" s="691"/>
      <c r="AB223" s="1545"/>
      <c r="AD223" s="121" t="s">
        <v>860</v>
      </c>
      <c r="AE223" s="1510" t="s">
        <v>861</v>
      </c>
      <c r="AF223" s="1493"/>
      <c r="AG223" s="724" t="s">
        <v>830</v>
      </c>
      <c r="AH223" s="725">
        <f t="shared" ref="AH223:BM223" si="101">SUM(AH225:AH227)</f>
        <v>0</v>
      </c>
      <c r="AI223" s="725">
        <f t="shared" si="101"/>
        <v>0</v>
      </c>
      <c r="AJ223" s="725">
        <f t="shared" si="101"/>
        <v>0</v>
      </c>
      <c r="AK223" s="725">
        <f t="shared" si="101"/>
        <v>0</v>
      </c>
      <c r="AL223" s="725">
        <f t="shared" ca="1" si="101"/>
        <v>0</v>
      </c>
      <c r="AM223" s="725">
        <f t="shared" si="101"/>
        <v>0</v>
      </c>
      <c r="AN223" s="725">
        <f t="shared" ca="1" si="101"/>
        <v>0</v>
      </c>
      <c r="AO223" s="725">
        <f t="shared" ca="1" si="101"/>
        <v>0</v>
      </c>
      <c r="AP223" s="725">
        <f t="shared" si="101"/>
        <v>0</v>
      </c>
      <c r="AQ223" s="725">
        <f t="shared" ca="1" si="101"/>
        <v>0</v>
      </c>
      <c r="AR223" s="725">
        <f t="shared" ca="1" si="101"/>
        <v>0</v>
      </c>
      <c r="AS223" s="725">
        <f t="shared" si="101"/>
        <v>0</v>
      </c>
      <c r="AT223" s="725">
        <f t="shared" ca="1" si="101"/>
        <v>0</v>
      </c>
      <c r="AU223" s="725">
        <f t="shared" ca="1" si="101"/>
        <v>0</v>
      </c>
      <c r="AV223" s="725">
        <f t="shared" si="101"/>
        <v>0</v>
      </c>
      <c r="AW223" s="725">
        <f t="shared" ca="1" si="101"/>
        <v>0</v>
      </c>
      <c r="AX223" s="725">
        <f t="shared" ca="1" si="101"/>
        <v>0</v>
      </c>
      <c r="AY223" s="725">
        <f t="shared" si="101"/>
        <v>0</v>
      </c>
      <c r="AZ223" s="725">
        <f t="shared" ca="1" si="101"/>
        <v>0</v>
      </c>
      <c r="BA223" s="725">
        <f t="shared" ca="1" si="101"/>
        <v>0</v>
      </c>
      <c r="BB223" s="725">
        <f t="shared" si="101"/>
        <v>0</v>
      </c>
      <c r="BC223" s="725">
        <f t="shared" ca="1" si="101"/>
        <v>0</v>
      </c>
      <c r="BD223" s="725">
        <f t="shared" ca="1" si="101"/>
        <v>0</v>
      </c>
      <c r="BE223" s="725">
        <f t="shared" si="101"/>
        <v>0</v>
      </c>
      <c r="BF223" s="725">
        <f t="shared" ca="1" si="101"/>
        <v>0</v>
      </c>
      <c r="BG223" s="725">
        <f t="shared" ca="1" si="101"/>
        <v>0</v>
      </c>
      <c r="BH223" s="725">
        <f t="shared" si="101"/>
        <v>0</v>
      </c>
      <c r="BI223" s="725">
        <f t="shared" ca="1" si="101"/>
        <v>0</v>
      </c>
      <c r="BJ223" s="725">
        <f t="shared" ca="1" si="101"/>
        <v>0</v>
      </c>
      <c r="BK223" s="725">
        <f t="shared" si="101"/>
        <v>0</v>
      </c>
      <c r="BL223" s="725">
        <f t="shared" ca="1" si="101"/>
        <v>0</v>
      </c>
      <c r="BM223" s="725">
        <f t="shared" ca="1" si="101"/>
        <v>0</v>
      </c>
      <c r="BN223" s="725">
        <f t="shared" ref="BN223:CS223" si="102">SUM(BN225:BN227)</f>
        <v>0</v>
      </c>
      <c r="BO223" s="725">
        <f t="shared" ca="1" si="102"/>
        <v>0</v>
      </c>
      <c r="BP223" s="725">
        <f t="shared" ca="1" si="102"/>
        <v>0</v>
      </c>
      <c r="BQ223" s="725">
        <f t="shared" si="102"/>
        <v>0</v>
      </c>
      <c r="BR223" s="725">
        <f t="shared" ca="1" si="102"/>
        <v>0</v>
      </c>
      <c r="BS223" s="725">
        <f t="shared" ca="1" si="102"/>
        <v>0</v>
      </c>
      <c r="BT223" s="725">
        <f t="shared" si="102"/>
        <v>0</v>
      </c>
      <c r="BU223" s="725">
        <f t="shared" ca="1" si="102"/>
        <v>0</v>
      </c>
      <c r="BV223" s="725">
        <f t="shared" ca="1" si="102"/>
        <v>0</v>
      </c>
      <c r="BW223" s="725">
        <f t="shared" si="102"/>
        <v>0</v>
      </c>
      <c r="BX223" s="725">
        <f t="shared" ca="1" si="102"/>
        <v>0</v>
      </c>
      <c r="BY223" s="725">
        <f t="shared" ca="1" si="102"/>
        <v>0</v>
      </c>
      <c r="BZ223" s="725">
        <f t="shared" si="102"/>
        <v>0</v>
      </c>
      <c r="CA223" s="725">
        <f t="shared" ca="1" si="102"/>
        <v>0</v>
      </c>
      <c r="CB223" s="725">
        <f t="shared" ca="1" si="102"/>
        <v>0</v>
      </c>
      <c r="CC223" s="725">
        <f t="shared" si="102"/>
        <v>0</v>
      </c>
      <c r="CD223" s="725">
        <f t="shared" ca="1" si="102"/>
        <v>0</v>
      </c>
      <c r="CE223" s="725">
        <f t="shared" ca="1" si="102"/>
        <v>0</v>
      </c>
      <c r="CF223" s="725">
        <f t="shared" si="102"/>
        <v>0</v>
      </c>
      <c r="CG223" s="725">
        <f t="shared" ca="1" si="102"/>
        <v>0</v>
      </c>
      <c r="CH223" s="725">
        <f t="shared" ca="1" si="102"/>
        <v>0</v>
      </c>
      <c r="CI223" s="725">
        <f t="shared" si="102"/>
        <v>0</v>
      </c>
      <c r="CJ223" s="725">
        <f t="shared" ca="1" si="102"/>
        <v>0</v>
      </c>
      <c r="CK223" s="725">
        <f t="shared" ca="1" si="102"/>
        <v>0</v>
      </c>
      <c r="CL223" s="725">
        <f t="shared" si="102"/>
        <v>0</v>
      </c>
      <c r="CM223" s="725">
        <f t="shared" ca="1" si="102"/>
        <v>0</v>
      </c>
      <c r="CN223" s="725">
        <f t="shared" ca="1" si="102"/>
        <v>0</v>
      </c>
      <c r="CO223" s="725">
        <f t="shared" si="102"/>
        <v>0</v>
      </c>
      <c r="CP223" s="725">
        <f t="shared" ca="1" si="102"/>
        <v>0</v>
      </c>
      <c r="CQ223" s="725">
        <f t="shared" ca="1" si="102"/>
        <v>0</v>
      </c>
      <c r="CR223" s="725">
        <f t="shared" si="102"/>
        <v>0</v>
      </c>
      <c r="CS223" s="725">
        <f t="shared" ca="1" si="102"/>
        <v>0</v>
      </c>
      <c r="CT223" s="1231"/>
      <c r="CW223" s="960" t="s">
        <v>862</v>
      </c>
      <c r="CX223" s="965"/>
      <c r="CY223" s="965"/>
      <c r="CZ223" s="965"/>
      <c r="DA223" s="966"/>
      <c r="DB223" s="966"/>
    </row>
    <row r="224" spans="1:106" s="1167" customFormat="1" ht="16.5" hidden="1" customHeight="1" x14ac:dyDescent="0.15">
      <c r="A224" s="1150"/>
      <c r="B224" s="773"/>
      <c r="C224" s="1150"/>
      <c r="D224" s="1150"/>
      <c r="E224" s="668">
        <v>17.100000000000001</v>
      </c>
      <c r="F224" s="769" t="str" cm="1">
        <f t="array" aca="1" ref="F224" ca="1">OFFSET(G224,-1,-1)</f>
        <v>1</v>
      </c>
      <c r="G224" s="804"/>
      <c r="H224" s="804"/>
      <c r="I224" s="804"/>
      <c r="J224" s="804"/>
      <c r="K224" s="804"/>
      <c r="L224" s="769" t="b" cm="1">
        <f t="array" aca="1" ref="L224" ca="1">OFFSET(M224,-1,-1)</f>
        <v>0</v>
      </c>
      <c r="M224" s="804"/>
      <c r="N224" s="804"/>
      <c r="O224" s="804"/>
      <c r="P224" s="804"/>
      <c r="Q224" s="804"/>
      <c r="R224" s="769" t="s">
        <v>750</v>
      </c>
      <c r="S224" s="107" t="b" cm="1">
        <f t="array" aca="1" ref="S224" ca="1">OFFSET(T224,-1,-1)</f>
        <v>1</v>
      </c>
      <c r="T224" s="769" t="b">
        <v>0</v>
      </c>
      <c r="U224" s="690" t="b">
        <f t="shared" ca="1" si="99"/>
        <v>0</v>
      </c>
      <c r="V224" s="1150"/>
      <c r="W224" s="1150"/>
      <c r="X224" s="1150"/>
      <c r="Y224" s="1428"/>
      <c r="Z224" s="1428"/>
      <c r="AA224" s="691"/>
      <c r="AB224" s="1545"/>
      <c r="AD224" s="108" t="str">
        <f>AD223&amp;".0"</f>
        <v>32.0</v>
      </c>
      <c r="AE224" s="1513" t="s">
        <v>761</v>
      </c>
      <c r="AF224" s="1514"/>
      <c r="AG224" s="724" t="s">
        <v>830</v>
      </c>
      <c r="AH224" s="38">
        <f>AH163*AH223</f>
        <v>0</v>
      </c>
      <c r="AI224" s="39">
        <f>AI$163*AI223</f>
        <v>0</v>
      </c>
      <c r="AJ224" s="39">
        <f>AJ$163*AJ223</f>
        <v>0</v>
      </c>
      <c r="AK224" s="39">
        <f>AK$163*AK223</f>
        <v>0</v>
      </c>
      <c r="AL224" s="727">
        <f ca="1">AM224+AN224</f>
        <v>0</v>
      </c>
      <c r="AM224" s="39">
        <f>AM$163*AM223</f>
        <v>0</v>
      </c>
      <c r="AN224" s="39">
        <f ca="1">AN$163*AN223</f>
        <v>0</v>
      </c>
      <c r="AO224" s="727">
        <f ca="1">AP224+AQ224</f>
        <v>0</v>
      </c>
      <c r="AP224" s="1244">
        <f>AP$163*AP223</f>
        <v>0</v>
      </c>
      <c r="AQ224" s="1244">
        <f ca="1">AQ$163*AQ223</f>
        <v>0</v>
      </c>
      <c r="AR224" s="727">
        <f ca="1">AS224+AT224</f>
        <v>0</v>
      </c>
      <c r="AS224" s="1244">
        <f>AS$163*AS223</f>
        <v>0</v>
      </c>
      <c r="AT224" s="1244">
        <f ca="1">AT$163*AT223</f>
        <v>0</v>
      </c>
      <c r="AU224" s="727">
        <f ca="1">AV224+AW224</f>
        <v>0</v>
      </c>
      <c r="AV224" s="39">
        <f>AV$163*AV223</f>
        <v>0</v>
      </c>
      <c r="AW224" s="39">
        <f ca="1">AW$163*AW223</f>
        <v>0</v>
      </c>
      <c r="AX224" s="727">
        <f ca="1">AY224+AZ224</f>
        <v>0</v>
      </c>
      <c r="AY224" s="39">
        <f>AY$163*AY223</f>
        <v>0</v>
      </c>
      <c r="AZ224" s="39">
        <f ca="1">AZ$163*AZ223</f>
        <v>0</v>
      </c>
      <c r="BA224" s="727">
        <f ca="1">BB224+BC224</f>
        <v>0</v>
      </c>
      <c r="BB224" s="39">
        <f>BB$163*BB223</f>
        <v>0</v>
      </c>
      <c r="BC224" s="39">
        <f ca="1">BC$163*BC223</f>
        <v>0</v>
      </c>
      <c r="BD224" s="727">
        <f ca="1">BE224+BF224</f>
        <v>0</v>
      </c>
      <c r="BE224" s="39">
        <f>BE$163*BE223</f>
        <v>0</v>
      </c>
      <c r="BF224" s="39">
        <f ca="1">BF$163*BF223</f>
        <v>0</v>
      </c>
      <c r="BG224" s="727">
        <f ca="1">BH224+BI224</f>
        <v>0</v>
      </c>
      <c r="BH224" s="39">
        <f>BH$163*BH223</f>
        <v>0</v>
      </c>
      <c r="BI224" s="39">
        <f ca="1">BI$163*BI223</f>
        <v>0</v>
      </c>
      <c r="BJ224" s="727">
        <f ca="1">BK224+BL224</f>
        <v>0</v>
      </c>
      <c r="BK224" s="39">
        <f>BK$163*BK223</f>
        <v>0</v>
      </c>
      <c r="BL224" s="39">
        <f ca="1">BL$163*BL223</f>
        <v>0</v>
      </c>
      <c r="BM224" s="727">
        <f ca="1">BN224+BO224</f>
        <v>0</v>
      </c>
      <c r="BN224" s="39">
        <f>BN$163*BN223</f>
        <v>0</v>
      </c>
      <c r="BO224" s="39">
        <f ca="1">BO$163*BO223</f>
        <v>0</v>
      </c>
      <c r="BP224" s="727">
        <f ca="1">BQ224+BR224</f>
        <v>0</v>
      </c>
      <c r="BQ224" s="816">
        <f>BQ$163*BQ223</f>
        <v>0</v>
      </c>
      <c r="BR224" s="816">
        <f ca="1">BR$163*BR223</f>
        <v>0</v>
      </c>
      <c r="BS224" s="727">
        <f ca="1">BT224+BU224</f>
        <v>0</v>
      </c>
      <c r="BT224" s="1244">
        <f>BT$163*BT223</f>
        <v>0</v>
      </c>
      <c r="BU224" s="1244">
        <f ca="1">BU$163*BU223</f>
        <v>0</v>
      </c>
      <c r="BV224" s="727">
        <f ca="1">BW224+BX224</f>
        <v>0</v>
      </c>
      <c r="BW224" s="1244">
        <f>BW$163*BW223</f>
        <v>0</v>
      </c>
      <c r="BX224" s="1244">
        <f ca="1">BX$163*BX223</f>
        <v>0</v>
      </c>
      <c r="BY224" s="727">
        <f ca="1">BZ224+CA224</f>
        <v>0</v>
      </c>
      <c r="BZ224" s="39">
        <f>BZ$163*BZ223</f>
        <v>0</v>
      </c>
      <c r="CA224" s="39">
        <f ca="1">CA$163*CA223</f>
        <v>0</v>
      </c>
      <c r="CB224" s="727">
        <f ca="1">CC224+CD224</f>
        <v>0</v>
      </c>
      <c r="CC224" s="39">
        <f>CC$163*CC223</f>
        <v>0</v>
      </c>
      <c r="CD224" s="39">
        <f ca="1">CD$163*CD223</f>
        <v>0</v>
      </c>
      <c r="CE224" s="727">
        <f ca="1">CF224+CG224</f>
        <v>0</v>
      </c>
      <c r="CF224" s="39">
        <f>CF$163*CF223</f>
        <v>0</v>
      </c>
      <c r="CG224" s="39">
        <f ca="1">CG$163*CG223</f>
        <v>0</v>
      </c>
      <c r="CH224" s="727">
        <f ca="1">CI224+CJ224</f>
        <v>0</v>
      </c>
      <c r="CI224" s="39">
        <f>CI$163*CI223</f>
        <v>0</v>
      </c>
      <c r="CJ224" s="39">
        <f ca="1">CJ$163*CJ223</f>
        <v>0</v>
      </c>
      <c r="CK224" s="727">
        <f ca="1">CL224+CM224</f>
        <v>0</v>
      </c>
      <c r="CL224" s="39">
        <f>CL$163*CL223</f>
        <v>0</v>
      </c>
      <c r="CM224" s="39">
        <f ca="1">CM$163*CM223</f>
        <v>0</v>
      </c>
      <c r="CN224" s="727">
        <f ca="1">CO224+CP224</f>
        <v>0</v>
      </c>
      <c r="CO224" s="39">
        <f>CO$163*CO223</f>
        <v>0</v>
      </c>
      <c r="CP224" s="39">
        <f ca="1">CP$163*CP223</f>
        <v>0</v>
      </c>
      <c r="CQ224" s="727">
        <f ca="1">CR224+CS224</f>
        <v>0</v>
      </c>
      <c r="CR224" s="39">
        <f>CR$163*CR223</f>
        <v>0</v>
      </c>
      <c r="CS224" s="39">
        <f ca="1">CS$163*CS223</f>
        <v>0</v>
      </c>
      <c r="CT224" s="25"/>
      <c r="CW224" s="960" t="s">
        <v>863</v>
      </c>
      <c r="CX224" s="965"/>
      <c r="CY224" s="965"/>
      <c r="CZ224" s="965"/>
      <c r="DA224" s="966"/>
      <c r="DB224" s="966"/>
    </row>
    <row r="225" spans="1:106" s="1167" customFormat="1" ht="16.5" hidden="1" customHeight="1" x14ac:dyDescent="0.15">
      <c r="E225" s="668">
        <v>17.100000000000001</v>
      </c>
      <c r="F225" s="769" t="str" cm="1">
        <f t="array" aca="1" ref="F225" ca="1">OFFSET(G225,-1,-1)</f>
        <v>1</v>
      </c>
      <c r="L225" s="769" t="b" cm="1">
        <f t="array" aca="1" ref="L225" ca="1">OFFSET(M225,-1,-1)</f>
        <v>0</v>
      </c>
      <c r="S225" s="107" t="b" cm="1">
        <f t="array" aca="1" ref="S225" ca="1">OFFSET(T225,-1,-1)</f>
        <v>1</v>
      </c>
      <c r="T225" s="107" t="b">
        <f>AD225&lt;&gt;"32.0"</f>
        <v>0</v>
      </c>
      <c r="U225" s="690" t="b">
        <f t="shared" ca="1" si="99"/>
        <v>0</v>
      </c>
      <c r="X225" s="107" t="s">
        <v>237</v>
      </c>
      <c r="Y225" s="1481"/>
      <c r="Z225" s="1481"/>
      <c r="AB225" s="1545"/>
      <c r="AD225" s="108" t="s">
        <v>864</v>
      </c>
      <c r="AE225" s="811"/>
      <c r="AF225" s="516"/>
      <c r="AG225" s="724" t="s">
        <v>830</v>
      </c>
      <c r="AH225" s="38"/>
      <c r="AI225" s="39"/>
      <c r="AJ225" s="39"/>
      <c r="AK225" s="39"/>
      <c r="AL225" s="727">
        <f ca="1">AM225+AN225</f>
        <v>0</v>
      </c>
      <c r="AM225" s="39">
        <f>AM220*AM178/1000</f>
        <v>0</v>
      </c>
      <c r="AN225" s="39">
        <f ca="1">AN220*AN178/1000</f>
        <v>0</v>
      </c>
      <c r="AO225" s="727">
        <f ca="1">AP225+AQ225</f>
        <v>0</v>
      </c>
      <c r="AP225" s="39">
        <f>AP220*AP178/1000</f>
        <v>0</v>
      </c>
      <c r="AQ225" s="39">
        <f ca="1">AQ220*AQ178/1000</f>
        <v>0</v>
      </c>
      <c r="AR225" s="727">
        <f ca="1">AS225+AT225</f>
        <v>0</v>
      </c>
      <c r="AS225" s="39">
        <f>AS220*AS178/1000</f>
        <v>0</v>
      </c>
      <c r="AT225" s="39">
        <f ca="1">AT220*AT178/1000</f>
        <v>0</v>
      </c>
      <c r="AU225" s="727">
        <f ca="1">AV225+AW225</f>
        <v>0</v>
      </c>
      <c r="AV225" s="39">
        <f>AV220*AV178/1000</f>
        <v>0</v>
      </c>
      <c r="AW225" s="39">
        <f ca="1">AW220*AW178/1000</f>
        <v>0</v>
      </c>
      <c r="AX225" s="727">
        <f ca="1">AY225+AZ225</f>
        <v>0</v>
      </c>
      <c r="AY225" s="39">
        <f>AY220*AY178/1000</f>
        <v>0</v>
      </c>
      <c r="AZ225" s="39">
        <f ca="1">AZ220*AZ178/1000</f>
        <v>0</v>
      </c>
      <c r="BA225" s="727">
        <f ca="1">BB225+BC225</f>
        <v>0</v>
      </c>
      <c r="BB225" s="39">
        <f>BB220*BB178/1000</f>
        <v>0</v>
      </c>
      <c r="BC225" s="39">
        <f ca="1">BC220*BC178/1000</f>
        <v>0</v>
      </c>
      <c r="BD225" s="727">
        <f ca="1">BE225+BF225</f>
        <v>0</v>
      </c>
      <c r="BE225" s="39">
        <f>BE220*BE178/1000</f>
        <v>0</v>
      </c>
      <c r="BF225" s="39">
        <f ca="1">BF220*BF178/1000</f>
        <v>0</v>
      </c>
      <c r="BG225" s="727">
        <f ca="1">BH225+BI225</f>
        <v>0</v>
      </c>
      <c r="BH225" s="39">
        <f>BH220*BH178/1000</f>
        <v>0</v>
      </c>
      <c r="BI225" s="39">
        <f ca="1">BI220*BI178/1000</f>
        <v>0</v>
      </c>
      <c r="BJ225" s="727">
        <f ca="1">BK225+BL225</f>
        <v>0</v>
      </c>
      <c r="BK225" s="39">
        <f>BK220*BK178/1000</f>
        <v>0</v>
      </c>
      <c r="BL225" s="39">
        <f ca="1">BL220*BL178/1000</f>
        <v>0</v>
      </c>
      <c r="BM225" s="727">
        <f ca="1">BN225+BO225</f>
        <v>0</v>
      </c>
      <c r="BN225" s="39">
        <f>BN220*BN178/1000</f>
        <v>0</v>
      </c>
      <c r="BO225" s="39">
        <f ca="1">BO220*BO178/1000</f>
        <v>0</v>
      </c>
      <c r="BP225" s="727">
        <f ca="1">BQ225+BR225</f>
        <v>0</v>
      </c>
      <c r="BQ225" s="816">
        <f>BQ220*BQ178/1000</f>
        <v>0</v>
      </c>
      <c r="BR225" s="816">
        <f ca="1">BR220*BR178/1000</f>
        <v>0</v>
      </c>
      <c r="BS225" s="727">
        <f ca="1">BT225+BU225</f>
        <v>0</v>
      </c>
      <c r="BT225" s="39">
        <f>BT220*BT178/1000</f>
        <v>0</v>
      </c>
      <c r="BU225" s="39">
        <f ca="1">BU220*BU178/1000</f>
        <v>0</v>
      </c>
      <c r="BV225" s="727">
        <f ca="1">BW225+BX225</f>
        <v>0</v>
      </c>
      <c r="BW225" s="39">
        <f>BW220*BW178/1000</f>
        <v>0</v>
      </c>
      <c r="BX225" s="39">
        <f ca="1">BX220*BX178/1000</f>
        <v>0</v>
      </c>
      <c r="BY225" s="727">
        <f ca="1">BZ225+CA225</f>
        <v>0</v>
      </c>
      <c r="BZ225" s="39">
        <f>BZ220*BZ178/1000</f>
        <v>0</v>
      </c>
      <c r="CA225" s="39">
        <f ca="1">CA220*CA178/1000</f>
        <v>0</v>
      </c>
      <c r="CB225" s="727">
        <f ca="1">CC225+CD225</f>
        <v>0</v>
      </c>
      <c r="CC225" s="39">
        <f>CC220*CC178/1000</f>
        <v>0</v>
      </c>
      <c r="CD225" s="39">
        <f ca="1">CD220*CD178/1000</f>
        <v>0</v>
      </c>
      <c r="CE225" s="727">
        <f ca="1">CF225+CG225</f>
        <v>0</v>
      </c>
      <c r="CF225" s="39">
        <f>CF220*CF178/1000</f>
        <v>0</v>
      </c>
      <c r="CG225" s="39">
        <f ca="1">CG220*CG178/1000</f>
        <v>0</v>
      </c>
      <c r="CH225" s="727">
        <f ca="1">CI225+CJ225</f>
        <v>0</v>
      </c>
      <c r="CI225" s="39">
        <f>CI220*CI178/1000</f>
        <v>0</v>
      </c>
      <c r="CJ225" s="39">
        <f ca="1">CJ220*CJ178/1000</f>
        <v>0</v>
      </c>
      <c r="CK225" s="727">
        <f ca="1">CL225+CM225</f>
        <v>0</v>
      </c>
      <c r="CL225" s="39">
        <f>CL220*CL178/1000</f>
        <v>0</v>
      </c>
      <c r="CM225" s="39">
        <f ca="1">CM220*CM178/1000</f>
        <v>0</v>
      </c>
      <c r="CN225" s="727">
        <f ca="1">CO225+CP225</f>
        <v>0</v>
      </c>
      <c r="CO225" s="39">
        <f>CO220*CO178/1000</f>
        <v>0</v>
      </c>
      <c r="CP225" s="39">
        <f ca="1">CP220*CP178/1000</f>
        <v>0</v>
      </c>
      <c r="CQ225" s="727">
        <f ca="1">CR225+CS225</f>
        <v>0</v>
      </c>
      <c r="CR225" s="39">
        <f>CR220*CR178/1000</f>
        <v>0</v>
      </c>
      <c r="CS225" s="39">
        <f ca="1">CS220*CS178/1000</f>
        <v>0</v>
      </c>
      <c r="CT225" s="25"/>
      <c r="CW225" s="960" t="s">
        <v>863</v>
      </c>
      <c r="CX225" s="965" t="s">
        <v>812</v>
      </c>
      <c r="CY225" s="969" cm="1">
        <f t="array" ref="CY225">AE225</f>
        <v>0</v>
      </c>
      <c r="CZ225" s="969" cm="1">
        <f t="array" ref="CZ225">AF225</f>
        <v>0</v>
      </c>
      <c r="DA225" s="966"/>
      <c r="DB225" s="966"/>
    </row>
    <row r="226" spans="1:106" s="1167" customFormat="1" ht="16.5" customHeight="1" x14ac:dyDescent="0.15">
      <c r="E226" s="668">
        <v>17.100000000000001</v>
      </c>
      <c r="F226" s="769" t="str" cm="1">
        <f t="array" aca="1" ref="F226" ca="1">OFFSET(G226,-1,-1)</f>
        <v>1</v>
      </c>
      <c r="L226" s="769" t="b" cm="1">
        <f t="array" aca="1" ref="L226" ca="1">OFFSET(M226,-1,-1)</f>
        <v>0</v>
      </c>
      <c r="S226" s="107" t="b" cm="1">
        <f t="array" aca="1" ref="S226" ca="1">OFFSET(T226,-1,-1)</f>
        <v>1</v>
      </c>
      <c r="T226" s="107" t="b">
        <f>AD226&lt;&gt;"32.0"</f>
        <v>1</v>
      </c>
      <c r="U226" s="690" t="b">
        <f t="shared" ca="1" si="99"/>
        <v>1</v>
      </c>
      <c r="X226" s="107" t="str">
        <f>'Топливо 4.4'!$AE$221&amp;'Топливо 4.4'!$AF$221</f>
        <v>Уголь длиннопламенный</v>
      </c>
      <c r="Y226" s="1481"/>
      <c r="Z226" s="1481"/>
      <c r="AB226" s="1545"/>
      <c r="AD226" s="108" t="s">
        <v>936</v>
      </c>
      <c r="AE226" s="811" t="str" cm="1">
        <f t="array" ref="AE226">IF(ISBLANK('Топливо 4.4'!$AE$221),"",'Топливо 4.4'!$AE$221)</f>
        <v>Уголь длиннопламенный</v>
      </c>
      <c r="AF226" s="516" t="str" cm="1">
        <f t="array" ref="AF226">IF(ISBLANK('Топливо 4.4'!$AF$221),"",'Топливо 4.4'!$AF$221)</f>
        <v/>
      </c>
      <c r="AG226" s="724" t="s">
        <v>830</v>
      </c>
      <c r="AH226" s="1251"/>
      <c r="AI226" s="1250"/>
      <c r="AJ226" s="1250"/>
      <c r="AK226" s="1250"/>
      <c r="AL226" s="727">
        <f ca="1">AM226+AN226</f>
        <v>0</v>
      </c>
      <c r="AM226" s="1250">
        <f>AM221*AM179/1000</f>
        <v>0</v>
      </c>
      <c r="AN226" s="1250">
        <f ca="1">AN221*AN179/1000</f>
        <v>0</v>
      </c>
      <c r="AO226" s="727">
        <f ca="1">AP226+AQ226</f>
        <v>0</v>
      </c>
      <c r="AP226" s="1250">
        <f>AP221*AP179/1000</f>
        <v>0</v>
      </c>
      <c r="AQ226" s="1250">
        <f ca="1">AQ221*AQ179/1000</f>
        <v>0</v>
      </c>
      <c r="AR226" s="727">
        <f ca="1">AS226+AT226</f>
        <v>0</v>
      </c>
      <c r="AS226" s="1250">
        <f>AS221*AS179/1000</f>
        <v>0</v>
      </c>
      <c r="AT226" s="1250">
        <f ca="1">AT221*AT179/1000</f>
        <v>0</v>
      </c>
      <c r="AU226" s="727">
        <f ca="1">AV226+AW226</f>
        <v>0</v>
      </c>
      <c r="AV226" s="1250">
        <f>AV221*AV179/1000</f>
        <v>0</v>
      </c>
      <c r="AW226" s="1250">
        <f ca="1">AW221*AW179/1000</f>
        <v>0</v>
      </c>
      <c r="AX226" s="727">
        <f ca="1">AY226+AZ226</f>
        <v>0</v>
      </c>
      <c r="AY226" s="1250">
        <f>AY221*AY179/1000</f>
        <v>0</v>
      </c>
      <c r="AZ226" s="1250">
        <f ca="1">AZ221*AZ179/1000</f>
        <v>0</v>
      </c>
      <c r="BA226" s="727">
        <f ca="1">BB226+BC226</f>
        <v>0</v>
      </c>
      <c r="BB226" s="1250">
        <f>BB221*BB179/1000</f>
        <v>0</v>
      </c>
      <c r="BC226" s="1250">
        <f ca="1">BC221*BC179/1000</f>
        <v>0</v>
      </c>
      <c r="BD226" s="727">
        <f ca="1">BE226+BF226</f>
        <v>0</v>
      </c>
      <c r="BE226" s="1250">
        <f>BE221*BE179/1000</f>
        <v>0</v>
      </c>
      <c r="BF226" s="1250">
        <f ca="1">BF221*BF179/1000</f>
        <v>0</v>
      </c>
      <c r="BG226" s="727">
        <f ca="1">BH226+BI226</f>
        <v>0</v>
      </c>
      <c r="BH226" s="1250">
        <f>BH221*BH179/1000</f>
        <v>0</v>
      </c>
      <c r="BI226" s="1250">
        <f ca="1">BI221*BI179/1000</f>
        <v>0</v>
      </c>
      <c r="BJ226" s="727">
        <f ca="1">BK226+BL226</f>
        <v>0</v>
      </c>
      <c r="BK226" s="1250">
        <f>BK221*BK179/1000</f>
        <v>0</v>
      </c>
      <c r="BL226" s="1250">
        <f ca="1">BL221*BL179/1000</f>
        <v>0</v>
      </c>
      <c r="BM226" s="727">
        <f ca="1">BN226+BO226</f>
        <v>0</v>
      </c>
      <c r="BN226" s="1250">
        <f>BN221*BN179/1000</f>
        <v>0</v>
      </c>
      <c r="BO226" s="1250">
        <f ca="1">BO221*BO179/1000</f>
        <v>0</v>
      </c>
      <c r="BP226" s="727">
        <f ca="1">BQ226+BR226</f>
        <v>0</v>
      </c>
      <c r="BQ226" s="816">
        <f>BQ221*BQ179/1000</f>
        <v>0</v>
      </c>
      <c r="BR226" s="816">
        <f ca="1">BR221*BR179/1000</f>
        <v>0</v>
      </c>
      <c r="BS226" s="727">
        <f ca="1">BT226+BU226</f>
        <v>0</v>
      </c>
      <c r="BT226" s="1250">
        <f>BT221*BT179/1000</f>
        <v>0</v>
      </c>
      <c r="BU226" s="1250">
        <f ca="1">BU221*BU179/1000</f>
        <v>0</v>
      </c>
      <c r="BV226" s="727">
        <f ca="1">BW226+BX226</f>
        <v>0</v>
      </c>
      <c r="BW226" s="1250">
        <f>BW221*BW179/1000</f>
        <v>0</v>
      </c>
      <c r="BX226" s="1250">
        <f ca="1">BX221*BX179/1000</f>
        <v>0</v>
      </c>
      <c r="BY226" s="727">
        <f ca="1">BZ226+CA226</f>
        <v>0</v>
      </c>
      <c r="BZ226" s="1250">
        <f>BZ221*BZ179/1000</f>
        <v>0</v>
      </c>
      <c r="CA226" s="1250">
        <f ca="1">CA221*CA179/1000</f>
        <v>0</v>
      </c>
      <c r="CB226" s="727">
        <f ca="1">CC226+CD226</f>
        <v>0</v>
      </c>
      <c r="CC226" s="1250">
        <f>CC221*CC179/1000</f>
        <v>0</v>
      </c>
      <c r="CD226" s="1250">
        <f ca="1">CD221*CD179/1000</f>
        <v>0</v>
      </c>
      <c r="CE226" s="727">
        <f ca="1">CF226+CG226</f>
        <v>0</v>
      </c>
      <c r="CF226" s="1250">
        <f>CF221*CF179/1000</f>
        <v>0</v>
      </c>
      <c r="CG226" s="1250">
        <f ca="1">CG221*CG179/1000</f>
        <v>0</v>
      </c>
      <c r="CH226" s="727">
        <f ca="1">CI226+CJ226</f>
        <v>0</v>
      </c>
      <c r="CI226" s="1250">
        <f>CI221*CI179/1000</f>
        <v>0</v>
      </c>
      <c r="CJ226" s="1250">
        <f ca="1">CJ221*CJ179/1000</f>
        <v>0</v>
      </c>
      <c r="CK226" s="727">
        <f ca="1">CL226+CM226</f>
        <v>0</v>
      </c>
      <c r="CL226" s="1250">
        <f>CL221*CL179/1000</f>
        <v>0</v>
      </c>
      <c r="CM226" s="1250">
        <f ca="1">CM221*CM179/1000</f>
        <v>0</v>
      </c>
      <c r="CN226" s="727">
        <f ca="1">CO226+CP226</f>
        <v>0</v>
      </c>
      <c r="CO226" s="1250">
        <f>CO221*CO179/1000</f>
        <v>0</v>
      </c>
      <c r="CP226" s="1250">
        <f ca="1">CP221*CP179/1000</f>
        <v>0</v>
      </c>
      <c r="CQ226" s="727">
        <f ca="1">CR226+CS226</f>
        <v>0</v>
      </c>
      <c r="CR226" s="1250">
        <f>CR221*CR179/1000</f>
        <v>0</v>
      </c>
      <c r="CS226" s="1250">
        <f ca="1">CS221*CS179/1000</f>
        <v>0</v>
      </c>
      <c r="CT226" s="1231"/>
      <c r="CW226" s="960" t="s">
        <v>863</v>
      </c>
      <c r="CX226" s="965" t="s">
        <v>812</v>
      </c>
      <c r="CY226" s="969" t="str" cm="1">
        <f t="array" ref="CY226">AE226</f>
        <v>Уголь длиннопламенный</v>
      </c>
      <c r="CZ226" s="969" t="str" cm="1">
        <f t="array" ref="CZ226">AF226</f>
        <v/>
      </c>
      <c r="DA226" s="966"/>
      <c r="DB226" s="966"/>
    </row>
    <row r="227" spans="1:106" s="1167" customFormat="1" ht="15" hidden="1" customHeight="1" x14ac:dyDescent="0.15">
      <c r="A227" s="1150"/>
      <c r="B227" s="773"/>
      <c r="C227" s="1150"/>
      <c r="D227" s="1150"/>
      <c r="E227" s="668">
        <v>0</v>
      </c>
      <c r="F227" s="769" t="str" cm="1">
        <f t="array" aca="1" ref="F227" ca="1">OFFSET(G227,-1,-1)</f>
        <v>1</v>
      </c>
      <c r="G227" s="804"/>
      <c r="H227" s="804"/>
      <c r="I227" s="804"/>
      <c r="J227" s="804"/>
      <c r="K227" s="804"/>
      <c r="L227" s="769" t="b" cm="1">
        <f t="array" aca="1" ref="L227" ca="1">OFFSET(M227,-1,-1)</f>
        <v>0</v>
      </c>
      <c r="M227" s="804"/>
      <c r="N227" s="804"/>
      <c r="O227" s="804"/>
      <c r="P227" s="804"/>
      <c r="Q227" s="804"/>
      <c r="R227" s="1150"/>
      <c r="S227" s="107" t="b" cm="1">
        <f t="array" aca="1" ref="S227" ca="1">OFFSET(T227,-1,-1)</f>
        <v>1</v>
      </c>
      <c r="T227" s="1150"/>
      <c r="U227" s="690" t="b">
        <f t="shared" ca="1" si="99"/>
        <v>1</v>
      </c>
      <c r="V227" s="1150"/>
      <c r="W227" s="1150"/>
      <c r="X227" s="810" t="str">
        <f>"{                  
         funcDyn: 'msg1',
         blok: 'blok_2',
         wsCross: 'Топливо 4.4',
         linkFormula: 'AE-AE#AF-AF',
         levelDyn: "&amp;Y139&amp;"
}"</f>
        <v>{                  
         funcDyn: 'msg1',
         blok: 'blok_2',
         wsCross: 'Топливо 4.4',
         linkFormula: 'AE-AE#AF-AF',
         levelDyn: 1
}</v>
      </c>
      <c r="Y227" s="1428"/>
      <c r="Z227" s="1428"/>
      <c r="AA227" s="691"/>
      <c r="AB227" s="1545"/>
      <c r="AD227" s="813"/>
      <c r="AE227" s="812" t="s">
        <v>239</v>
      </c>
      <c r="AF227" s="736"/>
      <c r="AG227" s="724"/>
      <c r="AH227" s="726"/>
      <c r="AI227" s="728"/>
      <c r="AJ227" s="728"/>
      <c r="AK227" s="728"/>
      <c r="AL227" s="728"/>
      <c r="AM227" s="728"/>
      <c r="AN227" s="728"/>
      <c r="AO227" s="728"/>
      <c r="AP227" s="728"/>
      <c r="AQ227" s="728"/>
      <c r="AR227" s="728"/>
      <c r="AS227" s="728"/>
      <c r="AT227" s="728"/>
      <c r="AU227" s="728"/>
      <c r="AV227" s="728"/>
      <c r="AW227" s="728"/>
      <c r="AX227" s="728"/>
      <c r="AY227" s="728"/>
      <c r="AZ227" s="728"/>
      <c r="BA227" s="728"/>
      <c r="BB227" s="728"/>
      <c r="BC227" s="728"/>
      <c r="BD227" s="728"/>
      <c r="BE227" s="728"/>
      <c r="BF227" s="728"/>
      <c r="BG227" s="728"/>
      <c r="BH227" s="728"/>
      <c r="BI227" s="728"/>
      <c r="BJ227" s="728"/>
      <c r="BK227" s="728"/>
      <c r="BL227" s="728"/>
      <c r="BM227" s="728"/>
      <c r="BN227" s="728"/>
      <c r="BO227" s="728"/>
      <c r="BP227" s="728"/>
      <c r="BQ227" s="728"/>
      <c r="BR227" s="728"/>
      <c r="BS227" s="728"/>
      <c r="BT227" s="728"/>
      <c r="BU227" s="728"/>
      <c r="BV227" s="728"/>
      <c r="BW227" s="728"/>
      <c r="BX227" s="728"/>
      <c r="BY227" s="728"/>
      <c r="BZ227" s="728"/>
      <c r="CA227" s="728"/>
      <c r="CB227" s="728"/>
      <c r="CC227" s="728"/>
      <c r="CD227" s="728"/>
      <c r="CE227" s="728"/>
      <c r="CF227" s="728"/>
      <c r="CG227" s="728"/>
      <c r="CH227" s="728"/>
      <c r="CI227" s="728"/>
      <c r="CJ227" s="728"/>
      <c r="CK227" s="728"/>
      <c r="CL227" s="728"/>
      <c r="CM227" s="728"/>
      <c r="CN227" s="728"/>
      <c r="CO227" s="728"/>
      <c r="CP227" s="728"/>
      <c r="CQ227" s="728"/>
      <c r="CR227" s="728"/>
      <c r="CS227" s="728"/>
      <c r="CT227" s="43"/>
      <c r="CW227" s="960" t="str">
        <f>IF(AND(ISNUMBER(VALUE(TRIM(SUBSTITUTE(AD227,".","")))),TRIM(SUBSTITUTE(AD227,".",""))&lt;&gt;""),"P"&amp;SUBSTITUTE(AD227,".",""),"")</f>
        <v/>
      </c>
      <c r="CX227" s="965"/>
      <c r="CY227" s="965"/>
      <c r="CZ227" s="965"/>
      <c r="DA227" s="966"/>
      <c r="DB227" s="966"/>
    </row>
    <row r="228" spans="1:106" s="1167" customFormat="1" ht="29.25" hidden="1" customHeight="1" x14ac:dyDescent="0.15">
      <c r="A228" s="1150"/>
      <c r="B228" s="773"/>
      <c r="C228" s="1150"/>
      <c r="D228" s="1150"/>
      <c r="E228" s="668">
        <v>30</v>
      </c>
      <c r="F228" s="769" t="str" cm="1">
        <f t="array" aca="1" ref="F228" ca="1">OFFSET(G228,-1,-1)</f>
        <v>1</v>
      </c>
      <c r="G228" s="804"/>
      <c r="H228" s="804"/>
      <c r="I228" s="804"/>
      <c r="J228" s="804"/>
      <c r="K228" s="804"/>
      <c r="L228" s="769" t="b" cm="1">
        <f t="array" aca="1" ref="L228" ca="1">OFFSET(M228,-1,-1)</f>
        <v>0</v>
      </c>
      <c r="M228" s="804"/>
      <c r="N228" s="804"/>
      <c r="O228" s="804"/>
      <c r="P228" s="804"/>
      <c r="Q228" s="804"/>
      <c r="R228" s="769" t="s">
        <v>750</v>
      </c>
      <c r="S228" s="107" t="b" cm="1">
        <f t="array" aca="1" ref="S228" ca="1">OFFSET(T228,-1,-1)</f>
        <v>1</v>
      </c>
      <c r="T228" s="107" t="b" cm="1">
        <f t="array" aca="1" ref="T228" ca="1">L228</f>
        <v>0</v>
      </c>
      <c r="U228" s="690" t="b">
        <f t="shared" ca="1" si="99"/>
        <v>0</v>
      </c>
      <c r="V228" s="1150"/>
      <c r="W228" s="1150"/>
      <c r="X228" s="1150"/>
      <c r="Y228" s="1428"/>
      <c r="Z228" s="1428"/>
      <c r="AA228" s="691"/>
      <c r="AB228" s="1545"/>
      <c r="AD228" s="121" t="s">
        <v>865</v>
      </c>
      <c r="AE228" s="1515" t="s">
        <v>866</v>
      </c>
      <c r="AF228" s="1516"/>
      <c r="AG228" s="724" t="s">
        <v>830</v>
      </c>
      <c r="AH228" s="725">
        <f t="shared" ref="AH228:BM228" si="103">SUM(AH229:AH231)</f>
        <v>0</v>
      </c>
      <c r="AI228" s="725">
        <f t="shared" si="103"/>
        <v>0</v>
      </c>
      <c r="AJ228" s="725">
        <f t="shared" si="103"/>
        <v>0</v>
      </c>
      <c r="AK228" s="725">
        <f t="shared" si="103"/>
        <v>0</v>
      </c>
      <c r="AL228" s="725">
        <f t="shared" ca="1" si="103"/>
        <v>0</v>
      </c>
      <c r="AM228" s="725">
        <f t="shared" si="103"/>
        <v>0</v>
      </c>
      <c r="AN228" s="725">
        <f t="shared" ca="1" si="103"/>
        <v>0</v>
      </c>
      <c r="AO228" s="725">
        <f t="shared" ca="1" si="103"/>
        <v>0</v>
      </c>
      <c r="AP228" s="725">
        <f t="shared" si="103"/>
        <v>0</v>
      </c>
      <c r="AQ228" s="725">
        <f t="shared" ca="1" si="103"/>
        <v>0</v>
      </c>
      <c r="AR228" s="725">
        <f t="shared" ca="1" si="103"/>
        <v>0</v>
      </c>
      <c r="AS228" s="725">
        <f t="shared" si="103"/>
        <v>0</v>
      </c>
      <c r="AT228" s="725">
        <f t="shared" ca="1" si="103"/>
        <v>0</v>
      </c>
      <c r="AU228" s="725">
        <f t="shared" ca="1" si="103"/>
        <v>0</v>
      </c>
      <c r="AV228" s="725">
        <f t="shared" si="103"/>
        <v>0</v>
      </c>
      <c r="AW228" s="725">
        <f t="shared" ca="1" si="103"/>
        <v>0</v>
      </c>
      <c r="AX228" s="725">
        <f t="shared" ca="1" si="103"/>
        <v>0</v>
      </c>
      <c r="AY228" s="725">
        <f t="shared" si="103"/>
        <v>0</v>
      </c>
      <c r="AZ228" s="725">
        <f t="shared" ca="1" si="103"/>
        <v>0</v>
      </c>
      <c r="BA228" s="725">
        <f t="shared" ca="1" si="103"/>
        <v>0</v>
      </c>
      <c r="BB228" s="725">
        <f t="shared" si="103"/>
        <v>0</v>
      </c>
      <c r="BC228" s="725">
        <f t="shared" ca="1" si="103"/>
        <v>0</v>
      </c>
      <c r="BD228" s="725">
        <f t="shared" ca="1" si="103"/>
        <v>0</v>
      </c>
      <c r="BE228" s="725">
        <f t="shared" si="103"/>
        <v>0</v>
      </c>
      <c r="BF228" s="725">
        <f t="shared" ca="1" si="103"/>
        <v>0</v>
      </c>
      <c r="BG228" s="725">
        <f t="shared" ca="1" si="103"/>
        <v>0</v>
      </c>
      <c r="BH228" s="725">
        <f t="shared" si="103"/>
        <v>0</v>
      </c>
      <c r="BI228" s="725">
        <f t="shared" ca="1" si="103"/>
        <v>0</v>
      </c>
      <c r="BJ228" s="725">
        <f t="shared" ca="1" si="103"/>
        <v>0</v>
      </c>
      <c r="BK228" s="725">
        <f t="shared" si="103"/>
        <v>0</v>
      </c>
      <c r="BL228" s="725">
        <f t="shared" ca="1" si="103"/>
        <v>0</v>
      </c>
      <c r="BM228" s="725">
        <f t="shared" ca="1" si="103"/>
        <v>0</v>
      </c>
      <c r="BN228" s="725">
        <f t="shared" ref="BN228:CS228" si="104">SUM(BN229:BN231)</f>
        <v>0</v>
      </c>
      <c r="BO228" s="725">
        <f t="shared" ca="1" si="104"/>
        <v>0</v>
      </c>
      <c r="BP228" s="725">
        <f t="shared" ca="1" si="104"/>
        <v>0</v>
      </c>
      <c r="BQ228" s="725">
        <f t="shared" si="104"/>
        <v>0</v>
      </c>
      <c r="BR228" s="725">
        <f t="shared" ca="1" si="104"/>
        <v>0</v>
      </c>
      <c r="BS228" s="725">
        <f t="shared" ca="1" si="104"/>
        <v>0</v>
      </c>
      <c r="BT228" s="725">
        <f t="shared" si="104"/>
        <v>0</v>
      </c>
      <c r="BU228" s="725">
        <f t="shared" ca="1" si="104"/>
        <v>0</v>
      </c>
      <c r="BV228" s="725">
        <f t="shared" ca="1" si="104"/>
        <v>0</v>
      </c>
      <c r="BW228" s="725">
        <f t="shared" si="104"/>
        <v>0</v>
      </c>
      <c r="BX228" s="725">
        <f t="shared" ca="1" si="104"/>
        <v>0</v>
      </c>
      <c r="BY228" s="725">
        <f t="shared" ca="1" si="104"/>
        <v>0</v>
      </c>
      <c r="BZ228" s="725">
        <f t="shared" si="104"/>
        <v>0</v>
      </c>
      <c r="CA228" s="725">
        <f t="shared" ca="1" si="104"/>
        <v>0</v>
      </c>
      <c r="CB228" s="725">
        <f t="shared" ca="1" si="104"/>
        <v>0</v>
      </c>
      <c r="CC228" s="725">
        <f t="shared" si="104"/>
        <v>0</v>
      </c>
      <c r="CD228" s="725">
        <f t="shared" ca="1" si="104"/>
        <v>0</v>
      </c>
      <c r="CE228" s="725">
        <f t="shared" ca="1" si="104"/>
        <v>0</v>
      </c>
      <c r="CF228" s="725">
        <f t="shared" si="104"/>
        <v>0</v>
      </c>
      <c r="CG228" s="725">
        <f t="shared" ca="1" si="104"/>
        <v>0</v>
      </c>
      <c r="CH228" s="725">
        <f t="shared" ca="1" si="104"/>
        <v>0</v>
      </c>
      <c r="CI228" s="725">
        <f t="shared" si="104"/>
        <v>0</v>
      </c>
      <c r="CJ228" s="725">
        <f t="shared" ca="1" si="104"/>
        <v>0</v>
      </c>
      <c r="CK228" s="725">
        <f t="shared" ca="1" si="104"/>
        <v>0</v>
      </c>
      <c r="CL228" s="725">
        <f t="shared" si="104"/>
        <v>0</v>
      </c>
      <c r="CM228" s="725">
        <f t="shared" ca="1" si="104"/>
        <v>0</v>
      </c>
      <c r="CN228" s="725">
        <f t="shared" ca="1" si="104"/>
        <v>0</v>
      </c>
      <c r="CO228" s="725">
        <f t="shared" si="104"/>
        <v>0</v>
      </c>
      <c r="CP228" s="725">
        <f t="shared" ca="1" si="104"/>
        <v>0</v>
      </c>
      <c r="CQ228" s="725">
        <f t="shared" ca="1" si="104"/>
        <v>0</v>
      </c>
      <c r="CR228" s="725">
        <f t="shared" si="104"/>
        <v>0</v>
      </c>
      <c r="CS228" s="725">
        <f t="shared" ca="1" si="104"/>
        <v>0</v>
      </c>
      <c r="CT228" s="25"/>
      <c r="CW228" s="960" t="s">
        <v>867</v>
      </c>
      <c r="CX228" s="965"/>
      <c r="CY228" s="965"/>
      <c r="CZ228" s="965"/>
      <c r="DA228" s="966"/>
      <c r="DB228" s="966"/>
    </row>
    <row r="229" spans="1:106" s="1167" customFormat="1" ht="16.5" hidden="1" customHeight="1" x14ac:dyDescent="0.15">
      <c r="E229" s="668">
        <v>17.100000000000001</v>
      </c>
      <c r="F229" s="769" t="str" cm="1">
        <f t="array" aca="1" ref="F229" ca="1">OFFSET(G229,-1,-1)</f>
        <v>1</v>
      </c>
      <c r="L229" s="769" t="b" cm="1">
        <f t="array" aca="1" ref="L229" ca="1">OFFSET(M229,-1,-1)</f>
        <v>0</v>
      </c>
      <c r="R229" s="769" t="s">
        <v>750</v>
      </c>
      <c r="S229" s="107" t="b" cm="1">
        <f t="array" aca="1" ref="S229" ca="1">OFFSET(T229,-1,-1)</f>
        <v>1</v>
      </c>
      <c r="T229" s="107" t="b">
        <f ca="1">AND(L229,AD229&lt;&gt;"33.0")</f>
        <v>0</v>
      </c>
      <c r="U229" s="690" t="b">
        <f t="shared" ca="1" si="99"/>
        <v>0</v>
      </c>
      <c r="X229" s="107" t="s">
        <v>237</v>
      </c>
      <c r="Y229" s="1481"/>
      <c r="Z229" s="1481"/>
      <c r="AB229" s="1545"/>
      <c r="AD229" s="108" t="s">
        <v>868</v>
      </c>
      <c r="AE229" s="811"/>
      <c r="AF229" s="516"/>
      <c r="AG229" s="724" t="s">
        <v>830</v>
      </c>
      <c r="AH229" s="38">
        <f t="shared" ref="AH229:AK230" si="105">AH$163*AH225</f>
        <v>0</v>
      </c>
      <c r="AI229" s="39">
        <f t="shared" si="105"/>
        <v>0</v>
      </c>
      <c r="AJ229" s="39">
        <f t="shared" si="105"/>
        <v>0</v>
      </c>
      <c r="AK229" s="39">
        <f t="shared" si="105"/>
        <v>0</v>
      </c>
      <c r="AL229" s="727">
        <f ca="1">AM229+AN229</f>
        <v>0</v>
      </c>
      <c r="AM229" s="39">
        <f>AM$163*AM225</f>
        <v>0</v>
      </c>
      <c r="AN229" s="39">
        <f ca="1">AN$163*AN225</f>
        <v>0</v>
      </c>
      <c r="AO229" s="727">
        <f ca="1">AP229+AQ229</f>
        <v>0</v>
      </c>
      <c r="AP229" s="39">
        <f>AP$163*AP225</f>
        <v>0</v>
      </c>
      <c r="AQ229" s="39">
        <f ca="1">AQ$163*AQ225</f>
        <v>0</v>
      </c>
      <c r="AR229" s="727">
        <f ca="1">AS229+AT229</f>
        <v>0</v>
      </c>
      <c r="AS229" s="39">
        <f>AS$163*AS225</f>
        <v>0</v>
      </c>
      <c r="AT229" s="39">
        <f ca="1">AT$163*AT225</f>
        <v>0</v>
      </c>
      <c r="AU229" s="727">
        <f ca="1">AV229+AW229</f>
        <v>0</v>
      </c>
      <c r="AV229" s="39">
        <f>AV$163*AV225</f>
        <v>0</v>
      </c>
      <c r="AW229" s="39">
        <f ca="1">AW$163*AW225</f>
        <v>0</v>
      </c>
      <c r="AX229" s="727">
        <f ca="1">AY229+AZ229</f>
        <v>0</v>
      </c>
      <c r="AY229" s="39">
        <f>AY$163*AY225</f>
        <v>0</v>
      </c>
      <c r="AZ229" s="39">
        <f ca="1">AZ$163*AZ225</f>
        <v>0</v>
      </c>
      <c r="BA229" s="727">
        <f ca="1">BB229+BC229</f>
        <v>0</v>
      </c>
      <c r="BB229" s="39">
        <f>BB$163*BB225</f>
        <v>0</v>
      </c>
      <c r="BC229" s="39">
        <f ca="1">BC$163*BC225</f>
        <v>0</v>
      </c>
      <c r="BD229" s="727">
        <f ca="1">BE229+BF229</f>
        <v>0</v>
      </c>
      <c r="BE229" s="39">
        <f>BE$163*BE225</f>
        <v>0</v>
      </c>
      <c r="BF229" s="39">
        <f ca="1">BF$163*BF225</f>
        <v>0</v>
      </c>
      <c r="BG229" s="727">
        <f ca="1">BH229+BI229</f>
        <v>0</v>
      </c>
      <c r="BH229" s="39">
        <f>BH$163*BH225</f>
        <v>0</v>
      </c>
      <c r="BI229" s="39">
        <f ca="1">BI$163*BI225</f>
        <v>0</v>
      </c>
      <c r="BJ229" s="727">
        <f ca="1">BK229+BL229</f>
        <v>0</v>
      </c>
      <c r="BK229" s="39">
        <f>BK$163*BK225</f>
        <v>0</v>
      </c>
      <c r="BL229" s="39">
        <f ca="1">BL$163*BL225</f>
        <v>0</v>
      </c>
      <c r="BM229" s="727">
        <f ca="1">BN229+BO229</f>
        <v>0</v>
      </c>
      <c r="BN229" s="39">
        <f>BN$163*BN225</f>
        <v>0</v>
      </c>
      <c r="BO229" s="39">
        <f ca="1">BO$163*BO225</f>
        <v>0</v>
      </c>
      <c r="BP229" s="727">
        <f ca="1">BQ229+BR229</f>
        <v>0</v>
      </c>
      <c r="BQ229" s="816">
        <f>BQ$163*BQ225</f>
        <v>0</v>
      </c>
      <c r="BR229" s="816">
        <f ca="1">BR$163*BR225</f>
        <v>0</v>
      </c>
      <c r="BS229" s="727">
        <f ca="1">BT229+BU229</f>
        <v>0</v>
      </c>
      <c r="BT229" s="39">
        <f>BT$163*BT225</f>
        <v>0</v>
      </c>
      <c r="BU229" s="39">
        <f ca="1">BU$163*BU225</f>
        <v>0</v>
      </c>
      <c r="BV229" s="727">
        <f ca="1">BW229+BX229</f>
        <v>0</v>
      </c>
      <c r="BW229" s="39">
        <f>BW$163*BW225</f>
        <v>0</v>
      </c>
      <c r="BX229" s="39">
        <f ca="1">BX$163*BX225</f>
        <v>0</v>
      </c>
      <c r="BY229" s="727">
        <f ca="1">BZ229+CA229</f>
        <v>0</v>
      </c>
      <c r="BZ229" s="39">
        <f>BZ$163*BZ225</f>
        <v>0</v>
      </c>
      <c r="CA229" s="39">
        <f ca="1">CA$163*CA225</f>
        <v>0</v>
      </c>
      <c r="CB229" s="727">
        <f ca="1">CC229+CD229</f>
        <v>0</v>
      </c>
      <c r="CC229" s="39">
        <f>CC$163*CC225</f>
        <v>0</v>
      </c>
      <c r="CD229" s="39">
        <f ca="1">CD$163*CD225</f>
        <v>0</v>
      </c>
      <c r="CE229" s="727">
        <f ca="1">CF229+CG229</f>
        <v>0</v>
      </c>
      <c r="CF229" s="39">
        <f>CF$163*CF225</f>
        <v>0</v>
      </c>
      <c r="CG229" s="39">
        <f ca="1">CG$163*CG225</f>
        <v>0</v>
      </c>
      <c r="CH229" s="727">
        <f ca="1">CI229+CJ229</f>
        <v>0</v>
      </c>
      <c r="CI229" s="39">
        <f>CI$163*CI225</f>
        <v>0</v>
      </c>
      <c r="CJ229" s="39">
        <f ca="1">CJ$163*CJ225</f>
        <v>0</v>
      </c>
      <c r="CK229" s="727">
        <f ca="1">CL229+CM229</f>
        <v>0</v>
      </c>
      <c r="CL229" s="39">
        <f>CL$163*CL225</f>
        <v>0</v>
      </c>
      <c r="CM229" s="39">
        <f ca="1">CM$163*CM225</f>
        <v>0</v>
      </c>
      <c r="CN229" s="727">
        <f ca="1">CO229+CP229</f>
        <v>0</v>
      </c>
      <c r="CO229" s="39">
        <f>CO$163*CO225</f>
        <v>0</v>
      </c>
      <c r="CP229" s="39">
        <f ca="1">CP$163*CP225</f>
        <v>0</v>
      </c>
      <c r="CQ229" s="727">
        <f ca="1">CR229+CS229</f>
        <v>0</v>
      </c>
      <c r="CR229" s="39">
        <f>CR$163*CR225</f>
        <v>0</v>
      </c>
      <c r="CS229" s="39">
        <f ca="1">CS$163*CS225</f>
        <v>0</v>
      </c>
      <c r="CT229" s="25"/>
      <c r="CW229" s="960" t="s">
        <v>867</v>
      </c>
      <c r="CX229" s="965" t="s">
        <v>812</v>
      </c>
      <c r="CY229" s="969" cm="1">
        <f t="array" ref="CY229">AE229</f>
        <v>0</v>
      </c>
      <c r="CZ229" s="969" cm="1">
        <f t="array" ref="CZ229">AF229</f>
        <v>0</v>
      </c>
      <c r="DA229" s="966"/>
      <c r="DB229" s="966"/>
    </row>
    <row r="230" spans="1:106" s="1167" customFormat="1" ht="16.5" hidden="1" customHeight="1" x14ac:dyDescent="0.15">
      <c r="E230" s="668">
        <v>17.100000000000001</v>
      </c>
      <c r="F230" s="769" t="str" cm="1">
        <f t="array" aca="1" ref="F230" ca="1">OFFSET(G230,-1,-1)</f>
        <v>1</v>
      </c>
      <c r="L230" s="769" t="b" cm="1">
        <f t="array" aca="1" ref="L230" ca="1">OFFSET(M230,-1,-1)</f>
        <v>0</v>
      </c>
      <c r="R230" s="769" t="s">
        <v>750</v>
      </c>
      <c r="S230" s="107" t="b" cm="1">
        <f t="array" aca="1" ref="S230" ca="1">OFFSET(T230,-1,-1)</f>
        <v>1</v>
      </c>
      <c r="T230" s="107" t="b">
        <f ca="1">AND(L230,AD230&lt;&gt;"33.0")</f>
        <v>0</v>
      </c>
      <c r="U230" s="690" t="b">
        <f t="shared" ca="1" si="99"/>
        <v>0</v>
      </c>
      <c r="X230" s="107" t="str">
        <f>'Топливо 4.4'!$AE$226&amp;'Топливо 4.4'!$AF$226</f>
        <v>Уголь длиннопламенный</v>
      </c>
      <c r="Y230" s="1481"/>
      <c r="Z230" s="1481"/>
      <c r="AB230" s="1545"/>
      <c r="AD230" s="108" t="s">
        <v>937</v>
      </c>
      <c r="AE230" s="811" t="str" cm="1">
        <f t="array" ref="AE230">IF(ISBLANK('Топливо 4.4'!$AE$226),"",'Топливо 4.4'!$AE$226)</f>
        <v>Уголь длиннопламенный</v>
      </c>
      <c r="AF230" s="516" t="str" cm="1">
        <f t="array" ref="AF230">IF(ISBLANK('Топливо 4.4'!$AF$226),"",'Топливо 4.4'!$AF$226)</f>
        <v/>
      </c>
      <c r="AG230" s="724" t="s">
        <v>830</v>
      </c>
      <c r="AH230" s="38">
        <f t="shared" si="105"/>
        <v>0</v>
      </c>
      <c r="AI230" s="39">
        <f t="shared" si="105"/>
        <v>0</v>
      </c>
      <c r="AJ230" s="39">
        <f t="shared" si="105"/>
        <v>0</v>
      </c>
      <c r="AK230" s="39">
        <f t="shared" si="105"/>
        <v>0</v>
      </c>
      <c r="AL230" s="727">
        <f ca="1">AM230+AN230</f>
        <v>0</v>
      </c>
      <c r="AM230" s="39">
        <f>AM$163*AM226</f>
        <v>0</v>
      </c>
      <c r="AN230" s="39">
        <f ca="1">AN$163*AN226</f>
        <v>0</v>
      </c>
      <c r="AO230" s="727">
        <f ca="1">AP230+AQ230</f>
        <v>0</v>
      </c>
      <c r="AP230" s="39">
        <f>AP$163*AP226</f>
        <v>0</v>
      </c>
      <c r="AQ230" s="39">
        <f ca="1">AQ$163*AQ226</f>
        <v>0</v>
      </c>
      <c r="AR230" s="727">
        <f ca="1">AS230+AT230</f>
        <v>0</v>
      </c>
      <c r="AS230" s="39">
        <f>AS$163*AS226</f>
        <v>0</v>
      </c>
      <c r="AT230" s="39">
        <f ca="1">AT$163*AT226</f>
        <v>0</v>
      </c>
      <c r="AU230" s="727">
        <f ca="1">AV230+AW230</f>
        <v>0</v>
      </c>
      <c r="AV230" s="39">
        <f>AV$163*AV226</f>
        <v>0</v>
      </c>
      <c r="AW230" s="39">
        <f ca="1">AW$163*AW226</f>
        <v>0</v>
      </c>
      <c r="AX230" s="727">
        <f ca="1">AY230+AZ230</f>
        <v>0</v>
      </c>
      <c r="AY230" s="39">
        <f>AY$163*AY226</f>
        <v>0</v>
      </c>
      <c r="AZ230" s="39">
        <f ca="1">AZ$163*AZ226</f>
        <v>0</v>
      </c>
      <c r="BA230" s="727">
        <f ca="1">BB230+BC230</f>
        <v>0</v>
      </c>
      <c r="BB230" s="39">
        <f>BB$163*BB226</f>
        <v>0</v>
      </c>
      <c r="BC230" s="39">
        <f ca="1">BC$163*BC226</f>
        <v>0</v>
      </c>
      <c r="BD230" s="727">
        <f ca="1">BE230+BF230</f>
        <v>0</v>
      </c>
      <c r="BE230" s="39">
        <f>BE$163*BE226</f>
        <v>0</v>
      </c>
      <c r="BF230" s="39">
        <f ca="1">BF$163*BF226</f>
        <v>0</v>
      </c>
      <c r="BG230" s="727">
        <f ca="1">BH230+BI230</f>
        <v>0</v>
      </c>
      <c r="BH230" s="39">
        <f>BH$163*BH226</f>
        <v>0</v>
      </c>
      <c r="BI230" s="39">
        <f ca="1">BI$163*BI226</f>
        <v>0</v>
      </c>
      <c r="BJ230" s="727">
        <f ca="1">BK230+BL230</f>
        <v>0</v>
      </c>
      <c r="BK230" s="39">
        <f>BK$163*BK226</f>
        <v>0</v>
      </c>
      <c r="BL230" s="39">
        <f ca="1">BL$163*BL226</f>
        <v>0</v>
      </c>
      <c r="BM230" s="727">
        <f ca="1">BN230+BO230</f>
        <v>0</v>
      </c>
      <c r="BN230" s="39">
        <f>BN$163*BN226</f>
        <v>0</v>
      </c>
      <c r="BO230" s="39">
        <f ca="1">BO$163*BO226</f>
        <v>0</v>
      </c>
      <c r="BP230" s="727">
        <f ca="1">BQ230+BR230</f>
        <v>0</v>
      </c>
      <c r="BQ230" s="816">
        <f>BQ$163*BQ226</f>
        <v>0</v>
      </c>
      <c r="BR230" s="816">
        <f ca="1">BR$163*BR226</f>
        <v>0</v>
      </c>
      <c r="BS230" s="727">
        <f ca="1">BT230+BU230</f>
        <v>0</v>
      </c>
      <c r="BT230" s="39">
        <f>BT$163*BT226</f>
        <v>0</v>
      </c>
      <c r="BU230" s="39">
        <f ca="1">BU$163*BU226</f>
        <v>0</v>
      </c>
      <c r="BV230" s="727">
        <f ca="1">BW230+BX230</f>
        <v>0</v>
      </c>
      <c r="BW230" s="39">
        <f>BW$163*BW226</f>
        <v>0</v>
      </c>
      <c r="BX230" s="39">
        <f ca="1">BX$163*BX226</f>
        <v>0</v>
      </c>
      <c r="BY230" s="727">
        <f ca="1">BZ230+CA230</f>
        <v>0</v>
      </c>
      <c r="BZ230" s="39">
        <f>BZ$163*BZ226</f>
        <v>0</v>
      </c>
      <c r="CA230" s="39">
        <f ca="1">CA$163*CA226</f>
        <v>0</v>
      </c>
      <c r="CB230" s="727">
        <f ca="1">CC230+CD230</f>
        <v>0</v>
      </c>
      <c r="CC230" s="39">
        <f>CC$163*CC226</f>
        <v>0</v>
      </c>
      <c r="CD230" s="39">
        <f ca="1">CD$163*CD226</f>
        <v>0</v>
      </c>
      <c r="CE230" s="727">
        <f ca="1">CF230+CG230</f>
        <v>0</v>
      </c>
      <c r="CF230" s="39">
        <f>CF$163*CF226</f>
        <v>0</v>
      </c>
      <c r="CG230" s="39">
        <f ca="1">CG$163*CG226</f>
        <v>0</v>
      </c>
      <c r="CH230" s="727">
        <f ca="1">CI230+CJ230</f>
        <v>0</v>
      </c>
      <c r="CI230" s="39">
        <f>CI$163*CI226</f>
        <v>0</v>
      </c>
      <c r="CJ230" s="39">
        <f ca="1">CJ$163*CJ226</f>
        <v>0</v>
      </c>
      <c r="CK230" s="727">
        <f ca="1">CL230+CM230</f>
        <v>0</v>
      </c>
      <c r="CL230" s="39">
        <f>CL$163*CL226</f>
        <v>0</v>
      </c>
      <c r="CM230" s="39">
        <f ca="1">CM$163*CM226</f>
        <v>0</v>
      </c>
      <c r="CN230" s="727">
        <f ca="1">CO230+CP230</f>
        <v>0</v>
      </c>
      <c r="CO230" s="39">
        <f>CO$163*CO226</f>
        <v>0</v>
      </c>
      <c r="CP230" s="39">
        <f ca="1">CP$163*CP226</f>
        <v>0</v>
      </c>
      <c r="CQ230" s="727">
        <f ca="1">CR230+CS230</f>
        <v>0</v>
      </c>
      <c r="CR230" s="39">
        <f>CR$163*CR226</f>
        <v>0</v>
      </c>
      <c r="CS230" s="39">
        <f ca="1">CS$163*CS226</f>
        <v>0</v>
      </c>
      <c r="CT230" s="25"/>
      <c r="CW230" s="960" t="s">
        <v>867</v>
      </c>
      <c r="CX230" s="965" t="s">
        <v>812</v>
      </c>
      <c r="CY230" s="969" t="str" cm="1">
        <f t="array" ref="CY230">AE230</f>
        <v>Уголь длиннопламенный</v>
      </c>
      <c r="CZ230" s="969" t="str" cm="1">
        <f t="array" ref="CZ230">AF230</f>
        <v/>
      </c>
      <c r="DA230" s="966"/>
      <c r="DB230" s="966"/>
    </row>
    <row r="231" spans="1:106" s="1167" customFormat="1" ht="15" hidden="1" customHeight="1" x14ac:dyDescent="0.15">
      <c r="A231" s="1150"/>
      <c r="B231" s="773"/>
      <c r="C231" s="1150"/>
      <c r="D231" s="1150"/>
      <c r="E231" s="668">
        <v>0</v>
      </c>
      <c r="F231" s="769" t="str" cm="1">
        <f t="array" aca="1" ref="F231" ca="1">OFFSET(G231,-1,-1)</f>
        <v>1</v>
      </c>
      <c r="G231" s="804"/>
      <c r="H231" s="804"/>
      <c r="I231" s="804"/>
      <c r="J231" s="804"/>
      <c r="K231" s="804"/>
      <c r="L231" s="769" t="b" cm="1">
        <f t="array" aca="1" ref="L231" ca="1">OFFSET(M231,-1,-1)</f>
        <v>0</v>
      </c>
      <c r="M231" s="804"/>
      <c r="N231" s="804"/>
      <c r="O231" s="804"/>
      <c r="P231" s="804"/>
      <c r="Q231" s="804"/>
      <c r="R231" s="1150"/>
      <c r="S231" s="107" t="b" cm="1">
        <f t="array" aca="1" ref="S231" ca="1">OFFSET(T231,-1,-1)</f>
        <v>1</v>
      </c>
      <c r="T231" s="1150"/>
      <c r="U231" s="690" t="b">
        <f t="shared" ca="1" si="99"/>
        <v>1</v>
      </c>
      <c r="V231" s="1150"/>
      <c r="W231" s="1150"/>
      <c r="X231" s="810" t="str">
        <f>"{                  
         funcDyn: 'msg1',
         blok: 'blok_2',
         wsCross: 'Топливо 4.4',
         linkFormula: 'AE-AE#AF-AF',
         levelDyn: "&amp;Y139&amp;"
}"</f>
        <v>{                  
         funcDyn: 'msg1',
         blok: 'blok_2',
         wsCross: 'Топливо 4.4',
         linkFormula: 'AE-AE#AF-AF',
         levelDyn: 1
}</v>
      </c>
      <c r="Y231" s="1428"/>
      <c r="Z231" s="1428"/>
      <c r="AA231" s="691"/>
      <c r="AB231" s="1546"/>
      <c r="AD231" s="813"/>
      <c r="AE231" s="812" t="s">
        <v>239</v>
      </c>
      <c r="AF231" s="736"/>
      <c r="AG231" s="724"/>
      <c r="AH231" s="726"/>
      <c r="AI231" s="728"/>
      <c r="AJ231" s="728"/>
      <c r="AK231" s="728"/>
      <c r="AL231" s="728"/>
      <c r="AM231" s="728"/>
      <c r="AN231" s="728"/>
      <c r="AO231" s="728"/>
      <c r="AP231" s="728"/>
      <c r="AQ231" s="728"/>
      <c r="AR231" s="728"/>
      <c r="AS231" s="728"/>
      <c r="AT231" s="728"/>
      <c r="AU231" s="728"/>
      <c r="AV231" s="728"/>
      <c r="AW231" s="728"/>
      <c r="AX231" s="728"/>
      <c r="AY231" s="728"/>
      <c r="AZ231" s="728"/>
      <c r="BA231" s="728"/>
      <c r="BB231" s="728"/>
      <c r="BC231" s="728"/>
      <c r="BD231" s="728"/>
      <c r="BE231" s="728"/>
      <c r="BF231" s="728"/>
      <c r="BG231" s="728"/>
      <c r="BH231" s="728"/>
      <c r="BI231" s="728"/>
      <c r="BJ231" s="728"/>
      <c r="BK231" s="728"/>
      <c r="BL231" s="728"/>
      <c r="BM231" s="728"/>
      <c r="BN231" s="728"/>
      <c r="BO231" s="728"/>
      <c r="BP231" s="728"/>
      <c r="BQ231" s="728"/>
      <c r="BR231" s="728"/>
      <c r="BS231" s="728"/>
      <c r="BT231" s="728"/>
      <c r="BU231" s="728"/>
      <c r="BV231" s="728"/>
      <c r="BW231" s="728"/>
      <c r="BX231" s="728"/>
      <c r="BY231" s="728"/>
      <c r="BZ231" s="728"/>
      <c r="CA231" s="728"/>
      <c r="CB231" s="728"/>
      <c r="CC231" s="728"/>
      <c r="CD231" s="728"/>
      <c r="CE231" s="728"/>
      <c r="CF231" s="728"/>
      <c r="CG231" s="728"/>
      <c r="CH231" s="728"/>
      <c r="CI231" s="728"/>
      <c r="CJ231" s="728"/>
      <c r="CK231" s="728"/>
      <c r="CL231" s="728"/>
      <c r="CM231" s="728"/>
      <c r="CN231" s="728"/>
      <c r="CO231" s="728"/>
      <c r="CP231" s="728"/>
      <c r="CQ231" s="728"/>
      <c r="CR231" s="728"/>
      <c r="CS231" s="728"/>
      <c r="CT231" s="43"/>
      <c r="CW231" s="960" t="str">
        <f>IF(AND(ISNUMBER(VALUE(TRIM(SUBSTITUTE(AD231,".","")))),TRIM(SUBSTITUTE(AD231,".",""))&lt;&gt;""),"P"&amp;SUBSTITUTE(AD231,".",""),"")</f>
        <v/>
      </c>
      <c r="CX231" s="965"/>
      <c r="CY231" s="965"/>
      <c r="CZ231" s="965"/>
      <c r="DA231" s="966"/>
      <c r="DB231" s="966"/>
    </row>
    <row r="232" spans="1:106" s="1167" customFormat="1" ht="16.5" customHeight="1" x14ac:dyDescent="0.15">
      <c r="A232" s="1150"/>
      <c r="B232" s="773"/>
      <c r="C232" s="1150"/>
      <c r="D232" s="1150"/>
      <c r="E232" s="668">
        <v>17.100000000000001</v>
      </c>
      <c r="F232" s="769" t="str" cm="1">
        <f t="array" aca="1" ref="F232" ca="1">OFFSET(G232,-1,-1)</f>
        <v>1</v>
      </c>
      <c r="G232" s="804"/>
      <c r="H232" s="804"/>
      <c r="I232" s="804"/>
      <c r="J232" s="804"/>
      <c r="K232" s="804"/>
      <c r="L232" s="769" t="b" cm="1">
        <f t="array" aca="1" ref="L232" ca="1">OFFSET(M232,-1,-1)</f>
        <v>0</v>
      </c>
      <c r="M232" s="804"/>
      <c r="N232" s="804"/>
      <c r="O232" s="804"/>
      <c r="P232" s="804"/>
      <c r="Q232" s="804"/>
      <c r="R232" s="1150"/>
      <c r="S232" s="107" t="b" cm="1">
        <f t="array" aca="1" ref="S232" ca="1">OFFSET(T232,-1,-1)</f>
        <v>1</v>
      </c>
      <c r="T232" s="1150"/>
      <c r="U232" s="690" t="b">
        <f t="shared" ca="1" si="99"/>
        <v>1</v>
      </c>
      <c r="V232" s="1150"/>
      <c r="W232" s="1150"/>
      <c r="X232" s="1150"/>
      <c r="Y232" s="1428"/>
      <c r="Z232" s="1428"/>
      <c r="AA232" s="691"/>
      <c r="AB232" s="1535" t="s">
        <v>869</v>
      </c>
      <c r="AD232" s="121" t="s">
        <v>870</v>
      </c>
      <c r="AE232" s="1510" t="s">
        <v>871</v>
      </c>
      <c r="AF232" s="1493"/>
      <c r="AG232" s="839"/>
      <c r="AH232" s="726"/>
      <c r="AI232" s="728"/>
      <c r="AJ232" s="728"/>
      <c r="AK232" s="728"/>
      <c r="AL232" s="728"/>
      <c r="AM232" s="728"/>
      <c r="AN232" s="728"/>
      <c r="AO232" s="728"/>
      <c r="AP232" s="728"/>
      <c r="AQ232" s="728"/>
      <c r="AR232" s="728"/>
      <c r="AS232" s="728"/>
      <c r="AT232" s="728"/>
      <c r="AU232" s="728"/>
      <c r="AV232" s="728"/>
      <c r="AW232" s="728"/>
      <c r="AX232" s="728"/>
      <c r="AY232" s="728"/>
      <c r="AZ232" s="728"/>
      <c r="BA232" s="728"/>
      <c r="BB232" s="728"/>
      <c r="BC232" s="728"/>
      <c r="BD232" s="728"/>
      <c r="BE232" s="728"/>
      <c r="BF232" s="728"/>
      <c r="BG232" s="728"/>
      <c r="BH232" s="728"/>
      <c r="BI232" s="728"/>
      <c r="BJ232" s="728"/>
      <c r="BK232" s="728"/>
      <c r="BL232" s="728"/>
      <c r="BM232" s="728"/>
      <c r="BN232" s="728"/>
      <c r="BO232" s="728"/>
      <c r="BP232" s="728"/>
      <c r="BQ232" s="728"/>
      <c r="BR232" s="728"/>
      <c r="BS232" s="728"/>
      <c r="BT232" s="728"/>
      <c r="BU232" s="728"/>
      <c r="BV232" s="728"/>
      <c r="BW232" s="728"/>
      <c r="BX232" s="728"/>
      <c r="BY232" s="728"/>
      <c r="BZ232" s="728"/>
      <c r="CA232" s="728"/>
      <c r="CB232" s="728"/>
      <c r="CC232" s="728"/>
      <c r="CD232" s="728"/>
      <c r="CE232" s="728"/>
      <c r="CF232" s="728"/>
      <c r="CG232" s="728"/>
      <c r="CH232" s="728"/>
      <c r="CI232" s="728"/>
      <c r="CJ232" s="728"/>
      <c r="CK232" s="728"/>
      <c r="CL232" s="728"/>
      <c r="CM232" s="728"/>
      <c r="CN232" s="728"/>
      <c r="CO232" s="728"/>
      <c r="CP232" s="728"/>
      <c r="CQ232" s="728"/>
      <c r="CR232" s="728"/>
      <c r="CS232" s="728"/>
      <c r="CT232" s="1231"/>
      <c r="CW232" s="960" t="s">
        <v>872</v>
      </c>
      <c r="CX232" s="965"/>
      <c r="CY232" s="965"/>
      <c r="CZ232" s="965"/>
      <c r="DA232" s="966"/>
      <c r="DB232" s="966"/>
    </row>
    <row r="233" spans="1:106" s="1167" customFormat="1" ht="16.5" hidden="1" customHeight="1" x14ac:dyDescent="0.15">
      <c r="E233" s="668">
        <v>17.100000000000001</v>
      </c>
      <c r="F233" s="769" t="str" cm="1">
        <f t="array" aca="1" ref="F233" ca="1">OFFSET(G233,-1,-1)</f>
        <v>1</v>
      </c>
      <c r="L233" s="769" t="b" cm="1">
        <f t="array" aca="1" ref="L233" ca="1">OFFSET(M233,-1,-1)</f>
        <v>0</v>
      </c>
      <c r="S233" s="107" t="b" cm="1">
        <f t="array" aca="1" ref="S233" ca="1">OFFSET(T233,-1,-1)</f>
        <v>1</v>
      </c>
      <c r="T233" s="107" t="b">
        <f>AD233&lt;&gt;"34.0"</f>
        <v>0</v>
      </c>
      <c r="U233" s="690" t="b">
        <f t="shared" ca="1" si="99"/>
        <v>0</v>
      </c>
      <c r="X233" s="107" t="s">
        <v>237</v>
      </c>
      <c r="Y233" s="1481"/>
      <c r="Z233" s="1481"/>
      <c r="AB233" s="1536"/>
      <c r="AD233" s="108" t="s">
        <v>873</v>
      </c>
      <c r="AE233" s="811"/>
      <c r="AF233" s="516"/>
      <c r="AG233" s="724" t="s">
        <v>521</v>
      </c>
      <c r="AH233" s="42"/>
      <c r="AI233" s="46"/>
      <c r="AJ233" s="46"/>
      <c r="AK233" s="46"/>
      <c r="AL233" s="728"/>
      <c r="AM233" s="46"/>
      <c r="AN233" s="46"/>
      <c r="AO233" s="728"/>
      <c r="AP233" s="46"/>
      <c r="AQ233" s="46"/>
      <c r="AR233" s="728"/>
      <c r="AS233" s="46"/>
      <c r="AT233" s="46"/>
      <c r="AU233" s="728"/>
      <c r="AV233" s="46"/>
      <c r="AW233" s="46"/>
      <c r="AX233" s="728"/>
      <c r="AY233" s="46"/>
      <c r="AZ233" s="46"/>
      <c r="BA233" s="728"/>
      <c r="BB233" s="46"/>
      <c r="BC233" s="46"/>
      <c r="BD233" s="728"/>
      <c r="BE233" s="46"/>
      <c r="BF233" s="46"/>
      <c r="BG233" s="728"/>
      <c r="BH233" s="46"/>
      <c r="BI233" s="46"/>
      <c r="BJ233" s="728"/>
      <c r="BK233" s="46"/>
      <c r="BL233" s="46"/>
      <c r="BM233" s="728"/>
      <c r="BN233" s="46"/>
      <c r="BO233" s="46"/>
      <c r="BP233" s="728"/>
      <c r="BQ233" s="819"/>
      <c r="BR233" s="819"/>
      <c r="BS233" s="728"/>
      <c r="BT233" s="46"/>
      <c r="BU233" s="46"/>
      <c r="BV233" s="728"/>
      <c r="BW233" s="46"/>
      <c r="BX233" s="46"/>
      <c r="BY233" s="728"/>
      <c r="BZ233" s="46"/>
      <c r="CA233" s="46"/>
      <c r="CB233" s="728"/>
      <c r="CC233" s="46"/>
      <c r="CD233" s="46"/>
      <c r="CE233" s="728"/>
      <c r="CF233" s="46"/>
      <c r="CG233" s="46"/>
      <c r="CH233" s="728"/>
      <c r="CI233" s="46"/>
      <c r="CJ233" s="46"/>
      <c r="CK233" s="728"/>
      <c r="CL233" s="46"/>
      <c r="CM233" s="46"/>
      <c r="CN233" s="728"/>
      <c r="CO233" s="46"/>
      <c r="CP233" s="46"/>
      <c r="CQ233" s="728"/>
      <c r="CR233" s="46"/>
      <c r="CS233" s="46"/>
      <c r="CT233" s="25"/>
      <c r="CW233" s="960" t="s">
        <v>872</v>
      </c>
      <c r="CX233" s="965" t="s">
        <v>812</v>
      </c>
      <c r="CY233" s="969" cm="1">
        <f t="array" ref="CY233">AE233</f>
        <v>0</v>
      </c>
      <c r="CZ233" s="969" cm="1">
        <f t="array" ref="CZ233">AF233</f>
        <v>0</v>
      </c>
      <c r="DA233" s="966"/>
      <c r="DB233" s="966"/>
    </row>
    <row r="234" spans="1:106" s="1167" customFormat="1" ht="16.5" customHeight="1" x14ac:dyDescent="0.15">
      <c r="E234" s="668">
        <v>17.100000000000001</v>
      </c>
      <c r="F234" s="769" t="str" cm="1">
        <f t="array" aca="1" ref="F234" ca="1">OFFSET(G234,-1,-1)</f>
        <v>1</v>
      </c>
      <c r="L234" s="769" t="b" cm="1">
        <f t="array" aca="1" ref="L234" ca="1">OFFSET(M234,-1,-1)</f>
        <v>0</v>
      </c>
      <c r="S234" s="107" t="b" cm="1">
        <f t="array" aca="1" ref="S234" ca="1">OFFSET(T234,-1,-1)</f>
        <v>1</v>
      </c>
      <c r="T234" s="107" t="b">
        <f>AD234&lt;&gt;"34.0"</f>
        <v>1</v>
      </c>
      <c r="U234" s="690" t="b">
        <f t="shared" ca="1" si="99"/>
        <v>1</v>
      </c>
      <c r="X234" s="107" t="str">
        <f>'Топливо 4.4'!$AE$230&amp;'Топливо 4.4'!$AF$230</f>
        <v>Уголь длиннопламенный</v>
      </c>
      <c r="Y234" s="1481"/>
      <c r="Z234" s="1481"/>
      <c r="AB234" s="1536"/>
      <c r="AD234" s="108" t="s">
        <v>938</v>
      </c>
      <c r="AE234" s="811" t="str" cm="1">
        <f t="array" ref="AE234">IF(ISBLANK('Топливо 4.4'!$AE$230),"",'Топливо 4.4'!$AE$230)</f>
        <v>Уголь длиннопламенный</v>
      </c>
      <c r="AF234" s="516" t="str" cm="1">
        <f t="array" ref="AF234">IF(ISBLANK('Топливо 4.4'!$AF$230),"",'Топливо 4.4'!$AF$230)</f>
        <v/>
      </c>
      <c r="AG234" s="724" t="s">
        <v>521</v>
      </c>
      <c r="AH234" s="1254"/>
      <c r="AI234" s="1257"/>
      <c r="AJ234" s="1257"/>
      <c r="AK234" s="1257"/>
      <c r="AL234" s="728"/>
      <c r="AM234" s="1257"/>
      <c r="AN234" s="1257"/>
      <c r="AO234" s="728"/>
      <c r="AP234" s="1257"/>
      <c r="AQ234" s="1257"/>
      <c r="AR234" s="728"/>
      <c r="AS234" s="1257"/>
      <c r="AT234" s="1257"/>
      <c r="AU234" s="728"/>
      <c r="AV234" s="1257"/>
      <c r="AW234" s="1257"/>
      <c r="AX234" s="728"/>
      <c r="AY234" s="1257"/>
      <c r="AZ234" s="1257"/>
      <c r="BA234" s="728"/>
      <c r="BB234" s="1257"/>
      <c r="BC234" s="1257"/>
      <c r="BD234" s="728"/>
      <c r="BE234" s="1257"/>
      <c r="BF234" s="1257"/>
      <c r="BG234" s="728"/>
      <c r="BH234" s="1257"/>
      <c r="BI234" s="1257"/>
      <c r="BJ234" s="728"/>
      <c r="BK234" s="1257"/>
      <c r="BL234" s="1257"/>
      <c r="BM234" s="728"/>
      <c r="BN234" s="1257"/>
      <c r="BO234" s="1257"/>
      <c r="BP234" s="728"/>
      <c r="BQ234" s="819"/>
      <c r="BR234" s="819"/>
      <c r="BS234" s="728"/>
      <c r="BT234" s="1257"/>
      <c r="BU234" s="1257"/>
      <c r="BV234" s="728"/>
      <c r="BW234" s="1257"/>
      <c r="BX234" s="1257"/>
      <c r="BY234" s="728"/>
      <c r="BZ234" s="1257"/>
      <c r="CA234" s="1257"/>
      <c r="CB234" s="728"/>
      <c r="CC234" s="1257"/>
      <c r="CD234" s="1257"/>
      <c r="CE234" s="728"/>
      <c r="CF234" s="1257"/>
      <c r="CG234" s="1257"/>
      <c r="CH234" s="728"/>
      <c r="CI234" s="1257"/>
      <c r="CJ234" s="1257"/>
      <c r="CK234" s="728"/>
      <c r="CL234" s="1257"/>
      <c r="CM234" s="1257"/>
      <c r="CN234" s="728"/>
      <c r="CO234" s="1257"/>
      <c r="CP234" s="1257"/>
      <c r="CQ234" s="728"/>
      <c r="CR234" s="1257"/>
      <c r="CS234" s="1257"/>
      <c r="CT234" s="1231"/>
      <c r="CW234" s="960" t="s">
        <v>872</v>
      </c>
      <c r="CX234" s="965" t="s">
        <v>812</v>
      </c>
      <c r="CY234" s="969" t="str" cm="1">
        <f t="array" ref="CY234">AE234</f>
        <v>Уголь длиннопламенный</v>
      </c>
      <c r="CZ234" s="969" t="str" cm="1">
        <f t="array" ref="CZ234">AF234</f>
        <v/>
      </c>
      <c r="DA234" s="966"/>
      <c r="DB234" s="966"/>
    </row>
    <row r="235" spans="1:106" s="1167" customFormat="1" ht="15" hidden="1" customHeight="1" x14ac:dyDescent="0.15">
      <c r="A235" s="1150"/>
      <c r="B235" s="773"/>
      <c r="C235" s="1150"/>
      <c r="D235" s="1150"/>
      <c r="E235" s="668">
        <v>0</v>
      </c>
      <c r="F235" s="769" t="str" cm="1">
        <f t="array" aca="1" ref="F235" ca="1">OFFSET(G235,-1,-1)</f>
        <v>1</v>
      </c>
      <c r="G235" s="804"/>
      <c r="H235" s="804"/>
      <c r="I235" s="804"/>
      <c r="J235" s="804"/>
      <c r="K235" s="804"/>
      <c r="L235" s="769" t="b" cm="1">
        <f t="array" aca="1" ref="L235" ca="1">OFFSET(M235,-1,-1)</f>
        <v>0</v>
      </c>
      <c r="M235" s="804"/>
      <c r="N235" s="804"/>
      <c r="O235" s="804"/>
      <c r="P235" s="804"/>
      <c r="Q235" s="804"/>
      <c r="R235" s="1150"/>
      <c r="S235" s="107" t="b" cm="1">
        <f t="array" aca="1" ref="S235" ca="1">OFFSET(T235,-1,-1)</f>
        <v>1</v>
      </c>
      <c r="T235" s="1150"/>
      <c r="U235" s="690" t="b">
        <f t="shared" ca="1" si="99"/>
        <v>1</v>
      </c>
      <c r="V235" s="1150"/>
      <c r="W235" s="1150"/>
      <c r="X235" s="810" t="str">
        <f>"{                  
         funcDyn: 'msg1',
         blok: 'blok_2',
         wsCross: 'Топливо 4.4',
         linkFormula: 'AE-AE#AF-AF',
         levelDyn: "&amp;Y139&amp;"
}"</f>
        <v>{                  
         funcDyn: 'msg1',
         blok: 'blok_2',
         wsCross: 'Топливо 4.4',
         linkFormula: 'AE-AE#AF-AF',
         levelDyn: 1
}</v>
      </c>
      <c r="Y235" s="1428"/>
      <c r="Z235" s="1428"/>
      <c r="AA235" s="691"/>
      <c r="AB235" s="1536"/>
      <c r="AD235" s="813"/>
      <c r="AE235" s="812" t="s">
        <v>239</v>
      </c>
      <c r="AF235" s="736"/>
      <c r="AG235" s="724"/>
      <c r="AH235" s="737"/>
      <c r="AI235" s="47"/>
      <c r="AJ235" s="47"/>
      <c r="AK235" s="47"/>
      <c r="AL235" s="728"/>
      <c r="AM235" s="47"/>
      <c r="AN235" s="47"/>
      <c r="AO235" s="728"/>
      <c r="AP235" s="47"/>
      <c r="AQ235" s="47"/>
      <c r="AR235" s="728"/>
      <c r="AS235" s="47"/>
      <c r="AT235" s="47"/>
      <c r="AU235" s="728"/>
      <c r="AV235" s="47"/>
      <c r="AW235" s="47"/>
      <c r="AX235" s="728"/>
      <c r="AY235" s="47"/>
      <c r="AZ235" s="47"/>
      <c r="BA235" s="728"/>
      <c r="BB235" s="47"/>
      <c r="BC235" s="47"/>
      <c r="BD235" s="728"/>
      <c r="BE235" s="47"/>
      <c r="BF235" s="47"/>
      <c r="BG235" s="728"/>
      <c r="BH235" s="47"/>
      <c r="BI235" s="47"/>
      <c r="BJ235" s="728"/>
      <c r="BK235" s="47"/>
      <c r="BL235" s="47"/>
      <c r="BM235" s="728"/>
      <c r="BN235" s="47"/>
      <c r="BO235" s="47"/>
      <c r="BP235" s="728"/>
      <c r="BQ235" s="47"/>
      <c r="BR235" s="47"/>
      <c r="BS235" s="728"/>
      <c r="BT235" s="47"/>
      <c r="BU235" s="47"/>
      <c r="BV235" s="728"/>
      <c r="BW235" s="47"/>
      <c r="BX235" s="47"/>
      <c r="BY235" s="728"/>
      <c r="BZ235" s="47"/>
      <c r="CA235" s="47"/>
      <c r="CB235" s="728"/>
      <c r="CC235" s="47"/>
      <c r="CD235" s="47"/>
      <c r="CE235" s="728"/>
      <c r="CF235" s="47"/>
      <c r="CG235" s="47"/>
      <c r="CH235" s="728"/>
      <c r="CI235" s="47"/>
      <c r="CJ235" s="47"/>
      <c r="CK235" s="728"/>
      <c r="CL235" s="47"/>
      <c r="CM235" s="47"/>
      <c r="CN235" s="728"/>
      <c r="CO235" s="47"/>
      <c r="CP235" s="47"/>
      <c r="CQ235" s="728"/>
      <c r="CR235" s="47"/>
      <c r="CS235" s="47"/>
      <c r="CT235" s="43"/>
      <c r="CW235" s="960" t="str">
        <f>IF(AND(ISNUMBER(VALUE(TRIM(SUBSTITUTE(AD235,".","")))),TRIM(SUBSTITUTE(AD235,".",""))&lt;&gt;""),"P"&amp;SUBSTITUTE(AD235,".",""),"")</f>
        <v/>
      </c>
      <c r="CX235" s="965"/>
      <c r="CY235" s="965"/>
      <c r="CZ235" s="965"/>
      <c r="DA235" s="966"/>
      <c r="DB235" s="966"/>
    </row>
    <row r="236" spans="1:106" s="1167" customFormat="1" ht="16.5" customHeight="1" x14ac:dyDescent="0.15">
      <c r="A236" s="1150"/>
      <c r="B236" s="773"/>
      <c r="C236" s="1150"/>
      <c r="D236" s="1150"/>
      <c r="E236" s="668">
        <v>17.100000000000001</v>
      </c>
      <c r="F236" s="769" t="str" cm="1">
        <f t="array" aca="1" ref="F236" ca="1">OFFSET(G236,-1,-1)</f>
        <v>1</v>
      </c>
      <c r="G236" s="804"/>
      <c r="H236" s="804"/>
      <c r="I236" s="804"/>
      <c r="J236" s="804"/>
      <c r="K236" s="804"/>
      <c r="L236" s="769" t="b" cm="1">
        <f t="array" aca="1" ref="L236" ca="1">OFFSET(M236,-1,-1)</f>
        <v>0</v>
      </c>
      <c r="M236" s="804"/>
      <c r="N236" s="804"/>
      <c r="O236" s="804"/>
      <c r="P236" s="804"/>
      <c r="Q236" s="804"/>
      <c r="R236" s="1150"/>
      <c r="S236" s="107" t="b" cm="1">
        <f t="array" aca="1" ref="S236" ca="1">OFFSET(T236,-1,-1)</f>
        <v>1</v>
      </c>
      <c r="T236" s="1150"/>
      <c r="U236" s="690" t="b">
        <f t="shared" ca="1" si="99"/>
        <v>1</v>
      </c>
      <c r="V236" s="1150"/>
      <c r="W236" s="1150"/>
      <c r="X236" s="1150"/>
      <c r="Y236" s="1428"/>
      <c r="Z236" s="1428"/>
      <c r="AA236" s="691"/>
      <c r="AB236" s="1536"/>
      <c r="AD236" s="121" t="s">
        <v>874</v>
      </c>
      <c r="AE236" s="1510" t="s">
        <v>875</v>
      </c>
      <c r="AF236" s="1493"/>
      <c r="AG236" s="839"/>
      <c r="AH236" s="726"/>
      <c r="AI236" s="728"/>
      <c r="AJ236" s="728"/>
      <c r="AK236" s="728"/>
      <c r="AL236" s="728"/>
      <c r="AM236" s="728"/>
      <c r="AN236" s="728"/>
      <c r="AO236" s="728"/>
      <c r="AP236" s="728"/>
      <c r="AQ236" s="728"/>
      <c r="AR236" s="728"/>
      <c r="AS236" s="728"/>
      <c r="AT236" s="728"/>
      <c r="AU236" s="728"/>
      <c r="AV236" s="728"/>
      <c r="AW236" s="728"/>
      <c r="AX236" s="728"/>
      <c r="AY236" s="728"/>
      <c r="AZ236" s="728"/>
      <c r="BA236" s="728"/>
      <c r="BB236" s="728"/>
      <c r="BC236" s="728"/>
      <c r="BD236" s="728"/>
      <c r="BE236" s="728"/>
      <c r="BF236" s="728"/>
      <c r="BG236" s="728"/>
      <c r="BH236" s="728"/>
      <c r="BI236" s="728"/>
      <c r="BJ236" s="728"/>
      <c r="BK236" s="728"/>
      <c r="BL236" s="728"/>
      <c r="BM236" s="728"/>
      <c r="BN236" s="728"/>
      <c r="BO236" s="728"/>
      <c r="BP236" s="728"/>
      <c r="BQ236" s="728"/>
      <c r="BR236" s="728"/>
      <c r="BS236" s="728"/>
      <c r="BT236" s="728"/>
      <c r="BU236" s="728"/>
      <c r="BV236" s="728"/>
      <c r="BW236" s="728"/>
      <c r="BX236" s="728"/>
      <c r="BY236" s="728"/>
      <c r="BZ236" s="728"/>
      <c r="CA236" s="728"/>
      <c r="CB236" s="728"/>
      <c r="CC236" s="728"/>
      <c r="CD236" s="728"/>
      <c r="CE236" s="728"/>
      <c r="CF236" s="728"/>
      <c r="CG236" s="728"/>
      <c r="CH236" s="728"/>
      <c r="CI236" s="728"/>
      <c r="CJ236" s="728"/>
      <c r="CK236" s="728"/>
      <c r="CL236" s="728"/>
      <c r="CM236" s="728"/>
      <c r="CN236" s="728"/>
      <c r="CO236" s="728"/>
      <c r="CP236" s="728"/>
      <c r="CQ236" s="728"/>
      <c r="CR236" s="728"/>
      <c r="CS236" s="728"/>
      <c r="CT236" s="1231"/>
      <c r="CW236" s="960" t="s">
        <v>876</v>
      </c>
      <c r="CX236" s="965"/>
      <c r="CY236" s="965"/>
      <c r="CZ236" s="965"/>
      <c r="DA236" s="966"/>
      <c r="DB236" s="966"/>
    </row>
    <row r="237" spans="1:106" s="1167" customFormat="1" ht="16.5" hidden="1" customHeight="1" x14ac:dyDescent="0.15">
      <c r="E237" s="668">
        <v>17.100000000000001</v>
      </c>
      <c r="F237" s="769" t="str" cm="1">
        <f t="array" aca="1" ref="F237" ca="1">OFFSET(G237,-1,-1)</f>
        <v>1</v>
      </c>
      <c r="L237" s="769" t="b" cm="1">
        <f t="array" aca="1" ref="L237" ca="1">OFFSET(M237,-1,-1)</f>
        <v>0</v>
      </c>
      <c r="S237" s="107" t="b" cm="1">
        <f t="array" aca="1" ref="S237" ca="1">OFFSET(T237,-1,-1)</f>
        <v>1</v>
      </c>
      <c r="T237" s="107" t="b">
        <f>AD237&lt;&gt;"35.0"</f>
        <v>0</v>
      </c>
      <c r="U237" s="690" t="b">
        <f t="shared" ca="1" si="99"/>
        <v>0</v>
      </c>
      <c r="X237" s="107" t="s">
        <v>237</v>
      </c>
      <c r="Y237" s="1481"/>
      <c r="Z237" s="1481"/>
      <c r="AB237" s="1536"/>
      <c r="AD237" s="108" t="s">
        <v>877</v>
      </c>
      <c r="AE237" s="811"/>
      <c r="AF237" s="516"/>
      <c r="AG237" s="884" t="str">
        <f>"руб./"&amp;IFERROR(INDEX(fuel_ed_izm_list,MATCH(AE237,fuel_list,0)),"")</f>
        <v>руб./</v>
      </c>
      <c r="AH237" s="38">
        <f t="shared" ref="AH237:AL238" si="106">IFERROR(AH242/AH178,0)*1000</f>
        <v>0</v>
      </c>
      <c r="AI237" s="38">
        <f t="shared" si="106"/>
        <v>0</v>
      </c>
      <c r="AJ237" s="38">
        <f t="shared" si="106"/>
        <v>0</v>
      </c>
      <c r="AK237" s="38">
        <f t="shared" si="106"/>
        <v>0</v>
      </c>
      <c r="AL237" s="727">
        <f t="shared" ca="1" si="106"/>
        <v>0</v>
      </c>
      <c r="AM237" s="39"/>
      <c r="AN237" s="39"/>
      <c r="AO237" s="727">
        <f ca="1">IFERROR(AO242/AO178,0)*1000</f>
        <v>0</v>
      </c>
      <c r="AP237" s="39"/>
      <c r="AQ237" s="39"/>
      <c r="AR237" s="727">
        <f ca="1">IFERROR(AR242/AR178,0)*1000</f>
        <v>0</v>
      </c>
      <c r="AS237" s="39"/>
      <c r="AT237" s="39"/>
      <c r="AU237" s="727">
        <f ca="1">IFERROR(AU242/AU178,0)*1000</f>
        <v>0</v>
      </c>
      <c r="AV237" s="39"/>
      <c r="AW237" s="39"/>
      <c r="AX237" s="727">
        <f ca="1">IFERROR(AX242/AX178,0)*1000</f>
        <v>0</v>
      </c>
      <c r="AY237" s="39"/>
      <c r="AZ237" s="39"/>
      <c r="BA237" s="727">
        <f ca="1">IFERROR(BA242/BA178,0)*1000</f>
        <v>0</v>
      </c>
      <c r="BB237" s="39"/>
      <c r="BC237" s="39"/>
      <c r="BD237" s="727">
        <f ca="1">IFERROR(BD242/BD178,0)*1000</f>
        <v>0</v>
      </c>
      <c r="BE237" s="39"/>
      <c r="BF237" s="39"/>
      <c r="BG237" s="727">
        <f ca="1">IFERROR(BG242/BG178,0)*1000</f>
        <v>0</v>
      </c>
      <c r="BH237" s="39"/>
      <c r="BI237" s="39"/>
      <c r="BJ237" s="727">
        <f ca="1">IFERROR(BJ242/BJ178,0)*1000</f>
        <v>0</v>
      </c>
      <c r="BK237" s="39"/>
      <c r="BL237" s="39"/>
      <c r="BM237" s="727">
        <f ca="1">IFERROR(BM242/BM178,0)*1000</f>
        <v>0</v>
      </c>
      <c r="BN237" s="39"/>
      <c r="BO237" s="39"/>
      <c r="BP237" s="727">
        <f ca="1">IFERROR(BP242/BP178,0)*1000</f>
        <v>0</v>
      </c>
      <c r="BQ237" s="816"/>
      <c r="BR237" s="816"/>
      <c r="BS237" s="727">
        <f ca="1">IFERROR(BS242/BS178,0)*1000</f>
        <v>0</v>
      </c>
      <c r="BT237" s="39"/>
      <c r="BU237" s="39"/>
      <c r="BV237" s="727">
        <f ca="1">IFERROR(BV242/BV178,0)*1000</f>
        <v>0</v>
      </c>
      <c r="BW237" s="39"/>
      <c r="BX237" s="39"/>
      <c r="BY237" s="727">
        <f ca="1">IFERROR(BY242/BY178,0)*1000</f>
        <v>0</v>
      </c>
      <c r="BZ237" s="39"/>
      <c r="CA237" s="39"/>
      <c r="CB237" s="727">
        <f ca="1">IFERROR(CB242/CB178,0)*1000</f>
        <v>0</v>
      </c>
      <c r="CC237" s="39"/>
      <c r="CD237" s="39"/>
      <c r="CE237" s="727">
        <f ca="1">IFERROR(CE242/CE178,0)*1000</f>
        <v>0</v>
      </c>
      <c r="CF237" s="39"/>
      <c r="CG237" s="39"/>
      <c r="CH237" s="727">
        <f ca="1">IFERROR(CH242/CH178,0)*1000</f>
        <v>0</v>
      </c>
      <c r="CI237" s="39"/>
      <c r="CJ237" s="39"/>
      <c r="CK237" s="727">
        <f ca="1">IFERROR(CK242/CK178,0)*1000</f>
        <v>0</v>
      </c>
      <c r="CL237" s="39"/>
      <c r="CM237" s="39"/>
      <c r="CN237" s="727">
        <f ca="1">IFERROR(CN242/CN178,0)*1000</f>
        <v>0</v>
      </c>
      <c r="CO237" s="39"/>
      <c r="CP237" s="39"/>
      <c r="CQ237" s="727">
        <f ca="1">IFERROR(CQ242/CQ178,0)*1000</f>
        <v>0</v>
      </c>
      <c r="CR237" s="39"/>
      <c r="CS237" s="39"/>
      <c r="CT237" s="25"/>
      <c r="CW237" s="960" t="s">
        <v>876</v>
      </c>
      <c r="CX237" s="965" t="s">
        <v>812</v>
      </c>
      <c r="CY237" s="969" cm="1">
        <f t="array" ref="CY237">AE237</f>
        <v>0</v>
      </c>
      <c r="CZ237" s="969" cm="1">
        <f t="array" ref="CZ237">AF237</f>
        <v>0</v>
      </c>
      <c r="DA237" s="966"/>
      <c r="DB237" s="966"/>
    </row>
    <row r="238" spans="1:106" s="1167" customFormat="1" ht="16.5" customHeight="1" x14ac:dyDescent="0.15">
      <c r="E238" s="668">
        <v>17.100000000000001</v>
      </c>
      <c r="F238" s="769" t="str" cm="1">
        <f t="array" aca="1" ref="F238" ca="1">OFFSET(G238,-1,-1)</f>
        <v>1</v>
      </c>
      <c r="L238" s="769" t="b" cm="1">
        <f t="array" aca="1" ref="L238" ca="1">OFFSET(M238,-1,-1)</f>
        <v>0</v>
      </c>
      <c r="S238" s="107" t="b" cm="1">
        <f t="array" aca="1" ref="S238" ca="1">OFFSET(T238,-1,-1)</f>
        <v>1</v>
      </c>
      <c r="T238" s="107" t="b">
        <f>AD238&lt;&gt;"35.0"</f>
        <v>1</v>
      </c>
      <c r="U238" s="690" t="b">
        <f t="shared" ca="1" si="99"/>
        <v>1</v>
      </c>
      <c r="X238" s="107" t="str">
        <f>'Топливо 4.4'!$AE$234&amp;'Топливо 4.4'!$AF$234</f>
        <v>Уголь длиннопламенный</v>
      </c>
      <c r="Y238" s="1481"/>
      <c r="Z238" s="1481"/>
      <c r="AB238" s="1536"/>
      <c r="AD238" s="108" t="s">
        <v>939</v>
      </c>
      <c r="AE238" s="811" t="str" cm="1">
        <f t="array" ref="AE238">IF(ISBLANK('Топливо 4.4'!$AE$234),"",'Топливо 4.4'!$AE$234)</f>
        <v>Уголь длиннопламенный</v>
      </c>
      <c r="AF238" s="516" t="str" cm="1">
        <f t="array" ref="AF238">IF(ISBLANK('Топливо 4.4'!$AF$234),"",'Топливо 4.4'!$AF$234)</f>
        <v/>
      </c>
      <c r="AG238" s="884" t="str">
        <f>"руб./"&amp;IFERROR(INDEX(fuel_ed_izm_list,MATCH(AE238,fuel_list,0)),"")</f>
        <v>руб./тнт</v>
      </c>
      <c r="AH238" s="1251">
        <f t="shared" si="106"/>
        <v>191.99897722077694</v>
      </c>
      <c r="AI238" s="1251">
        <f t="shared" si="106"/>
        <v>163.00505274863221</v>
      </c>
      <c r="AJ238" s="1251">
        <f t="shared" si="106"/>
        <v>159.62631951780554</v>
      </c>
      <c r="AK238" s="1251">
        <f t="shared" si="106"/>
        <v>210.40522063783749</v>
      </c>
      <c r="AL238" s="727">
        <f t="shared" ca="1" si="106"/>
        <v>242.41000000000003</v>
      </c>
      <c r="AM238" s="1250">
        <f>132.65+109.76</f>
        <v>242.41000000000003</v>
      </c>
      <c r="AN238" s="1250">
        <f>132.65+109.76</f>
        <v>242.41000000000003</v>
      </c>
      <c r="AO238" s="727">
        <f ca="1">IFERROR(AO243/AO179,0)*1000</f>
        <v>0</v>
      </c>
      <c r="AP238" s="1250"/>
      <c r="AQ238" s="1250"/>
      <c r="AR238" s="727">
        <f ca="1">IFERROR(AR243/AR179,0)*1000</f>
        <v>0</v>
      </c>
      <c r="AS238" s="1250"/>
      <c r="AT238" s="1250"/>
      <c r="AU238" s="727">
        <f ca="1">IFERROR(AU243/AU179,0)*1000</f>
        <v>0</v>
      </c>
      <c r="AV238" s="1250"/>
      <c r="AW238" s="1250"/>
      <c r="AX238" s="727">
        <f ca="1">IFERROR(AX243/AX179,0)*1000</f>
        <v>0</v>
      </c>
      <c r="AY238" s="1250"/>
      <c r="AZ238" s="1250"/>
      <c r="BA238" s="727">
        <f ca="1">IFERROR(BA243/BA179,0)*1000</f>
        <v>0</v>
      </c>
      <c r="BB238" s="1250"/>
      <c r="BC238" s="1250"/>
      <c r="BD238" s="727">
        <f ca="1">IFERROR(BD243/BD179,0)*1000</f>
        <v>0</v>
      </c>
      <c r="BE238" s="1250"/>
      <c r="BF238" s="1250"/>
      <c r="BG238" s="727">
        <f ca="1">IFERROR(BG243/BG179,0)*1000</f>
        <v>0</v>
      </c>
      <c r="BH238" s="1250"/>
      <c r="BI238" s="1250"/>
      <c r="BJ238" s="727">
        <f ca="1">IFERROR(BJ243/BJ179,0)*1000</f>
        <v>0</v>
      </c>
      <c r="BK238" s="1250"/>
      <c r="BL238" s="1250"/>
      <c r="BM238" s="727">
        <f ca="1">IFERROR(BM243/BM179,0)*1000</f>
        <v>0</v>
      </c>
      <c r="BN238" s="1250"/>
      <c r="BO238" s="1250"/>
      <c r="BP238" s="727">
        <f ca="1">IFERROR(BP243/BP179,0)*1000</f>
        <v>228.24136999999999</v>
      </c>
      <c r="BQ238" s="816">
        <f>123.75095+104.49042</f>
        <v>228.24137000000002</v>
      </c>
      <c r="BR238" s="816">
        <f>123.75095+104.49042</f>
        <v>228.24137000000002</v>
      </c>
      <c r="BS238" s="727">
        <f ca="1">IFERROR(BS243/BS179,0)*1000</f>
        <v>0</v>
      </c>
      <c r="BT238" s="1250"/>
      <c r="BU238" s="1250"/>
      <c r="BV238" s="727">
        <f ca="1">IFERROR(BV243/BV179,0)*1000</f>
        <v>0</v>
      </c>
      <c r="BW238" s="1250"/>
      <c r="BX238" s="1250"/>
      <c r="BY238" s="727">
        <f ca="1">IFERROR(BY243/BY179,0)*1000</f>
        <v>0</v>
      </c>
      <c r="BZ238" s="1250"/>
      <c r="CA238" s="1250"/>
      <c r="CB238" s="727">
        <f ca="1">IFERROR(CB243/CB179,0)*1000</f>
        <v>0</v>
      </c>
      <c r="CC238" s="1250"/>
      <c r="CD238" s="1250"/>
      <c r="CE238" s="727">
        <f ca="1">IFERROR(CE243/CE179,0)*1000</f>
        <v>0</v>
      </c>
      <c r="CF238" s="1250"/>
      <c r="CG238" s="1250"/>
      <c r="CH238" s="727">
        <f ca="1">IFERROR(CH243/CH179,0)*1000</f>
        <v>0</v>
      </c>
      <c r="CI238" s="1250"/>
      <c r="CJ238" s="1250"/>
      <c r="CK238" s="727">
        <f ca="1">IFERROR(CK243/CK179,0)*1000</f>
        <v>0</v>
      </c>
      <c r="CL238" s="1250"/>
      <c r="CM238" s="1250"/>
      <c r="CN238" s="727">
        <f ca="1">IFERROR(CN243/CN179,0)*1000</f>
        <v>0</v>
      </c>
      <c r="CO238" s="1250"/>
      <c r="CP238" s="1250"/>
      <c r="CQ238" s="727">
        <f ca="1">IFERROR(CQ243/CQ179,0)*1000</f>
        <v>0</v>
      </c>
      <c r="CR238" s="1250"/>
      <c r="CS238" s="1250"/>
      <c r="CT238" s="1231"/>
      <c r="CW238" s="960" t="s">
        <v>876</v>
      </c>
      <c r="CX238" s="965" t="s">
        <v>812</v>
      </c>
      <c r="CY238" s="969" t="str" cm="1">
        <f t="array" ref="CY238">AE238</f>
        <v>Уголь длиннопламенный</v>
      </c>
      <c r="CZ238" s="969" t="str" cm="1">
        <f t="array" ref="CZ238">AF238</f>
        <v/>
      </c>
      <c r="DA238" s="966"/>
      <c r="DB238" s="966"/>
    </row>
    <row r="239" spans="1:106" s="1167" customFormat="1" ht="15" hidden="1" customHeight="1" x14ac:dyDescent="0.15">
      <c r="A239" s="1150"/>
      <c r="B239" s="773"/>
      <c r="C239" s="1150"/>
      <c r="D239" s="1150"/>
      <c r="E239" s="668">
        <v>0</v>
      </c>
      <c r="F239" s="769" t="str" cm="1">
        <f t="array" aca="1" ref="F239" ca="1">OFFSET(G239,-1,-1)</f>
        <v>1</v>
      </c>
      <c r="G239" s="804"/>
      <c r="H239" s="804"/>
      <c r="I239" s="804"/>
      <c r="J239" s="804"/>
      <c r="K239" s="804"/>
      <c r="L239" s="769" t="b" cm="1">
        <f t="array" aca="1" ref="L239" ca="1">OFFSET(M239,-1,-1)</f>
        <v>0</v>
      </c>
      <c r="M239" s="804"/>
      <c r="N239" s="804"/>
      <c r="O239" s="804"/>
      <c r="P239" s="804"/>
      <c r="Q239" s="804"/>
      <c r="R239" s="1150"/>
      <c r="S239" s="107" t="b" cm="1">
        <f t="array" aca="1" ref="S239" ca="1">OFFSET(T239,-1,-1)</f>
        <v>1</v>
      </c>
      <c r="T239" s="1150"/>
      <c r="U239" s="690" t="b">
        <f t="shared" ca="1" si="99"/>
        <v>1</v>
      </c>
      <c r="V239" s="1150"/>
      <c r="W239" s="1150"/>
      <c r="X239" s="810" t="str">
        <f>"{                  
         funcDyn: 'msg1',
         blok: 'blok_2',
         wsCross: 'Топливо 4.4',
         linkFormula: 'AE-AE#AF-AF',
         levelDyn: "&amp;Y139&amp;"
}"</f>
        <v>{                  
         funcDyn: 'msg1',
         blok: 'blok_2',
         wsCross: 'Топливо 4.4',
         linkFormula: 'AE-AE#AF-AF',
         levelDyn: 1
}</v>
      </c>
      <c r="Y239" s="1428"/>
      <c r="Z239" s="1428"/>
      <c r="AA239" s="691"/>
      <c r="AB239" s="1536"/>
      <c r="AD239" s="813"/>
      <c r="AE239" s="812" t="s">
        <v>239</v>
      </c>
      <c r="AF239" s="736"/>
      <c r="AG239" s="724"/>
      <c r="AH239" s="726"/>
      <c r="AI239" s="728"/>
      <c r="AJ239" s="728"/>
      <c r="AK239" s="728"/>
      <c r="AL239" s="728"/>
      <c r="AM239" s="728"/>
      <c r="AN239" s="728"/>
      <c r="AO239" s="728"/>
      <c r="AP239" s="728"/>
      <c r="AQ239" s="728"/>
      <c r="AR239" s="728"/>
      <c r="AS239" s="728"/>
      <c r="AT239" s="728"/>
      <c r="AU239" s="728"/>
      <c r="AV239" s="728"/>
      <c r="AW239" s="728"/>
      <c r="AX239" s="728"/>
      <c r="AY239" s="728"/>
      <c r="AZ239" s="728"/>
      <c r="BA239" s="728"/>
      <c r="BB239" s="728"/>
      <c r="BC239" s="728"/>
      <c r="BD239" s="728"/>
      <c r="BE239" s="728"/>
      <c r="BF239" s="728"/>
      <c r="BG239" s="728"/>
      <c r="BH239" s="728"/>
      <c r="BI239" s="728"/>
      <c r="BJ239" s="728"/>
      <c r="BK239" s="728"/>
      <c r="BL239" s="728"/>
      <c r="BM239" s="728"/>
      <c r="BN239" s="728"/>
      <c r="BO239" s="728"/>
      <c r="BP239" s="728"/>
      <c r="BQ239" s="728"/>
      <c r="BR239" s="728"/>
      <c r="BS239" s="728"/>
      <c r="BT239" s="728"/>
      <c r="BU239" s="728"/>
      <c r="BV239" s="728"/>
      <c r="BW239" s="728"/>
      <c r="BX239" s="728"/>
      <c r="BY239" s="728"/>
      <c r="BZ239" s="728"/>
      <c r="CA239" s="728"/>
      <c r="CB239" s="728"/>
      <c r="CC239" s="728"/>
      <c r="CD239" s="728"/>
      <c r="CE239" s="728"/>
      <c r="CF239" s="728"/>
      <c r="CG239" s="728"/>
      <c r="CH239" s="728"/>
      <c r="CI239" s="728"/>
      <c r="CJ239" s="728"/>
      <c r="CK239" s="728"/>
      <c r="CL239" s="728"/>
      <c r="CM239" s="728"/>
      <c r="CN239" s="728"/>
      <c r="CO239" s="728"/>
      <c r="CP239" s="728"/>
      <c r="CQ239" s="728"/>
      <c r="CR239" s="728"/>
      <c r="CS239" s="728"/>
      <c r="CT239" s="43"/>
      <c r="CW239" s="960" t="str">
        <f>IF(AND(ISNUMBER(VALUE(TRIM(SUBSTITUTE(AD239,".","")))),TRIM(SUBSTITUTE(AD239,".",""))&lt;&gt;""),"P"&amp;SUBSTITUTE(AD239,".",""),"")</f>
        <v/>
      </c>
      <c r="CX239" s="965"/>
      <c r="CY239" s="965"/>
      <c r="CZ239" s="965"/>
      <c r="DA239" s="966"/>
      <c r="DB239" s="966"/>
    </row>
    <row r="240" spans="1:106" s="1167" customFormat="1" ht="16.5" customHeight="1" x14ac:dyDescent="0.15">
      <c r="A240" s="1150"/>
      <c r="B240" s="773"/>
      <c r="C240" s="1150"/>
      <c r="D240" s="1150"/>
      <c r="E240" s="668">
        <v>17.100000000000001</v>
      </c>
      <c r="F240" s="769" t="str" cm="1">
        <f t="array" aca="1" ref="F240" ca="1">OFFSET(G240,-1,-1)</f>
        <v>1</v>
      </c>
      <c r="G240" s="804"/>
      <c r="H240" s="804"/>
      <c r="I240" s="804"/>
      <c r="J240" s="804"/>
      <c r="K240" s="804"/>
      <c r="L240" s="769" t="b" cm="1">
        <f t="array" aca="1" ref="L240" ca="1">OFFSET(M240,-1,-1)</f>
        <v>0</v>
      </c>
      <c r="M240" s="804"/>
      <c r="N240" s="804"/>
      <c r="O240" s="804"/>
      <c r="P240" s="804"/>
      <c r="Q240" s="804"/>
      <c r="R240" s="1150"/>
      <c r="S240" s="107" t="b" cm="1">
        <f t="array" aca="1" ref="S240" ca="1">OFFSET(T240,-1,-1)</f>
        <v>1</v>
      </c>
      <c r="T240" s="1150"/>
      <c r="U240" s="690" t="b">
        <f t="shared" ca="1" si="99"/>
        <v>1</v>
      </c>
      <c r="V240" s="1150"/>
      <c r="W240" s="1150"/>
      <c r="X240" s="1150"/>
      <c r="Y240" s="1428"/>
      <c r="Z240" s="1428"/>
      <c r="AA240" s="691"/>
      <c r="AB240" s="1536"/>
      <c r="AD240" s="121" t="s">
        <v>878</v>
      </c>
      <c r="AE240" s="1510" t="s">
        <v>879</v>
      </c>
      <c r="AF240" s="1493"/>
      <c r="AG240" s="724" t="s">
        <v>830</v>
      </c>
      <c r="AH240" s="725">
        <f t="shared" ref="AH240:BM240" si="107">SUM(AH242:AH244)</f>
        <v>3552.1369999999997</v>
      </c>
      <c r="AI240" s="725">
        <f t="shared" si="107"/>
        <v>2843.7780000000002</v>
      </c>
      <c r="AJ240" s="725">
        <f t="shared" si="107"/>
        <v>2843.7779999999998</v>
      </c>
      <c r="AK240" s="725">
        <f t="shared" si="107"/>
        <v>3882.77</v>
      </c>
      <c r="AL240" s="725">
        <f t="shared" ca="1" si="107"/>
        <v>4239.8011455147353</v>
      </c>
      <c r="AM240" s="725">
        <f t="shared" si="107"/>
        <v>2188.0095376263607</v>
      </c>
      <c r="AN240" s="725">
        <f t="shared" ca="1" si="107"/>
        <v>2051.791607888375</v>
      </c>
      <c r="AO240" s="725">
        <f t="shared" ca="1" si="107"/>
        <v>0</v>
      </c>
      <c r="AP240" s="725">
        <f t="shared" si="107"/>
        <v>0</v>
      </c>
      <c r="AQ240" s="725">
        <f t="shared" ca="1" si="107"/>
        <v>0</v>
      </c>
      <c r="AR240" s="725">
        <f t="shared" ca="1" si="107"/>
        <v>0</v>
      </c>
      <c r="AS240" s="725">
        <f t="shared" si="107"/>
        <v>0</v>
      </c>
      <c r="AT240" s="725">
        <f t="shared" ca="1" si="107"/>
        <v>0</v>
      </c>
      <c r="AU240" s="725">
        <f t="shared" ca="1" si="107"/>
        <v>0</v>
      </c>
      <c r="AV240" s="725">
        <f t="shared" si="107"/>
        <v>0</v>
      </c>
      <c r="AW240" s="725">
        <f t="shared" ca="1" si="107"/>
        <v>0</v>
      </c>
      <c r="AX240" s="725">
        <f t="shared" ca="1" si="107"/>
        <v>0</v>
      </c>
      <c r="AY240" s="725">
        <f t="shared" si="107"/>
        <v>0</v>
      </c>
      <c r="AZ240" s="725">
        <f t="shared" ca="1" si="107"/>
        <v>0</v>
      </c>
      <c r="BA240" s="725">
        <f t="shared" ca="1" si="107"/>
        <v>0</v>
      </c>
      <c r="BB240" s="725">
        <f t="shared" si="107"/>
        <v>0</v>
      </c>
      <c r="BC240" s="725">
        <f t="shared" ca="1" si="107"/>
        <v>0</v>
      </c>
      <c r="BD240" s="725">
        <f t="shared" ca="1" si="107"/>
        <v>0</v>
      </c>
      <c r="BE240" s="725">
        <f t="shared" si="107"/>
        <v>0</v>
      </c>
      <c r="BF240" s="725">
        <f t="shared" ca="1" si="107"/>
        <v>0</v>
      </c>
      <c r="BG240" s="725">
        <f t="shared" ca="1" si="107"/>
        <v>0</v>
      </c>
      <c r="BH240" s="725">
        <f t="shared" si="107"/>
        <v>0</v>
      </c>
      <c r="BI240" s="725">
        <f t="shared" ca="1" si="107"/>
        <v>0</v>
      </c>
      <c r="BJ240" s="725">
        <f t="shared" ca="1" si="107"/>
        <v>0</v>
      </c>
      <c r="BK240" s="725">
        <f t="shared" si="107"/>
        <v>0</v>
      </c>
      <c r="BL240" s="725">
        <f t="shared" ca="1" si="107"/>
        <v>0</v>
      </c>
      <c r="BM240" s="725">
        <f t="shared" ca="1" si="107"/>
        <v>0</v>
      </c>
      <c r="BN240" s="725">
        <f t="shared" ref="BN240:CS240" si="108">SUM(BN242:BN244)</f>
        <v>0</v>
      </c>
      <c r="BO240" s="725">
        <f t="shared" ca="1" si="108"/>
        <v>0</v>
      </c>
      <c r="BP240" s="725">
        <f t="shared" ca="1" si="108"/>
        <v>3991.9867745643878</v>
      </c>
      <c r="BQ240" s="725">
        <f t="shared" si="108"/>
        <v>2880.7745637181242</v>
      </c>
      <c r="BR240" s="725">
        <f t="shared" ca="1" si="108"/>
        <v>1111.2122108462634</v>
      </c>
      <c r="BS240" s="725">
        <f t="shared" ca="1" si="108"/>
        <v>0</v>
      </c>
      <c r="BT240" s="725">
        <f t="shared" si="108"/>
        <v>0</v>
      </c>
      <c r="BU240" s="725">
        <f t="shared" ca="1" si="108"/>
        <v>0</v>
      </c>
      <c r="BV240" s="725">
        <f t="shared" ca="1" si="108"/>
        <v>0</v>
      </c>
      <c r="BW240" s="725">
        <f t="shared" si="108"/>
        <v>0</v>
      </c>
      <c r="BX240" s="725">
        <f t="shared" ca="1" si="108"/>
        <v>0</v>
      </c>
      <c r="BY240" s="725">
        <f t="shared" ca="1" si="108"/>
        <v>0</v>
      </c>
      <c r="BZ240" s="725">
        <f t="shared" si="108"/>
        <v>0</v>
      </c>
      <c r="CA240" s="725">
        <f t="shared" ca="1" si="108"/>
        <v>0</v>
      </c>
      <c r="CB240" s="725">
        <f t="shared" ca="1" si="108"/>
        <v>0</v>
      </c>
      <c r="CC240" s="725">
        <f t="shared" si="108"/>
        <v>0</v>
      </c>
      <c r="CD240" s="725">
        <f t="shared" ca="1" si="108"/>
        <v>0</v>
      </c>
      <c r="CE240" s="725">
        <f t="shared" ca="1" si="108"/>
        <v>0</v>
      </c>
      <c r="CF240" s="725">
        <f t="shared" si="108"/>
        <v>0</v>
      </c>
      <c r="CG240" s="725">
        <f t="shared" ca="1" si="108"/>
        <v>0</v>
      </c>
      <c r="CH240" s="725">
        <f t="shared" ca="1" si="108"/>
        <v>0</v>
      </c>
      <c r="CI240" s="725">
        <f t="shared" si="108"/>
        <v>0</v>
      </c>
      <c r="CJ240" s="725">
        <f t="shared" ca="1" si="108"/>
        <v>0</v>
      </c>
      <c r="CK240" s="725">
        <f t="shared" ca="1" si="108"/>
        <v>0</v>
      </c>
      <c r="CL240" s="725">
        <f t="shared" si="108"/>
        <v>0</v>
      </c>
      <c r="CM240" s="725">
        <f t="shared" ca="1" si="108"/>
        <v>0</v>
      </c>
      <c r="CN240" s="725">
        <f t="shared" ca="1" si="108"/>
        <v>0</v>
      </c>
      <c r="CO240" s="725">
        <f t="shared" si="108"/>
        <v>0</v>
      </c>
      <c r="CP240" s="725">
        <f t="shared" ca="1" si="108"/>
        <v>0</v>
      </c>
      <c r="CQ240" s="725">
        <f t="shared" ca="1" si="108"/>
        <v>0</v>
      </c>
      <c r="CR240" s="725">
        <f t="shared" si="108"/>
        <v>0</v>
      </c>
      <c r="CS240" s="725">
        <f t="shared" ca="1" si="108"/>
        <v>0</v>
      </c>
      <c r="CT240" s="1231"/>
      <c r="CW240" s="960" t="s">
        <v>880</v>
      </c>
      <c r="CX240" s="965"/>
      <c r="CY240" s="965"/>
      <c r="CZ240" s="965"/>
      <c r="DA240" s="966"/>
      <c r="DB240" s="966"/>
    </row>
    <row r="241" spans="1:106" s="1167" customFormat="1" ht="16.5" hidden="1" customHeight="1" x14ac:dyDescent="0.15">
      <c r="A241" s="1150"/>
      <c r="B241" s="773"/>
      <c r="C241" s="1150"/>
      <c r="D241" s="1150"/>
      <c r="E241" s="668">
        <v>17.100000000000001</v>
      </c>
      <c r="F241" s="769" t="str" cm="1">
        <f t="array" aca="1" ref="F241" ca="1">OFFSET(G241,-1,-1)</f>
        <v>1</v>
      </c>
      <c r="G241" s="804"/>
      <c r="H241" s="804"/>
      <c r="I241" s="804"/>
      <c r="J241" s="804"/>
      <c r="K241" s="804"/>
      <c r="L241" s="769" t="b" cm="1">
        <f t="array" aca="1" ref="L241" ca="1">OFFSET(M241,-1,-1)</f>
        <v>0</v>
      </c>
      <c r="M241" s="804"/>
      <c r="N241" s="804"/>
      <c r="O241" s="804"/>
      <c r="P241" s="804"/>
      <c r="Q241" s="804"/>
      <c r="R241" s="769" t="s">
        <v>750</v>
      </c>
      <c r="S241" s="107" t="b" cm="1">
        <f t="array" aca="1" ref="S241" ca="1">OFFSET(T241,-1,-1)</f>
        <v>1</v>
      </c>
      <c r="T241" s="769" t="b">
        <v>0</v>
      </c>
      <c r="U241" s="690" t="b">
        <f t="shared" ca="1" si="99"/>
        <v>0</v>
      </c>
      <c r="V241" s="1150"/>
      <c r="W241" s="1150"/>
      <c r="X241" s="1150"/>
      <c r="Y241" s="1428"/>
      <c r="Z241" s="1428"/>
      <c r="AA241" s="691"/>
      <c r="AB241" s="1536"/>
      <c r="AD241" s="108" t="str">
        <f>AD240&amp;".0"</f>
        <v>36.0</v>
      </c>
      <c r="AE241" s="1513" t="s">
        <v>761</v>
      </c>
      <c r="AF241" s="1514"/>
      <c r="AG241" s="724" t="s">
        <v>830</v>
      </c>
      <c r="AH241" s="38">
        <f>AH$163*AH240</f>
        <v>3552.1369999999997</v>
      </c>
      <c r="AI241" s="39">
        <f>AI$163*AI240</f>
        <v>2843.7780000000002</v>
      </c>
      <c r="AJ241" s="39">
        <f>AJ$163*AJ240</f>
        <v>2843.7779999999998</v>
      </c>
      <c r="AK241" s="39">
        <f>AK$163*AK240</f>
        <v>3882.77</v>
      </c>
      <c r="AL241" s="727">
        <f ca="1">AM241+AN241</f>
        <v>4239.8011455147353</v>
      </c>
      <c r="AM241" s="39">
        <f>AM$163*AM240</f>
        <v>2188.0095376263607</v>
      </c>
      <c r="AN241" s="39">
        <f ca="1">AN$163*AN240</f>
        <v>2051.791607888375</v>
      </c>
      <c r="AO241" s="727">
        <f ca="1">AP241+AQ241</f>
        <v>0</v>
      </c>
      <c r="AP241" s="1244">
        <f>AP$163*AP240</f>
        <v>0</v>
      </c>
      <c r="AQ241" s="1244">
        <f ca="1">AQ$163*AQ240</f>
        <v>0</v>
      </c>
      <c r="AR241" s="727">
        <f ca="1">AS241+AT241</f>
        <v>0</v>
      </c>
      <c r="AS241" s="1244">
        <f>AS$163*AS240</f>
        <v>0</v>
      </c>
      <c r="AT241" s="1244">
        <f ca="1">AT$163*AT240</f>
        <v>0</v>
      </c>
      <c r="AU241" s="727">
        <f ca="1">AV241+AW241</f>
        <v>0</v>
      </c>
      <c r="AV241" s="39">
        <f>AV$163*AV240</f>
        <v>0</v>
      </c>
      <c r="AW241" s="39">
        <f ca="1">AW$163*AW240</f>
        <v>0</v>
      </c>
      <c r="AX241" s="727">
        <f ca="1">AY241+AZ241</f>
        <v>0</v>
      </c>
      <c r="AY241" s="39">
        <f>AY$163*AY240</f>
        <v>0</v>
      </c>
      <c r="AZ241" s="39">
        <f ca="1">AZ$163*AZ240</f>
        <v>0</v>
      </c>
      <c r="BA241" s="727">
        <f ca="1">BB241+BC241</f>
        <v>0</v>
      </c>
      <c r="BB241" s="39">
        <f>BB$163*BB240</f>
        <v>0</v>
      </c>
      <c r="BC241" s="39">
        <f ca="1">BC$163*BC240</f>
        <v>0</v>
      </c>
      <c r="BD241" s="727">
        <f ca="1">BE241+BF241</f>
        <v>0</v>
      </c>
      <c r="BE241" s="39">
        <f>BE$163*BE240</f>
        <v>0</v>
      </c>
      <c r="BF241" s="39">
        <f ca="1">BF$163*BF240</f>
        <v>0</v>
      </c>
      <c r="BG241" s="727">
        <f ca="1">BH241+BI241</f>
        <v>0</v>
      </c>
      <c r="BH241" s="39">
        <f>BH$163*BH240</f>
        <v>0</v>
      </c>
      <c r="BI241" s="39">
        <f ca="1">BI$163*BI240</f>
        <v>0</v>
      </c>
      <c r="BJ241" s="727">
        <f ca="1">BK241+BL241</f>
        <v>0</v>
      </c>
      <c r="BK241" s="39">
        <f>BK$163*BK240</f>
        <v>0</v>
      </c>
      <c r="BL241" s="39">
        <f ca="1">BL$163*BL240</f>
        <v>0</v>
      </c>
      <c r="BM241" s="727">
        <f ca="1">BN241+BO241</f>
        <v>0</v>
      </c>
      <c r="BN241" s="39">
        <f>BN$163*BN240</f>
        <v>0</v>
      </c>
      <c r="BO241" s="39">
        <f ca="1">BO$163*BO240</f>
        <v>0</v>
      </c>
      <c r="BP241" s="727">
        <f ca="1">BQ241+BR241</f>
        <v>3991.9867745643878</v>
      </c>
      <c r="BQ241" s="816">
        <f>BQ$163*BQ240</f>
        <v>2880.7745637181242</v>
      </c>
      <c r="BR241" s="816">
        <f ca="1">BR$163*BR240</f>
        <v>1111.2122108462634</v>
      </c>
      <c r="BS241" s="727">
        <f ca="1">BT241+BU241</f>
        <v>0</v>
      </c>
      <c r="BT241" s="1244">
        <f>BT$163*BT240</f>
        <v>0</v>
      </c>
      <c r="BU241" s="1244">
        <f ca="1">BU$163*BU240</f>
        <v>0</v>
      </c>
      <c r="BV241" s="727">
        <f ca="1">BW241+BX241</f>
        <v>0</v>
      </c>
      <c r="BW241" s="1244">
        <f>BW$163*BW240</f>
        <v>0</v>
      </c>
      <c r="BX241" s="1244">
        <f ca="1">BX$163*BX240</f>
        <v>0</v>
      </c>
      <c r="BY241" s="727">
        <f ca="1">BZ241+CA241</f>
        <v>0</v>
      </c>
      <c r="BZ241" s="39">
        <f>BZ$163*BZ240</f>
        <v>0</v>
      </c>
      <c r="CA241" s="39">
        <f ca="1">CA$163*CA240</f>
        <v>0</v>
      </c>
      <c r="CB241" s="727">
        <f ca="1">CC241+CD241</f>
        <v>0</v>
      </c>
      <c r="CC241" s="39">
        <f>CC$163*CC240</f>
        <v>0</v>
      </c>
      <c r="CD241" s="39">
        <f ca="1">CD$163*CD240</f>
        <v>0</v>
      </c>
      <c r="CE241" s="727">
        <f ca="1">CF241+CG241</f>
        <v>0</v>
      </c>
      <c r="CF241" s="39">
        <f>CF$163*CF240</f>
        <v>0</v>
      </c>
      <c r="CG241" s="39">
        <f ca="1">CG$163*CG240</f>
        <v>0</v>
      </c>
      <c r="CH241" s="727">
        <f ca="1">CI241+CJ241</f>
        <v>0</v>
      </c>
      <c r="CI241" s="39">
        <f>CI$163*CI240</f>
        <v>0</v>
      </c>
      <c r="CJ241" s="39">
        <f ca="1">CJ$163*CJ240</f>
        <v>0</v>
      </c>
      <c r="CK241" s="727">
        <f ca="1">CL241+CM241</f>
        <v>0</v>
      </c>
      <c r="CL241" s="39">
        <f>CL$163*CL240</f>
        <v>0</v>
      </c>
      <c r="CM241" s="39">
        <f ca="1">CM$163*CM240</f>
        <v>0</v>
      </c>
      <c r="CN241" s="727">
        <f ca="1">CO241+CP241</f>
        <v>0</v>
      </c>
      <c r="CO241" s="39">
        <f>CO$163*CO240</f>
        <v>0</v>
      </c>
      <c r="CP241" s="39">
        <f ca="1">CP$163*CP240</f>
        <v>0</v>
      </c>
      <c r="CQ241" s="727">
        <f ca="1">CR241+CS241</f>
        <v>0</v>
      </c>
      <c r="CR241" s="39">
        <f>CR$163*CR240</f>
        <v>0</v>
      </c>
      <c r="CS241" s="39">
        <f ca="1">CS$163*CS240</f>
        <v>0</v>
      </c>
      <c r="CT241" s="25"/>
      <c r="CW241" s="960" t="s">
        <v>881</v>
      </c>
      <c r="CX241" s="965"/>
      <c r="CY241" s="965"/>
      <c r="CZ241" s="965"/>
      <c r="DA241" s="966"/>
      <c r="DB241" s="966"/>
    </row>
    <row r="242" spans="1:106" s="1167" customFormat="1" ht="16.5" hidden="1" customHeight="1" x14ac:dyDescent="0.15">
      <c r="E242" s="668">
        <v>17.100000000000001</v>
      </c>
      <c r="F242" s="769" t="str" cm="1">
        <f t="array" aca="1" ref="F242" ca="1">OFFSET(G242,-1,-1)</f>
        <v>1</v>
      </c>
      <c r="L242" s="769" t="b" cm="1">
        <f t="array" aca="1" ref="L242" ca="1">OFFSET(M242,-1,-1)</f>
        <v>0</v>
      </c>
      <c r="S242" s="107" t="b" cm="1">
        <f t="array" aca="1" ref="S242" ca="1">OFFSET(T242,-1,-1)</f>
        <v>1</v>
      </c>
      <c r="T242" s="107" t="b">
        <f>AD242&lt;&gt;"36.0"</f>
        <v>0</v>
      </c>
      <c r="U242" s="690" t="b">
        <f t="shared" ca="1" si="99"/>
        <v>0</v>
      </c>
      <c r="X242" s="107" t="s">
        <v>237</v>
      </c>
      <c r="Y242" s="1481"/>
      <c r="Z242" s="1481"/>
      <c r="AB242" s="1536"/>
      <c r="AD242" s="108" t="s">
        <v>882</v>
      </c>
      <c r="AE242" s="811"/>
      <c r="AF242" s="516"/>
      <c r="AG242" s="724" t="s">
        <v>830</v>
      </c>
      <c r="AH242" s="38"/>
      <c r="AI242" s="39"/>
      <c r="AJ242" s="39"/>
      <c r="AK242" s="39"/>
      <c r="AL242" s="727">
        <f ca="1">AM242+AN242</f>
        <v>0</v>
      </c>
      <c r="AM242" s="39">
        <f>AM237*AM178/1000</f>
        <v>0</v>
      </c>
      <c r="AN242" s="39">
        <f ca="1">AN237*AN178/1000</f>
        <v>0</v>
      </c>
      <c r="AO242" s="727">
        <f ca="1">AP242+AQ242</f>
        <v>0</v>
      </c>
      <c r="AP242" s="39">
        <f>AP237*AP178/1000</f>
        <v>0</v>
      </c>
      <c r="AQ242" s="39">
        <f ca="1">AQ237*AQ178/1000</f>
        <v>0</v>
      </c>
      <c r="AR242" s="727">
        <f ca="1">AS242+AT242</f>
        <v>0</v>
      </c>
      <c r="AS242" s="39">
        <f>AS237*AS178/1000</f>
        <v>0</v>
      </c>
      <c r="AT242" s="39">
        <f ca="1">AT237*AT178/1000</f>
        <v>0</v>
      </c>
      <c r="AU242" s="727">
        <f ca="1">AV242+AW242</f>
        <v>0</v>
      </c>
      <c r="AV242" s="39">
        <f>AV237*AV178/1000</f>
        <v>0</v>
      </c>
      <c r="AW242" s="39">
        <f ca="1">AW237*AW178/1000</f>
        <v>0</v>
      </c>
      <c r="AX242" s="727">
        <f ca="1">AY242+AZ242</f>
        <v>0</v>
      </c>
      <c r="AY242" s="39">
        <f>AY237*AY178/1000</f>
        <v>0</v>
      </c>
      <c r="AZ242" s="39">
        <f ca="1">AZ237*AZ178/1000</f>
        <v>0</v>
      </c>
      <c r="BA242" s="727">
        <f ca="1">BB242+BC242</f>
        <v>0</v>
      </c>
      <c r="BB242" s="39">
        <f>BB237*BB178/1000</f>
        <v>0</v>
      </c>
      <c r="BC242" s="39">
        <f ca="1">BC237*BC178/1000</f>
        <v>0</v>
      </c>
      <c r="BD242" s="727">
        <f ca="1">BE242+BF242</f>
        <v>0</v>
      </c>
      <c r="BE242" s="39">
        <f>BE237*BE178/1000</f>
        <v>0</v>
      </c>
      <c r="BF242" s="39">
        <f ca="1">BF237*BF178/1000</f>
        <v>0</v>
      </c>
      <c r="BG242" s="727">
        <f ca="1">BH242+BI242</f>
        <v>0</v>
      </c>
      <c r="BH242" s="39">
        <f>BH237*BH178/1000</f>
        <v>0</v>
      </c>
      <c r="BI242" s="39">
        <f ca="1">BI237*BI178/1000</f>
        <v>0</v>
      </c>
      <c r="BJ242" s="727">
        <f ca="1">BK242+BL242</f>
        <v>0</v>
      </c>
      <c r="BK242" s="39">
        <f>BK237*BK178/1000</f>
        <v>0</v>
      </c>
      <c r="BL242" s="39">
        <f ca="1">BL237*BL178/1000</f>
        <v>0</v>
      </c>
      <c r="BM242" s="727">
        <f ca="1">BN242+BO242</f>
        <v>0</v>
      </c>
      <c r="BN242" s="39">
        <f>BN237*BN178/1000</f>
        <v>0</v>
      </c>
      <c r="BO242" s="39">
        <f ca="1">BO237*BO178/1000</f>
        <v>0</v>
      </c>
      <c r="BP242" s="727">
        <f ca="1">BQ242+BR242</f>
        <v>0</v>
      </c>
      <c r="BQ242" s="816">
        <f>BQ237*BQ178/1000</f>
        <v>0</v>
      </c>
      <c r="BR242" s="816">
        <f ca="1">BR237*BR178/1000</f>
        <v>0</v>
      </c>
      <c r="BS242" s="727">
        <f ca="1">BT242+BU242</f>
        <v>0</v>
      </c>
      <c r="BT242" s="39">
        <f>BT237*BT178/1000</f>
        <v>0</v>
      </c>
      <c r="BU242" s="39">
        <f ca="1">BU237*BU178/1000</f>
        <v>0</v>
      </c>
      <c r="BV242" s="727">
        <f ca="1">BW242+BX242</f>
        <v>0</v>
      </c>
      <c r="BW242" s="39">
        <f>BW237*BW178/1000</f>
        <v>0</v>
      </c>
      <c r="BX242" s="39">
        <f ca="1">BX237*BX178/1000</f>
        <v>0</v>
      </c>
      <c r="BY242" s="727">
        <f ca="1">BZ242+CA242</f>
        <v>0</v>
      </c>
      <c r="BZ242" s="39">
        <f>BZ237*BZ178/1000</f>
        <v>0</v>
      </c>
      <c r="CA242" s="39">
        <f ca="1">CA237*CA178/1000</f>
        <v>0</v>
      </c>
      <c r="CB242" s="727">
        <f ca="1">CC242+CD242</f>
        <v>0</v>
      </c>
      <c r="CC242" s="39">
        <f>CC237*CC178/1000</f>
        <v>0</v>
      </c>
      <c r="CD242" s="39">
        <f ca="1">CD237*CD178/1000</f>
        <v>0</v>
      </c>
      <c r="CE242" s="727">
        <f ca="1">CF242+CG242</f>
        <v>0</v>
      </c>
      <c r="CF242" s="39">
        <f>CF237*CF178/1000</f>
        <v>0</v>
      </c>
      <c r="CG242" s="39">
        <f ca="1">CG237*CG178/1000</f>
        <v>0</v>
      </c>
      <c r="CH242" s="727">
        <f ca="1">CI242+CJ242</f>
        <v>0</v>
      </c>
      <c r="CI242" s="39">
        <f>CI237*CI178/1000</f>
        <v>0</v>
      </c>
      <c r="CJ242" s="39">
        <f ca="1">CJ237*CJ178/1000</f>
        <v>0</v>
      </c>
      <c r="CK242" s="727">
        <f ca="1">CL242+CM242</f>
        <v>0</v>
      </c>
      <c r="CL242" s="39">
        <f>CL237*CL178/1000</f>
        <v>0</v>
      </c>
      <c r="CM242" s="39">
        <f ca="1">CM237*CM178/1000</f>
        <v>0</v>
      </c>
      <c r="CN242" s="727">
        <f ca="1">CO242+CP242</f>
        <v>0</v>
      </c>
      <c r="CO242" s="39">
        <f>CO237*CO178/1000</f>
        <v>0</v>
      </c>
      <c r="CP242" s="39">
        <f ca="1">CP237*CP178/1000</f>
        <v>0</v>
      </c>
      <c r="CQ242" s="727">
        <f ca="1">CR242+CS242</f>
        <v>0</v>
      </c>
      <c r="CR242" s="39">
        <f>CR237*CR178/1000</f>
        <v>0</v>
      </c>
      <c r="CS242" s="39">
        <f ca="1">CS237*CS178/1000</f>
        <v>0</v>
      </c>
      <c r="CT242" s="25"/>
      <c r="CW242" s="960" t="s">
        <v>881</v>
      </c>
      <c r="CX242" s="965" t="s">
        <v>812</v>
      </c>
      <c r="CY242" s="969" cm="1">
        <f t="array" ref="CY242">AE242</f>
        <v>0</v>
      </c>
      <c r="CZ242" s="969" cm="1">
        <f t="array" ref="CZ242">AF242</f>
        <v>0</v>
      </c>
      <c r="DA242" s="966"/>
      <c r="DB242" s="966"/>
    </row>
    <row r="243" spans="1:106" s="1167" customFormat="1" ht="16.5" customHeight="1" x14ac:dyDescent="0.15">
      <c r="E243" s="668">
        <v>17.100000000000001</v>
      </c>
      <c r="F243" s="769" t="str" cm="1">
        <f t="array" aca="1" ref="F243" ca="1">OFFSET(G243,-1,-1)</f>
        <v>1</v>
      </c>
      <c r="L243" s="769" t="b" cm="1">
        <f t="array" aca="1" ref="L243" ca="1">OFFSET(M243,-1,-1)</f>
        <v>0</v>
      </c>
      <c r="S243" s="107" t="b" cm="1">
        <f t="array" aca="1" ref="S243" ca="1">OFFSET(T243,-1,-1)</f>
        <v>1</v>
      </c>
      <c r="T243" s="107" t="b">
        <f>AD243&lt;&gt;"36.0"</f>
        <v>1</v>
      </c>
      <c r="U243" s="690" t="b">
        <f t="shared" ca="1" si="99"/>
        <v>1</v>
      </c>
      <c r="X243" s="107" t="str">
        <f>'Топливо 4.4'!$AE$238&amp;'Топливо 4.4'!$AF$238</f>
        <v>Уголь длиннопламенный</v>
      </c>
      <c r="Y243" s="1481"/>
      <c r="Z243" s="1481"/>
      <c r="AB243" s="1536"/>
      <c r="AD243" s="108" t="s">
        <v>940</v>
      </c>
      <c r="AE243" s="811" t="str" cm="1">
        <f t="array" ref="AE243">IF(ISBLANK('Топливо 4.4'!$AE$238),"",'Топливо 4.4'!$AE$238)</f>
        <v>Уголь длиннопламенный</v>
      </c>
      <c r="AF243" s="516" t="str" cm="1">
        <f t="array" ref="AF243">IF(ISBLANK('Топливо 4.4'!$AF$238),"",'Топливо 4.4'!$AF$238)</f>
        <v/>
      </c>
      <c r="AG243" s="724" t="s">
        <v>830</v>
      </c>
      <c r="AH243" s="1251">
        <f>2258.39+1293.747</f>
        <v>3552.1369999999997</v>
      </c>
      <c r="AI243" s="1250">
        <f>1682.71+1161.068</f>
        <v>2843.7780000000002</v>
      </c>
      <c r="AJ243" s="1250">
        <v>2843.7779999999998</v>
      </c>
      <c r="AK243" s="1250">
        <f>2434.62+1448.15</f>
        <v>3882.77</v>
      </c>
      <c r="AL243" s="727">
        <f ca="1">AM243+AN243</f>
        <v>4239.8011455147353</v>
      </c>
      <c r="AM243" s="1250">
        <f>AM238*AM179/1000</f>
        <v>2188.0095376263607</v>
      </c>
      <c r="AN243" s="1250">
        <f ca="1">AN238*AN179/1000</f>
        <v>2051.791607888375</v>
      </c>
      <c r="AO243" s="727">
        <f ca="1">AP243+AQ243</f>
        <v>0</v>
      </c>
      <c r="AP243" s="1250">
        <f>AP238*AP179/1000</f>
        <v>0</v>
      </c>
      <c r="AQ243" s="1250">
        <f ca="1">AQ238*AQ179/1000</f>
        <v>0</v>
      </c>
      <c r="AR243" s="727">
        <f ca="1">AS243+AT243</f>
        <v>0</v>
      </c>
      <c r="AS243" s="1250">
        <f>AS238*AS179/1000</f>
        <v>0</v>
      </c>
      <c r="AT243" s="1250">
        <f ca="1">AT238*AT179/1000</f>
        <v>0</v>
      </c>
      <c r="AU243" s="727">
        <f ca="1">AV243+AW243</f>
        <v>0</v>
      </c>
      <c r="AV243" s="1250">
        <f>AV238*AV179/1000</f>
        <v>0</v>
      </c>
      <c r="AW243" s="1250">
        <f ca="1">AW238*AW179/1000</f>
        <v>0</v>
      </c>
      <c r="AX243" s="727">
        <f ca="1">AY243+AZ243</f>
        <v>0</v>
      </c>
      <c r="AY243" s="1250">
        <f>AY238*AY179/1000</f>
        <v>0</v>
      </c>
      <c r="AZ243" s="1250">
        <f ca="1">AZ238*AZ179/1000</f>
        <v>0</v>
      </c>
      <c r="BA243" s="727">
        <f ca="1">BB243+BC243</f>
        <v>0</v>
      </c>
      <c r="BB243" s="1250">
        <f>BB238*BB179/1000</f>
        <v>0</v>
      </c>
      <c r="BC243" s="1250">
        <f ca="1">BC238*BC179/1000</f>
        <v>0</v>
      </c>
      <c r="BD243" s="727">
        <f ca="1">BE243+BF243</f>
        <v>0</v>
      </c>
      <c r="BE243" s="1250">
        <f>BE238*BE179/1000</f>
        <v>0</v>
      </c>
      <c r="BF243" s="1250">
        <f ca="1">BF238*BF179/1000</f>
        <v>0</v>
      </c>
      <c r="BG243" s="727">
        <f ca="1">BH243+BI243</f>
        <v>0</v>
      </c>
      <c r="BH243" s="1250">
        <f>BH238*BH179/1000</f>
        <v>0</v>
      </c>
      <c r="BI243" s="1250">
        <f ca="1">BI238*BI179/1000</f>
        <v>0</v>
      </c>
      <c r="BJ243" s="727">
        <f ca="1">BK243+BL243</f>
        <v>0</v>
      </c>
      <c r="BK243" s="1250">
        <f>BK238*BK179/1000</f>
        <v>0</v>
      </c>
      <c r="BL243" s="1250">
        <f ca="1">BL238*BL179/1000</f>
        <v>0</v>
      </c>
      <c r="BM243" s="727">
        <f ca="1">BN243+BO243</f>
        <v>0</v>
      </c>
      <c r="BN243" s="1250">
        <f>BN238*BN179/1000</f>
        <v>0</v>
      </c>
      <c r="BO243" s="1250">
        <f ca="1">BO238*BO179/1000</f>
        <v>0</v>
      </c>
      <c r="BP243" s="727">
        <f ca="1">BQ243+BR243</f>
        <v>3991.9867745643878</v>
      </c>
      <c r="BQ243" s="816">
        <f>BQ238*BQ179/1000</f>
        <v>2880.7745637181242</v>
      </c>
      <c r="BR243" s="816">
        <f ca="1">BR238*BR179/1000</f>
        <v>1111.2122108462634</v>
      </c>
      <c r="BS243" s="727">
        <f ca="1">BT243+BU243</f>
        <v>0</v>
      </c>
      <c r="BT243" s="1250">
        <f>BT238*BT179/1000</f>
        <v>0</v>
      </c>
      <c r="BU243" s="1250">
        <f ca="1">BU238*BU179/1000</f>
        <v>0</v>
      </c>
      <c r="BV243" s="727">
        <f ca="1">BW243+BX243</f>
        <v>0</v>
      </c>
      <c r="BW243" s="1250">
        <f>BW238*BW179/1000</f>
        <v>0</v>
      </c>
      <c r="BX243" s="1250">
        <f ca="1">BX238*BX179/1000</f>
        <v>0</v>
      </c>
      <c r="BY243" s="727">
        <f ca="1">BZ243+CA243</f>
        <v>0</v>
      </c>
      <c r="BZ243" s="1250">
        <f>BZ238*BZ179/1000</f>
        <v>0</v>
      </c>
      <c r="CA243" s="1250">
        <f ca="1">CA238*CA179/1000</f>
        <v>0</v>
      </c>
      <c r="CB243" s="727">
        <f ca="1">CC243+CD243</f>
        <v>0</v>
      </c>
      <c r="CC243" s="1250">
        <f>CC238*CC179/1000</f>
        <v>0</v>
      </c>
      <c r="CD243" s="1250">
        <f ca="1">CD238*CD179/1000</f>
        <v>0</v>
      </c>
      <c r="CE243" s="727">
        <f ca="1">CF243+CG243</f>
        <v>0</v>
      </c>
      <c r="CF243" s="1250">
        <f>CF238*CF179/1000</f>
        <v>0</v>
      </c>
      <c r="CG243" s="1250">
        <f ca="1">CG238*CG179/1000</f>
        <v>0</v>
      </c>
      <c r="CH243" s="727">
        <f ca="1">CI243+CJ243</f>
        <v>0</v>
      </c>
      <c r="CI243" s="1250">
        <f>CI238*CI179/1000</f>
        <v>0</v>
      </c>
      <c r="CJ243" s="1250">
        <f ca="1">CJ238*CJ179/1000</f>
        <v>0</v>
      </c>
      <c r="CK243" s="727">
        <f ca="1">CL243+CM243</f>
        <v>0</v>
      </c>
      <c r="CL243" s="1250">
        <f>CL238*CL179/1000</f>
        <v>0</v>
      </c>
      <c r="CM243" s="1250">
        <f ca="1">CM238*CM179/1000</f>
        <v>0</v>
      </c>
      <c r="CN243" s="727">
        <f ca="1">CO243+CP243</f>
        <v>0</v>
      </c>
      <c r="CO243" s="1250">
        <f>CO238*CO179/1000</f>
        <v>0</v>
      </c>
      <c r="CP243" s="1250">
        <f ca="1">CP238*CP179/1000</f>
        <v>0</v>
      </c>
      <c r="CQ243" s="727">
        <f ca="1">CR243+CS243</f>
        <v>0</v>
      </c>
      <c r="CR243" s="1250">
        <f>CR238*CR179/1000</f>
        <v>0</v>
      </c>
      <c r="CS243" s="1250">
        <f ca="1">CS238*CS179/1000</f>
        <v>0</v>
      </c>
      <c r="CT243" s="1231"/>
      <c r="CW243" s="960" t="s">
        <v>881</v>
      </c>
      <c r="CX243" s="965" t="s">
        <v>812</v>
      </c>
      <c r="CY243" s="969" t="str" cm="1">
        <f t="array" ref="CY243">AE243</f>
        <v>Уголь длиннопламенный</v>
      </c>
      <c r="CZ243" s="969" t="str" cm="1">
        <f t="array" ref="CZ243">AF243</f>
        <v/>
      </c>
      <c r="DA243" s="966"/>
      <c r="DB243" s="966"/>
    </row>
    <row r="244" spans="1:106" s="1167" customFormat="1" ht="15" hidden="1" customHeight="1" x14ac:dyDescent="0.15">
      <c r="A244" s="1150"/>
      <c r="B244" s="773"/>
      <c r="C244" s="1150"/>
      <c r="D244" s="1150"/>
      <c r="E244" s="668">
        <v>0</v>
      </c>
      <c r="F244" s="769" t="str" cm="1">
        <f t="array" aca="1" ref="F244" ca="1">OFFSET(G244,-1,-1)</f>
        <v>1</v>
      </c>
      <c r="G244" s="804"/>
      <c r="H244" s="804"/>
      <c r="I244" s="804"/>
      <c r="J244" s="804"/>
      <c r="K244" s="804"/>
      <c r="L244" s="769" t="b" cm="1">
        <f t="array" aca="1" ref="L244" ca="1">OFFSET(M244,-1,-1)</f>
        <v>0</v>
      </c>
      <c r="M244" s="804"/>
      <c r="N244" s="804"/>
      <c r="O244" s="804"/>
      <c r="P244" s="804"/>
      <c r="Q244" s="804"/>
      <c r="R244" s="1150"/>
      <c r="S244" s="107" t="b" cm="1">
        <f t="array" aca="1" ref="S244" ca="1">OFFSET(T244,-1,-1)</f>
        <v>1</v>
      </c>
      <c r="T244" s="1150"/>
      <c r="U244" s="690" t="b">
        <f t="shared" ca="1" si="99"/>
        <v>1</v>
      </c>
      <c r="V244" s="1150"/>
      <c r="W244" s="1150"/>
      <c r="X244" s="810" t="str">
        <f>"{                  
         funcDyn: 'msg1',
         blok: 'blok_2',
         wsCross: 'Топливо 4.4',
         linkFormula: 'AE-AE#AF-AF',
         levelDyn: "&amp;Y139&amp;"
}"</f>
        <v>{                  
         funcDyn: 'msg1',
         blok: 'blok_2',
         wsCross: 'Топливо 4.4',
         linkFormula: 'AE-AE#AF-AF',
         levelDyn: 1
}</v>
      </c>
      <c r="Y244" s="1428"/>
      <c r="Z244" s="1428"/>
      <c r="AA244" s="691"/>
      <c r="AB244" s="1536"/>
      <c r="AD244" s="813"/>
      <c r="AE244" s="812" t="s">
        <v>239</v>
      </c>
      <c r="AF244" s="736"/>
      <c r="AG244" s="724"/>
      <c r="AH244" s="726"/>
      <c r="AI244" s="728"/>
      <c r="AJ244" s="728"/>
      <c r="AK244" s="728"/>
      <c r="AL244" s="728"/>
      <c r="AM244" s="728"/>
      <c r="AN244" s="728"/>
      <c r="AO244" s="728"/>
      <c r="AP244" s="728"/>
      <c r="AQ244" s="728"/>
      <c r="AR244" s="728"/>
      <c r="AS244" s="728"/>
      <c r="AT244" s="728"/>
      <c r="AU244" s="728"/>
      <c r="AV244" s="728"/>
      <c r="AW244" s="728"/>
      <c r="AX244" s="728"/>
      <c r="AY244" s="728"/>
      <c r="AZ244" s="728"/>
      <c r="BA244" s="728"/>
      <c r="BB244" s="728"/>
      <c r="BC244" s="728"/>
      <c r="BD244" s="728"/>
      <c r="BE244" s="728"/>
      <c r="BF244" s="728"/>
      <c r="BG244" s="728"/>
      <c r="BH244" s="728"/>
      <c r="BI244" s="728"/>
      <c r="BJ244" s="728"/>
      <c r="BK244" s="728"/>
      <c r="BL244" s="728"/>
      <c r="BM244" s="728"/>
      <c r="BN244" s="728"/>
      <c r="BO244" s="728"/>
      <c r="BP244" s="728"/>
      <c r="BQ244" s="728"/>
      <c r="BR244" s="728"/>
      <c r="BS244" s="728"/>
      <c r="BT244" s="728"/>
      <c r="BU244" s="728"/>
      <c r="BV244" s="728"/>
      <c r="BW244" s="728"/>
      <c r="BX244" s="728"/>
      <c r="BY244" s="728"/>
      <c r="BZ244" s="728"/>
      <c r="CA244" s="728"/>
      <c r="CB244" s="728"/>
      <c r="CC244" s="728"/>
      <c r="CD244" s="728"/>
      <c r="CE244" s="728"/>
      <c r="CF244" s="728"/>
      <c r="CG244" s="728"/>
      <c r="CH244" s="728"/>
      <c r="CI244" s="728"/>
      <c r="CJ244" s="728"/>
      <c r="CK244" s="728"/>
      <c r="CL244" s="728"/>
      <c r="CM244" s="728"/>
      <c r="CN244" s="728"/>
      <c r="CO244" s="728"/>
      <c r="CP244" s="728"/>
      <c r="CQ244" s="728"/>
      <c r="CR244" s="728"/>
      <c r="CS244" s="728"/>
      <c r="CT244" s="43"/>
      <c r="CW244" s="960" t="str">
        <f>IF(AND(ISNUMBER(VALUE(TRIM(SUBSTITUTE(AD244,".","")))),TRIM(SUBSTITUTE(AD244,".",""))&lt;&gt;""),"P"&amp;SUBSTITUTE(AD244,".",""),"")</f>
        <v/>
      </c>
      <c r="CX244" s="965"/>
      <c r="CY244" s="965"/>
      <c r="CZ244" s="965"/>
      <c r="DA244" s="966"/>
      <c r="DB244" s="966"/>
    </row>
    <row r="245" spans="1:106" s="1167" customFormat="1" ht="29.25" hidden="1" customHeight="1" x14ac:dyDescent="0.15">
      <c r="A245" s="1150"/>
      <c r="B245" s="773"/>
      <c r="C245" s="1150"/>
      <c r="D245" s="1150"/>
      <c r="E245" s="668">
        <v>30</v>
      </c>
      <c r="F245" s="769" t="str" cm="1">
        <f t="array" aca="1" ref="F245" ca="1">OFFSET(G245,-1,-1)</f>
        <v>1</v>
      </c>
      <c r="G245" s="804"/>
      <c r="H245" s="804"/>
      <c r="I245" s="804"/>
      <c r="J245" s="804"/>
      <c r="K245" s="804"/>
      <c r="L245" s="769" t="b" cm="1">
        <f t="array" aca="1" ref="L245" ca="1">OFFSET(M245,-1,-1)</f>
        <v>0</v>
      </c>
      <c r="M245" s="804"/>
      <c r="N245" s="804"/>
      <c r="O245" s="804"/>
      <c r="P245" s="804"/>
      <c r="Q245" s="804"/>
      <c r="R245" s="769" t="s">
        <v>750</v>
      </c>
      <c r="S245" s="107" t="b" cm="1">
        <f t="array" aca="1" ref="S245" ca="1">OFFSET(T245,-1,-1)</f>
        <v>1</v>
      </c>
      <c r="T245" s="107" t="b" cm="1">
        <f t="array" aca="1" ref="T245" ca="1">L245</f>
        <v>0</v>
      </c>
      <c r="U245" s="690" t="b">
        <f t="shared" ca="1" si="99"/>
        <v>0</v>
      </c>
      <c r="V245" s="1150"/>
      <c r="W245" s="1150"/>
      <c r="X245" s="1150"/>
      <c r="Y245" s="1428"/>
      <c r="Z245" s="1428"/>
      <c r="AA245" s="691"/>
      <c r="AB245" s="1536"/>
      <c r="AD245" s="121" t="s">
        <v>883</v>
      </c>
      <c r="AE245" s="1515" t="s">
        <v>884</v>
      </c>
      <c r="AF245" s="1516"/>
      <c r="AG245" s="724" t="s">
        <v>830</v>
      </c>
      <c r="AH245" s="725">
        <f t="shared" ref="AH245:BM245" si="109">SUM(AH246:AH248)</f>
        <v>3552.1369999999997</v>
      </c>
      <c r="AI245" s="725">
        <f t="shared" si="109"/>
        <v>2843.7780000000002</v>
      </c>
      <c r="AJ245" s="725">
        <f t="shared" si="109"/>
        <v>2843.7779999999998</v>
      </c>
      <c r="AK245" s="725">
        <f t="shared" si="109"/>
        <v>3882.77</v>
      </c>
      <c r="AL245" s="725">
        <f t="shared" ca="1" si="109"/>
        <v>4239.8011455147353</v>
      </c>
      <c r="AM245" s="725">
        <f t="shared" si="109"/>
        <v>2188.0095376263607</v>
      </c>
      <c r="AN245" s="725">
        <f t="shared" ca="1" si="109"/>
        <v>2051.791607888375</v>
      </c>
      <c r="AO245" s="725">
        <f t="shared" ca="1" si="109"/>
        <v>0</v>
      </c>
      <c r="AP245" s="725">
        <f t="shared" si="109"/>
        <v>0</v>
      </c>
      <c r="AQ245" s="725">
        <f t="shared" ca="1" si="109"/>
        <v>0</v>
      </c>
      <c r="AR245" s="725">
        <f t="shared" ca="1" si="109"/>
        <v>0</v>
      </c>
      <c r="AS245" s="725">
        <f t="shared" si="109"/>
        <v>0</v>
      </c>
      <c r="AT245" s="725">
        <f t="shared" ca="1" si="109"/>
        <v>0</v>
      </c>
      <c r="AU245" s="725">
        <f t="shared" ca="1" si="109"/>
        <v>0</v>
      </c>
      <c r="AV245" s="725">
        <f t="shared" si="109"/>
        <v>0</v>
      </c>
      <c r="AW245" s="725">
        <f t="shared" ca="1" si="109"/>
        <v>0</v>
      </c>
      <c r="AX245" s="725">
        <f t="shared" ca="1" si="109"/>
        <v>0</v>
      </c>
      <c r="AY245" s="725">
        <f t="shared" si="109"/>
        <v>0</v>
      </c>
      <c r="AZ245" s="725">
        <f t="shared" ca="1" si="109"/>
        <v>0</v>
      </c>
      <c r="BA245" s="725">
        <f t="shared" ca="1" si="109"/>
        <v>0</v>
      </c>
      <c r="BB245" s="725">
        <f t="shared" si="109"/>
        <v>0</v>
      </c>
      <c r="BC245" s="725">
        <f t="shared" ca="1" si="109"/>
        <v>0</v>
      </c>
      <c r="BD245" s="725">
        <f t="shared" ca="1" si="109"/>
        <v>0</v>
      </c>
      <c r="BE245" s="725">
        <f t="shared" si="109"/>
        <v>0</v>
      </c>
      <c r="BF245" s="725">
        <f t="shared" ca="1" si="109"/>
        <v>0</v>
      </c>
      <c r="BG245" s="725">
        <f t="shared" ca="1" si="109"/>
        <v>0</v>
      </c>
      <c r="BH245" s="725">
        <f t="shared" si="109"/>
        <v>0</v>
      </c>
      <c r="BI245" s="725">
        <f t="shared" ca="1" si="109"/>
        <v>0</v>
      </c>
      <c r="BJ245" s="725">
        <f t="shared" ca="1" si="109"/>
        <v>0</v>
      </c>
      <c r="BK245" s="725">
        <f t="shared" si="109"/>
        <v>0</v>
      </c>
      <c r="BL245" s="725">
        <f t="shared" ca="1" si="109"/>
        <v>0</v>
      </c>
      <c r="BM245" s="725">
        <f t="shared" ca="1" si="109"/>
        <v>0</v>
      </c>
      <c r="BN245" s="725">
        <f t="shared" ref="BN245:CS245" si="110">SUM(BN246:BN248)</f>
        <v>0</v>
      </c>
      <c r="BO245" s="725">
        <f t="shared" ca="1" si="110"/>
        <v>0</v>
      </c>
      <c r="BP245" s="725">
        <f t="shared" ca="1" si="110"/>
        <v>3991.9867745643878</v>
      </c>
      <c r="BQ245" s="725">
        <f t="shared" si="110"/>
        <v>2880.7745637181242</v>
      </c>
      <c r="BR245" s="725">
        <f t="shared" ca="1" si="110"/>
        <v>1111.2122108462634</v>
      </c>
      <c r="BS245" s="725">
        <f t="shared" ca="1" si="110"/>
        <v>0</v>
      </c>
      <c r="BT245" s="725">
        <f t="shared" si="110"/>
        <v>0</v>
      </c>
      <c r="BU245" s="725">
        <f t="shared" ca="1" si="110"/>
        <v>0</v>
      </c>
      <c r="BV245" s="725">
        <f t="shared" ca="1" si="110"/>
        <v>0</v>
      </c>
      <c r="BW245" s="725">
        <f t="shared" si="110"/>
        <v>0</v>
      </c>
      <c r="BX245" s="725">
        <f t="shared" ca="1" si="110"/>
        <v>0</v>
      </c>
      <c r="BY245" s="725">
        <f t="shared" ca="1" si="110"/>
        <v>0</v>
      </c>
      <c r="BZ245" s="725">
        <f t="shared" si="110"/>
        <v>0</v>
      </c>
      <c r="CA245" s="725">
        <f t="shared" ca="1" si="110"/>
        <v>0</v>
      </c>
      <c r="CB245" s="725">
        <f t="shared" ca="1" si="110"/>
        <v>0</v>
      </c>
      <c r="CC245" s="725">
        <f t="shared" si="110"/>
        <v>0</v>
      </c>
      <c r="CD245" s="725">
        <f t="shared" ca="1" si="110"/>
        <v>0</v>
      </c>
      <c r="CE245" s="725">
        <f t="shared" ca="1" si="110"/>
        <v>0</v>
      </c>
      <c r="CF245" s="725">
        <f t="shared" si="110"/>
        <v>0</v>
      </c>
      <c r="CG245" s="725">
        <f t="shared" ca="1" si="110"/>
        <v>0</v>
      </c>
      <c r="CH245" s="725">
        <f t="shared" ca="1" si="110"/>
        <v>0</v>
      </c>
      <c r="CI245" s="725">
        <f t="shared" si="110"/>
        <v>0</v>
      </c>
      <c r="CJ245" s="725">
        <f t="shared" ca="1" si="110"/>
        <v>0</v>
      </c>
      <c r="CK245" s="725">
        <f t="shared" ca="1" si="110"/>
        <v>0</v>
      </c>
      <c r="CL245" s="725">
        <f t="shared" si="110"/>
        <v>0</v>
      </c>
      <c r="CM245" s="725">
        <f t="shared" ca="1" si="110"/>
        <v>0</v>
      </c>
      <c r="CN245" s="725">
        <f t="shared" ca="1" si="110"/>
        <v>0</v>
      </c>
      <c r="CO245" s="725">
        <f t="shared" si="110"/>
        <v>0</v>
      </c>
      <c r="CP245" s="725">
        <f t="shared" ca="1" si="110"/>
        <v>0</v>
      </c>
      <c r="CQ245" s="725">
        <f t="shared" ca="1" si="110"/>
        <v>0</v>
      </c>
      <c r="CR245" s="725">
        <f t="shared" si="110"/>
        <v>0</v>
      </c>
      <c r="CS245" s="725">
        <f t="shared" ca="1" si="110"/>
        <v>0</v>
      </c>
      <c r="CT245" s="25"/>
      <c r="CW245" s="960" t="s">
        <v>885</v>
      </c>
      <c r="CX245" s="965"/>
      <c r="CY245" s="965"/>
      <c r="CZ245" s="965"/>
      <c r="DA245" s="966"/>
      <c r="DB245" s="966"/>
    </row>
    <row r="246" spans="1:106" s="1167" customFormat="1" ht="16.5" hidden="1" customHeight="1" x14ac:dyDescent="0.15">
      <c r="E246" s="668">
        <v>17.100000000000001</v>
      </c>
      <c r="F246" s="769" t="str" cm="1">
        <f t="array" aca="1" ref="F246" ca="1">OFFSET(G246,-1,-1)</f>
        <v>1</v>
      </c>
      <c r="L246" s="769" t="b" cm="1">
        <f t="array" aca="1" ref="L246" ca="1">OFFSET(M246,-1,-1)</f>
        <v>0</v>
      </c>
      <c r="R246" s="769" t="s">
        <v>750</v>
      </c>
      <c r="S246" s="107" t="b" cm="1">
        <f t="array" aca="1" ref="S246" ca="1">OFFSET(T246,-1,-1)</f>
        <v>1</v>
      </c>
      <c r="T246" s="107" t="b">
        <f ca="1">AND(L246,AD246&lt;&gt;"37.0")</f>
        <v>0</v>
      </c>
      <c r="U246" s="690" t="b">
        <f t="shared" ca="1" si="99"/>
        <v>0</v>
      </c>
      <c r="X246" s="107" t="s">
        <v>237</v>
      </c>
      <c r="Y246" s="1481"/>
      <c r="Z246" s="1481"/>
      <c r="AB246" s="1536"/>
      <c r="AD246" s="108" t="s">
        <v>886</v>
      </c>
      <c r="AE246" s="811"/>
      <c r="AF246" s="516"/>
      <c r="AG246" s="724" t="s">
        <v>830</v>
      </c>
      <c r="AH246" s="38">
        <f t="shared" ref="AH246:AK247" si="111">AH$163*AH242</f>
        <v>0</v>
      </c>
      <c r="AI246" s="39">
        <f t="shared" si="111"/>
        <v>0</v>
      </c>
      <c r="AJ246" s="39">
        <f t="shared" si="111"/>
        <v>0</v>
      </c>
      <c r="AK246" s="39">
        <f t="shared" si="111"/>
        <v>0</v>
      </c>
      <c r="AL246" s="727">
        <f ca="1">AM246+AN246</f>
        <v>0</v>
      </c>
      <c r="AM246" s="39">
        <f>AM$163*AM242</f>
        <v>0</v>
      </c>
      <c r="AN246" s="39">
        <f ca="1">AN$163*AN242</f>
        <v>0</v>
      </c>
      <c r="AO246" s="727">
        <f ca="1">AP246+AQ246</f>
        <v>0</v>
      </c>
      <c r="AP246" s="39">
        <f>AP$163*AP242</f>
        <v>0</v>
      </c>
      <c r="AQ246" s="39">
        <f ca="1">AQ$163*AQ242</f>
        <v>0</v>
      </c>
      <c r="AR246" s="727">
        <f ca="1">AS246+AT246</f>
        <v>0</v>
      </c>
      <c r="AS246" s="39">
        <f>AS$163*AS242</f>
        <v>0</v>
      </c>
      <c r="AT246" s="39">
        <f ca="1">AT$163*AT242</f>
        <v>0</v>
      </c>
      <c r="AU246" s="727">
        <f ca="1">AV246+AW246</f>
        <v>0</v>
      </c>
      <c r="AV246" s="39">
        <f>AV$163*AV242</f>
        <v>0</v>
      </c>
      <c r="AW246" s="39">
        <f ca="1">AW$163*AW242</f>
        <v>0</v>
      </c>
      <c r="AX246" s="727">
        <f ca="1">AY246+AZ246</f>
        <v>0</v>
      </c>
      <c r="AY246" s="39">
        <f>AY$163*AY242</f>
        <v>0</v>
      </c>
      <c r="AZ246" s="39">
        <f ca="1">AZ$163*AZ242</f>
        <v>0</v>
      </c>
      <c r="BA246" s="727">
        <f ca="1">BB246+BC246</f>
        <v>0</v>
      </c>
      <c r="BB246" s="39">
        <f>BB$163*BB242</f>
        <v>0</v>
      </c>
      <c r="BC246" s="39">
        <f ca="1">BC$163*BC242</f>
        <v>0</v>
      </c>
      <c r="BD246" s="727">
        <f ca="1">BE246+BF246</f>
        <v>0</v>
      </c>
      <c r="BE246" s="39">
        <f>BE$163*BE242</f>
        <v>0</v>
      </c>
      <c r="BF246" s="39">
        <f ca="1">BF$163*BF242</f>
        <v>0</v>
      </c>
      <c r="BG246" s="727">
        <f ca="1">BH246+BI246</f>
        <v>0</v>
      </c>
      <c r="BH246" s="39">
        <f>BH$163*BH242</f>
        <v>0</v>
      </c>
      <c r="BI246" s="39">
        <f ca="1">BI$163*BI242</f>
        <v>0</v>
      </c>
      <c r="BJ246" s="727">
        <f ca="1">BK246+BL246</f>
        <v>0</v>
      </c>
      <c r="BK246" s="39">
        <f>BK$163*BK242</f>
        <v>0</v>
      </c>
      <c r="BL246" s="39">
        <f ca="1">BL$163*BL242</f>
        <v>0</v>
      </c>
      <c r="BM246" s="727">
        <f ca="1">BN246+BO246</f>
        <v>0</v>
      </c>
      <c r="BN246" s="39">
        <f>BN$163*BN242</f>
        <v>0</v>
      </c>
      <c r="BO246" s="39">
        <f ca="1">BO$163*BO242</f>
        <v>0</v>
      </c>
      <c r="BP246" s="727">
        <f ca="1">BQ246+BR246</f>
        <v>0</v>
      </c>
      <c r="BQ246" s="816">
        <f>BQ$163*BQ242</f>
        <v>0</v>
      </c>
      <c r="BR246" s="816">
        <f ca="1">BR$163*BR242</f>
        <v>0</v>
      </c>
      <c r="BS246" s="727">
        <f ca="1">BT246+BU246</f>
        <v>0</v>
      </c>
      <c r="BT246" s="39">
        <f>BT$163*BT242</f>
        <v>0</v>
      </c>
      <c r="BU246" s="39">
        <f ca="1">BU$163*BU242</f>
        <v>0</v>
      </c>
      <c r="BV246" s="727">
        <f ca="1">BW246+BX246</f>
        <v>0</v>
      </c>
      <c r="BW246" s="39">
        <f>BW$163*BW242</f>
        <v>0</v>
      </c>
      <c r="BX246" s="39">
        <f ca="1">BX$163*BX242</f>
        <v>0</v>
      </c>
      <c r="BY246" s="727">
        <f ca="1">BZ246+CA246</f>
        <v>0</v>
      </c>
      <c r="BZ246" s="39">
        <f>BZ$163*BZ242</f>
        <v>0</v>
      </c>
      <c r="CA246" s="39">
        <f ca="1">CA$163*CA242</f>
        <v>0</v>
      </c>
      <c r="CB246" s="727">
        <f ca="1">CC246+CD246</f>
        <v>0</v>
      </c>
      <c r="CC246" s="39">
        <f>CC$163*CC242</f>
        <v>0</v>
      </c>
      <c r="CD246" s="39">
        <f ca="1">CD$163*CD242</f>
        <v>0</v>
      </c>
      <c r="CE246" s="727">
        <f ca="1">CF246+CG246</f>
        <v>0</v>
      </c>
      <c r="CF246" s="39">
        <f>CF$163*CF242</f>
        <v>0</v>
      </c>
      <c r="CG246" s="39">
        <f ca="1">CG$163*CG242</f>
        <v>0</v>
      </c>
      <c r="CH246" s="727">
        <f ca="1">CI246+CJ246</f>
        <v>0</v>
      </c>
      <c r="CI246" s="39">
        <f>CI$163*CI242</f>
        <v>0</v>
      </c>
      <c r="CJ246" s="39">
        <f ca="1">CJ$163*CJ242</f>
        <v>0</v>
      </c>
      <c r="CK246" s="727">
        <f ca="1">CL246+CM246</f>
        <v>0</v>
      </c>
      <c r="CL246" s="39">
        <f>CL$163*CL242</f>
        <v>0</v>
      </c>
      <c r="CM246" s="39">
        <f ca="1">CM$163*CM242</f>
        <v>0</v>
      </c>
      <c r="CN246" s="727">
        <f ca="1">CO246+CP246</f>
        <v>0</v>
      </c>
      <c r="CO246" s="39">
        <f>CO$163*CO242</f>
        <v>0</v>
      </c>
      <c r="CP246" s="39">
        <f ca="1">CP$163*CP242</f>
        <v>0</v>
      </c>
      <c r="CQ246" s="727">
        <f ca="1">CR246+CS246</f>
        <v>0</v>
      </c>
      <c r="CR246" s="39">
        <f>CR$163*CR242</f>
        <v>0</v>
      </c>
      <c r="CS246" s="39">
        <f ca="1">CS$163*CS242</f>
        <v>0</v>
      </c>
      <c r="CT246" s="25"/>
      <c r="CW246" s="960" t="s">
        <v>885</v>
      </c>
      <c r="CX246" s="965" t="s">
        <v>812</v>
      </c>
      <c r="CY246" s="969" cm="1">
        <f t="array" ref="CY246">AE246</f>
        <v>0</v>
      </c>
      <c r="CZ246" s="969" cm="1">
        <f t="array" ref="CZ246">AF246</f>
        <v>0</v>
      </c>
      <c r="DA246" s="966"/>
      <c r="DB246" s="966"/>
    </row>
    <row r="247" spans="1:106" s="1167" customFormat="1" ht="16.5" hidden="1" customHeight="1" x14ac:dyDescent="0.15">
      <c r="E247" s="668">
        <v>17.100000000000001</v>
      </c>
      <c r="F247" s="769" t="str" cm="1">
        <f t="array" aca="1" ref="F247" ca="1">OFFSET(G247,-1,-1)</f>
        <v>1</v>
      </c>
      <c r="L247" s="769" t="b" cm="1">
        <f t="array" aca="1" ref="L247" ca="1">OFFSET(M247,-1,-1)</f>
        <v>0</v>
      </c>
      <c r="R247" s="769" t="s">
        <v>750</v>
      </c>
      <c r="S247" s="107" t="b" cm="1">
        <f t="array" aca="1" ref="S247" ca="1">OFFSET(T247,-1,-1)</f>
        <v>1</v>
      </c>
      <c r="T247" s="107" t="b">
        <f ca="1">AND(L247,AD247&lt;&gt;"37.0")</f>
        <v>0</v>
      </c>
      <c r="U247" s="690" t="b">
        <f t="shared" ca="1" si="99"/>
        <v>0</v>
      </c>
      <c r="X247" s="107" t="str">
        <f>'Топливо 4.4'!$AE$243&amp;'Топливо 4.4'!$AF$243</f>
        <v>Уголь длиннопламенный</v>
      </c>
      <c r="Y247" s="1481"/>
      <c r="Z247" s="1481"/>
      <c r="AB247" s="1536"/>
      <c r="AD247" s="108" t="s">
        <v>941</v>
      </c>
      <c r="AE247" s="811" t="str" cm="1">
        <f t="array" ref="AE247">IF(ISBLANK('Топливо 4.4'!$AE$243),"",'Топливо 4.4'!$AE$243)</f>
        <v>Уголь длиннопламенный</v>
      </c>
      <c r="AF247" s="516" t="str" cm="1">
        <f t="array" ref="AF247">IF(ISBLANK('Топливо 4.4'!$AF$243),"",'Топливо 4.4'!$AF$243)</f>
        <v/>
      </c>
      <c r="AG247" s="724" t="s">
        <v>830</v>
      </c>
      <c r="AH247" s="38">
        <f t="shared" si="111"/>
        <v>3552.1369999999997</v>
      </c>
      <c r="AI247" s="39">
        <f t="shared" si="111"/>
        <v>2843.7780000000002</v>
      </c>
      <c r="AJ247" s="39">
        <f t="shared" si="111"/>
        <v>2843.7779999999998</v>
      </c>
      <c r="AK247" s="39">
        <f t="shared" si="111"/>
        <v>3882.77</v>
      </c>
      <c r="AL247" s="727">
        <f ca="1">AM247+AN247</f>
        <v>4239.8011455147353</v>
      </c>
      <c r="AM247" s="39">
        <f>AM$163*AM243</f>
        <v>2188.0095376263607</v>
      </c>
      <c r="AN247" s="39">
        <f ca="1">AN$163*AN243</f>
        <v>2051.791607888375</v>
      </c>
      <c r="AO247" s="727">
        <f ca="1">AP247+AQ247</f>
        <v>0</v>
      </c>
      <c r="AP247" s="39">
        <f>AP$163*AP243</f>
        <v>0</v>
      </c>
      <c r="AQ247" s="39">
        <f ca="1">AQ$163*AQ243</f>
        <v>0</v>
      </c>
      <c r="AR247" s="727">
        <f ca="1">AS247+AT247</f>
        <v>0</v>
      </c>
      <c r="AS247" s="39">
        <f>AS$163*AS243</f>
        <v>0</v>
      </c>
      <c r="AT247" s="39">
        <f ca="1">AT$163*AT243</f>
        <v>0</v>
      </c>
      <c r="AU247" s="727">
        <f ca="1">AV247+AW247</f>
        <v>0</v>
      </c>
      <c r="AV247" s="39">
        <f>AV$163*AV243</f>
        <v>0</v>
      </c>
      <c r="AW247" s="39">
        <f ca="1">AW$163*AW243</f>
        <v>0</v>
      </c>
      <c r="AX247" s="727">
        <f ca="1">AY247+AZ247</f>
        <v>0</v>
      </c>
      <c r="AY247" s="39">
        <f>AY$163*AY243</f>
        <v>0</v>
      </c>
      <c r="AZ247" s="39">
        <f ca="1">AZ$163*AZ243</f>
        <v>0</v>
      </c>
      <c r="BA247" s="727">
        <f ca="1">BB247+BC247</f>
        <v>0</v>
      </c>
      <c r="BB247" s="39">
        <f>BB$163*BB243</f>
        <v>0</v>
      </c>
      <c r="BC247" s="39">
        <f ca="1">BC$163*BC243</f>
        <v>0</v>
      </c>
      <c r="BD247" s="727">
        <f ca="1">BE247+BF247</f>
        <v>0</v>
      </c>
      <c r="BE247" s="39">
        <f>BE$163*BE243</f>
        <v>0</v>
      </c>
      <c r="BF247" s="39">
        <f ca="1">BF$163*BF243</f>
        <v>0</v>
      </c>
      <c r="BG247" s="727">
        <f ca="1">BH247+BI247</f>
        <v>0</v>
      </c>
      <c r="BH247" s="39">
        <f>BH$163*BH243</f>
        <v>0</v>
      </c>
      <c r="BI247" s="39">
        <f ca="1">BI$163*BI243</f>
        <v>0</v>
      </c>
      <c r="BJ247" s="727">
        <f ca="1">BK247+BL247</f>
        <v>0</v>
      </c>
      <c r="BK247" s="39">
        <f>BK$163*BK243</f>
        <v>0</v>
      </c>
      <c r="BL247" s="39">
        <f ca="1">BL$163*BL243</f>
        <v>0</v>
      </c>
      <c r="BM247" s="727">
        <f ca="1">BN247+BO247</f>
        <v>0</v>
      </c>
      <c r="BN247" s="39">
        <f>BN$163*BN243</f>
        <v>0</v>
      </c>
      <c r="BO247" s="39">
        <f ca="1">BO$163*BO243</f>
        <v>0</v>
      </c>
      <c r="BP247" s="727">
        <f ca="1">BQ247+BR247</f>
        <v>3991.9867745643878</v>
      </c>
      <c r="BQ247" s="816">
        <f>BQ$163*BQ243</f>
        <v>2880.7745637181242</v>
      </c>
      <c r="BR247" s="816">
        <f ca="1">BR$163*BR243</f>
        <v>1111.2122108462634</v>
      </c>
      <c r="BS247" s="727">
        <f ca="1">BT247+BU247</f>
        <v>0</v>
      </c>
      <c r="BT247" s="39">
        <f>BT$163*BT243</f>
        <v>0</v>
      </c>
      <c r="BU247" s="39">
        <f ca="1">BU$163*BU243</f>
        <v>0</v>
      </c>
      <c r="BV247" s="727">
        <f ca="1">BW247+BX247</f>
        <v>0</v>
      </c>
      <c r="BW247" s="39">
        <f>BW$163*BW243</f>
        <v>0</v>
      </c>
      <c r="BX247" s="39">
        <f ca="1">BX$163*BX243</f>
        <v>0</v>
      </c>
      <c r="BY247" s="727">
        <f ca="1">BZ247+CA247</f>
        <v>0</v>
      </c>
      <c r="BZ247" s="39">
        <f>BZ$163*BZ243</f>
        <v>0</v>
      </c>
      <c r="CA247" s="39">
        <f ca="1">CA$163*CA243</f>
        <v>0</v>
      </c>
      <c r="CB247" s="727">
        <f ca="1">CC247+CD247</f>
        <v>0</v>
      </c>
      <c r="CC247" s="39">
        <f>CC$163*CC243</f>
        <v>0</v>
      </c>
      <c r="CD247" s="39">
        <f ca="1">CD$163*CD243</f>
        <v>0</v>
      </c>
      <c r="CE247" s="727">
        <f ca="1">CF247+CG247</f>
        <v>0</v>
      </c>
      <c r="CF247" s="39">
        <f>CF$163*CF243</f>
        <v>0</v>
      </c>
      <c r="CG247" s="39">
        <f ca="1">CG$163*CG243</f>
        <v>0</v>
      </c>
      <c r="CH247" s="727">
        <f ca="1">CI247+CJ247</f>
        <v>0</v>
      </c>
      <c r="CI247" s="39">
        <f>CI$163*CI243</f>
        <v>0</v>
      </c>
      <c r="CJ247" s="39">
        <f ca="1">CJ$163*CJ243</f>
        <v>0</v>
      </c>
      <c r="CK247" s="727">
        <f ca="1">CL247+CM247</f>
        <v>0</v>
      </c>
      <c r="CL247" s="39">
        <f>CL$163*CL243</f>
        <v>0</v>
      </c>
      <c r="CM247" s="39">
        <f ca="1">CM$163*CM243</f>
        <v>0</v>
      </c>
      <c r="CN247" s="727">
        <f ca="1">CO247+CP247</f>
        <v>0</v>
      </c>
      <c r="CO247" s="39">
        <f>CO$163*CO243</f>
        <v>0</v>
      </c>
      <c r="CP247" s="39">
        <f ca="1">CP$163*CP243</f>
        <v>0</v>
      </c>
      <c r="CQ247" s="727">
        <f ca="1">CR247+CS247</f>
        <v>0</v>
      </c>
      <c r="CR247" s="39">
        <f>CR$163*CR243</f>
        <v>0</v>
      </c>
      <c r="CS247" s="39">
        <f ca="1">CS$163*CS243</f>
        <v>0</v>
      </c>
      <c r="CT247" s="25"/>
      <c r="CW247" s="960" t="s">
        <v>885</v>
      </c>
      <c r="CX247" s="965" t="s">
        <v>812</v>
      </c>
      <c r="CY247" s="969" t="str" cm="1">
        <f t="array" ref="CY247">AE247</f>
        <v>Уголь длиннопламенный</v>
      </c>
      <c r="CZ247" s="969" t="str" cm="1">
        <f t="array" ref="CZ247">AF247</f>
        <v/>
      </c>
      <c r="DA247" s="966"/>
      <c r="DB247" s="966"/>
    </row>
    <row r="248" spans="1:106" s="1167" customFormat="1" ht="15" hidden="1" customHeight="1" x14ac:dyDescent="0.15">
      <c r="A248" s="1150"/>
      <c r="B248" s="773"/>
      <c r="C248" s="1150"/>
      <c r="D248" s="1150"/>
      <c r="E248" s="668">
        <v>0</v>
      </c>
      <c r="F248" s="769" t="str" cm="1">
        <f t="array" aca="1" ref="F248" ca="1">OFFSET(G248,-1,-1)</f>
        <v>1</v>
      </c>
      <c r="G248" s="804"/>
      <c r="H248" s="804"/>
      <c r="I248" s="804"/>
      <c r="J248" s="804"/>
      <c r="K248" s="804"/>
      <c r="L248" s="769" t="b" cm="1">
        <f t="array" aca="1" ref="L248" ca="1">OFFSET(M248,-1,-1)</f>
        <v>0</v>
      </c>
      <c r="M248" s="804"/>
      <c r="N248" s="804"/>
      <c r="O248" s="804"/>
      <c r="P248" s="804"/>
      <c r="Q248" s="804"/>
      <c r="R248" s="1150"/>
      <c r="S248" s="107" t="b" cm="1">
        <f t="array" aca="1" ref="S248" ca="1">OFFSET(T248,-1,-1)</f>
        <v>1</v>
      </c>
      <c r="T248" s="1150"/>
      <c r="U248" s="690" t="b">
        <f t="shared" ca="1" si="99"/>
        <v>1</v>
      </c>
      <c r="V248" s="1150"/>
      <c r="W248" s="1150"/>
      <c r="X248" s="810" t="str">
        <f>"{                  
         funcDyn: 'msg1',
         blok: 'blok_2',
         wsCross: 'Топливо 4.4',
         linkFormula: 'AE-AE#AF-AF',
         levelDyn: "&amp;Y139&amp;"
}"</f>
        <v>{                  
         funcDyn: 'msg1',
         blok: 'blok_2',
         wsCross: 'Топливо 4.4',
         linkFormula: 'AE-AE#AF-AF',
         levelDyn: 1
}</v>
      </c>
      <c r="Y248" s="1428"/>
      <c r="Z248" s="1428"/>
      <c r="AA248" s="691"/>
      <c r="AB248" s="1537"/>
      <c r="AD248" s="813"/>
      <c r="AE248" s="812" t="s">
        <v>239</v>
      </c>
      <c r="AF248" s="736"/>
      <c r="AG248" s="724"/>
      <c r="AH248" s="726"/>
      <c r="AI248" s="728"/>
      <c r="AJ248" s="728"/>
      <c r="AK248" s="728"/>
      <c r="AL248" s="728"/>
      <c r="AM248" s="728"/>
      <c r="AN248" s="728"/>
      <c r="AO248" s="728"/>
      <c r="AP248" s="728"/>
      <c r="AQ248" s="728"/>
      <c r="AR248" s="728"/>
      <c r="AS248" s="728"/>
      <c r="AT248" s="728"/>
      <c r="AU248" s="728"/>
      <c r="AV248" s="728"/>
      <c r="AW248" s="728"/>
      <c r="AX248" s="728"/>
      <c r="AY248" s="728"/>
      <c r="AZ248" s="728"/>
      <c r="BA248" s="728"/>
      <c r="BB248" s="728"/>
      <c r="BC248" s="728"/>
      <c r="BD248" s="728"/>
      <c r="BE248" s="728"/>
      <c r="BF248" s="728"/>
      <c r="BG248" s="728"/>
      <c r="BH248" s="728"/>
      <c r="BI248" s="728"/>
      <c r="BJ248" s="728"/>
      <c r="BK248" s="728"/>
      <c r="BL248" s="728"/>
      <c r="BM248" s="728"/>
      <c r="BN248" s="728"/>
      <c r="BO248" s="728"/>
      <c r="BP248" s="728"/>
      <c r="BQ248" s="728"/>
      <c r="BR248" s="728"/>
      <c r="BS248" s="728"/>
      <c r="BT248" s="728"/>
      <c r="BU248" s="728"/>
      <c r="BV248" s="728"/>
      <c r="BW248" s="728"/>
      <c r="BX248" s="728"/>
      <c r="BY248" s="728"/>
      <c r="BZ248" s="728"/>
      <c r="CA248" s="728"/>
      <c r="CB248" s="728"/>
      <c r="CC248" s="728"/>
      <c r="CD248" s="728"/>
      <c r="CE248" s="728"/>
      <c r="CF248" s="728"/>
      <c r="CG248" s="728"/>
      <c r="CH248" s="728"/>
      <c r="CI248" s="728"/>
      <c r="CJ248" s="728"/>
      <c r="CK248" s="728"/>
      <c r="CL248" s="728"/>
      <c r="CM248" s="728"/>
      <c r="CN248" s="728"/>
      <c r="CO248" s="728"/>
      <c r="CP248" s="728"/>
      <c r="CQ248" s="728"/>
      <c r="CR248" s="728"/>
      <c r="CS248" s="728"/>
      <c r="CT248" s="43"/>
      <c r="CW248" s="960" t="str">
        <f>IF(AND(ISNUMBER(VALUE(TRIM(SUBSTITUTE(AD248,".","")))),TRIM(SUBSTITUTE(AD248,".",""))&lt;&gt;""),"P"&amp;SUBSTITUTE(AD248,".",""),"")</f>
        <v/>
      </c>
      <c r="CX248" s="965"/>
      <c r="CY248" s="965"/>
      <c r="CZ248" s="965"/>
      <c r="DA248" s="966"/>
      <c r="DB248" s="966"/>
    </row>
    <row r="249" spans="1:106" s="1167" customFormat="1" ht="16.5" customHeight="1" x14ac:dyDescent="0.15">
      <c r="A249" s="1150"/>
      <c r="B249" s="773"/>
      <c r="C249" s="1150"/>
      <c r="D249" s="1150"/>
      <c r="E249" s="668">
        <v>17.100000000000001</v>
      </c>
      <c r="F249" s="769" t="str" cm="1">
        <f t="array" aca="1" ref="F249" ca="1">OFFSET(G249,-1,-1)</f>
        <v>1</v>
      </c>
      <c r="G249" s="804"/>
      <c r="H249" s="804"/>
      <c r="I249" s="804"/>
      <c r="J249" s="804"/>
      <c r="K249" s="804"/>
      <c r="L249" s="769" t="b" cm="1">
        <f t="array" aca="1" ref="L249" ca="1">OFFSET(M249,-1,-1)</f>
        <v>0</v>
      </c>
      <c r="M249" s="804"/>
      <c r="N249" s="804"/>
      <c r="O249" s="804"/>
      <c r="P249" s="804"/>
      <c r="Q249" s="804"/>
      <c r="R249" s="1150"/>
      <c r="S249" s="107" t="b" cm="1">
        <f t="array" aca="1" ref="S249" ca="1">OFFSET(T249,-1,-1)</f>
        <v>1</v>
      </c>
      <c r="T249" s="1150"/>
      <c r="U249" s="690" t="b">
        <f t="shared" ca="1" si="99"/>
        <v>1</v>
      </c>
      <c r="V249" s="1150"/>
      <c r="W249" s="1150"/>
      <c r="X249" s="1150"/>
      <c r="Y249" s="1428"/>
      <c r="Z249" s="1428"/>
      <c r="AA249" s="691"/>
      <c r="AB249" s="1535" t="s">
        <v>887</v>
      </c>
      <c r="AD249" s="121" t="s">
        <v>888</v>
      </c>
      <c r="AE249" s="1510" t="s">
        <v>889</v>
      </c>
      <c r="AF249" s="1493"/>
      <c r="AG249" s="724" t="s">
        <v>830</v>
      </c>
      <c r="AH249" s="725">
        <f t="shared" ref="AH249:BM249" si="112">SUM(AH251:AH253)</f>
        <v>0</v>
      </c>
      <c r="AI249" s="725">
        <f t="shared" si="112"/>
        <v>0</v>
      </c>
      <c r="AJ249" s="725">
        <f t="shared" si="112"/>
        <v>0</v>
      </c>
      <c r="AK249" s="725">
        <f t="shared" si="112"/>
        <v>0</v>
      </c>
      <c r="AL249" s="725">
        <f t="shared" si="112"/>
        <v>0</v>
      </c>
      <c r="AM249" s="725">
        <f t="shared" si="112"/>
        <v>0</v>
      </c>
      <c r="AN249" s="725">
        <f t="shared" si="112"/>
        <v>0</v>
      </c>
      <c r="AO249" s="725">
        <f t="shared" si="112"/>
        <v>0</v>
      </c>
      <c r="AP249" s="725">
        <f t="shared" si="112"/>
        <v>0</v>
      </c>
      <c r="AQ249" s="725">
        <f t="shared" si="112"/>
        <v>0</v>
      </c>
      <c r="AR249" s="725">
        <f t="shared" si="112"/>
        <v>0</v>
      </c>
      <c r="AS249" s="725">
        <f t="shared" si="112"/>
        <v>0</v>
      </c>
      <c r="AT249" s="725">
        <f t="shared" si="112"/>
        <v>0</v>
      </c>
      <c r="AU249" s="725">
        <f t="shared" si="112"/>
        <v>0</v>
      </c>
      <c r="AV249" s="725">
        <f t="shared" si="112"/>
        <v>0</v>
      </c>
      <c r="AW249" s="725">
        <f t="shared" si="112"/>
        <v>0</v>
      </c>
      <c r="AX249" s="725">
        <f t="shared" si="112"/>
        <v>0</v>
      </c>
      <c r="AY249" s="725">
        <f t="shared" si="112"/>
        <v>0</v>
      </c>
      <c r="AZ249" s="725">
        <f t="shared" si="112"/>
        <v>0</v>
      </c>
      <c r="BA249" s="725">
        <f t="shared" si="112"/>
        <v>0</v>
      </c>
      <c r="BB249" s="725">
        <f t="shared" si="112"/>
        <v>0</v>
      </c>
      <c r="BC249" s="725">
        <f t="shared" si="112"/>
        <v>0</v>
      </c>
      <c r="BD249" s="725">
        <f t="shared" si="112"/>
        <v>0</v>
      </c>
      <c r="BE249" s="725">
        <f t="shared" si="112"/>
        <v>0</v>
      </c>
      <c r="BF249" s="725">
        <f t="shared" si="112"/>
        <v>0</v>
      </c>
      <c r="BG249" s="725">
        <f t="shared" si="112"/>
        <v>0</v>
      </c>
      <c r="BH249" s="725">
        <f t="shared" si="112"/>
        <v>0</v>
      </c>
      <c r="BI249" s="725">
        <f t="shared" si="112"/>
        <v>0</v>
      </c>
      <c r="BJ249" s="725">
        <f t="shared" si="112"/>
        <v>0</v>
      </c>
      <c r="BK249" s="725">
        <f t="shared" si="112"/>
        <v>0</v>
      </c>
      <c r="BL249" s="725">
        <f t="shared" si="112"/>
        <v>0</v>
      </c>
      <c r="BM249" s="725">
        <f t="shared" si="112"/>
        <v>0</v>
      </c>
      <c r="BN249" s="725">
        <f t="shared" ref="BN249:CS249" si="113">SUM(BN251:BN253)</f>
        <v>0</v>
      </c>
      <c r="BO249" s="725">
        <f t="shared" si="113"/>
        <v>0</v>
      </c>
      <c r="BP249" s="725">
        <f t="shared" si="113"/>
        <v>0</v>
      </c>
      <c r="BQ249" s="725">
        <f t="shared" si="113"/>
        <v>0</v>
      </c>
      <c r="BR249" s="725">
        <f t="shared" si="113"/>
        <v>0</v>
      </c>
      <c r="BS249" s="725">
        <f t="shared" si="113"/>
        <v>0</v>
      </c>
      <c r="BT249" s="725">
        <f t="shared" si="113"/>
        <v>0</v>
      </c>
      <c r="BU249" s="725">
        <f t="shared" si="113"/>
        <v>0</v>
      </c>
      <c r="BV249" s="725">
        <f t="shared" si="113"/>
        <v>0</v>
      </c>
      <c r="BW249" s="725">
        <f t="shared" si="113"/>
        <v>0</v>
      </c>
      <c r="BX249" s="725">
        <f t="shared" si="113"/>
        <v>0</v>
      </c>
      <c r="BY249" s="725">
        <f t="shared" si="113"/>
        <v>0</v>
      </c>
      <c r="BZ249" s="725">
        <f t="shared" si="113"/>
        <v>0</v>
      </c>
      <c r="CA249" s="725">
        <f t="shared" si="113"/>
        <v>0</v>
      </c>
      <c r="CB249" s="725">
        <f t="shared" si="113"/>
        <v>0</v>
      </c>
      <c r="CC249" s="725">
        <f t="shared" si="113"/>
        <v>0</v>
      </c>
      <c r="CD249" s="725">
        <f t="shared" si="113"/>
        <v>0</v>
      </c>
      <c r="CE249" s="725">
        <f t="shared" si="113"/>
        <v>0</v>
      </c>
      <c r="CF249" s="725">
        <f t="shared" si="113"/>
        <v>0</v>
      </c>
      <c r="CG249" s="725">
        <f t="shared" si="113"/>
        <v>0</v>
      </c>
      <c r="CH249" s="725">
        <f t="shared" si="113"/>
        <v>0</v>
      </c>
      <c r="CI249" s="725">
        <f t="shared" si="113"/>
        <v>0</v>
      </c>
      <c r="CJ249" s="725">
        <f t="shared" si="113"/>
        <v>0</v>
      </c>
      <c r="CK249" s="725">
        <f t="shared" si="113"/>
        <v>0</v>
      </c>
      <c r="CL249" s="725">
        <f t="shared" si="113"/>
        <v>0</v>
      </c>
      <c r="CM249" s="725">
        <f t="shared" si="113"/>
        <v>0</v>
      </c>
      <c r="CN249" s="725">
        <f t="shared" si="113"/>
        <v>0</v>
      </c>
      <c r="CO249" s="725">
        <f t="shared" si="113"/>
        <v>0</v>
      </c>
      <c r="CP249" s="725">
        <f t="shared" si="113"/>
        <v>0</v>
      </c>
      <c r="CQ249" s="725">
        <f t="shared" si="113"/>
        <v>0</v>
      </c>
      <c r="CR249" s="725">
        <f t="shared" si="113"/>
        <v>0</v>
      </c>
      <c r="CS249" s="725">
        <f t="shared" si="113"/>
        <v>0</v>
      </c>
      <c r="CT249" s="1231"/>
      <c r="CW249" s="960" t="s">
        <v>890</v>
      </c>
      <c r="CX249" s="965"/>
      <c r="CY249" s="965"/>
      <c r="CZ249" s="965"/>
      <c r="DA249" s="966"/>
      <c r="DB249" s="966"/>
    </row>
    <row r="250" spans="1:106" s="1167" customFormat="1" ht="16.5" hidden="1" customHeight="1" x14ac:dyDescent="0.15">
      <c r="A250" s="1150"/>
      <c r="B250" s="773"/>
      <c r="C250" s="1150"/>
      <c r="D250" s="1150"/>
      <c r="E250" s="668">
        <v>17.100000000000001</v>
      </c>
      <c r="F250" s="769" t="str" cm="1">
        <f t="array" aca="1" ref="F250" ca="1">OFFSET(G250,-1,-1)</f>
        <v>1</v>
      </c>
      <c r="G250" s="804"/>
      <c r="H250" s="804"/>
      <c r="I250" s="804"/>
      <c r="J250" s="804"/>
      <c r="K250" s="804"/>
      <c r="L250" s="769" t="b" cm="1">
        <f t="array" aca="1" ref="L250" ca="1">OFFSET(M250,-1,-1)</f>
        <v>0</v>
      </c>
      <c r="M250" s="804"/>
      <c r="N250" s="804"/>
      <c r="O250" s="804"/>
      <c r="P250" s="804"/>
      <c r="Q250" s="804"/>
      <c r="R250" s="769" t="s">
        <v>750</v>
      </c>
      <c r="S250" s="107" t="b" cm="1">
        <f t="array" aca="1" ref="S250" ca="1">OFFSET(T250,-1,-1)</f>
        <v>1</v>
      </c>
      <c r="T250" s="769" t="b">
        <v>0</v>
      </c>
      <c r="U250" s="690" t="b">
        <f t="shared" ca="1" si="99"/>
        <v>0</v>
      </c>
      <c r="V250" s="1150"/>
      <c r="W250" s="1150"/>
      <c r="X250" s="1150"/>
      <c r="Y250" s="1428"/>
      <c r="Z250" s="1428"/>
      <c r="AA250" s="691"/>
      <c r="AB250" s="1536"/>
      <c r="AD250" s="108" t="str">
        <f>AD249&amp;".0"</f>
        <v>38.0</v>
      </c>
      <c r="AE250" s="1513" t="s">
        <v>761</v>
      </c>
      <c r="AF250" s="1514"/>
      <c r="AG250" s="724" t="s">
        <v>830</v>
      </c>
      <c r="AH250" s="38">
        <f>AH$163*AH249</f>
        <v>0</v>
      </c>
      <c r="AI250" s="39">
        <f>AI$163*AI249</f>
        <v>0</v>
      </c>
      <c r="AJ250" s="39">
        <f>AJ$163*AJ249</f>
        <v>0</v>
      </c>
      <c r="AK250" s="39">
        <f>AK$163*AK249</f>
        <v>0</v>
      </c>
      <c r="AL250" s="727">
        <f ca="1">AM250+AN250</f>
        <v>0</v>
      </c>
      <c r="AM250" s="39">
        <f>AM$163*AM249</f>
        <v>0</v>
      </c>
      <c r="AN250" s="39">
        <f ca="1">AN$163*AN249</f>
        <v>0</v>
      </c>
      <c r="AO250" s="727">
        <f ca="1">AP250+AQ250</f>
        <v>0</v>
      </c>
      <c r="AP250" s="1244">
        <f>AP$163*AP249</f>
        <v>0</v>
      </c>
      <c r="AQ250" s="1244">
        <f ca="1">AQ$163*AQ249</f>
        <v>0</v>
      </c>
      <c r="AR250" s="727">
        <f ca="1">AS250+AT250</f>
        <v>0</v>
      </c>
      <c r="AS250" s="1244">
        <f>AS$163*AS249</f>
        <v>0</v>
      </c>
      <c r="AT250" s="1244">
        <f ca="1">AT$163*AT249</f>
        <v>0</v>
      </c>
      <c r="AU250" s="727">
        <f ca="1">AV250+AW250</f>
        <v>0</v>
      </c>
      <c r="AV250" s="39">
        <f>AV$163*AV249</f>
        <v>0</v>
      </c>
      <c r="AW250" s="39">
        <f ca="1">AW$163*AW249</f>
        <v>0</v>
      </c>
      <c r="AX250" s="727">
        <f ca="1">AY250+AZ250</f>
        <v>0</v>
      </c>
      <c r="AY250" s="39">
        <f>AY$163*AY249</f>
        <v>0</v>
      </c>
      <c r="AZ250" s="39">
        <f ca="1">AZ$163*AZ249</f>
        <v>0</v>
      </c>
      <c r="BA250" s="727">
        <f ca="1">BB250+BC250</f>
        <v>0</v>
      </c>
      <c r="BB250" s="39">
        <f>BB$163*BB249</f>
        <v>0</v>
      </c>
      <c r="BC250" s="39">
        <f ca="1">BC$163*BC249</f>
        <v>0</v>
      </c>
      <c r="BD250" s="727">
        <f ca="1">BE250+BF250</f>
        <v>0</v>
      </c>
      <c r="BE250" s="39">
        <f>BE$163*BE249</f>
        <v>0</v>
      </c>
      <c r="BF250" s="39">
        <f ca="1">BF$163*BF249</f>
        <v>0</v>
      </c>
      <c r="BG250" s="727">
        <f ca="1">BH250+BI250</f>
        <v>0</v>
      </c>
      <c r="BH250" s="39">
        <f>BH$163*BH249</f>
        <v>0</v>
      </c>
      <c r="BI250" s="39">
        <f ca="1">BI$163*BI249</f>
        <v>0</v>
      </c>
      <c r="BJ250" s="727">
        <f ca="1">BK250+BL250</f>
        <v>0</v>
      </c>
      <c r="BK250" s="39">
        <f>BK$163*BK249</f>
        <v>0</v>
      </c>
      <c r="BL250" s="39">
        <f ca="1">BL$163*BL249</f>
        <v>0</v>
      </c>
      <c r="BM250" s="727">
        <f ca="1">BN250+BO250</f>
        <v>0</v>
      </c>
      <c r="BN250" s="39">
        <f>BN$163*BN249</f>
        <v>0</v>
      </c>
      <c r="BO250" s="39">
        <f ca="1">BO$163*BO249</f>
        <v>0</v>
      </c>
      <c r="BP250" s="727">
        <f ca="1">BQ250+BR250</f>
        <v>0</v>
      </c>
      <c r="BQ250" s="816">
        <f>BQ$163*BQ249</f>
        <v>0</v>
      </c>
      <c r="BR250" s="816">
        <f ca="1">BR$163*BR249</f>
        <v>0</v>
      </c>
      <c r="BS250" s="727">
        <f ca="1">BT250+BU250</f>
        <v>0</v>
      </c>
      <c r="BT250" s="1244">
        <f>BT$163*BT249</f>
        <v>0</v>
      </c>
      <c r="BU250" s="1244">
        <f ca="1">BU$163*BU249</f>
        <v>0</v>
      </c>
      <c r="BV250" s="727">
        <f ca="1">BW250+BX250</f>
        <v>0</v>
      </c>
      <c r="BW250" s="1244">
        <f>BW$163*BW249</f>
        <v>0</v>
      </c>
      <c r="BX250" s="1244">
        <f ca="1">BX$163*BX249</f>
        <v>0</v>
      </c>
      <c r="BY250" s="727">
        <f ca="1">BZ250+CA250</f>
        <v>0</v>
      </c>
      <c r="BZ250" s="39">
        <f>BZ$163*BZ249</f>
        <v>0</v>
      </c>
      <c r="CA250" s="39">
        <f ca="1">CA$163*CA249</f>
        <v>0</v>
      </c>
      <c r="CB250" s="727">
        <f ca="1">CC250+CD250</f>
        <v>0</v>
      </c>
      <c r="CC250" s="39">
        <f>CC$163*CC249</f>
        <v>0</v>
      </c>
      <c r="CD250" s="39">
        <f ca="1">CD$163*CD249</f>
        <v>0</v>
      </c>
      <c r="CE250" s="727">
        <f ca="1">CF250+CG250</f>
        <v>0</v>
      </c>
      <c r="CF250" s="39">
        <f>CF$163*CF249</f>
        <v>0</v>
      </c>
      <c r="CG250" s="39">
        <f ca="1">CG$163*CG249</f>
        <v>0</v>
      </c>
      <c r="CH250" s="727">
        <f ca="1">CI250+CJ250</f>
        <v>0</v>
      </c>
      <c r="CI250" s="39">
        <f>CI$163*CI249</f>
        <v>0</v>
      </c>
      <c r="CJ250" s="39">
        <f ca="1">CJ$163*CJ249</f>
        <v>0</v>
      </c>
      <c r="CK250" s="727">
        <f ca="1">CL250+CM250</f>
        <v>0</v>
      </c>
      <c r="CL250" s="39">
        <f>CL$163*CL249</f>
        <v>0</v>
      </c>
      <c r="CM250" s="39">
        <f ca="1">CM$163*CM249</f>
        <v>0</v>
      </c>
      <c r="CN250" s="727">
        <f ca="1">CO250+CP250</f>
        <v>0</v>
      </c>
      <c r="CO250" s="39">
        <f>CO$163*CO249</f>
        <v>0</v>
      </c>
      <c r="CP250" s="39">
        <f ca="1">CP$163*CP249</f>
        <v>0</v>
      </c>
      <c r="CQ250" s="727">
        <f ca="1">CR250+CS250</f>
        <v>0</v>
      </c>
      <c r="CR250" s="39">
        <f>CR$163*CR249</f>
        <v>0</v>
      </c>
      <c r="CS250" s="39">
        <f ca="1">CS$163*CS249</f>
        <v>0</v>
      </c>
      <c r="CT250" s="25"/>
      <c r="CW250" s="960" t="s">
        <v>891</v>
      </c>
      <c r="CX250" s="965"/>
      <c r="CY250" s="965"/>
      <c r="CZ250" s="965"/>
      <c r="DA250" s="966"/>
      <c r="DB250" s="966"/>
    </row>
    <row r="251" spans="1:106" s="1167" customFormat="1" ht="16.5" hidden="1" customHeight="1" x14ac:dyDescent="0.15">
      <c r="E251" s="668">
        <v>17.100000000000001</v>
      </c>
      <c r="F251" s="769" t="str" cm="1">
        <f t="array" aca="1" ref="F251" ca="1">OFFSET(G251,-1,-1)</f>
        <v>1</v>
      </c>
      <c r="L251" s="769" t="b" cm="1">
        <f t="array" aca="1" ref="L251" ca="1">OFFSET(M251,-1,-1)</f>
        <v>0</v>
      </c>
      <c r="S251" s="107" t="b" cm="1">
        <f t="array" aca="1" ref="S251" ca="1">OFFSET(T251,-1,-1)</f>
        <v>1</v>
      </c>
      <c r="T251" s="107" t="b">
        <f>AD251&lt;&gt;"38.0"</f>
        <v>0</v>
      </c>
      <c r="U251" s="690" t="b">
        <f t="shared" ca="1" si="99"/>
        <v>0</v>
      </c>
      <c r="X251" s="107" t="s">
        <v>237</v>
      </c>
      <c r="Y251" s="1481"/>
      <c r="Z251" s="1481"/>
      <c r="AB251" s="1536"/>
      <c r="AD251" s="108" t="s">
        <v>892</v>
      </c>
      <c r="AE251" s="811"/>
      <c r="AF251" s="516"/>
      <c r="AG251" s="724" t="s">
        <v>830</v>
      </c>
      <c r="AH251" s="38"/>
      <c r="AI251" s="39"/>
      <c r="AJ251" s="39"/>
      <c r="AK251" s="39"/>
      <c r="AL251" s="727">
        <f>AM251+AN251</f>
        <v>0</v>
      </c>
      <c r="AM251" s="39"/>
      <c r="AN251" s="39"/>
      <c r="AO251" s="727">
        <f>AP251+AQ251</f>
        <v>0</v>
      </c>
      <c r="AP251" s="39"/>
      <c r="AQ251" s="39"/>
      <c r="AR251" s="727">
        <f>AS251+AT251</f>
        <v>0</v>
      </c>
      <c r="AS251" s="39"/>
      <c r="AT251" s="39"/>
      <c r="AU251" s="727">
        <f>AV251+AW251</f>
        <v>0</v>
      </c>
      <c r="AV251" s="39"/>
      <c r="AW251" s="39"/>
      <c r="AX251" s="727">
        <f>AY251+AZ251</f>
        <v>0</v>
      </c>
      <c r="AY251" s="39"/>
      <c r="AZ251" s="39"/>
      <c r="BA251" s="727">
        <f>BB251+BC251</f>
        <v>0</v>
      </c>
      <c r="BB251" s="39"/>
      <c r="BC251" s="39"/>
      <c r="BD251" s="727">
        <f>BE251+BF251</f>
        <v>0</v>
      </c>
      <c r="BE251" s="39"/>
      <c r="BF251" s="39"/>
      <c r="BG251" s="727">
        <f>BH251+BI251</f>
        <v>0</v>
      </c>
      <c r="BH251" s="39"/>
      <c r="BI251" s="39"/>
      <c r="BJ251" s="727">
        <f>BK251+BL251</f>
        <v>0</v>
      </c>
      <c r="BK251" s="39"/>
      <c r="BL251" s="39"/>
      <c r="BM251" s="727">
        <f>BN251+BO251</f>
        <v>0</v>
      </c>
      <c r="BN251" s="39"/>
      <c r="BO251" s="39"/>
      <c r="BP251" s="727">
        <f>BQ251+BR251</f>
        <v>0</v>
      </c>
      <c r="BQ251" s="816"/>
      <c r="BR251" s="816"/>
      <c r="BS251" s="727">
        <f>BT251+BU251</f>
        <v>0</v>
      </c>
      <c r="BT251" s="39"/>
      <c r="BU251" s="39"/>
      <c r="BV251" s="727">
        <f>BW251+BX251</f>
        <v>0</v>
      </c>
      <c r="BW251" s="39"/>
      <c r="BX251" s="39"/>
      <c r="BY251" s="727">
        <f>BZ251+CA251</f>
        <v>0</v>
      </c>
      <c r="BZ251" s="39"/>
      <c r="CA251" s="39"/>
      <c r="CB251" s="727">
        <f>CC251+CD251</f>
        <v>0</v>
      </c>
      <c r="CC251" s="39"/>
      <c r="CD251" s="39"/>
      <c r="CE251" s="727">
        <f>CF251+CG251</f>
        <v>0</v>
      </c>
      <c r="CF251" s="39"/>
      <c r="CG251" s="39"/>
      <c r="CH251" s="727">
        <f>CI251+CJ251</f>
        <v>0</v>
      </c>
      <c r="CI251" s="39"/>
      <c r="CJ251" s="39"/>
      <c r="CK251" s="727">
        <f>CL251+CM251</f>
        <v>0</v>
      </c>
      <c r="CL251" s="39"/>
      <c r="CM251" s="39"/>
      <c r="CN251" s="727">
        <f>CO251+CP251</f>
        <v>0</v>
      </c>
      <c r="CO251" s="39"/>
      <c r="CP251" s="39"/>
      <c r="CQ251" s="727">
        <f>CR251+CS251</f>
        <v>0</v>
      </c>
      <c r="CR251" s="39"/>
      <c r="CS251" s="39"/>
      <c r="CT251" s="25"/>
      <c r="CW251" s="960" t="s">
        <v>891</v>
      </c>
      <c r="CX251" s="965" t="s">
        <v>812</v>
      </c>
      <c r="CY251" s="969" cm="1">
        <f t="array" ref="CY251">AE251</f>
        <v>0</v>
      </c>
      <c r="CZ251" s="969" cm="1">
        <f t="array" ref="CZ251">AF251</f>
        <v>0</v>
      </c>
      <c r="DA251" s="966"/>
      <c r="DB251" s="966"/>
    </row>
    <row r="252" spans="1:106" s="1167" customFormat="1" ht="16.5" customHeight="1" x14ac:dyDescent="0.15">
      <c r="E252" s="668">
        <v>17.100000000000001</v>
      </c>
      <c r="F252" s="769" t="str" cm="1">
        <f t="array" aca="1" ref="F252" ca="1">OFFSET(G252,-1,-1)</f>
        <v>1</v>
      </c>
      <c r="L252" s="769" t="b" cm="1">
        <f t="array" aca="1" ref="L252" ca="1">OFFSET(M252,-1,-1)</f>
        <v>0</v>
      </c>
      <c r="S252" s="107" t="b" cm="1">
        <f t="array" aca="1" ref="S252" ca="1">OFFSET(T252,-1,-1)</f>
        <v>1</v>
      </c>
      <c r="T252" s="107" t="b">
        <f>AD252&lt;&gt;"38.0"</f>
        <v>1</v>
      </c>
      <c r="U252" s="690" t="b">
        <f t="shared" ca="1" si="99"/>
        <v>1</v>
      </c>
      <c r="X252" s="107" t="str">
        <f>'Топливо 4.4'!$AE$247&amp;'Топливо 4.4'!$AF$247</f>
        <v>Уголь длиннопламенный</v>
      </c>
      <c r="Y252" s="1481"/>
      <c r="Z252" s="1481"/>
      <c r="AB252" s="1536"/>
      <c r="AD252" s="108" t="s">
        <v>942</v>
      </c>
      <c r="AE252" s="811" t="str" cm="1">
        <f t="array" ref="AE252">IF(ISBLANK('Топливо 4.4'!$AE$247),"",'Топливо 4.4'!$AE$247)</f>
        <v>Уголь длиннопламенный</v>
      </c>
      <c r="AF252" s="516" t="str" cm="1">
        <f t="array" ref="AF252">IF(ISBLANK('Топливо 4.4'!$AF$247),"",'Топливо 4.4'!$AF$247)</f>
        <v/>
      </c>
      <c r="AG252" s="724" t="s">
        <v>830</v>
      </c>
      <c r="AH252" s="1251"/>
      <c r="AI252" s="1250"/>
      <c r="AJ252" s="1250"/>
      <c r="AK252" s="1250"/>
      <c r="AL252" s="727">
        <f>AM252+AN252</f>
        <v>0</v>
      </c>
      <c r="AM252" s="1250"/>
      <c r="AN252" s="1250"/>
      <c r="AO252" s="727">
        <f>AP252+AQ252</f>
        <v>0</v>
      </c>
      <c r="AP252" s="1250"/>
      <c r="AQ252" s="1250"/>
      <c r="AR252" s="727">
        <f>AS252+AT252</f>
        <v>0</v>
      </c>
      <c r="AS252" s="1250"/>
      <c r="AT252" s="1250"/>
      <c r="AU252" s="727">
        <f>AV252+AW252</f>
        <v>0</v>
      </c>
      <c r="AV252" s="1250"/>
      <c r="AW252" s="1250"/>
      <c r="AX252" s="727">
        <f>AY252+AZ252</f>
        <v>0</v>
      </c>
      <c r="AY252" s="1250"/>
      <c r="AZ252" s="1250"/>
      <c r="BA252" s="727">
        <f>BB252+BC252</f>
        <v>0</v>
      </c>
      <c r="BB252" s="1250"/>
      <c r="BC252" s="1250"/>
      <c r="BD252" s="727">
        <f>BE252+BF252</f>
        <v>0</v>
      </c>
      <c r="BE252" s="1250"/>
      <c r="BF252" s="1250"/>
      <c r="BG252" s="727">
        <f>BH252+BI252</f>
        <v>0</v>
      </c>
      <c r="BH252" s="1250"/>
      <c r="BI252" s="1250"/>
      <c r="BJ252" s="727">
        <f>BK252+BL252</f>
        <v>0</v>
      </c>
      <c r="BK252" s="1250"/>
      <c r="BL252" s="1250"/>
      <c r="BM252" s="727">
        <f>BN252+BO252</f>
        <v>0</v>
      </c>
      <c r="BN252" s="1250"/>
      <c r="BO252" s="1250"/>
      <c r="BP252" s="727">
        <f>BQ252+BR252</f>
        <v>0</v>
      </c>
      <c r="BQ252" s="816"/>
      <c r="BR252" s="816"/>
      <c r="BS252" s="727">
        <f>BT252+BU252</f>
        <v>0</v>
      </c>
      <c r="BT252" s="1250"/>
      <c r="BU252" s="1250"/>
      <c r="BV252" s="727">
        <f>BW252+BX252</f>
        <v>0</v>
      </c>
      <c r="BW252" s="1250"/>
      <c r="BX252" s="1250"/>
      <c r="BY252" s="727">
        <f>BZ252+CA252</f>
        <v>0</v>
      </c>
      <c r="BZ252" s="1250"/>
      <c r="CA252" s="1250"/>
      <c r="CB252" s="727">
        <f>CC252+CD252</f>
        <v>0</v>
      </c>
      <c r="CC252" s="1250"/>
      <c r="CD252" s="1250"/>
      <c r="CE252" s="727">
        <f>CF252+CG252</f>
        <v>0</v>
      </c>
      <c r="CF252" s="1250"/>
      <c r="CG252" s="1250"/>
      <c r="CH252" s="727">
        <f>CI252+CJ252</f>
        <v>0</v>
      </c>
      <c r="CI252" s="1250"/>
      <c r="CJ252" s="1250"/>
      <c r="CK252" s="727">
        <f>CL252+CM252</f>
        <v>0</v>
      </c>
      <c r="CL252" s="1250"/>
      <c r="CM252" s="1250"/>
      <c r="CN252" s="727">
        <f>CO252+CP252</f>
        <v>0</v>
      </c>
      <c r="CO252" s="1250"/>
      <c r="CP252" s="1250"/>
      <c r="CQ252" s="727">
        <f>CR252+CS252</f>
        <v>0</v>
      </c>
      <c r="CR252" s="1250"/>
      <c r="CS252" s="1250"/>
      <c r="CT252" s="1231"/>
      <c r="CW252" s="960" t="s">
        <v>891</v>
      </c>
      <c r="CX252" s="965" t="s">
        <v>812</v>
      </c>
      <c r="CY252" s="969" t="str" cm="1">
        <f t="array" ref="CY252">AE252</f>
        <v>Уголь длиннопламенный</v>
      </c>
      <c r="CZ252" s="969" t="str" cm="1">
        <f t="array" ref="CZ252">AF252</f>
        <v/>
      </c>
      <c r="DA252" s="966"/>
      <c r="DB252" s="966"/>
    </row>
    <row r="253" spans="1:106" s="1167" customFormat="1" ht="15" hidden="1" customHeight="1" x14ac:dyDescent="0.15">
      <c r="A253" s="1150"/>
      <c r="B253" s="773"/>
      <c r="C253" s="1150"/>
      <c r="D253" s="1150"/>
      <c r="E253" s="668">
        <v>0</v>
      </c>
      <c r="F253" s="769" t="str" cm="1">
        <f t="array" aca="1" ref="F253" ca="1">OFFSET(G253,-1,-1)</f>
        <v>1</v>
      </c>
      <c r="G253" s="804"/>
      <c r="H253" s="804"/>
      <c r="I253" s="804"/>
      <c r="J253" s="804"/>
      <c r="K253" s="804"/>
      <c r="L253" s="769" t="b" cm="1">
        <f t="array" aca="1" ref="L253" ca="1">OFFSET(M253,-1,-1)</f>
        <v>0</v>
      </c>
      <c r="M253" s="804"/>
      <c r="N253" s="804"/>
      <c r="O253" s="804"/>
      <c r="P253" s="804"/>
      <c r="Q253" s="804"/>
      <c r="R253" s="1150"/>
      <c r="S253" s="107" t="b" cm="1">
        <f t="array" aca="1" ref="S253" ca="1">OFFSET(T253,-1,-1)</f>
        <v>1</v>
      </c>
      <c r="T253" s="1150"/>
      <c r="U253" s="690" t="b">
        <f t="shared" ca="1" si="99"/>
        <v>1</v>
      </c>
      <c r="V253" s="1150"/>
      <c r="W253" s="1150"/>
      <c r="X253" s="810" t="str">
        <f>"{                  
         funcDyn: 'msg1',
         blok: 'blok_2',
         wsCross: 'Топливо 4.4',
         linkFormula: 'AE-AE#AF-AF',
         levelDyn: "&amp;Y139&amp;"
}"</f>
        <v>{                  
         funcDyn: 'msg1',
         blok: 'blok_2',
         wsCross: 'Топливо 4.4',
         linkFormula: 'AE-AE#AF-AF',
         levelDyn: 1
}</v>
      </c>
      <c r="Y253" s="1428"/>
      <c r="Z253" s="1428"/>
      <c r="AA253" s="691"/>
      <c r="AB253" s="1536"/>
      <c r="AD253" s="813"/>
      <c r="AE253" s="812" t="s">
        <v>239</v>
      </c>
      <c r="AF253" s="736"/>
      <c r="AG253" s="724"/>
      <c r="AH253" s="726"/>
      <c r="AI253" s="728"/>
      <c r="AJ253" s="728"/>
      <c r="AK253" s="728"/>
      <c r="AL253" s="728"/>
      <c r="AM253" s="728"/>
      <c r="AN253" s="728"/>
      <c r="AO253" s="728"/>
      <c r="AP253" s="728"/>
      <c r="AQ253" s="728"/>
      <c r="AR253" s="728"/>
      <c r="AS253" s="728"/>
      <c r="AT253" s="728"/>
      <c r="AU253" s="728"/>
      <c r="AV253" s="728"/>
      <c r="AW253" s="728"/>
      <c r="AX253" s="728"/>
      <c r="AY253" s="728"/>
      <c r="AZ253" s="728"/>
      <c r="BA253" s="728"/>
      <c r="BB253" s="728"/>
      <c r="BC253" s="728"/>
      <c r="BD253" s="728"/>
      <c r="BE253" s="728"/>
      <c r="BF253" s="728"/>
      <c r="BG253" s="728"/>
      <c r="BH253" s="728"/>
      <c r="BI253" s="728"/>
      <c r="BJ253" s="728"/>
      <c r="BK253" s="728"/>
      <c r="BL253" s="728"/>
      <c r="BM253" s="728"/>
      <c r="BN253" s="728"/>
      <c r="BO253" s="728"/>
      <c r="BP253" s="728"/>
      <c r="BQ253" s="728"/>
      <c r="BR253" s="728"/>
      <c r="BS253" s="728"/>
      <c r="BT253" s="728"/>
      <c r="BU253" s="728"/>
      <c r="BV253" s="728"/>
      <c r="BW253" s="728"/>
      <c r="BX253" s="728"/>
      <c r="BY253" s="728"/>
      <c r="BZ253" s="728"/>
      <c r="CA253" s="728"/>
      <c r="CB253" s="728"/>
      <c r="CC253" s="728"/>
      <c r="CD253" s="728"/>
      <c r="CE253" s="728"/>
      <c r="CF253" s="728"/>
      <c r="CG253" s="728"/>
      <c r="CH253" s="728"/>
      <c r="CI253" s="728"/>
      <c r="CJ253" s="728"/>
      <c r="CK253" s="728"/>
      <c r="CL253" s="728"/>
      <c r="CM253" s="728"/>
      <c r="CN253" s="728"/>
      <c r="CO253" s="728"/>
      <c r="CP253" s="728"/>
      <c r="CQ253" s="728"/>
      <c r="CR253" s="728"/>
      <c r="CS253" s="728"/>
      <c r="CT253" s="43"/>
      <c r="CW253" s="960" t="str">
        <f>IF(AND(ISNUMBER(VALUE(TRIM(SUBSTITUTE(AD253,".","")))),TRIM(SUBSTITUTE(AD253,".",""))&lt;&gt;""),"P"&amp;SUBSTITUTE(AD253,".",""),"")</f>
        <v/>
      </c>
      <c r="CX253" s="965"/>
      <c r="CY253" s="965"/>
      <c r="CZ253" s="965"/>
      <c r="DA253" s="966"/>
      <c r="DB253" s="966"/>
    </row>
    <row r="254" spans="1:106" s="1167" customFormat="1" ht="29.25" hidden="1" customHeight="1" x14ac:dyDescent="0.15">
      <c r="A254" s="1150"/>
      <c r="B254" s="773"/>
      <c r="C254" s="1150"/>
      <c r="D254" s="1150"/>
      <c r="E254" s="668">
        <v>30</v>
      </c>
      <c r="F254" s="769" t="str" cm="1">
        <f t="array" aca="1" ref="F254" ca="1">OFFSET(G254,-1,-1)</f>
        <v>1</v>
      </c>
      <c r="G254" s="804"/>
      <c r="H254" s="804"/>
      <c r="I254" s="804"/>
      <c r="J254" s="804"/>
      <c r="K254" s="804"/>
      <c r="L254" s="769" t="b" cm="1">
        <f t="array" aca="1" ref="L254" ca="1">OFFSET(M254,-1,-1)</f>
        <v>0</v>
      </c>
      <c r="M254" s="804"/>
      <c r="N254" s="804"/>
      <c r="O254" s="804"/>
      <c r="P254" s="804"/>
      <c r="Q254" s="804"/>
      <c r="R254" s="769" t="s">
        <v>750</v>
      </c>
      <c r="S254" s="107" t="b" cm="1">
        <f t="array" aca="1" ref="S254" ca="1">OFFSET(T254,-1,-1)</f>
        <v>1</v>
      </c>
      <c r="T254" s="107" t="b" cm="1">
        <f t="array" aca="1" ref="T254" ca="1">L254</f>
        <v>0</v>
      </c>
      <c r="U254" s="690" t="b">
        <f t="shared" ca="1" si="99"/>
        <v>0</v>
      </c>
      <c r="V254" s="1150"/>
      <c r="W254" s="1150"/>
      <c r="X254" s="1150"/>
      <c r="Y254" s="1428"/>
      <c r="Z254" s="1428"/>
      <c r="AA254" s="691"/>
      <c r="AB254" s="1536"/>
      <c r="AD254" s="121" t="s">
        <v>893</v>
      </c>
      <c r="AE254" s="1515" t="s">
        <v>894</v>
      </c>
      <c r="AF254" s="1516"/>
      <c r="AG254" s="724" t="s">
        <v>830</v>
      </c>
      <c r="AH254" s="725">
        <f t="shared" ref="AH254:BM254" si="114">SUM(AH255:AH257)</f>
        <v>0</v>
      </c>
      <c r="AI254" s="725">
        <f t="shared" si="114"/>
        <v>0</v>
      </c>
      <c r="AJ254" s="725">
        <f t="shared" si="114"/>
        <v>0</v>
      </c>
      <c r="AK254" s="725">
        <f t="shared" si="114"/>
        <v>0</v>
      </c>
      <c r="AL254" s="725">
        <f t="shared" ca="1" si="114"/>
        <v>0</v>
      </c>
      <c r="AM254" s="725">
        <f t="shared" si="114"/>
        <v>0</v>
      </c>
      <c r="AN254" s="725">
        <f t="shared" ca="1" si="114"/>
        <v>0</v>
      </c>
      <c r="AO254" s="725">
        <f t="shared" ca="1" si="114"/>
        <v>0</v>
      </c>
      <c r="AP254" s="725">
        <f t="shared" si="114"/>
        <v>0</v>
      </c>
      <c r="AQ254" s="725">
        <f t="shared" ca="1" si="114"/>
        <v>0</v>
      </c>
      <c r="AR254" s="725">
        <f t="shared" ca="1" si="114"/>
        <v>0</v>
      </c>
      <c r="AS254" s="725">
        <f t="shared" si="114"/>
        <v>0</v>
      </c>
      <c r="AT254" s="725">
        <f t="shared" ca="1" si="114"/>
        <v>0</v>
      </c>
      <c r="AU254" s="725">
        <f t="shared" ca="1" si="114"/>
        <v>0</v>
      </c>
      <c r="AV254" s="725">
        <f t="shared" si="114"/>
        <v>0</v>
      </c>
      <c r="AW254" s="725">
        <f t="shared" ca="1" si="114"/>
        <v>0</v>
      </c>
      <c r="AX254" s="725">
        <f t="shared" ca="1" si="114"/>
        <v>0</v>
      </c>
      <c r="AY254" s="725">
        <f t="shared" si="114"/>
        <v>0</v>
      </c>
      <c r="AZ254" s="725">
        <f t="shared" ca="1" si="114"/>
        <v>0</v>
      </c>
      <c r="BA254" s="725">
        <f t="shared" ca="1" si="114"/>
        <v>0</v>
      </c>
      <c r="BB254" s="725">
        <f t="shared" si="114"/>
        <v>0</v>
      </c>
      <c r="BC254" s="725">
        <f t="shared" ca="1" si="114"/>
        <v>0</v>
      </c>
      <c r="BD254" s="725">
        <f t="shared" ca="1" si="114"/>
        <v>0</v>
      </c>
      <c r="BE254" s="725">
        <f t="shared" si="114"/>
        <v>0</v>
      </c>
      <c r="BF254" s="725">
        <f t="shared" ca="1" si="114"/>
        <v>0</v>
      </c>
      <c r="BG254" s="725">
        <f t="shared" ca="1" si="114"/>
        <v>0</v>
      </c>
      <c r="BH254" s="725">
        <f t="shared" si="114"/>
        <v>0</v>
      </c>
      <c r="BI254" s="725">
        <f t="shared" ca="1" si="114"/>
        <v>0</v>
      </c>
      <c r="BJ254" s="725">
        <f t="shared" ca="1" si="114"/>
        <v>0</v>
      </c>
      <c r="BK254" s="725">
        <f t="shared" si="114"/>
        <v>0</v>
      </c>
      <c r="BL254" s="725">
        <f t="shared" ca="1" si="114"/>
        <v>0</v>
      </c>
      <c r="BM254" s="725">
        <f t="shared" ca="1" si="114"/>
        <v>0</v>
      </c>
      <c r="BN254" s="725">
        <f t="shared" ref="BN254:CS254" si="115">SUM(BN255:BN257)</f>
        <v>0</v>
      </c>
      <c r="BO254" s="725">
        <f t="shared" ca="1" si="115"/>
        <v>0</v>
      </c>
      <c r="BP254" s="725">
        <f t="shared" ca="1" si="115"/>
        <v>0</v>
      </c>
      <c r="BQ254" s="725">
        <f t="shared" si="115"/>
        <v>0</v>
      </c>
      <c r="BR254" s="725">
        <f t="shared" ca="1" si="115"/>
        <v>0</v>
      </c>
      <c r="BS254" s="725">
        <f t="shared" ca="1" si="115"/>
        <v>0</v>
      </c>
      <c r="BT254" s="725">
        <f t="shared" si="115"/>
        <v>0</v>
      </c>
      <c r="BU254" s="725">
        <f t="shared" ca="1" si="115"/>
        <v>0</v>
      </c>
      <c r="BV254" s="725">
        <f t="shared" ca="1" si="115"/>
        <v>0</v>
      </c>
      <c r="BW254" s="725">
        <f t="shared" si="115"/>
        <v>0</v>
      </c>
      <c r="BX254" s="725">
        <f t="shared" ca="1" si="115"/>
        <v>0</v>
      </c>
      <c r="BY254" s="725">
        <f t="shared" ca="1" si="115"/>
        <v>0</v>
      </c>
      <c r="BZ254" s="725">
        <f t="shared" si="115"/>
        <v>0</v>
      </c>
      <c r="CA254" s="725">
        <f t="shared" ca="1" si="115"/>
        <v>0</v>
      </c>
      <c r="CB254" s="725">
        <f t="shared" ca="1" si="115"/>
        <v>0</v>
      </c>
      <c r="CC254" s="725">
        <f t="shared" si="115"/>
        <v>0</v>
      </c>
      <c r="CD254" s="725">
        <f t="shared" ca="1" si="115"/>
        <v>0</v>
      </c>
      <c r="CE254" s="725">
        <f t="shared" ca="1" si="115"/>
        <v>0</v>
      </c>
      <c r="CF254" s="725">
        <f t="shared" si="115"/>
        <v>0</v>
      </c>
      <c r="CG254" s="725">
        <f t="shared" ca="1" si="115"/>
        <v>0</v>
      </c>
      <c r="CH254" s="725">
        <f t="shared" ca="1" si="115"/>
        <v>0</v>
      </c>
      <c r="CI254" s="725">
        <f t="shared" si="115"/>
        <v>0</v>
      </c>
      <c r="CJ254" s="725">
        <f t="shared" ca="1" si="115"/>
        <v>0</v>
      </c>
      <c r="CK254" s="725">
        <f t="shared" ca="1" si="115"/>
        <v>0</v>
      </c>
      <c r="CL254" s="725">
        <f t="shared" si="115"/>
        <v>0</v>
      </c>
      <c r="CM254" s="725">
        <f t="shared" ca="1" si="115"/>
        <v>0</v>
      </c>
      <c r="CN254" s="725">
        <f t="shared" ca="1" si="115"/>
        <v>0</v>
      </c>
      <c r="CO254" s="725">
        <f t="shared" si="115"/>
        <v>0</v>
      </c>
      <c r="CP254" s="725">
        <f t="shared" ca="1" si="115"/>
        <v>0</v>
      </c>
      <c r="CQ254" s="725">
        <f t="shared" ca="1" si="115"/>
        <v>0</v>
      </c>
      <c r="CR254" s="725">
        <f t="shared" si="115"/>
        <v>0</v>
      </c>
      <c r="CS254" s="725">
        <f t="shared" ca="1" si="115"/>
        <v>0</v>
      </c>
      <c r="CT254" s="25"/>
      <c r="CW254" s="960" t="s">
        <v>895</v>
      </c>
      <c r="CX254" s="965"/>
      <c r="CY254" s="965"/>
      <c r="CZ254" s="965"/>
      <c r="DA254" s="966"/>
      <c r="DB254" s="966"/>
    </row>
    <row r="255" spans="1:106" s="1167" customFormat="1" ht="16.5" hidden="1" customHeight="1" x14ac:dyDescent="0.15">
      <c r="E255" s="668">
        <v>17.100000000000001</v>
      </c>
      <c r="F255" s="769" t="str" cm="1">
        <f t="array" aca="1" ref="F255" ca="1">OFFSET(G255,-1,-1)</f>
        <v>1</v>
      </c>
      <c r="L255" s="769" t="b" cm="1">
        <f t="array" aca="1" ref="L255" ca="1">OFFSET(M255,-1,-1)</f>
        <v>0</v>
      </c>
      <c r="R255" s="769" t="s">
        <v>750</v>
      </c>
      <c r="S255" s="107" t="b" cm="1">
        <f t="array" aca="1" ref="S255" ca="1">OFFSET(T255,-1,-1)</f>
        <v>1</v>
      </c>
      <c r="T255" s="107" t="b">
        <f ca="1">AND(L255,AD255&lt;&gt;"39.0")</f>
        <v>0</v>
      </c>
      <c r="U255" s="690" t="b">
        <f t="shared" ca="1" si="99"/>
        <v>0</v>
      </c>
      <c r="X255" s="107" t="s">
        <v>237</v>
      </c>
      <c r="Y255" s="1481"/>
      <c r="Z255" s="1481"/>
      <c r="AB255" s="1536"/>
      <c r="AD255" s="108" t="s">
        <v>896</v>
      </c>
      <c r="AE255" s="811"/>
      <c r="AF255" s="516"/>
      <c r="AG255" s="724" t="s">
        <v>830</v>
      </c>
      <c r="AH255" s="38">
        <f t="shared" ref="AH255:AK256" si="116">AH$163*AH251</f>
        <v>0</v>
      </c>
      <c r="AI255" s="39">
        <f t="shared" si="116"/>
        <v>0</v>
      </c>
      <c r="AJ255" s="39">
        <f t="shared" si="116"/>
        <v>0</v>
      </c>
      <c r="AK255" s="39">
        <f t="shared" si="116"/>
        <v>0</v>
      </c>
      <c r="AL255" s="727">
        <f ca="1">AM255+AN255</f>
        <v>0</v>
      </c>
      <c r="AM255" s="39">
        <f>AM$163*AM251</f>
        <v>0</v>
      </c>
      <c r="AN255" s="39">
        <f ca="1">AN$163*AN251</f>
        <v>0</v>
      </c>
      <c r="AO255" s="727">
        <f ca="1">AP255+AQ255</f>
        <v>0</v>
      </c>
      <c r="AP255" s="39">
        <f>AP$163*AP251</f>
        <v>0</v>
      </c>
      <c r="AQ255" s="39">
        <f ca="1">AQ$163*AQ251</f>
        <v>0</v>
      </c>
      <c r="AR255" s="727">
        <f ca="1">AS255+AT255</f>
        <v>0</v>
      </c>
      <c r="AS255" s="39">
        <f>AS$163*AS251</f>
        <v>0</v>
      </c>
      <c r="AT255" s="39">
        <f ca="1">AT$163*AT251</f>
        <v>0</v>
      </c>
      <c r="AU255" s="727">
        <f ca="1">AV255+AW255</f>
        <v>0</v>
      </c>
      <c r="AV255" s="39">
        <f>AV$163*AV251</f>
        <v>0</v>
      </c>
      <c r="AW255" s="39">
        <f ca="1">AW$163*AW251</f>
        <v>0</v>
      </c>
      <c r="AX255" s="727">
        <f ca="1">AY255+AZ255</f>
        <v>0</v>
      </c>
      <c r="AY255" s="39">
        <f>AY$163*AY251</f>
        <v>0</v>
      </c>
      <c r="AZ255" s="39">
        <f ca="1">AZ$163*AZ251</f>
        <v>0</v>
      </c>
      <c r="BA255" s="727">
        <f ca="1">BB255+BC255</f>
        <v>0</v>
      </c>
      <c r="BB255" s="39">
        <f>BB$163*BB251</f>
        <v>0</v>
      </c>
      <c r="BC255" s="39">
        <f ca="1">BC$163*BC251</f>
        <v>0</v>
      </c>
      <c r="BD255" s="727">
        <f ca="1">BE255+BF255</f>
        <v>0</v>
      </c>
      <c r="BE255" s="39">
        <f>BE$163*BE251</f>
        <v>0</v>
      </c>
      <c r="BF255" s="39">
        <f ca="1">BF$163*BF251</f>
        <v>0</v>
      </c>
      <c r="BG255" s="727">
        <f ca="1">BH255+BI255</f>
        <v>0</v>
      </c>
      <c r="BH255" s="39">
        <f>BH$163*BH251</f>
        <v>0</v>
      </c>
      <c r="BI255" s="39">
        <f ca="1">BI$163*BI251</f>
        <v>0</v>
      </c>
      <c r="BJ255" s="727">
        <f ca="1">BK255+BL255</f>
        <v>0</v>
      </c>
      <c r="BK255" s="39">
        <f>BK$163*BK251</f>
        <v>0</v>
      </c>
      <c r="BL255" s="39">
        <f ca="1">BL$163*BL251</f>
        <v>0</v>
      </c>
      <c r="BM255" s="727">
        <f ca="1">BN255+BO255</f>
        <v>0</v>
      </c>
      <c r="BN255" s="39">
        <f>BN$163*BN251</f>
        <v>0</v>
      </c>
      <c r="BO255" s="39">
        <f ca="1">BO$163*BO251</f>
        <v>0</v>
      </c>
      <c r="BP255" s="727">
        <f ca="1">BQ255+BR255</f>
        <v>0</v>
      </c>
      <c r="BQ255" s="816">
        <f>BQ$163*BQ251</f>
        <v>0</v>
      </c>
      <c r="BR255" s="816">
        <f ca="1">BR$163*BR251</f>
        <v>0</v>
      </c>
      <c r="BS255" s="727">
        <f ca="1">BT255+BU255</f>
        <v>0</v>
      </c>
      <c r="BT255" s="39">
        <f>BT$163*BT251</f>
        <v>0</v>
      </c>
      <c r="BU255" s="39">
        <f ca="1">BU$163*BU251</f>
        <v>0</v>
      </c>
      <c r="BV255" s="727">
        <f ca="1">BW255+BX255</f>
        <v>0</v>
      </c>
      <c r="BW255" s="39">
        <f>BW$163*BW251</f>
        <v>0</v>
      </c>
      <c r="BX255" s="39">
        <f ca="1">BX$163*BX251</f>
        <v>0</v>
      </c>
      <c r="BY255" s="727">
        <f ca="1">BZ255+CA255</f>
        <v>0</v>
      </c>
      <c r="BZ255" s="39">
        <f>BZ$163*BZ251</f>
        <v>0</v>
      </c>
      <c r="CA255" s="39">
        <f ca="1">CA$163*CA251</f>
        <v>0</v>
      </c>
      <c r="CB255" s="727">
        <f ca="1">CC255+CD255</f>
        <v>0</v>
      </c>
      <c r="CC255" s="39">
        <f>CC$163*CC251</f>
        <v>0</v>
      </c>
      <c r="CD255" s="39">
        <f ca="1">CD$163*CD251</f>
        <v>0</v>
      </c>
      <c r="CE255" s="727">
        <f ca="1">CF255+CG255</f>
        <v>0</v>
      </c>
      <c r="CF255" s="39">
        <f>CF$163*CF251</f>
        <v>0</v>
      </c>
      <c r="CG255" s="39">
        <f ca="1">CG$163*CG251</f>
        <v>0</v>
      </c>
      <c r="CH255" s="727">
        <f ca="1">CI255+CJ255</f>
        <v>0</v>
      </c>
      <c r="CI255" s="39">
        <f>CI$163*CI251</f>
        <v>0</v>
      </c>
      <c r="CJ255" s="39">
        <f ca="1">CJ$163*CJ251</f>
        <v>0</v>
      </c>
      <c r="CK255" s="727">
        <f ca="1">CL255+CM255</f>
        <v>0</v>
      </c>
      <c r="CL255" s="39">
        <f>CL$163*CL251</f>
        <v>0</v>
      </c>
      <c r="CM255" s="39">
        <f ca="1">CM$163*CM251</f>
        <v>0</v>
      </c>
      <c r="CN255" s="727">
        <f ca="1">CO255+CP255</f>
        <v>0</v>
      </c>
      <c r="CO255" s="39">
        <f>CO$163*CO251</f>
        <v>0</v>
      </c>
      <c r="CP255" s="39">
        <f ca="1">CP$163*CP251</f>
        <v>0</v>
      </c>
      <c r="CQ255" s="727">
        <f ca="1">CR255+CS255</f>
        <v>0</v>
      </c>
      <c r="CR255" s="39">
        <f>CR$163*CR251</f>
        <v>0</v>
      </c>
      <c r="CS255" s="39">
        <f ca="1">CS$163*CS251</f>
        <v>0</v>
      </c>
      <c r="CT255" s="25"/>
      <c r="CW255" s="960" t="s">
        <v>895</v>
      </c>
      <c r="CX255" s="965" t="s">
        <v>812</v>
      </c>
      <c r="CY255" s="969" cm="1">
        <f t="array" ref="CY255">AE255</f>
        <v>0</v>
      </c>
      <c r="CZ255" s="969" cm="1">
        <f t="array" ref="CZ255">AF255</f>
        <v>0</v>
      </c>
      <c r="DA255" s="966"/>
      <c r="DB255" s="966"/>
    </row>
    <row r="256" spans="1:106" s="1167" customFormat="1" ht="16.5" hidden="1" customHeight="1" x14ac:dyDescent="0.15">
      <c r="E256" s="668">
        <v>17.100000000000001</v>
      </c>
      <c r="F256" s="769" t="str" cm="1">
        <f t="array" aca="1" ref="F256" ca="1">OFFSET(G256,-1,-1)</f>
        <v>1</v>
      </c>
      <c r="L256" s="769" t="b" cm="1">
        <f t="array" aca="1" ref="L256" ca="1">OFFSET(M256,-1,-1)</f>
        <v>0</v>
      </c>
      <c r="R256" s="769" t="s">
        <v>750</v>
      </c>
      <c r="S256" s="107" t="b" cm="1">
        <f t="array" aca="1" ref="S256" ca="1">OFFSET(T256,-1,-1)</f>
        <v>1</v>
      </c>
      <c r="T256" s="107" t="b">
        <f ca="1">AND(L256,AD256&lt;&gt;"39.0")</f>
        <v>0</v>
      </c>
      <c r="U256" s="690" t="b">
        <f t="shared" ca="1" si="99"/>
        <v>0</v>
      </c>
      <c r="X256" s="107" t="str">
        <f>'Топливо 4.4'!$AE$252&amp;'Топливо 4.4'!$AF$252</f>
        <v>Уголь длиннопламенный</v>
      </c>
      <c r="Y256" s="1481"/>
      <c r="Z256" s="1481"/>
      <c r="AB256" s="1536"/>
      <c r="AD256" s="108" t="s">
        <v>943</v>
      </c>
      <c r="AE256" s="811" t="str" cm="1">
        <f t="array" ref="AE256">IF(ISBLANK('Топливо 4.4'!$AE$252),"",'Топливо 4.4'!$AE$252)</f>
        <v>Уголь длиннопламенный</v>
      </c>
      <c r="AF256" s="516" t="str" cm="1">
        <f t="array" ref="AF256">IF(ISBLANK('Топливо 4.4'!$AF$252),"",'Топливо 4.4'!$AF$252)</f>
        <v/>
      </c>
      <c r="AG256" s="724" t="s">
        <v>830</v>
      </c>
      <c r="AH256" s="38">
        <f t="shared" si="116"/>
        <v>0</v>
      </c>
      <c r="AI256" s="39">
        <f t="shared" si="116"/>
        <v>0</v>
      </c>
      <c r="AJ256" s="39">
        <f t="shared" si="116"/>
        <v>0</v>
      </c>
      <c r="AK256" s="39">
        <f t="shared" si="116"/>
        <v>0</v>
      </c>
      <c r="AL256" s="727">
        <f ca="1">AM256+AN256</f>
        <v>0</v>
      </c>
      <c r="AM256" s="39">
        <f>AM$163*AM252</f>
        <v>0</v>
      </c>
      <c r="AN256" s="39">
        <f ca="1">AN$163*AN252</f>
        <v>0</v>
      </c>
      <c r="AO256" s="727">
        <f ca="1">AP256+AQ256</f>
        <v>0</v>
      </c>
      <c r="AP256" s="39">
        <f>AP$163*AP252</f>
        <v>0</v>
      </c>
      <c r="AQ256" s="39">
        <f ca="1">AQ$163*AQ252</f>
        <v>0</v>
      </c>
      <c r="AR256" s="727">
        <f ca="1">AS256+AT256</f>
        <v>0</v>
      </c>
      <c r="AS256" s="39">
        <f>AS$163*AS252</f>
        <v>0</v>
      </c>
      <c r="AT256" s="39">
        <f ca="1">AT$163*AT252</f>
        <v>0</v>
      </c>
      <c r="AU256" s="727">
        <f ca="1">AV256+AW256</f>
        <v>0</v>
      </c>
      <c r="AV256" s="39">
        <f>AV$163*AV252</f>
        <v>0</v>
      </c>
      <c r="AW256" s="39">
        <f ca="1">AW$163*AW252</f>
        <v>0</v>
      </c>
      <c r="AX256" s="727">
        <f ca="1">AY256+AZ256</f>
        <v>0</v>
      </c>
      <c r="AY256" s="39">
        <f>AY$163*AY252</f>
        <v>0</v>
      </c>
      <c r="AZ256" s="39">
        <f ca="1">AZ$163*AZ252</f>
        <v>0</v>
      </c>
      <c r="BA256" s="727">
        <f ca="1">BB256+BC256</f>
        <v>0</v>
      </c>
      <c r="BB256" s="39">
        <f>BB$163*BB252</f>
        <v>0</v>
      </c>
      <c r="BC256" s="39">
        <f ca="1">BC$163*BC252</f>
        <v>0</v>
      </c>
      <c r="BD256" s="727">
        <f ca="1">BE256+BF256</f>
        <v>0</v>
      </c>
      <c r="BE256" s="39">
        <f>BE$163*BE252</f>
        <v>0</v>
      </c>
      <c r="BF256" s="39">
        <f ca="1">BF$163*BF252</f>
        <v>0</v>
      </c>
      <c r="BG256" s="727">
        <f ca="1">BH256+BI256</f>
        <v>0</v>
      </c>
      <c r="BH256" s="39">
        <f>BH$163*BH252</f>
        <v>0</v>
      </c>
      <c r="BI256" s="39">
        <f ca="1">BI$163*BI252</f>
        <v>0</v>
      </c>
      <c r="BJ256" s="727">
        <f ca="1">BK256+BL256</f>
        <v>0</v>
      </c>
      <c r="BK256" s="39">
        <f>BK$163*BK252</f>
        <v>0</v>
      </c>
      <c r="BL256" s="39">
        <f ca="1">BL$163*BL252</f>
        <v>0</v>
      </c>
      <c r="BM256" s="727">
        <f ca="1">BN256+BO256</f>
        <v>0</v>
      </c>
      <c r="BN256" s="39">
        <f>BN$163*BN252</f>
        <v>0</v>
      </c>
      <c r="BO256" s="39">
        <f ca="1">BO$163*BO252</f>
        <v>0</v>
      </c>
      <c r="BP256" s="727">
        <f ca="1">BQ256+BR256</f>
        <v>0</v>
      </c>
      <c r="BQ256" s="816">
        <f>BQ$163*BQ252</f>
        <v>0</v>
      </c>
      <c r="BR256" s="816">
        <f ca="1">BR$163*BR252</f>
        <v>0</v>
      </c>
      <c r="BS256" s="727">
        <f ca="1">BT256+BU256</f>
        <v>0</v>
      </c>
      <c r="BT256" s="39">
        <f>BT$163*BT252</f>
        <v>0</v>
      </c>
      <c r="BU256" s="39">
        <f ca="1">BU$163*BU252</f>
        <v>0</v>
      </c>
      <c r="BV256" s="727">
        <f ca="1">BW256+BX256</f>
        <v>0</v>
      </c>
      <c r="BW256" s="39">
        <f>BW$163*BW252</f>
        <v>0</v>
      </c>
      <c r="BX256" s="39">
        <f ca="1">BX$163*BX252</f>
        <v>0</v>
      </c>
      <c r="BY256" s="727">
        <f ca="1">BZ256+CA256</f>
        <v>0</v>
      </c>
      <c r="BZ256" s="39">
        <f>BZ$163*BZ252</f>
        <v>0</v>
      </c>
      <c r="CA256" s="39">
        <f ca="1">CA$163*CA252</f>
        <v>0</v>
      </c>
      <c r="CB256" s="727">
        <f ca="1">CC256+CD256</f>
        <v>0</v>
      </c>
      <c r="CC256" s="39">
        <f>CC$163*CC252</f>
        <v>0</v>
      </c>
      <c r="CD256" s="39">
        <f ca="1">CD$163*CD252</f>
        <v>0</v>
      </c>
      <c r="CE256" s="727">
        <f ca="1">CF256+CG256</f>
        <v>0</v>
      </c>
      <c r="CF256" s="39">
        <f>CF$163*CF252</f>
        <v>0</v>
      </c>
      <c r="CG256" s="39">
        <f ca="1">CG$163*CG252</f>
        <v>0</v>
      </c>
      <c r="CH256" s="727">
        <f ca="1">CI256+CJ256</f>
        <v>0</v>
      </c>
      <c r="CI256" s="39">
        <f>CI$163*CI252</f>
        <v>0</v>
      </c>
      <c r="CJ256" s="39">
        <f ca="1">CJ$163*CJ252</f>
        <v>0</v>
      </c>
      <c r="CK256" s="727">
        <f ca="1">CL256+CM256</f>
        <v>0</v>
      </c>
      <c r="CL256" s="39">
        <f>CL$163*CL252</f>
        <v>0</v>
      </c>
      <c r="CM256" s="39">
        <f ca="1">CM$163*CM252</f>
        <v>0</v>
      </c>
      <c r="CN256" s="727">
        <f ca="1">CO256+CP256</f>
        <v>0</v>
      </c>
      <c r="CO256" s="39">
        <f>CO$163*CO252</f>
        <v>0</v>
      </c>
      <c r="CP256" s="39">
        <f ca="1">CP$163*CP252</f>
        <v>0</v>
      </c>
      <c r="CQ256" s="727">
        <f ca="1">CR256+CS256</f>
        <v>0</v>
      </c>
      <c r="CR256" s="39">
        <f>CR$163*CR252</f>
        <v>0</v>
      </c>
      <c r="CS256" s="39">
        <f ca="1">CS$163*CS252</f>
        <v>0</v>
      </c>
      <c r="CT256" s="25"/>
      <c r="CW256" s="960" t="s">
        <v>895</v>
      </c>
      <c r="CX256" s="965" t="s">
        <v>812</v>
      </c>
      <c r="CY256" s="969" t="str" cm="1">
        <f t="array" ref="CY256">AE256</f>
        <v>Уголь длиннопламенный</v>
      </c>
      <c r="CZ256" s="969" t="str" cm="1">
        <f t="array" ref="CZ256">AF256</f>
        <v/>
      </c>
      <c r="DA256" s="966"/>
      <c r="DB256" s="966"/>
    </row>
    <row r="257" spans="1:106" s="1167" customFormat="1" ht="15" hidden="1" customHeight="1" x14ac:dyDescent="0.15">
      <c r="A257" s="1150"/>
      <c r="B257" s="773"/>
      <c r="C257" s="1150"/>
      <c r="D257" s="1150"/>
      <c r="E257" s="668">
        <v>0</v>
      </c>
      <c r="F257" s="769" t="str" cm="1">
        <f t="array" aca="1" ref="F257" ca="1">OFFSET(G257,-1,-1)</f>
        <v>1</v>
      </c>
      <c r="G257" s="804"/>
      <c r="H257" s="804"/>
      <c r="I257" s="804"/>
      <c r="J257" s="804"/>
      <c r="K257" s="804"/>
      <c r="L257" s="769" t="b" cm="1">
        <f t="array" aca="1" ref="L257" ca="1">OFFSET(M257,-1,-1)</f>
        <v>0</v>
      </c>
      <c r="M257" s="804"/>
      <c r="N257" s="804"/>
      <c r="O257" s="804"/>
      <c r="P257" s="804"/>
      <c r="Q257" s="804"/>
      <c r="R257" s="1150"/>
      <c r="S257" s="107" t="b" cm="1">
        <f t="array" aca="1" ref="S257" ca="1">OFFSET(T257,-1,-1)</f>
        <v>1</v>
      </c>
      <c r="T257" s="1150"/>
      <c r="U257" s="690" t="b">
        <f t="shared" ca="1" si="99"/>
        <v>1</v>
      </c>
      <c r="V257" s="1150"/>
      <c r="W257" s="1150"/>
      <c r="X257" s="810" t="str">
        <f>"{                  
         funcDyn: 'msg1',
         blok: 'blok_2',
         wsCross: 'Топливо 4.4',
         linkFormula: 'AE-AE#AF-AF',
         levelDyn: "&amp;Y139&amp;"
}"</f>
        <v>{                  
         funcDyn: 'msg1',
         blok: 'blok_2',
         wsCross: 'Топливо 4.4',
         linkFormula: 'AE-AE#AF-AF',
         levelDyn: 1
}</v>
      </c>
      <c r="Y257" s="1428"/>
      <c r="Z257" s="1428"/>
      <c r="AA257" s="691"/>
      <c r="AB257" s="1537"/>
      <c r="AD257" s="813"/>
      <c r="AE257" s="812" t="s">
        <v>239</v>
      </c>
      <c r="AF257" s="736"/>
      <c r="AG257" s="724"/>
      <c r="AH257" s="726"/>
      <c r="AI257" s="728"/>
      <c r="AJ257" s="728"/>
      <c r="AK257" s="728"/>
      <c r="AL257" s="728"/>
      <c r="AM257" s="728"/>
      <c r="AN257" s="728"/>
      <c r="AO257" s="728"/>
      <c r="AP257" s="728"/>
      <c r="AQ257" s="728"/>
      <c r="AR257" s="728"/>
      <c r="AS257" s="728"/>
      <c r="AT257" s="728"/>
      <c r="AU257" s="728"/>
      <c r="AV257" s="728"/>
      <c r="AW257" s="728"/>
      <c r="AX257" s="728"/>
      <c r="AY257" s="728"/>
      <c r="AZ257" s="728"/>
      <c r="BA257" s="728"/>
      <c r="BB257" s="728"/>
      <c r="BC257" s="728"/>
      <c r="BD257" s="728"/>
      <c r="BE257" s="728"/>
      <c r="BF257" s="728"/>
      <c r="BG257" s="728"/>
      <c r="BH257" s="728"/>
      <c r="BI257" s="728"/>
      <c r="BJ257" s="728"/>
      <c r="BK257" s="728"/>
      <c r="BL257" s="728"/>
      <c r="BM257" s="728"/>
      <c r="BN257" s="728"/>
      <c r="BO257" s="728"/>
      <c r="BP257" s="728"/>
      <c r="BQ257" s="728"/>
      <c r="BR257" s="728"/>
      <c r="BS257" s="728"/>
      <c r="BT257" s="728"/>
      <c r="BU257" s="728"/>
      <c r="BV257" s="728"/>
      <c r="BW257" s="728"/>
      <c r="BX257" s="728"/>
      <c r="BY257" s="728"/>
      <c r="BZ257" s="728"/>
      <c r="CA257" s="728"/>
      <c r="CB257" s="728"/>
      <c r="CC257" s="728"/>
      <c r="CD257" s="728"/>
      <c r="CE257" s="728"/>
      <c r="CF257" s="728"/>
      <c r="CG257" s="728"/>
      <c r="CH257" s="728"/>
      <c r="CI257" s="728"/>
      <c r="CJ257" s="728"/>
      <c r="CK257" s="728"/>
      <c r="CL257" s="728"/>
      <c r="CM257" s="728"/>
      <c r="CN257" s="728"/>
      <c r="CO257" s="728"/>
      <c r="CP257" s="728"/>
      <c r="CQ257" s="728"/>
      <c r="CR257" s="728"/>
      <c r="CS257" s="728"/>
      <c r="CT257" s="43"/>
      <c r="CW257" s="960" t="str">
        <f>IF(AND(ISNUMBER(VALUE(TRIM(SUBSTITUTE(AD257,".","")))),TRIM(SUBSTITUTE(AD257,".",""))&lt;&gt;""),"P"&amp;SUBSTITUTE(AD257,".",""),"")</f>
        <v/>
      </c>
      <c r="CX257" s="965"/>
      <c r="CY257" s="965"/>
      <c r="CZ257" s="965"/>
      <c r="DA257" s="966"/>
      <c r="DB257" s="966"/>
    </row>
    <row r="258" spans="1:106" s="1167" customFormat="1" ht="16.5" customHeight="1" x14ac:dyDescent="0.15">
      <c r="A258" s="1150"/>
      <c r="B258" s="773"/>
      <c r="C258" s="1150"/>
      <c r="D258" s="1150"/>
      <c r="E258" s="668">
        <v>17.100000000000001</v>
      </c>
      <c r="F258" s="769" t="str" cm="1">
        <f t="array" aca="1" ref="F258" ca="1">OFFSET(G258,-1,-1)</f>
        <v>1</v>
      </c>
      <c r="G258" s="804"/>
      <c r="H258" s="804"/>
      <c r="I258" s="804"/>
      <c r="J258" s="804"/>
      <c r="K258" s="804"/>
      <c r="L258" s="769" t="b" cm="1">
        <f t="array" aca="1" ref="L258" ca="1">OFFSET(M258,-1,-1)</f>
        <v>0</v>
      </c>
      <c r="M258" s="804"/>
      <c r="N258" s="804"/>
      <c r="O258" s="804"/>
      <c r="P258" s="804"/>
      <c r="Q258" s="804"/>
      <c r="R258" s="1150"/>
      <c r="S258" s="107" t="b" cm="1">
        <f t="array" aca="1" ref="S258" ca="1">OFFSET(T258,-1,-1)</f>
        <v>1</v>
      </c>
      <c r="T258" s="1150"/>
      <c r="U258" s="690" t="b">
        <f t="shared" ca="1" si="99"/>
        <v>1</v>
      </c>
      <c r="V258" s="1150"/>
      <c r="W258" s="1150"/>
      <c r="X258" s="1150"/>
      <c r="Y258" s="1428"/>
      <c r="Z258" s="1428"/>
      <c r="AA258" s="691"/>
      <c r="AB258" s="1550" t="s">
        <v>897</v>
      </c>
      <c r="AD258" s="121" t="s">
        <v>898</v>
      </c>
      <c r="AE258" s="1515" t="s">
        <v>899</v>
      </c>
      <c r="AF258" s="1516"/>
      <c r="AG258" s="724" t="s">
        <v>830</v>
      </c>
      <c r="AH258" s="725">
        <f t="shared" ref="AH258:BM258" si="117">SUM(AH262:AH264)</f>
        <v>42676.951000000001</v>
      </c>
      <c r="AI258" s="725">
        <f t="shared" si="117"/>
        <v>42513.225999999995</v>
      </c>
      <c r="AJ258" s="725">
        <f t="shared" si="117"/>
        <v>42513.227999999996</v>
      </c>
      <c r="AK258" s="725">
        <f t="shared" si="117"/>
        <v>49203.479999999996</v>
      </c>
      <c r="AL258" s="725">
        <f t="shared" ca="1" si="117"/>
        <v>63706.505880262062</v>
      </c>
      <c r="AM258" s="725">
        <f t="shared" si="117"/>
        <v>32876.64626024352</v>
      </c>
      <c r="AN258" s="725">
        <f t="shared" ca="1" si="117"/>
        <v>30829.859620018546</v>
      </c>
      <c r="AO258" s="725">
        <f t="shared" ca="1" si="117"/>
        <v>0</v>
      </c>
      <c r="AP258" s="725">
        <f t="shared" si="117"/>
        <v>0</v>
      </c>
      <c r="AQ258" s="725">
        <f t="shared" ca="1" si="117"/>
        <v>0</v>
      </c>
      <c r="AR258" s="725">
        <f t="shared" ca="1" si="117"/>
        <v>0</v>
      </c>
      <c r="AS258" s="725">
        <f t="shared" si="117"/>
        <v>0</v>
      </c>
      <c r="AT258" s="725">
        <f t="shared" ca="1" si="117"/>
        <v>0</v>
      </c>
      <c r="AU258" s="725">
        <f t="shared" ca="1" si="117"/>
        <v>0</v>
      </c>
      <c r="AV258" s="725">
        <f t="shared" si="117"/>
        <v>0</v>
      </c>
      <c r="AW258" s="725">
        <f t="shared" ca="1" si="117"/>
        <v>0</v>
      </c>
      <c r="AX258" s="725">
        <f t="shared" ca="1" si="117"/>
        <v>0</v>
      </c>
      <c r="AY258" s="725">
        <f t="shared" si="117"/>
        <v>0</v>
      </c>
      <c r="AZ258" s="725">
        <f t="shared" ca="1" si="117"/>
        <v>0</v>
      </c>
      <c r="BA258" s="725">
        <f t="shared" ca="1" si="117"/>
        <v>0</v>
      </c>
      <c r="BB258" s="725">
        <f t="shared" si="117"/>
        <v>0</v>
      </c>
      <c r="BC258" s="725">
        <f t="shared" ca="1" si="117"/>
        <v>0</v>
      </c>
      <c r="BD258" s="725">
        <f t="shared" ca="1" si="117"/>
        <v>0</v>
      </c>
      <c r="BE258" s="725">
        <f t="shared" si="117"/>
        <v>0</v>
      </c>
      <c r="BF258" s="725">
        <f t="shared" ca="1" si="117"/>
        <v>0</v>
      </c>
      <c r="BG258" s="725">
        <f t="shared" ca="1" si="117"/>
        <v>0</v>
      </c>
      <c r="BH258" s="725">
        <f t="shared" si="117"/>
        <v>0</v>
      </c>
      <c r="BI258" s="725">
        <f t="shared" ca="1" si="117"/>
        <v>0</v>
      </c>
      <c r="BJ258" s="725">
        <f t="shared" ca="1" si="117"/>
        <v>0</v>
      </c>
      <c r="BK258" s="725">
        <f t="shared" si="117"/>
        <v>0</v>
      </c>
      <c r="BL258" s="725">
        <f t="shared" ca="1" si="117"/>
        <v>0</v>
      </c>
      <c r="BM258" s="725">
        <f t="shared" ca="1" si="117"/>
        <v>0</v>
      </c>
      <c r="BN258" s="725">
        <f t="shared" ref="BN258:CS258" si="118">SUM(BN262:BN264)</f>
        <v>0</v>
      </c>
      <c r="BO258" s="725">
        <f t="shared" ca="1" si="118"/>
        <v>0</v>
      </c>
      <c r="BP258" s="725">
        <f t="shared" ca="1" si="118"/>
        <v>59960.620675622908</v>
      </c>
      <c r="BQ258" s="725">
        <f t="shared" si="118"/>
        <v>43269.940664053036</v>
      </c>
      <c r="BR258" s="725">
        <f t="shared" ca="1" si="118"/>
        <v>16690.680011569872</v>
      </c>
      <c r="BS258" s="725">
        <f t="shared" ca="1" si="118"/>
        <v>0</v>
      </c>
      <c r="BT258" s="725">
        <f t="shared" si="118"/>
        <v>0</v>
      </c>
      <c r="BU258" s="725">
        <f t="shared" ca="1" si="118"/>
        <v>0</v>
      </c>
      <c r="BV258" s="725">
        <f t="shared" ca="1" si="118"/>
        <v>0</v>
      </c>
      <c r="BW258" s="725">
        <f t="shared" si="118"/>
        <v>0</v>
      </c>
      <c r="BX258" s="725">
        <f t="shared" ca="1" si="118"/>
        <v>0</v>
      </c>
      <c r="BY258" s="725">
        <f t="shared" ca="1" si="118"/>
        <v>0</v>
      </c>
      <c r="BZ258" s="725">
        <f t="shared" si="118"/>
        <v>0</v>
      </c>
      <c r="CA258" s="725">
        <f t="shared" ca="1" si="118"/>
        <v>0</v>
      </c>
      <c r="CB258" s="725">
        <f t="shared" ca="1" si="118"/>
        <v>0</v>
      </c>
      <c r="CC258" s="725">
        <f t="shared" si="118"/>
        <v>0</v>
      </c>
      <c r="CD258" s="725">
        <f t="shared" ca="1" si="118"/>
        <v>0</v>
      </c>
      <c r="CE258" s="725">
        <f t="shared" ca="1" si="118"/>
        <v>0</v>
      </c>
      <c r="CF258" s="725">
        <f t="shared" si="118"/>
        <v>0</v>
      </c>
      <c r="CG258" s="725">
        <f t="shared" ca="1" si="118"/>
        <v>0</v>
      </c>
      <c r="CH258" s="725">
        <f t="shared" ca="1" si="118"/>
        <v>0</v>
      </c>
      <c r="CI258" s="725">
        <f t="shared" si="118"/>
        <v>0</v>
      </c>
      <c r="CJ258" s="725">
        <f t="shared" ca="1" si="118"/>
        <v>0</v>
      </c>
      <c r="CK258" s="725">
        <f t="shared" ca="1" si="118"/>
        <v>0</v>
      </c>
      <c r="CL258" s="725">
        <f t="shared" si="118"/>
        <v>0</v>
      </c>
      <c r="CM258" s="725">
        <f t="shared" ca="1" si="118"/>
        <v>0</v>
      </c>
      <c r="CN258" s="725">
        <f t="shared" ca="1" si="118"/>
        <v>0</v>
      </c>
      <c r="CO258" s="725">
        <f t="shared" si="118"/>
        <v>0</v>
      </c>
      <c r="CP258" s="725">
        <f t="shared" ca="1" si="118"/>
        <v>0</v>
      </c>
      <c r="CQ258" s="725">
        <f t="shared" ca="1" si="118"/>
        <v>0</v>
      </c>
      <c r="CR258" s="725">
        <f t="shared" si="118"/>
        <v>0</v>
      </c>
      <c r="CS258" s="725">
        <f t="shared" ca="1" si="118"/>
        <v>0</v>
      </c>
      <c r="CT258" s="1231"/>
      <c r="CW258" s="960" t="s">
        <v>900</v>
      </c>
      <c r="CX258" s="965"/>
      <c r="CY258" s="965"/>
      <c r="CZ258" s="965"/>
      <c r="DA258" s="966"/>
      <c r="DB258" s="966"/>
    </row>
    <row r="259" spans="1:106" s="1167" customFormat="1" ht="16.5" hidden="1" customHeight="1" x14ac:dyDescent="0.15">
      <c r="A259" s="1150"/>
      <c r="B259" s="773"/>
      <c r="C259" s="1150"/>
      <c r="D259" s="1150"/>
      <c r="E259" s="668">
        <v>17.100000000000001</v>
      </c>
      <c r="F259" s="769" t="str" cm="1">
        <f t="array" aca="1" ref="F259" ca="1">OFFSET(G259,-1,-1)</f>
        <v>1</v>
      </c>
      <c r="G259" s="612" t="str">
        <f>IF(J139="вода+пар","топливо","")</f>
        <v/>
      </c>
      <c r="H259" s="804"/>
      <c r="I259" s="804"/>
      <c r="J259" s="804"/>
      <c r="K259" s="804"/>
      <c r="L259" s="769" t="b" cm="1">
        <f t="array" aca="1" ref="L259" ca="1">OFFSET(M259,-1,-1)</f>
        <v>0</v>
      </c>
      <c r="M259" s="804"/>
      <c r="N259" s="804"/>
      <c r="O259" s="804"/>
      <c r="P259" s="804"/>
      <c r="Q259" s="804"/>
      <c r="R259" s="769" t="s">
        <v>750</v>
      </c>
      <c r="S259" s="107" t="b" cm="1">
        <f t="array" aca="1" ref="S259" ca="1">OFFSET(T259,-1,-1)</f>
        <v>1</v>
      </c>
      <c r="T259" s="107" t="b" cm="1">
        <f t="array" aca="1" ref="T259" ca="1">L259</f>
        <v>0</v>
      </c>
      <c r="U259" s="690" t="b">
        <f t="shared" ca="1" si="99"/>
        <v>0</v>
      </c>
      <c r="V259" s="1150"/>
      <c r="W259" s="1150"/>
      <c r="X259" s="1150"/>
      <c r="Y259" s="1428"/>
      <c r="Z259" s="1428"/>
      <c r="AA259" s="691"/>
      <c r="AB259" s="1551"/>
      <c r="AD259" s="108" t="str">
        <f>AD258&amp;".0"</f>
        <v>40.0</v>
      </c>
      <c r="AE259" s="1517" t="s">
        <v>761</v>
      </c>
      <c r="AF259" s="1518"/>
      <c r="AG259" s="724" t="s">
        <v>830</v>
      </c>
      <c r="AH259" s="38">
        <f>AH$163*AH258</f>
        <v>42676.951000000001</v>
      </c>
      <c r="AI259" s="39">
        <f>AI$163*AI258</f>
        <v>42513.225999999995</v>
      </c>
      <c r="AJ259" s="39">
        <f>AJ$163*AJ258</f>
        <v>42513.227999999996</v>
      </c>
      <c r="AK259" s="39">
        <f>AK$163*AK258</f>
        <v>49203.479999999996</v>
      </c>
      <c r="AL259" s="727">
        <f ca="1">AM259+AN259</f>
        <v>63706.505880262062</v>
      </c>
      <c r="AM259" s="39">
        <f>AM$163*AM258</f>
        <v>32876.64626024352</v>
      </c>
      <c r="AN259" s="39">
        <f ca="1">AN$163*AN258</f>
        <v>30829.859620018546</v>
      </c>
      <c r="AO259" s="727">
        <f ca="1">AP259+AQ259</f>
        <v>0</v>
      </c>
      <c r="AP259" s="1244">
        <f>AP$163*AP258</f>
        <v>0</v>
      </c>
      <c r="AQ259" s="1244">
        <f ca="1">AQ$163*AQ258</f>
        <v>0</v>
      </c>
      <c r="AR259" s="727">
        <f ca="1">AS259+AT259</f>
        <v>0</v>
      </c>
      <c r="AS259" s="1244">
        <f>AS$163*AS258</f>
        <v>0</v>
      </c>
      <c r="AT259" s="1244">
        <f ca="1">AT$163*AT258</f>
        <v>0</v>
      </c>
      <c r="AU259" s="727">
        <f ca="1">AV259+AW259</f>
        <v>0</v>
      </c>
      <c r="AV259" s="39">
        <f>AV$163*AV258</f>
        <v>0</v>
      </c>
      <c r="AW259" s="39">
        <f ca="1">AW$163*AW258</f>
        <v>0</v>
      </c>
      <c r="AX259" s="727">
        <f ca="1">AY259+AZ259</f>
        <v>0</v>
      </c>
      <c r="AY259" s="39">
        <f>AY$163*AY258</f>
        <v>0</v>
      </c>
      <c r="AZ259" s="39">
        <f ca="1">AZ$163*AZ258</f>
        <v>0</v>
      </c>
      <c r="BA259" s="727">
        <f ca="1">BB259+BC259</f>
        <v>0</v>
      </c>
      <c r="BB259" s="39">
        <f>BB$163*BB258</f>
        <v>0</v>
      </c>
      <c r="BC259" s="39">
        <f ca="1">BC$163*BC258</f>
        <v>0</v>
      </c>
      <c r="BD259" s="727">
        <f ca="1">BE259+BF259</f>
        <v>0</v>
      </c>
      <c r="BE259" s="39">
        <f>BE$163*BE258</f>
        <v>0</v>
      </c>
      <c r="BF259" s="39">
        <f ca="1">BF$163*BF258</f>
        <v>0</v>
      </c>
      <c r="BG259" s="727">
        <f ca="1">BH259+BI259</f>
        <v>0</v>
      </c>
      <c r="BH259" s="39">
        <f>BH$163*BH258</f>
        <v>0</v>
      </c>
      <c r="BI259" s="39">
        <f ca="1">BI$163*BI258</f>
        <v>0</v>
      </c>
      <c r="BJ259" s="727">
        <f ca="1">BK259+BL259</f>
        <v>0</v>
      </c>
      <c r="BK259" s="39">
        <f>BK$163*BK258</f>
        <v>0</v>
      </c>
      <c r="BL259" s="39">
        <f ca="1">BL$163*BL258</f>
        <v>0</v>
      </c>
      <c r="BM259" s="727">
        <f ca="1">BN259+BO259</f>
        <v>0</v>
      </c>
      <c r="BN259" s="39">
        <f>BN$163*BN258</f>
        <v>0</v>
      </c>
      <c r="BO259" s="39">
        <f ca="1">BO$163*BO258</f>
        <v>0</v>
      </c>
      <c r="BP259" s="727">
        <f ca="1">BQ259+BR259</f>
        <v>59960.620675622908</v>
      </c>
      <c r="BQ259" s="816">
        <f>BQ$163*BQ258</f>
        <v>43269.940664053036</v>
      </c>
      <c r="BR259" s="816">
        <f ca="1">BR$163*BR258</f>
        <v>16690.680011569872</v>
      </c>
      <c r="BS259" s="727">
        <f ca="1">BT259+BU259</f>
        <v>0</v>
      </c>
      <c r="BT259" s="1244">
        <f>BT$163*BT258</f>
        <v>0</v>
      </c>
      <c r="BU259" s="1244">
        <f ca="1">BU$163*BU258</f>
        <v>0</v>
      </c>
      <c r="BV259" s="727">
        <f ca="1">BW259+BX259</f>
        <v>0</v>
      </c>
      <c r="BW259" s="1244">
        <f>BW$163*BW258</f>
        <v>0</v>
      </c>
      <c r="BX259" s="1244">
        <f ca="1">BX$163*BX258</f>
        <v>0</v>
      </c>
      <c r="BY259" s="727">
        <f ca="1">BZ259+CA259</f>
        <v>0</v>
      </c>
      <c r="BZ259" s="39">
        <f>BZ$163*BZ258</f>
        <v>0</v>
      </c>
      <c r="CA259" s="39">
        <f ca="1">CA$163*CA258</f>
        <v>0</v>
      </c>
      <c r="CB259" s="727">
        <f ca="1">CC259+CD259</f>
        <v>0</v>
      </c>
      <c r="CC259" s="39">
        <f>CC$163*CC258</f>
        <v>0</v>
      </c>
      <c r="CD259" s="39">
        <f ca="1">CD$163*CD258</f>
        <v>0</v>
      </c>
      <c r="CE259" s="727">
        <f ca="1">CF259+CG259</f>
        <v>0</v>
      </c>
      <c r="CF259" s="39">
        <f>CF$163*CF258</f>
        <v>0</v>
      </c>
      <c r="CG259" s="39">
        <f ca="1">CG$163*CG258</f>
        <v>0</v>
      </c>
      <c r="CH259" s="727">
        <f ca="1">CI259+CJ259</f>
        <v>0</v>
      </c>
      <c r="CI259" s="39">
        <f>CI$163*CI258</f>
        <v>0</v>
      </c>
      <c r="CJ259" s="39">
        <f ca="1">CJ$163*CJ258</f>
        <v>0</v>
      </c>
      <c r="CK259" s="727">
        <f ca="1">CL259+CM259</f>
        <v>0</v>
      </c>
      <c r="CL259" s="39">
        <f>CL$163*CL258</f>
        <v>0</v>
      </c>
      <c r="CM259" s="39">
        <f ca="1">CM$163*CM258</f>
        <v>0</v>
      </c>
      <c r="CN259" s="727">
        <f ca="1">CO259+CP259</f>
        <v>0</v>
      </c>
      <c r="CO259" s="39">
        <f>CO$163*CO258</f>
        <v>0</v>
      </c>
      <c r="CP259" s="39">
        <f ca="1">CP$163*CP258</f>
        <v>0</v>
      </c>
      <c r="CQ259" s="727">
        <f ca="1">CR259+CS259</f>
        <v>0</v>
      </c>
      <c r="CR259" s="39">
        <f>CR$163*CR258</f>
        <v>0</v>
      </c>
      <c r="CS259" s="39">
        <f ca="1">CS$163*CS258</f>
        <v>0</v>
      </c>
      <c r="CT259" s="25"/>
      <c r="CW259" s="960" t="s">
        <v>901</v>
      </c>
      <c r="CX259" s="965"/>
      <c r="CY259" s="965"/>
      <c r="CZ259" s="965"/>
      <c r="DA259" s="966"/>
      <c r="DB259" s="966"/>
    </row>
    <row r="260" spans="1:106" s="1167" customFormat="1" ht="16.5" customHeight="1" x14ac:dyDescent="0.15">
      <c r="A260" s="1150"/>
      <c r="B260" s="773"/>
      <c r="C260" s="1150"/>
      <c r="D260" s="1150"/>
      <c r="E260" s="668">
        <v>17.100000000000001</v>
      </c>
      <c r="F260" s="769" t="str" cm="1">
        <f t="array" aca="1" ref="F260" ca="1">OFFSET(G260,-1,-1)</f>
        <v>1</v>
      </c>
      <c r="G260" s="612" t="str">
        <f>IF(J139="вода","топливо","")</f>
        <v>топливо</v>
      </c>
      <c r="H260" s="804"/>
      <c r="I260" s="804"/>
      <c r="J260" s="804"/>
      <c r="K260" s="804"/>
      <c r="L260" s="769" t="b" cm="1">
        <f t="array" aca="1" ref="L260" ca="1">OFFSET(M260,-1,-1)</f>
        <v>0</v>
      </c>
      <c r="M260" s="804"/>
      <c r="N260" s="804"/>
      <c r="O260" s="804"/>
      <c r="P260" s="804"/>
      <c r="Q260" s="804"/>
      <c r="R260" s="1150"/>
      <c r="S260" s="107" t="b" cm="1">
        <f t="array" aca="1" ref="S260" ca="1">OFFSET(T260,-1,-1)</f>
        <v>1</v>
      </c>
      <c r="T260" s="1150"/>
      <c r="U260" s="690" t="b">
        <f t="shared" ca="1" si="99"/>
        <v>1</v>
      </c>
      <c r="V260" s="1150"/>
      <c r="W260" s="1150"/>
      <c r="X260" s="1150"/>
      <c r="Y260" s="1428"/>
      <c r="Z260" s="1428"/>
      <c r="AA260" s="691"/>
      <c r="AB260" s="1551"/>
      <c r="AD260" s="814" t="s">
        <v>902</v>
      </c>
      <c r="AE260" s="1519" t="s">
        <v>626</v>
      </c>
      <c r="AF260" s="1520"/>
      <c r="AG260" s="842" t="s">
        <v>830</v>
      </c>
      <c r="AH260" s="729">
        <f t="shared" ref="AH260:BM260" si="119">AH259-AH261</f>
        <v>42676.951000000001</v>
      </c>
      <c r="AI260" s="729">
        <f t="shared" si="119"/>
        <v>42513.225999999995</v>
      </c>
      <c r="AJ260" s="729">
        <f t="shared" si="119"/>
        <v>42513.227999999996</v>
      </c>
      <c r="AK260" s="729">
        <f t="shared" si="119"/>
        <v>49203.479999999996</v>
      </c>
      <c r="AL260" s="729">
        <f t="shared" ca="1" si="119"/>
        <v>63706.505880262062</v>
      </c>
      <c r="AM260" s="729">
        <f t="shared" si="119"/>
        <v>32876.64626024352</v>
      </c>
      <c r="AN260" s="729">
        <f t="shared" ca="1" si="119"/>
        <v>30829.859620018546</v>
      </c>
      <c r="AO260" s="729">
        <f t="shared" ca="1" si="119"/>
        <v>0</v>
      </c>
      <c r="AP260" s="729">
        <f t="shared" si="119"/>
        <v>0</v>
      </c>
      <c r="AQ260" s="729">
        <f t="shared" ca="1" si="119"/>
        <v>0</v>
      </c>
      <c r="AR260" s="729">
        <f t="shared" ca="1" si="119"/>
        <v>0</v>
      </c>
      <c r="AS260" s="729">
        <f t="shared" si="119"/>
        <v>0</v>
      </c>
      <c r="AT260" s="729">
        <f t="shared" ca="1" si="119"/>
        <v>0</v>
      </c>
      <c r="AU260" s="729">
        <f t="shared" ca="1" si="119"/>
        <v>0</v>
      </c>
      <c r="AV260" s="729">
        <f t="shared" si="119"/>
        <v>0</v>
      </c>
      <c r="AW260" s="729">
        <f t="shared" ca="1" si="119"/>
        <v>0</v>
      </c>
      <c r="AX260" s="729">
        <f t="shared" ca="1" si="119"/>
        <v>0</v>
      </c>
      <c r="AY260" s="729">
        <f t="shared" si="119"/>
        <v>0</v>
      </c>
      <c r="AZ260" s="729">
        <f t="shared" ca="1" si="119"/>
        <v>0</v>
      </c>
      <c r="BA260" s="729">
        <f t="shared" ca="1" si="119"/>
        <v>0</v>
      </c>
      <c r="BB260" s="729">
        <f t="shared" si="119"/>
        <v>0</v>
      </c>
      <c r="BC260" s="729">
        <f t="shared" ca="1" si="119"/>
        <v>0</v>
      </c>
      <c r="BD260" s="729">
        <f t="shared" ca="1" si="119"/>
        <v>0</v>
      </c>
      <c r="BE260" s="729">
        <f t="shared" si="119"/>
        <v>0</v>
      </c>
      <c r="BF260" s="729">
        <f t="shared" ca="1" si="119"/>
        <v>0</v>
      </c>
      <c r="BG260" s="729">
        <f t="shared" ca="1" si="119"/>
        <v>0</v>
      </c>
      <c r="BH260" s="729">
        <f t="shared" si="119"/>
        <v>0</v>
      </c>
      <c r="BI260" s="729">
        <f t="shared" ca="1" si="119"/>
        <v>0</v>
      </c>
      <c r="BJ260" s="729">
        <f t="shared" ca="1" si="119"/>
        <v>0</v>
      </c>
      <c r="BK260" s="729">
        <f t="shared" si="119"/>
        <v>0</v>
      </c>
      <c r="BL260" s="729">
        <f t="shared" ca="1" si="119"/>
        <v>0</v>
      </c>
      <c r="BM260" s="729">
        <f t="shared" ca="1" si="119"/>
        <v>0</v>
      </c>
      <c r="BN260" s="729">
        <f t="shared" ref="BN260:CS260" si="120">BN259-BN261</f>
        <v>0</v>
      </c>
      <c r="BO260" s="729">
        <f t="shared" ca="1" si="120"/>
        <v>0</v>
      </c>
      <c r="BP260" s="729">
        <f t="shared" ca="1" si="120"/>
        <v>59960.620675622908</v>
      </c>
      <c r="BQ260" s="729">
        <f t="shared" si="120"/>
        <v>43269.940664053036</v>
      </c>
      <c r="BR260" s="729">
        <f t="shared" ca="1" si="120"/>
        <v>16690.680011569872</v>
      </c>
      <c r="BS260" s="729">
        <f t="shared" ca="1" si="120"/>
        <v>0</v>
      </c>
      <c r="BT260" s="729">
        <f t="shared" si="120"/>
        <v>0</v>
      </c>
      <c r="BU260" s="729">
        <f t="shared" ca="1" si="120"/>
        <v>0</v>
      </c>
      <c r="BV260" s="729">
        <f t="shared" ca="1" si="120"/>
        <v>0</v>
      </c>
      <c r="BW260" s="729">
        <f t="shared" si="120"/>
        <v>0</v>
      </c>
      <c r="BX260" s="729">
        <f t="shared" ca="1" si="120"/>
        <v>0</v>
      </c>
      <c r="BY260" s="729">
        <f t="shared" ca="1" si="120"/>
        <v>0</v>
      </c>
      <c r="BZ260" s="729">
        <f t="shared" si="120"/>
        <v>0</v>
      </c>
      <c r="CA260" s="729">
        <f t="shared" ca="1" si="120"/>
        <v>0</v>
      </c>
      <c r="CB260" s="729">
        <f t="shared" ca="1" si="120"/>
        <v>0</v>
      </c>
      <c r="CC260" s="729">
        <f t="shared" si="120"/>
        <v>0</v>
      </c>
      <c r="CD260" s="729">
        <f t="shared" ca="1" si="120"/>
        <v>0</v>
      </c>
      <c r="CE260" s="729">
        <f t="shared" ca="1" si="120"/>
        <v>0</v>
      </c>
      <c r="CF260" s="729">
        <f t="shared" si="120"/>
        <v>0</v>
      </c>
      <c r="CG260" s="729">
        <f t="shared" ca="1" si="120"/>
        <v>0</v>
      </c>
      <c r="CH260" s="729">
        <f t="shared" ca="1" si="120"/>
        <v>0</v>
      </c>
      <c r="CI260" s="729">
        <f t="shared" si="120"/>
        <v>0</v>
      </c>
      <c r="CJ260" s="729">
        <f t="shared" ca="1" si="120"/>
        <v>0</v>
      </c>
      <c r="CK260" s="729">
        <f t="shared" ca="1" si="120"/>
        <v>0</v>
      </c>
      <c r="CL260" s="729">
        <f t="shared" si="120"/>
        <v>0</v>
      </c>
      <c r="CM260" s="729">
        <f t="shared" ca="1" si="120"/>
        <v>0</v>
      </c>
      <c r="CN260" s="729">
        <f t="shared" ca="1" si="120"/>
        <v>0</v>
      </c>
      <c r="CO260" s="729">
        <f t="shared" si="120"/>
        <v>0</v>
      </c>
      <c r="CP260" s="729">
        <f t="shared" ca="1" si="120"/>
        <v>0</v>
      </c>
      <c r="CQ260" s="729">
        <f t="shared" ca="1" si="120"/>
        <v>0</v>
      </c>
      <c r="CR260" s="729">
        <f t="shared" si="120"/>
        <v>0</v>
      </c>
      <c r="CS260" s="729">
        <f t="shared" ca="1" si="120"/>
        <v>0</v>
      </c>
      <c r="CT260" s="1231"/>
      <c r="CW260" s="960" t="s">
        <v>903</v>
      </c>
      <c r="CX260" s="965"/>
      <c r="CY260" s="965"/>
      <c r="CZ260" s="965"/>
      <c r="DA260" s="966"/>
      <c r="DB260" s="966"/>
    </row>
    <row r="261" spans="1:106" s="1167" customFormat="1" ht="16.5" customHeight="1" x14ac:dyDescent="0.15">
      <c r="A261" s="1150"/>
      <c r="B261" s="773"/>
      <c r="C261" s="1150"/>
      <c r="D261" s="1150"/>
      <c r="E261" s="668">
        <v>17.100000000000001</v>
      </c>
      <c r="F261" s="769" t="str" cm="1">
        <f t="array" aca="1" ref="F261" ca="1">OFFSET(G261,-1,-1)</f>
        <v>1</v>
      </c>
      <c r="G261" s="612" t="str">
        <f>IF(J139="пар","топливо","")</f>
        <v/>
      </c>
      <c r="H261" s="804"/>
      <c r="I261" s="804"/>
      <c r="J261" s="804"/>
      <c r="K261" s="804"/>
      <c r="L261" s="769" t="b" cm="1">
        <f t="array" aca="1" ref="L261" ca="1">OFFSET(M261,-1,-1)</f>
        <v>0</v>
      </c>
      <c r="M261" s="804"/>
      <c r="N261" s="804"/>
      <c r="O261" s="804"/>
      <c r="P261" s="804"/>
      <c r="Q261" s="804"/>
      <c r="R261" s="1150"/>
      <c r="S261" s="107" t="b" cm="1">
        <f t="array" aca="1" ref="S261" ca="1">OFFSET(T261,-1,-1)</f>
        <v>1</v>
      </c>
      <c r="T261" s="1150"/>
      <c r="U261" s="690" t="b">
        <f t="shared" ca="1" si="99"/>
        <v>1</v>
      </c>
      <c r="V261" s="1150"/>
      <c r="W261" s="1150"/>
      <c r="X261" s="1150"/>
      <c r="Y261" s="1428"/>
      <c r="Z261" s="1428"/>
      <c r="AA261" s="691"/>
      <c r="AB261" s="1551"/>
      <c r="AD261" s="814" t="s">
        <v>904</v>
      </c>
      <c r="AE261" s="1519" t="s">
        <v>628</v>
      </c>
      <c r="AF261" s="1520"/>
      <c r="AG261" s="842" t="s">
        <v>830</v>
      </c>
      <c r="AH261" s="1258"/>
      <c r="AI261" s="1258"/>
      <c r="AJ261" s="1258"/>
      <c r="AK261" s="1258"/>
      <c r="AL261" s="1258"/>
      <c r="AM261" s="1258"/>
      <c r="AN261" s="1258"/>
      <c r="AO261" s="1249"/>
      <c r="AP261" s="1249"/>
      <c r="AQ261" s="1249"/>
      <c r="AR261" s="1249"/>
      <c r="AS261" s="1249"/>
      <c r="AT261" s="1249"/>
      <c r="AU261" s="1258"/>
      <c r="AV261" s="1258"/>
      <c r="AW261" s="1258"/>
      <c r="AX261" s="1258"/>
      <c r="AY261" s="1258"/>
      <c r="AZ261" s="1258"/>
      <c r="BA261" s="1258"/>
      <c r="BB261" s="1258"/>
      <c r="BC261" s="1258"/>
      <c r="BD261" s="1258"/>
      <c r="BE261" s="1258"/>
      <c r="BF261" s="1258"/>
      <c r="BG261" s="1258"/>
      <c r="BH261" s="1258"/>
      <c r="BI261" s="1258"/>
      <c r="BJ261" s="1258"/>
      <c r="BK261" s="1258"/>
      <c r="BL261" s="1258"/>
      <c r="BM261" s="1258"/>
      <c r="BN261" s="1258"/>
      <c r="BO261" s="1258"/>
      <c r="BP261" s="820"/>
      <c r="BQ261" s="820"/>
      <c r="BR261" s="820"/>
      <c r="BS261" s="1249"/>
      <c r="BT261" s="1249"/>
      <c r="BU261" s="1249"/>
      <c r="BV261" s="1249"/>
      <c r="BW261" s="1249"/>
      <c r="BX261" s="1249"/>
      <c r="BY261" s="1258"/>
      <c r="BZ261" s="1258"/>
      <c r="CA261" s="1258"/>
      <c r="CB261" s="1258"/>
      <c r="CC261" s="1258"/>
      <c r="CD261" s="1258"/>
      <c r="CE261" s="1258"/>
      <c r="CF261" s="1258"/>
      <c r="CG261" s="1258"/>
      <c r="CH261" s="1258"/>
      <c r="CI261" s="1258"/>
      <c r="CJ261" s="1258"/>
      <c r="CK261" s="1258"/>
      <c r="CL261" s="1258"/>
      <c r="CM261" s="1258"/>
      <c r="CN261" s="1258"/>
      <c r="CO261" s="1258"/>
      <c r="CP261" s="1258"/>
      <c r="CQ261" s="1258"/>
      <c r="CR261" s="1258"/>
      <c r="CS261" s="1258"/>
      <c r="CT261" s="1231"/>
      <c r="CW261" s="960" t="s">
        <v>905</v>
      </c>
      <c r="CX261" s="965"/>
      <c r="CY261" s="965"/>
      <c r="CZ261" s="965"/>
      <c r="DA261" s="966"/>
      <c r="DB261" s="966"/>
    </row>
    <row r="262" spans="1:106" s="1167" customFormat="1" ht="16.5" hidden="1" customHeight="1" x14ac:dyDescent="0.15">
      <c r="E262" s="668">
        <v>17.100000000000001</v>
      </c>
      <c r="F262" s="769" t="str" cm="1">
        <f t="array" aca="1" ref="F262" ca="1">OFFSET(G262,-1,-1)</f>
        <v>1</v>
      </c>
      <c r="L262" s="769" t="b" cm="1">
        <f t="array" aca="1" ref="L262" ca="1">OFFSET(M262,-1,-1)</f>
        <v>0</v>
      </c>
      <c r="S262" s="107" t="b" cm="1">
        <f t="array" aca="1" ref="S262" ca="1">OFFSET(T262,-1,-1)</f>
        <v>1</v>
      </c>
      <c r="T262" s="107" t="b">
        <f>AD262&lt;&gt;"40.0"</f>
        <v>0</v>
      </c>
      <c r="U262" s="690" t="b">
        <f t="shared" ca="1" si="99"/>
        <v>0</v>
      </c>
      <c r="X262" s="107" t="s">
        <v>237</v>
      </c>
      <c r="Y262" s="1481"/>
      <c r="Z262" s="1481"/>
      <c r="AB262" s="1551"/>
      <c r="AD262" s="108" t="s">
        <v>906</v>
      </c>
      <c r="AE262" s="811"/>
      <c r="AF262" s="516"/>
      <c r="AG262" s="724" t="s">
        <v>830</v>
      </c>
      <c r="AH262" s="725">
        <f t="shared" ref="AH262:BM262" si="121">AH191+AH208+AH225+AH242+AH251</f>
        <v>0</v>
      </c>
      <c r="AI262" s="725">
        <f t="shared" si="121"/>
        <v>0</v>
      </c>
      <c r="AJ262" s="725">
        <f t="shared" si="121"/>
        <v>0</v>
      </c>
      <c r="AK262" s="725">
        <f t="shared" si="121"/>
        <v>0</v>
      </c>
      <c r="AL262" s="725">
        <f t="shared" ca="1" si="121"/>
        <v>0</v>
      </c>
      <c r="AM262" s="725">
        <f t="shared" si="121"/>
        <v>0</v>
      </c>
      <c r="AN262" s="725">
        <f t="shared" ca="1" si="121"/>
        <v>0</v>
      </c>
      <c r="AO262" s="725">
        <f t="shared" ca="1" si="121"/>
        <v>0</v>
      </c>
      <c r="AP262" s="725">
        <f t="shared" si="121"/>
        <v>0</v>
      </c>
      <c r="AQ262" s="725">
        <f t="shared" ca="1" si="121"/>
        <v>0</v>
      </c>
      <c r="AR262" s="725">
        <f t="shared" ca="1" si="121"/>
        <v>0</v>
      </c>
      <c r="AS262" s="725">
        <f t="shared" si="121"/>
        <v>0</v>
      </c>
      <c r="AT262" s="725">
        <f t="shared" ca="1" si="121"/>
        <v>0</v>
      </c>
      <c r="AU262" s="725">
        <f t="shared" ca="1" si="121"/>
        <v>0</v>
      </c>
      <c r="AV262" s="725">
        <f t="shared" si="121"/>
        <v>0</v>
      </c>
      <c r="AW262" s="725">
        <f t="shared" ca="1" si="121"/>
        <v>0</v>
      </c>
      <c r="AX262" s="725">
        <f t="shared" ca="1" si="121"/>
        <v>0</v>
      </c>
      <c r="AY262" s="725">
        <f t="shared" si="121"/>
        <v>0</v>
      </c>
      <c r="AZ262" s="725">
        <f t="shared" ca="1" si="121"/>
        <v>0</v>
      </c>
      <c r="BA262" s="725">
        <f t="shared" ca="1" si="121"/>
        <v>0</v>
      </c>
      <c r="BB262" s="725">
        <f t="shared" si="121"/>
        <v>0</v>
      </c>
      <c r="BC262" s="725">
        <f t="shared" ca="1" si="121"/>
        <v>0</v>
      </c>
      <c r="BD262" s="725">
        <f t="shared" ca="1" si="121"/>
        <v>0</v>
      </c>
      <c r="BE262" s="725">
        <f t="shared" si="121"/>
        <v>0</v>
      </c>
      <c r="BF262" s="725">
        <f t="shared" ca="1" si="121"/>
        <v>0</v>
      </c>
      <c r="BG262" s="725">
        <f t="shared" ca="1" si="121"/>
        <v>0</v>
      </c>
      <c r="BH262" s="725">
        <f t="shared" si="121"/>
        <v>0</v>
      </c>
      <c r="BI262" s="725">
        <f t="shared" ca="1" si="121"/>
        <v>0</v>
      </c>
      <c r="BJ262" s="725">
        <f t="shared" ca="1" si="121"/>
        <v>0</v>
      </c>
      <c r="BK262" s="725">
        <f t="shared" si="121"/>
        <v>0</v>
      </c>
      <c r="BL262" s="725">
        <f t="shared" ca="1" si="121"/>
        <v>0</v>
      </c>
      <c r="BM262" s="725">
        <f t="shared" ca="1" si="121"/>
        <v>0</v>
      </c>
      <c r="BN262" s="725">
        <f t="shared" ref="BN262:CS262" si="122">BN191+BN208+BN225+BN242+BN251</f>
        <v>0</v>
      </c>
      <c r="BO262" s="725">
        <f t="shared" ca="1" si="122"/>
        <v>0</v>
      </c>
      <c r="BP262" s="725">
        <f t="shared" ca="1" si="122"/>
        <v>0</v>
      </c>
      <c r="BQ262" s="725">
        <f t="shared" si="122"/>
        <v>0</v>
      </c>
      <c r="BR262" s="725">
        <f t="shared" ca="1" si="122"/>
        <v>0</v>
      </c>
      <c r="BS262" s="725">
        <f t="shared" ca="1" si="122"/>
        <v>0</v>
      </c>
      <c r="BT262" s="725">
        <f t="shared" si="122"/>
        <v>0</v>
      </c>
      <c r="BU262" s="725">
        <f t="shared" ca="1" si="122"/>
        <v>0</v>
      </c>
      <c r="BV262" s="725">
        <f t="shared" ca="1" si="122"/>
        <v>0</v>
      </c>
      <c r="BW262" s="725">
        <f t="shared" si="122"/>
        <v>0</v>
      </c>
      <c r="BX262" s="725">
        <f t="shared" ca="1" si="122"/>
        <v>0</v>
      </c>
      <c r="BY262" s="725">
        <f t="shared" ca="1" si="122"/>
        <v>0</v>
      </c>
      <c r="BZ262" s="725">
        <f t="shared" si="122"/>
        <v>0</v>
      </c>
      <c r="CA262" s="725">
        <f t="shared" ca="1" si="122"/>
        <v>0</v>
      </c>
      <c r="CB262" s="725">
        <f t="shared" ca="1" si="122"/>
        <v>0</v>
      </c>
      <c r="CC262" s="725">
        <f t="shared" si="122"/>
        <v>0</v>
      </c>
      <c r="CD262" s="725">
        <f t="shared" ca="1" si="122"/>
        <v>0</v>
      </c>
      <c r="CE262" s="725">
        <f t="shared" ca="1" si="122"/>
        <v>0</v>
      </c>
      <c r="CF262" s="725">
        <f t="shared" si="122"/>
        <v>0</v>
      </c>
      <c r="CG262" s="725">
        <f t="shared" ca="1" si="122"/>
        <v>0</v>
      </c>
      <c r="CH262" s="725">
        <f t="shared" ca="1" si="122"/>
        <v>0</v>
      </c>
      <c r="CI262" s="725">
        <f t="shared" si="122"/>
        <v>0</v>
      </c>
      <c r="CJ262" s="725">
        <f t="shared" ca="1" si="122"/>
        <v>0</v>
      </c>
      <c r="CK262" s="725">
        <f t="shared" ca="1" si="122"/>
        <v>0</v>
      </c>
      <c r="CL262" s="725">
        <f t="shared" si="122"/>
        <v>0</v>
      </c>
      <c r="CM262" s="725">
        <f t="shared" ca="1" si="122"/>
        <v>0</v>
      </c>
      <c r="CN262" s="725">
        <f t="shared" ca="1" si="122"/>
        <v>0</v>
      </c>
      <c r="CO262" s="725">
        <f t="shared" si="122"/>
        <v>0</v>
      </c>
      <c r="CP262" s="725">
        <f t="shared" ca="1" si="122"/>
        <v>0</v>
      </c>
      <c r="CQ262" s="725">
        <f t="shared" ca="1" si="122"/>
        <v>0</v>
      </c>
      <c r="CR262" s="725">
        <f t="shared" si="122"/>
        <v>0</v>
      </c>
      <c r="CS262" s="725">
        <f t="shared" ca="1" si="122"/>
        <v>0</v>
      </c>
      <c r="CT262" s="25"/>
      <c r="CW262" s="960" t="s">
        <v>907</v>
      </c>
      <c r="CX262" s="965" t="s">
        <v>812</v>
      </c>
      <c r="CY262" s="969" cm="1">
        <f t="array" ref="CY262">AE262</f>
        <v>0</v>
      </c>
      <c r="CZ262" s="969" cm="1">
        <f t="array" ref="CZ262">AF262</f>
        <v>0</v>
      </c>
      <c r="DA262" s="966"/>
      <c r="DB262" s="966"/>
    </row>
    <row r="263" spans="1:106" s="1167" customFormat="1" ht="16.5" customHeight="1" x14ac:dyDescent="0.15">
      <c r="E263" s="668">
        <v>17.100000000000001</v>
      </c>
      <c r="F263" s="769" t="str" cm="1">
        <f t="array" aca="1" ref="F263" ca="1">OFFSET(G263,-1,-1)</f>
        <v>1</v>
      </c>
      <c r="L263" s="769" t="b" cm="1">
        <f t="array" aca="1" ref="L263" ca="1">OFFSET(M263,-1,-1)</f>
        <v>0</v>
      </c>
      <c r="S263" s="107" t="b" cm="1">
        <f t="array" aca="1" ref="S263" ca="1">OFFSET(T263,-1,-1)</f>
        <v>1</v>
      </c>
      <c r="T263" s="107" t="b">
        <f>AD263&lt;&gt;"40.0"</f>
        <v>1</v>
      </c>
      <c r="U263" s="690" t="b">
        <f t="shared" ca="1" si="99"/>
        <v>1</v>
      </c>
      <c r="X263" s="107" t="str">
        <f>'Топливо 4.4'!$AE$256&amp;'Топливо 4.4'!$AF$256</f>
        <v>Уголь длиннопламенный</v>
      </c>
      <c r="Y263" s="1481"/>
      <c r="Z263" s="1481"/>
      <c r="AB263" s="1551"/>
      <c r="AD263" s="108" t="s">
        <v>944</v>
      </c>
      <c r="AE263" s="811" t="str" cm="1">
        <f t="array" ref="AE263">IF(ISBLANK('Топливо 4.4'!$AE$256),"",'Топливо 4.4'!$AE$256)</f>
        <v>Уголь длиннопламенный</v>
      </c>
      <c r="AF263" s="516" t="str" cm="1">
        <f t="array" ref="AF263">IF(ISBLANK('Топливо 4.4'!$AF$256),"",'Топливо 4.4'!$AF$256)</f>
        <v/>
      </c>
      <c r="AG263" s="724" t="s">
        <v>830</v>
      </c>
      <c r="AH263" s="725">
        <f t="shared" ref="AH263:BM263" si="123">AH192+AH209+AH226+AH243+AH252</f>
        <v>42676.951000000001</v>
      </c>
      <c r="AI263" s="725">
        <f t="shared" si="123"/>
        <v>42513.225999999995</v>
      </c>
      <c r="AJ263" s="725">
        <f t="shared" si="123"/>
        <v>42513.227999999996</v>
      </c>
      <c r="AK263" s="725">
        <f t="shared" si="123"/>
        <v>49203.479999999996</v>
      </c>
      <c r="AL263" s="725">
        <f t="shared" ca="1" si="123"/>
        <v>63706.505880262062</v>
      </c>
      <c r="AM263" s="725">
        <f t="shared" si="123"/>
        <v>32876.64626024352</v>
      </c>
      <c r="AN263" s="725">
        <f t="shared" ca="1" si="123"/>
        <v>30829.859620018546</v>
      </c>
      <c r="AO263" s="725">
        <f t="shared" ca="1" si="123"/>
        <v>0</v>
      </c>
      <c r="AP263" s="725">
        <f t="shared" si="123"/>
        <v>0</v>
      </c>
      <c r="AQ263" s="725">
        <f t="shared" ca="1" si="123"/>
        <v>0</v>
      </c>
      <c r="AR263" s="725">
        <f t="shared" ca="1" si="123"/>
        <v>0</v>
      </c>
      <c r="AS263" s="725">
        <f t="shared" si="123"/>
        <v>0</v>
      </c>
      <c r="AT263" s="725">
        <f t="shared" ca="1" si="123"/>
        <v>0</v>
      </c>
      <c r="AU263" s="725">
        <f t="shared" ca="1" si="123"/>
        <v>0</v>
      </c>
      <c r="AV263" s="725">
        <f t="shared" si="123"/>
        <v>0</v>
      </c>
      <c r="AW263" s="725">
        <f t="shared" ca="1" si="123"/>
        <v>0</v>
      </c>
      <c r="AX263" s="725">
        <f t="shared" ca="1" si="123"/>
        <v>0</v>
      </c>
      <c r="AY263" s="725">
        <f t="shared" si="123"/>
        <v>0</v>
      </c>
      <c r="AZ263" s="725">
        <f t="shared" ca="1" si="123"/>
        <v>0</v>
      </c>
      <c r="BA263" s="725">
        <f t="shared" ca="1" si="123"/>
        <v>0</v>
      </c>
      <c r="BB263" s="725">
        <f t="shared" si="123"/>
        <v>0</v>
      </c>
      <c r="BC263" s="725">
        <f t="shared" ca="1" si="123"/>
        <v>0</v>
      </c>
      <c r="BD263" s="725">
        <f t="shared" ca="1" si="123"/>
        <v>0</v>
      </c>
      <c r="BE263" s="725">
        <f t="shared" si="123"/>
        <v>0</v>
      </c>
      <c r="BF263" s="725">
        <f t="shared" ca="1" si="123"/>
        <v>0</v>
      </c>
      <c r="BG263" s="725">
        <f t="shared" ca="1" si="123"/>
        <v>0</v>
      </c>
      <c r="BH263" s="725">
        <f t="shared" si="123"/>
        <v>0</v>
      </c>
      <c r="BI263" s="725">
        <f t="shared" ca="1" si="123"/>
        <v>0</v>
      </c>
      <c r="BJ263" s="725">
        <f t="shared" ca="1" si="123"/>
        <v>0</v>
      </c>
      <c r="BK263" s="725">
        <f t="shared" si="123"/>
        <v>0</v>
      </c>
      <c r="BL263" s="725">
        <f t="shared" ca="1" si="123"/>
        <v>0</v>
      </c>
      <c r="BM263" s="725">
        <f t="shared" ca="1" si="123"/>
        <v>0</v>
      </c>
      <c r="BN263" s="725">
        <f t="shared" ref="BN263:CS263" si="124">BN192+BN209+BN226+BN243+BN252</f>
        <v>0</v>
      </c>
      <c r="BO263" s="725">
        <f t="shared" ca="1" si="124"/>
        <v>0</v>
      </c>
      <c r="BP263" s="725">
        <f t="shared" ca="1" si="124"/>
        <v>59960.620675622908</v>
      </c>
      <c r="BQ263" s="725">
        <f t="shared" si="124"/>
        <v>43269.940664053036</v>
      </c>
      <c r="BR263" s="725">
        <f t="shared" ca="1" si="124"/>
        <v>16690.680011569872</v>
      </c>
      <c r="BS263" s="725">
        <f t="shared" ca="1" si="124"/>
        <v>0</v>
      </c>
      <c r="BT263" s="725">
        <f t="shared" si="124"/>
        <v>0</v>
      </c>
      <c r="BU263" s="725">
        <f t="shared" ca="1" si="124"/>
        <v>0</v>
      </c>
      <c r="BV263" s="725">
        <f t="shared" ca="1" si="124"/>
        <v>0</v>
      </c>
      <c r="BW263" s="725">
        <f t="shared" si="124"/>
        <v>0</v>
      </c>
      <c r="BX263" s="725">
        <f t="shared" ca="1" si="124"/>
        <v>0</v>
      </c>
      <c r="BY263" s="725">
        <f t="shared" ca="1" si="124"/>
        <v>0</v>
      </c>
      <c r="BZ263" s="725">
        <f t="shared" si="124"/>
        <v>0</v>
      </c>
      <c r="CA263" s="725">
        <f t="shared" ca="1" si="124"/>
        <v>0</v>
      </c>
      <c r="CB263" s="725">
        <f t="shared" ca="1" si="124"/>
        <v>0</v>
      </c>
      <c r="CC263" s="725">
        <f t="shared" si="124"/>
        <v>0</v>
      </c>
      <c r="CD263" s="725">
        <f t="shared" ca="1" si="124"/>
        <v>0</v>
      </c>
      <c r="CE263" s="725">
        <f t="shared" ca="1" si="124"/>
        <v>0</v>
      </c>
      <c r="CF263" s="725">
        <f t="shared" si="124"/>
        <v>0</v>
      </c>
      <c r="CG263" s="725">
        <f t="shared" ca="1" si="124"/>
        <v>0</v>
      </c>
      <c r="CH263" s="725">
        <f t="shared" ca="1" si="124"/>
        <v>0</v>
      </c>
      <c r="CI263" s="725">
        <f t="shared" si="124"/>
        <v>0</v>
      </c>
      <c r="CJ263" s="725">
        <f t="shared" ca="1" si="124"/>
        <v>0</v>
      </c>
      <c r="CK263" s="725">
        <f t="shared" ca="1" si="124"/>
        <v>0</v>
      </c>
      <c r="CL263" s="725">
        <f t="shared" si="124"/>
        <v>0</v>
      </c>
      <c r="CM263" s="725">
        <f t="shared" ca="1" si="124"/>
        <v>0</v>
      </c>
      <c r="CN263" s="725">
        <f t="shared" ca="1" si="124"/>
        <v>0</v>
      </c>
      <c r="CO263" s="725">
        <f t="shared" si="124"/>
        <v>0</v>
      </c>
      <c r="CP263" s="725">
        <f t="shared" ca="1" si="124"/>
        <v>0</v>
      </c>
      <c r="CQ263" s="725">
        <f t="shared" ca="1" si="124"/>
        <v>0</v>
      </c>
      <c r="CR263" s="725">
        <f t="shared" si="124"/>
        <v>0</v>
      </c>
      <c r="CS263" s="725">
        <f t="shared" ca="1" si="124"/>
        <v>0</v>
      </c>
      <c r="CT263" s="1231"/>
      <c r="CW263" s="960" t="s">
        <v>907</v>
      </c>
      <c r="CX263" s="965" t="s">
        <v>812</v>
      </c>
      <c r="CY263" s="969" t="str" cm="1">
        <f t="array" ref="CY263">AE263</f>
        <v>Уголь длиннопламенный</v>
      </c>
      <c r="CZ263" s="969" t="str" cm="1">
        <f t="array" ref="CZ263">AF263</f>
        <v/>
      </c>
      <c r="DA263" s="966"/>
      <c r="DB263" s="966"/>
    </row>
    <row r="264" spans="1:106" s="1167" customFormat="1" ht="15" hidden="1" customHeight="1" x14ac:dyDescent="0.15">
      <c r="A264" s="1150"/>
      <c r="B264" s="773"/>
      <c r="C264" s="1150"/>
      <c r="D264" s="1150"/>
      <c r="E264" s="668">
        <v>0</v>
      </c>
      <c r="F264" s="769" t="str" cm="1">
        <f t="array" aca="1" ref="F264" ca="1">OFFSET(G264,-1,-1)</f>
        <v>1</v>
      </c>
      <c r="G264" s="804"/>
      <c r="H264" s="804"/>
      <c r="I264" s="804"/>
      <c r="J264" s="804"/>
      <c r="K264" s="804"/>
      <c r="L264" s="769" t="b" cm="1">
        <f t="array" aca="1" ref="L264" ca="1">OFFSET(M264,-1,-1)</f>
        <v>0</v>
      </c>
      <c r="M264" s="804"/>
      <c r="N264" s="804"/>
      <c r="O264" s="804"/>
      <c r="P264" s="804"/>
      <c r="Q264" s="804"/>
      <c r="R264" s="1150"/>
      <c r="S264" s="107" t="b" cm="1">
        <f t="array" aca="1" ref="S264" ca="1">OFFSET(T264,-1,-1)</f>
        <v>1</v>
      </c>
      <c r="T264" s="1150"/>
      <c r="U264" s="690" t="b">
        <f t="shared" ca="1" si="99"/>
        <v>1</v>
      </c>
      <c r="V264" s="1150"/>
      <c r="W264" s="1150"/>
      <c r="X264" s="810" t="str">
        <f>"{                  
         funcDyn: 'msg1',
         blok: 'blok_2',
         wsCross: 'Топливо 4.4',
         linkFormula: 'AE-AE#AF-AF',
         levelDyn: "&amp;Y139&amp;"
}"</f>
        <v>{                  
         funcDyn: 'msg1',
         blok: 'blok_2',
         wsCross: 'Топливо 4.4',
         linkFormula: 'AE-AE#AF-AF',
         levelDyn: 1
}</v>
      </c>
      <c r="Y264" s="1428"/>
      <c r="Z264" s="1428"/>
      <c r="AA264" s="691"/>
      <c r="AB264" s="1551"/>
      <c r="AD264" s="813"/>
      <c r="AE264" s="812" t="s">
        <v>239</v>
      </c>
      <c r="AF264" s="736"/>
      <c r="AG264" s="724"/>
      <c r="AH264" s="726"/>
      <c r="AI264" s="728"/>
      <c r="AJ264" s="728"/>
      <c r="AK264" s="728"/>
      <c r="AL264" s="728"/>
      <c r="AM264" s="728"/>
      <c r="AN264" s="728"/>
      <c r="AO264" s="728"/>
      <c r="AP264" s="728"/>
      <c r="AQ264" s="728"/>
      <c r="AR264" s="728"/>
      <c r="AS264" s="728"/>
      <c r="AT264" s="728"/>
      <c r="AU264" s="728"/>
      <c r="AV264" s="728"/>
      <c r="AW264" s="728"/>
      <c r="AX264" s="728"/>
      <c r="AY264" s="728"/>
      <c r="AZ264" s="728"/>
      <c r="BA264" s="728"/>
      <c r="BB264" s="728"/>
      <c r="BC264" s="728"/>
      <c r="BD264" s="728"/>
      <c r="BE264" s="728"/>
      <c r="BF264" s="728"/>
      <c r="BG264" s="728"/>
      <c r="BH264" s="728"/>
      <c r="BI264" s="728"/>
      <c r="BJ264" s="728"/>
      <c r="BK264" s="728"/>
      <c r="BL264" s="728"/>
      <c r="BM264" s="728"/>
      <c r="BN264" s="728"/>
      <c r="BO264" s="728"/>
      <c r="BP264" s="728"/>
      <c r="BQ264" s="728"/>
      <c r="BR264" s="728"/>
      <c r="BS264" s="728"/>
      <c r="BT264" s="728"/>
      <c r="BU264" s="728"/>
      <c r="BV264" s="728"/>
      <c r="BW264" s="728"/>
      <c r="BX264" s="728"/>
      <c r="BY264" s="728"/>
      <c r="BZ264" s="728"/>
      <c r="CA264" s="728"/>
      <c r="CB264" s="728"/>
      <c r="CC264" s="728"/>
      <c r="CD264" s="728"/>
      <c r="CE264" s="728"/>
      <c r="CF264" s="728"/>
      <c r="CG264" s="728"/>
      <c r="CH264" s="728"/>
      <c r="CI264" s="728"/>
      <c r="CJ264" s="728"/>
      <c r="CK264" s="728"/>
      <c r="CL264" s="728"/>
      <c r="CM264" s="728"/>
      <c r="CN264" s="728"/>
      <c r="CO264" s="728"/>
      <c r="CP264" s="728"/>
      <c r="CQ264" s="728"/>
      <c r="CR264" s="728"/>
      <c r="CS264" s="728"/>
      <c r="CT264" s="43"/>
      <c r="CW264" s="960" t="str">
        <f>IF(AND(ISNUMBER(VALUE(TRIM(SUBSTITUTE(AD264,".","")))),TRIM(SUBSTITUTE(AD264,".",""))&lt;&gt;""),"P"&amp;SUBSTITUTE(AD264,".",""),"")</f>
        <v/>
      </c>
      <c r="CX264" s="965"/>
      <c r="CY264" s="965"/>
      <c r="CZ264" s="965"/>
      <c r="DA264" s="966"/>
      <c r="DB264" s="966"/>
    </row>
    <row r="265" spans="1:106" s="1167" customFormat="1" ht="16.5" customHeight="1" x14ac:dyDescent="0.15">
      <c r="A265" s="1150"/>
      <c r="B265" s="773"/>
      <c r="C265" s="1150"/>
      <c r="D265" s="1150"/>
      <c r="E265" s="668">
        <v>17.100000000000001</v>
      </c>
      <c r="F265" s="769" t="str" cm="1">
        <f t="array" aca="1" ref="F265" ca="1">OFFSET(G265,-1,-1)</f>
        <v>1</v>
      </c>
      <c r="G265" s="804"/>
      <c r="H265" s="804"/>
      <c r="I265" s="804"/>
      <c r="J265" s="804"/>
      <c r="K265" s="804"/>
      <c r="L265" s="769" t="b" cm="1">
        <f t="array" aca="1" ref="L265" ca="1">OFFSET(M265,-1,-1)</f>
        <v>0</v>
      </c>
      <c r="M265" s="804"/>
      <c r="N265" s="804"/>
      <c r="O265" s="804"/>
      <c r="P265" s="804"/>
      <c r="Q265" s="804"/>
      <c r="R265" s="1150"/>
      <c r="S265" s="107" t="b" cm="1">
        <f t="array" aca="1" ref="S265" ca="1">OFFSET(T265,-1,-1)</f>
        <v>1</v>
      </c>
      <c r="T265" s="1150"/>
      <c r="U265" s="690" t="b">
        <f t="shared" ca="1" si="99"/>
        <v>1</v>
      </c>
      <c r="V265" s="1150"/>
      <c r="W265" s="1150"/>
      <c r="X265" s="1150"/>
      <c r="Y265" s="1428"/>
      <c r="Z265" s="1428"/>
      <c r="AA265" s="691"/>
      <c r="AB265" s="1551"/>
      <c r="AD265" s="121" t="s">
        <v>908</v>
      </c>
      <c r="AE265" s="1510" t="s">
        <v>909</v>
      </c>
      <c r="AF265" s="1493"/>
      <c r="AG265" s="724" t="s">
        <v>910</v>
      </c>
      <c r="AH265" s="725">
        <f t="shared" ref="AH265:BM265" si="125">IFERROR(AH258/AH164,0)*1000</f>
        <v>3113.878180702126</v>
      </c>
      <c r="AI265" s="725">
        <f t="shared" si="125"/>
        <v>3203.3128166940774</v>
      </c>
      <c r="AJ265" s="725">
        <f t="shared" si="125"/>
        <v>3136.9768361898236</v>
      </c>
      <c r="AK265" s="725">
        <f t="shared" si="125"/>
        <v>3519.5496439569242</v>
      </c>
      <c r="AL265" s="725">
        <f t="shared" ca="1" si="125"/>
        <v>4788.1445110207605</v>
      </c>
      <c r="AM265" s="725">
        <f t="shared" si="125"/>
        <v>4788.1445110207615</v>
      </c>
      <c r="AN265" s="725">
        <f t="shared" ca="1" si="125"/>
        <v>4788.1445110207605</v>
      </c>
      <c r="AO265" s="725">
        <f t="shared" ca="1" si="125"/>
        <v>0</v>
      </c>
      <c r="AP265" s="725">
        <f t="shared" si="125"/>
        <v>0</v>
      </c>
      <c r="AQ265" s="725">
        <f t="shared" ca="1" si="125"/>
        <v>0</v>
      </c>
      <c r="AR265" s="725">
        <f t="shared" ca="1" si="125"/>
        <v>0</v>
      </c>
      <c r="AS265" s="725">
        <f t="shared" si="125"/>
        <v>0</v>
      </c>
      <c r="AT265" s="725">
        <f t="shared" ca="1" si="125"/>
        <v>0</v>
      </c>
      <c r="AU265" s="725">
        <f t="shared" ca="1" si="125"/>
        <v>0</v>
      </c>
      <c r="AV265" s="725">
        <f t="shared" si="125"/>
        <v>0</v>
      </c>
      <c r="AW265" s="725">
        <f t="shared" ca="1" si="125"/>
        <v>0</v>
      </c>
      <c r="AX265" s="725">
        <f t="shared" ca="1" si="125"/>
        <v>0</v>
      </c>
      <c r="AY265" s="725">
        <f t="shared" si="125"/>
        <v>0</v>
      </c>
      <c r="AZ265" s="725">
        <f t="shared" ca="1" si="125"/>
        <v>0</v>
      </c>
      <c r="BA265" s="725">
        <f t="shared" ca="1" si="125"/>
        <v>0</v>
      </c>
      <c r="BB265" s="725">
        <f t="shared" si="125"/>
        <v>0</v>
      </c>
      <c r="BC265" s="725">
        <f t="shared" ca="1" si="125"/>
        <v>0</v>
      </c>
      <c r="BD265" s="725">
        <f t="shared" ca="1" si="125"/>
        <v>0</v>
      </c>
      <c r="BE265" s="725">
        <f t="shared" si="125"/>
        <v>0</v>
      </c>
      <c r="BF265" s="725">
        <f t="shared" ca="1" si="125"/>
        <v>0</v>
      </c>
      <c r="BG265" s="725">
        <f t="shared" ca="1" si="125"/>
        <v>0</v>
      </c>
      <c r="BH265" s="725">
        <f t="shared" si="125"/>
        <v>0</v>
      </c>
      <c r="BI265" s="725">
        <f t="shared" ca="1" si="125"/>
        <v>0</v>
      </c>
      <c r="BJ265" s="725">
        <f t="shared" ca="1" si="125"/>
        <v>0</v>
      </c>
      <c r="BK265" s="725">
        <f t="shared" si="125"/>
        <v>0</v>
      </c>
      <c r="BL265" s="725">
        <f t="shared" ca="1" si="125"/>
        <v>0</v>
      </c>
      <c r="BM265" s="725">
        <f t="shared" ca="1" si="125"/>
        <v>0</v>
      </c>
      <c r="BN265" s="725">
        <f t="shared" ref="BN265:CS265" si="126">IFERROR(BN258/BN164,0)*1000</f>
        <v>0</v>
      </c>
      <c r="BO265" s="725">
        <f t="shared" ca="1" si="126"/>
        <v>0</v>
      </c>
      <c r="BP265" s="725">
        <f t="shared" ca="1" si="126"/>
        <v>4506.6082890777789</v>
      </c>
      <c r="BQ265" s="725">
        <f t="shared" si="126"/>
        <v>4506.6082890777789</v>
      </c>
      <c r="BR265" s="725">
        <f t="shared" ca="1" si="126"/>
        <v>4506.6082890777789</v>
      </c>
      <c r="BS265" s="725">
        <f t="shared" ca="1" si="126"/>
        <v>0</v>
      </c>
      <c r="BT265" s="725">
        <f t="shared" si="126"/>
        <v>0</v>
      </c>
      <c r="BU265" s="725">
        <f t="shared" ca="1" si="126"/>
        <v>0</v>
      </c>
      <c r="BV265" s="725">
        <f t="shared" ca="1" si="126"/>
        <v>0</v>
      </c>
      <c r="BW265" s="725">
        <f t="shared" si="126"/>
        <v>0</v>
      </c>
      <c r="BX265" s="725">
        <f t="shared" ca="1" si="126"/>
        <v>0</v>
      </c>
      <c r="BY265" s="725">
        <f t="shared" ca="1" si="126"/>
        <v>0</v>
      </c>
      <c r="BZ265" s="725">
        <f t="shared" si="126"/>
        <v>0</v>
      </c>
      <c r="CA265" s="725">
        <f t="shared" ca="1" si="126"/>
        <v>0</v>
      </c>
      <c r="CB265" s="725">
        <f t="shared" ca="1" si="126"/>
        <v>0</v>
      </c>
      <c r="CC265" s="725">
        <f t="shared" si="126"/>
        <v>0</v>
      </c>
      <c r="CD265" s="725">
        <f t="shared" ca="1" si="126"/>
        <v>0</v>
      </c>
      <c r="CE265" s="725">
        <f t="shared" ca="1" si="126"/>
        <v>0</v>
      </c>
      <c r="CF265" s="725">
        <f t="shared" si="126"/>
        <v>0</v>
      </c>
      <c r="CG265" s="725">
        <f t="shared" ca="1" si="126"/>
        <v>0</v>
      </c>
      <c r="CH265" s="725">
        <f t="shared" ca="1" si="126"/>
        <v>0</v>
      </c>
      <c r="CI265" s="725">
        <f t="shared" si="126"/>
        <v>0</v>
      </c>
      <c r="CJ265" s="725">
        <f t="shared" ca="1" si="126"/>
        <v>0</v>
      </c>
      <c r="CK265" s="725">
        <f t="shared" ca="1" si="126"/>
        <v>0</v>
      </c>
      <c r="CL265" s="725">
        <f t="shared" si="126"/>
        <v>0</v>
      </c>
      <c r="CM265" s="725">
        <f t="shared" ca="1" si="126"/>
        <v>0</v>
      </c>
      <c r="CN265" s="725">
        <f t="shared" ca="1" si="126"/>
        <v>0</v>
      </c>
      <c r="CO265" s="725">
        <f t="shared" si="126"/>
        <v>0</v>
      </c>
      <c r="CP265" s="725">
        <f t="shared" ca="1" si="126"/>
        <v>0</v>
      </c>
      <c r="CQ265" s="725">
        <f t="shared" ca="1" si="126"/>
        <v>0</v>
      </c>
      <c r="CR265" s="725">
        <f t="shared" si="126"/>
        <v>0</v>
      </c>
      <c r="CS265" s="725">
        <f t="shared" ca="1" si="126"/>
        <v>0</v>
      </c>
      <c r="CT265" s="1231"/>
      <c r="CW265" s="960" t="s">
        <v>911</v>
      </c>
      <c r="CX265" s="965"/>
      <c r="CY265" s="965"/>
      <c r="CZ265" s="965"/>
      <c r="DA265" s="966"/>
      <c r="DB265" s="966"/>
    </row>
    <row r="266" spans="1:106" s="1167" customFormat="1" ht="16.5" hidden="1" customHeight="1" x14ac:dyDescent="0.15">
      <c r="A266" s="1150"/>
      <c r="B266" s="773"/>
      <c r="C266" s="1150"/>
      <c r="D266" s="1150"/>
      <c r="E266" s="668">
        <v>17.100000000000001</v>
      </c>
      <c r="F266" s="769" t="str" cm="1">
        <f t="array" aca="1" ref="F266" ca="1">OFFSET(G266,-1,-1)</f>
        <v>1</v>
      </c>
      <c r="G266" s="804"/>
      <c r="H266" s="804"/>
      <c r="I266" s="804"/>
      <c r="J266" s="804"/>
      <c r="K266" s="804"/>
      <c r="L266" s="769" t="b" cm="1">
        <f t="array" aca="1" ref="L266" ca="1">OFFSET(M266,-1,-1)</f>
        <v>0</v>
      </c>
      <c r="M266" s="804"/>
      <c r="N266" s="804"/>
      <c r="O266" s="804"/>
      <c r="P266" s="804"/>
      <c r="Q266" s="804"/>
      <c r="R266" s="769" t="s">
        <v>750</v>
      </c>
      <c r="S266" s="107" t="b" cm="1">
        <f t="array" aca="1" ref="S266" ca="1">OFFSET(T266,-1,-1)</f>
        <v>1</v>
      </c>
      <c r="T266" s="107" t="b" cm="1">
        <f t="array" aca="1" ref="T266" ca="1">L266</f>
        <v>0</v>
      </c>
      <c r="U266" s="690" t="b">
        <f t="shared" ca="1" si="99"/>
        <v>0</v>
      </c>
      <c r="V266" s="1150"/>
      <c r="W266" s="1150"/>
      <c r="X266" s="1150"/>
      <c r="Y266" s="1428"/>
      <c r="Z266" s="1428"/>
      <c r="AA266" s="691"/>
      <c r="AB266" s="1551"/>
      <c r="AD266" s="108" t="str">
        <f>AD265&amp;".0"</f>
        <v>41.0</v>
      </c>
      <c r="AE266" s="1513" t="s">
        <v>761</v>
      </c>
      <c r="AF266" s="1514"/>
      <c r="AG266" s="724" t="s">
        <v>910</v>
      </c>
      <c r="AH266" s="725">
        <f t="shared" ref="AH266:BM266" si="127">IFERROR(AH259/AH165,0)*1000</f>
        <v>3113.878180702126</v>
      </c>
      <c r="AI266" s="725">
        <f t="shared" si="127"/>
        <v>3203.3128166940774</v>
      </c>
      <c r="AJ266" s="725">
        <f t="shared" si="127"/>
        <v>3136.9768361898236</v>
      </c>
      <c r="AK266" s="725">
        <f t="shared" si="127"/>
        <v>3519.5496439569242</v>
      </c>
      <c r="AL266" s="725">
        <f t="shared" ca="1" si="127"/>
        <v>4788.1445110207605</v>
      </c>
      <c r="AM266" s="725">
        <f t="shared" si="127"/>
        <v>4788.1445110207615</v>
      </c>
      <c r="AN266" s="725">
        <f t="shared" ca="1" si="127"/>
        <v>4788.1445110207605</v>
      </c>
      <c r="AO266" s="725">
        <f t="shared" ca="1" si="127"/>
        <v>0</v>
      </c>
      <c r="AP266" s="725">
        <f t="shared" si="127"/>
        <v>0</v>
      </c>
      <c r="AQ266" s="725">
        <f t="shared" ca="1" si="127"/>
        <v>0</v>
      </c>
      <c r="AR266" s="725">
        <f t="shared" ca="1" si="127"/>
        <v>0</v>
      </c>
      <c r="AS266" s="725">
        <f t="shared" si="127"/>
        <v>0</v>
      </c>
      <c r="AT266" s="725">
        <f t="shared" ca="1" si="127"/>
        <v>0</v>
      </c>
      <c r="AU266" s="725">
        <f t="shared" ca="1" si="127"/>
        <v>0</v>
      </c>
      <c r="AV266" s="725">
        <f t="shared" si="127"/>
        <v>0</v>
      </c>
      <c r="AW266" s="725">
        <f t="shared" ca="1" si="127"/>
        <v>0</v>
      </c>
      <c r="AX266" s="725">
        <f t="shared" ca="1" si="127"/>
        <v>0</v>
      </c>
      <c r="AY266" s="725">
        <f t="shared" si="127"/>
        <v>0</v>
      </c>
      <c r="AZ266" s="725">
        <f t="shared" ca="1" si="127"/>
        <v>0</v>
      </c>
      <c r="BA266" s="725">
        <f t="shared" ca="1" si="127"/>
        <v>0</v>
      </c>
      <c r="BB266" s="725">
        <f t="shared" si="127"/>
        <v>0</v>
      </c>
      <c r="BC266" s="725">
        <f t="shared" ca="1" si="127"/>
        <v>0</v>
      </c>
      <c r="BD266" s="725">
        <f t="shared" ca="1" si="127"/>
        <v>0</v>
      </c>
      <c r="BE266" s="725">
        <f t="shared" si="127"/>
        <v>0</v>
      </c>
      <c r="BF266" s="725">
        <f t="shared" ca="1" si="127"/>
        <v>0</v>
      </c>
      <c r="BG266" s="725">
        <f t="shared" ca="1" si="127"/>
        <v>0</v>
      </c>
      <c r="BH266" s="725">
        <f t="shared" si="127"/>
        <v>0</v>
      </c>
      <c r="BI266" s="725">
        <f t="shared" ca="1" si="127"/>
        <v>0</v>
      </c>
      <c r="BJ266" s="725">
        <f t="shared" ca="1" si="127"/>
        <v>0</v>
      </c>
      <c r="BK266" s="725">
        <f t="shared" si="127"/>
        <v>0</v>
      </c>
      <c r="BL266" s="725">
        <f t="shared" ca="1" si="127"/>
        <v>0</v>
      </c>
      <c r="BM266" s="725">
        <f t="shared" ca="1" si="127"/>
        <v>0</v>
      </c>
      <c r="BN266" s="725">
        <f t="shared" ref="BN266:CS266" si="128">IFERROR(BN259/BN165,0)*1000</f>
        <v>0</v>
      </c>
      <c r="BO266" s="725">
        <f t="shared" ca="1" si="128"/>
        <v>0</v>
      </c>
      <c r="BP266" s="725">
        <f t="shared" ca="1" si="128"/>
        <v>4506.6082890777789</v>
      </c>
      <c r="BQ266" s="725">
        <f t="shared" si="128"/>
        <v>4506.6082890777789</v>
      </c>
      <c r="BR266" s="725">
        <f t="shared" ca="1" si="128"/>
        <v>4506.6082890777789</v>
      </c>
      <c r="BS266" s="725">
        <f t="shared" ca="1" si="128"/>
        <v>0</v>
      </c>
      <c r="BT266" s="725">
        <f t="shared" si="128"/>
        <v>0</v>
      </c>
      <c r="BU266" s="725">
        <f t="shared" ca="1" si="128"/>
        <v>0</v>
      </c>
      <c r="BV266" s="725">
        <f t="shared" ca="1" si="128"/>
        <v>0</v>
      </c>
      <c r="BW266" s="725">
        <f t="shared" si="128"/>
        <v>0</v>
      </c>
      <c r="BX266" s="725">
        <f t="shared" ca="1" si="128"/>
        <v>0</v>
      </c>
      <c r="BY266" s="725">
        <f t="shared" ca="1" si="128"/>
        <v>0</v>
      </c>
      <c r="BZ266" s="725">
        <f t="shared" si="128"/>
        <v>0</v>
      </c>
      <c r="CA266" s="725">
        <f t="shared" ca="1" si="128"/>
        <v>0</v>
      </c>
      <c r="CB266" s="725">
        <f t="shared" ca="1" si="128"/>
        <v>0</v>
      </c>
      <c r="CC266" s="725">
        <f t="shared" si="128"/>
        <v>0</v>
      </c>
      <c r="CD266" s="725">
        <f t="shared" ca="1" si="128"/>
        <v>0</v>
      </c>
      <c r="CE266" s="725">
        <f t="shared" ca="1" si="128"/>
        <v>0</v>
      </c>
      <c r="CF266" s="725">
        <f t="shared" si="128"/>
        <v>0</v>
      </c>
      <c r="CG266" s="725">
        <f t="shared" ca="1" si="128"/>
        <v>0</v>
      </c>
      <c r="CH266" s="725">
        <f t="shared" ca="1" si="128"/>
        <v>0</v>
      </c>
      <c r="CI266" s="725">
        <f t="shared" si="128"/>
        <v>0</v>
      </c>
      <c r="CJ266" s="725">
        <f t="shared" ca="1" si="128"/>
        <v>0</v>
      </c>
      <c r="CK266" s="725">
        <f t="shared" ca="1" si="128"/>
        <v>0</v>
      </c>
      <c r="CL266" s="725">
        <f t="shared" si="128"/>
        <v>0</v>
      </c>
      <c r="CM266" s="725">
        <f t="shared" ca="1" si="128"/>
        <v>0</v>
      </c>
      <c r="CN266" s="725">
        <f t="shared" ca="1" si="128"/>
        <v>0</v>
      </c>
      <c r="CO266" s="725">
        <f t="shared" si="128"/>
        <v>0</v>
      </c>
      <c r="CP266" s="725">
        <f t="shared" ca="1" si="128"/>
        <v>0</v>
      </c>
      <c r="CQ266" s="725">
        <f t="shared" ca="1" si="128"/>
        <v>0</v>
      </c>
      <c r="CR266" s="725">
        <f t="shared" si="128"/>
        <v>0</v>
      </c>
      <c r="CS266" s="725">
        <f t="shared" ca="1" si="128"/>
        <v>0</v>
      </c>
      <c r="CT266" s="25"/>
      <c r="CW266" s="960" t="s">
        <v>912</v>
      </c>
      <c r="CX266" s="965"/>
      <c r="CY266" s="965"/>
      <c r="CZ266" s="965"/>
      <c r="DA266" s="966"/>
      <c r="DB266" s="966"/>
    </row>
    <row r="267" spans="1:106" s="1167" customFormat="1" ht="16.5" hidden="1" customHeight="1" x14ac:dyDescent="0.15">
      <c r="E267" s="668">
        <v>17.100000000000001</v>
      </c>
      <c r="F267" s="769" t="str" cm="1">
        <f t="array" aca="1" ref="F267" ca="1">OFFSET(G267,-1,-1)</f>
        <v>1</v>
      </c>
      <c r="L267" s="769" t="b" cm="1">
        <f t="array" aca="1" ref="L267" ca="1">OFFSET(M267,-1,-1)</f>
        <v>0</v>
      </c>
      <c r="S267" s="107" t="b" cm="1">
        <f t="array" aca="1" ref="S267" ca="1">OFFSET(T267,-1,-1)</f>
        <v>1</v>
      </c>
      <c r="T267" s="107" t="b">
        <f>AD267&lt;&gt;"41.0"</f>
        <v>0</v>
      </c>
      <c r="U267" s="690" t="b">
        <f t="shared" ca="1" si="99"/>
        <v>0</v>
      </c>
      <c r="X267" s="107" t="s">
        <v>237</v>
      </c>
      <c r="Y267" s="1481"/>
      <c r="Z267" s="1481"/>
      <c r="AB267" s="1551"/>
      <c r="AD267" s="108" t="s">
        <v>913</v>
      </c>
      <c r="AE267" s="811"/>
      <c r="AF267" s="516"/>
      <c r="AG267" s="724" t="s">
        <v>910</v>
      </c>
      <c r="AH267" s="725">
        <f t="shared" ref="AH267:BM267" si="129">IFERROR(AH262/AH166,0)*1000</f>
        <v>0</v>
      </c>
      <c r="AI267" s="725">
        <f t="shared" si="129"/>
        <v>0</v>
      </c>
      <c r="AJ267" s="725">
        <f t="shared" si="129"/>
        <v>0</v>
      </c>
      <c r="AK267" s="725">
        <f t="shared" si="129"/>
        <v>0</v>
      </c>
      <c r="AL267" s="725">
        <f t="shared" ca="1" si="129"/>
        <v>0</v>
      </c>
      <c r="AM267" s="725">
        <f t="shared" si="129"/>
        <v>0</v>
      </c>
      <c r="AN267" s="725">
        <f t="shared" ca="1" si="129"/>
        <v>0</v>
      </c>
      <c r="AO267" s="725">
        <f t="shared" ca="1" si="129"/>
        <v>0</v>
      </c>
      <c r="AP267" s="725">
        <f t="shared" si="129"/>
        <v>0</v>
      </c>
      <c r="AQ267" s="725">
        <f t="shared" ca="1" si="129"/>
        <v>0</v>
      </c>
      <c r="AR267" s="725">
        <f t="shared" ca="1" si="129"/>
        <v>0</v>
      </c>
      <c r="AS267" s="725">
        <f t="shared" si="129"/>
        <v>0</v>
      </c>
      <c r="AT267" s="725">
        <f t="shared" ca="1" si="129"/>
        <v>0</v>
      </c>
      <c r="AU267" s="725">
        <f t="shared" ca="1" si="129"/>
        <v>0</v>
      </c>
      <c r="AV267" s="725">
        <f t="shared" si="129"/>
        <v>0</v>
      </c>
      <c r="AW267" s="725">
        <f t="shared" ca="1" si="129"/>
        <v>0</v>
      </c>
      <c r="AX267" s="725">
        <f t="shared" ca="1" si="129"/>
        <v>0</v>
      </c>
      <c r="AY267" s="725">
        <f t="shared" si="129"/>
        <v>0</v>
      </c>
      <c r="AZ267" s="725">
        <f t="shared" ca="1" si="129"/>
        <v>0</v>
      </c>
      <c r="BA267" s="725">
        <f t="shared" ca="1" si="129"/>
        <v>0</v>
      </c>
      <c r="BB267" s="725">
        <f t="shared" si="129"/>
        <v>0</v>
      </c>
      <c r="BC267" s="725">
        <f t="shared" ca="1" si="129"/>
        <v>0</v>
      </c>
      <c r="BD267" s="725">
        <f t="shared" ca="1" si="129"/>
        <v>0</v>
      </c>
      <c r="BE267" s="725">
        <f t="shared" si="129"/>
        <v>0</v>
      </c>
      <c r="BF267" s="725">
        <f t="shared" ca="1" si="129"/>
        <v>0</v>
      </c>
      <c r="BG267" s="725">
        <f t="shared" ca="1" si="129"/>
        <v>0</v>
      </c>
      <c r="BH267" s="725">
        <f t="shared" si="129"/>
        <v>0</v>
      </c>
      <c r="BI267" s="725">
        <f t="shared" ca="1" si="129"/>
        <v>0</v>
      </c>
      <c r="BJ267" s="725">
        <f t="shared" ca="1" si="129"/>
        <v>0</v>
      </c>
      <c r="BK267" s="725">
        <f t="shared" si="129"/>
        <v>0</v>
      </c>
      <c r="BL267" s="725">
        <f t="shared" ca="1" si="129"/>
        <v>0</v>
      </c>
      <c r="BM267" s="725">
        <f t="shared" ca="1" si="129"/>
        <v>0</v>
      </c>
      <c r="BN267" s="725">
        <f t="shared" ref="BN267:CS267" si="130">IFERROR(BN262/BN166,0)*1000</f>
        <v>0</v>
      </c>
      <c r="BO267" s="725">
        <f t="shared" ca="1" si="130"/>
        <v>0</v>
      </c>
      <c r="BP267" s="725">
        <f t="shared" ca="1" si="130"/>
        <v>0</v>
      </c>
      <c r="BQ267" s="725">
        <f t="shared" si="130"/>
        <v>0</v>
      </c>
      <c r="BR267" s="725">
        <f t="shared" ca="1" si="130"/>
        <v>0</v>
      </c>
      <c r="BS267" s="725">
        <f t="shared" ca="1" si="130"/>
        <v>0</v>
      </c>
      <c r="BT267" s="725">
        <f t="shared" si="130"/>
        <v>0</v>
      </c>
      <c r="BU267" s="725">
        <f t="shared" ca="1" si="130"/>
        <v>0</v>
      </c>
      <c r="BV267" s="725">
        <f t="shared" ca="1" si="130"/>
        <v>0</v>
      </c>
      <c r="BW267" s="725">
        <f t="shared" si="130"/>
        <v>0</v>
      </c>
      <c r="BX267" s="725">
        <f t="shared" ca="1" si="130"/>
        <v>0</v>
      </c>
      <c r="BY267" s="725">
        <f t="shared" ca="1" si="130"/>
        <v>0</v>
      </c>
      <c r="BZ267" s="725">
        <f t="shared" si="130"/>
        <v>0</v>
      </c>
      <c r="CA267" s="725">
        <f t="shared" ca="1" si="130"/>
        <v>0</v>
      </c>
      <c r="CB267" s="725">
        <f t="shared" ca="1" si="130"/>
        <v>0</v>
      </c>
      <c r="CC267" s="725">
        <f t="shared" si="130"/>
        <v>0</v>
      </c>
      <c r="CD267" s="725">
        <f t="shared" ca="1" si="130"/>
        <v>0</v>
      </c>
      <c r="CE267" s="725">
        <f t="shared" ca="1" si="130"/>
        <v>0</v>
      </c>
      <c r="CF267" s="725">
        <f t="shared" si="130"/>
        <v>0</v>
      </c>
      <c r="CG267" s="725">
        <f t="shared" ca="1" si="130"/>
        <v>0</v>
      </c>
      <c r="CH267" s="725">
        <f t="shared" ca="1" si="130"/>
        <v>0</v>
      </c>
      <c r="CI267" s="725">
        <f t="shared" si="130"/>
        <v>0</v>
      </c>
      <c r="CJ267" s="725">
        <f t="shared" ca="1" si="130"/>
        <v>0</v>
      </c>
      <c r="CK267" s="725">
        <f t="shared" ca="1" si="130"/>
        <v>0</v>
      </c>
      <c r="CL267" s="725">
        <f t="shared" si="130"/>
        <v>0</v>
      </c>
      <c r="CM267" s="725">
        <f t="shared" ca="1" si="130"/>
        <v>0</v>
      </c>
      <c r="CN267" s="725">
        <f t="shared" ca="1" si="130"/>
        <v>0</v>
      </c>
      <c r="CO267" s="725">
        <f t="shared" si="130"/>
        <v>0</v>
      </c>
      <c r="CP267" s="725">
        <f t="shared" ca="1" si="130"/>
        <v>0</v>
      </c>
      <c r="CQ267" s="725">
        <f t="shared" ca="1" si="130"/>
        <v>0</v>
      </c>
      <c r="CR267" s="725">
        <f t="shared" si="130"/>
        <v>0</v>
      </c>
      <c r="CS267" s="725">
        <f t="shared" ca="1" si="130"/>
        <v>0</v>
      </c>
      <c r="CT267" s="25"/>
      <c r="CW267" s="960" t="s">
        <v>912</v>
      </c>
      <c r="CX267" s="965" t="s">
        <v>812</v>
      </c>
      <c r="CY267" s="969" cm="1">
        <f t="array" ref="CY267">AE267</f>
        <v>0</v>
      </c>
      <c r="CZ267" s="969" cm="1">
        <f t="array" ref="CZ267">AF267</f>
        <v>0</v>
      </c>
      <c r="DA267" s="966"/>
      <c r="DB267" s="966"/>
    </row>
    <row r="268" spans="1:106" s="1167" customFormat="1" ht="16.5" customHeight="1" x14ac:dyDescent="0.15">
      <c r="E268" s="668">
        <v>17.100000000000001</v>
      </c>
      <c r="F268" s="769" t="str" cm="1">
        <f t="array" aca="1" ref="F268" ca="1">OFFSET(G268,-1,-1)</f>
        <v>1</v>
      </c>
      <c r="L268" s="769" t="b" cm="1">
        <f t="array" aca="1" ref="L268" ca="1">OFFSET(M268,-1,-1)</f>
        <v>0</v>
      </c>
      <c r="S268" s="107" t="b" cm="1">
        <f t="array" aca="1" ref="S268" ca="1">OFFSET(T268,-1,-1)</f>
        <v>1</v>
      </c>
      <c r="T268" s="107" t="b">
        <f>AD268&lt;&gt;"41.0"</f>
        <v>1</v>
      </c>
      <c r="U268" s="690" t="b">
        <f t="shared" ca="1" si="99"/>
        <v>1</v>
      </c>
      <c r="X268" s="107" t="str">
        <f>'Топливо 4.4'!$AE$263&amp;'Топливо 4.4'!$AF$263</f>
        <v>Уголь длиннопламенный</v>
      </c>
      <c r="Y268" s="1481"/>
      <c r="Z268" s="1481"/>
      <c r="AB268" s="1551"/>
      <c r="AD268" s="108" t="s">
        <v>945</v>
      </c>
      <c r="AE268" s="811" t="str" cm="1">
        <f t="array" ref="AE268">IF(ISBLANK('Топливо 4.4'!$AE$263),"",'Топливо 4.4'!$AE$263)</f>
        <v>Уголь длиннопламенный</v>
      </c>
      <c r="AF268" s="516" t="str" cm="1">
        <f t="array" ref="AF268">IF(ISBLANK('Топливо 4.4'!$AF$263),"",'Топливо 4.4'!$AF$263)</f>
        <v/>
      </c>
      <c r="AG268" s="724" t="s">
        <v>910</v>
      </c>
      <c r="AH268" s="725">
        <f t="shared" ref="AH268:BM268" si="131">IFERROR(AH263/AH167,0)*1000</f>
        <v>3113.878180702126</v>
      </c>
      <c r="AI268" s="725">
        <f t="shared" si="131"/>
        <v>3203.3128166940774</v>
      </c>
      <c r="AJ268" s="725">
        <f t="shared" si="131"/>
        <v>3136.9768361898236</v>
      </c>
      <c r="AK268" s="725">
        <f t="shared" si="131"/>
        <v>3519.5496439569242</v>
      </c>
      <c r="AL268" s="725">
        <f t="shared" ca="1" si="131"/>
        <v>4788.1445110207605</v>
      </c>
      <c r="AM268" s="725">
        <f t="shared" si="131"/>
        <v>4788.1445110207615</v>
      </c>
      <c r="AN268" s="725">
        <f t="shared" ca="1" si="131"/>
        <v>4788.1445110207605</v>
      </c>
      <c r="AO268" s="725">
        <f t="shared" ca="1" si="131"/>
        <v>0</v>
      </c>
      <c r="AP268" s="725">
        <f t="shared" si="131"/>
        <v>0</v>
      </c>
      <c r="AQ268" s="725">
        <f t="shared" ca="1" si="131"/>
        <v>0</v>
      </c>
      <c r="AR268" s="725">
        <f t="shared" ca="1" si="131"/>
        <v>0</v>
      </c>
      <c r="AS268" s="725">
        <f t="shared" si="131"/>
        <v>0</v>
      </c>
      <c r="AT268" s="725">
        <f t="shared" ca="1" si="131"/>
        <v>0</v>
      </c>
      <c r="AU268" s="725">
        <f t="shared" ca="1" si="131"/>
        <v>0</v>
      </c>
      <c r="AV268" s="725">
        <f t="shared" si="131"/>
        <v>0</v>
      </c>
      <c r="AW268" s="725">
        <f t="shared" ca="1" si="131"/>
        <v>0</v>
      </c>
      <c r="AX268" s="725">
        <f t="shared" ca="1" si="131"/>
        <v>0</v>
      </c>
      <c r="AY268" s="725">
        <f t="shared" si="131"/>
        <v>0</v>
      </c>
      <c r="AZ268" s="725">
        <f t="shared" ca="1" si="131"/>
        <v>0</v>
      </c>
      <c r="BA268" s="725">
        <f t="shared" ca="1" si="131"/>
        <v>0</v>
      </c>
      <c r="BB268" s="725">
        <f t="shared" si="131"/>
        <v>0</v>
      </c>
      <c r="BC268" s="725">
        <f t="shared" ca="1" si="131"/>
        <v>0</v>
      </c>
      <c r="BD268" s="725">
        <f t="shared" ca="1" si="131"/>
        <v>0</v>
      </c>
      <c r="BE268" s="725">
        <f t="shared" si="131"/>
        <v>0</v>
      </c>
      <c r="BF268" s="725">
        <f t="shared" ca="1" si="131"/>
        <v>0</v>
      </c>
      <c r="BG268" s="725">
        <f t="shared" ca="1" si="131"/>
        <v>0</v>
      </c>
      <c r="BH268" s="725">
        <f t="shared" si="131"/>
        <v>0</v>
      </c>
      <c r="BI268" s="725">
        <f t="shared" ca="1" si="131"/>
        <v>0</v>
      </c>
      <c r="BJ268" s="725">
        <f t="shared" ca="1" si="131"/>
        <v>0</v>
      </c>
      <c r="BK268" s="725">
        <f t="shared" si="131"/>
        <v>0</v>
      </c>
      <c r="BL268" s="725">
        <f t="shared" ca="1" si="131"/>
        <v>0</v>
      </c>
      <c r="BM268" s="725">
        <f t="shared" ca="1" si="131"/>
        <v>0</v>
      </c>
      <c r="BN268" s="725">
        <f t="shared" ref="BN268:CS268" si="132">IFERROR(BN263/BN167,0)*1000</f>
        <v>0</v>
      </c>
      <c r="BO268" s="725">
        <f t="shared" ca="1" si="132"/>
        <v>0</v>
      </c>
      <c r="BP268" s="725">
        <f t="shared" ca="1" si="132"/>
        <v>4506.6082890777789</v>
      </c>
      <c r="BQ268" s="725">
        <f t="shared" si="132"/>
        <v>4506.6082890777789</v>
      </c>
      <c r="BR268" s="725">
        <f t="shared" ca="1" si="132"/>
        <v>4506.6082890777789</v>
      </c>
      <c r="BS268" s="725">
        <f t="shared" ca="1" si="132"/>
        <v>0</v>
      </c>
      <c r="BT268" s="725">
        <f t="shared" si="132"/>
        <v>0</v>
      </c>
      <c r="BU268" s="725">
        <f t="shared" ca="1" si="132"/>
        <v>0</v>
      </c>
      <c r="BV268" s="725">
        <f t="shared" ca="1" si="132"/>
        <v>0</v>
      </c>
      <c r="BW268" s="725">
        <f t="shared" si="132"/>
        <v>0</v>
      </c>
      <c r="BX268" s="725">
        <f t="shared" ca="1" si="132"/>
        <v>0</v>
      </c>
      <c r="BY268" s="725">
        <f t="shared" ca="1" si="132"/>
        <v>0</v>
      </c>
      <c r="BZ268" s="725">
        <f t="shared" si="132"/>
        <v>0</v>
      </c>
      <c r="CA268" s="725">
        <f t="shared" ca="1" si="132"/>
        <v>0</v>
      </c>
      <c r="CB268" s="725">
        <f t="shared" ca="1" si="132"/>
        <v>0</v>
      </c>
      <c r="CC268" s="725">
        <f t="shared" si="132"/>
        <v>0</v>
      </c>
      <c r="CD268" s="725">
        <f t="shared" ca="1" si="132"/>
        <v>0</v>
      </c>
      <c r="CE268" s="725">
        <f t="shared" ca="1" si="132"/>
        <v>0</v>
      </c>
      <c r="CF268" s="725">
        <f t="shared" si="132"/>
        <v>0</v>
      </c>
      <c r="CG268" s="725">
        <f t="shared" ca="1" si="132"/>
        <v>0</v>
      </c>
      <c r="CH268" s="725">
        <f t="shared" ca="1" si="132"/>
        <v>0</v>
      </c>
      <c r="CI268" s="725">
        <f t="shared" si="132"/>
        <v>0</v>
      </c>
      <c r="CJ268" s="725">
        <f t="shared" ca="1" si="132"/>
        <v>0</v>
      </c>
      <c r="CK268" s="725">
        <f t="shared" ca="1" si="132"/>
        <v>0</v>
      </c>
      <c r="CL268" s="725">
        <f t="shared" si="132"/>
        <v>0</v>
      </c>
      <c r="CM268" s="725">
        <f t="shared" ca="1" si="132"/>
        <v>0</v>
      </c>
      <c r="CN268" s="725">
        <f t="shared" ca="1" si="132"/>
        <v>0</v>
      </c>
      <c r="CO268" s="725">
        <f t="shared" si="132"/>
        <v>0</v>
      </c>
      <c r="CP268" s="725">
        <f t="shared" ca="1" si="132"/>
        <v>0</v>
      </c>
      <c r="CQ268" s="725">
        <f t="shared" ca="1" si="132"/>
        <v>0</v>
      </c>
      <c r="CR268" s="725">
        <f t="shared" si="132"/>
        <v>0</v>
      </c>
      <c r="CS268" s="725">
        <f t="shared" ca="1" si="132"/>
        <v>0</v>
      </c>
      <c r="CT268" s="1231"/>
      <c r="CW268" s="960" t="s">
        <v>912</v>
      </c>
      <c r="CX268" s="965" t="s">
        <v>812</v>
      </c>
      <c r="CY268" s="969" t="str" cm="1">
        <f t="array" ref="CY268">AE268</f>
        <v>Уголь длиннопламенный</v>
      </c>
      <c r="CZ268" s="969" t="str" cm="1">
        <f t="array" ref="CZ268">AF268</f>
        <v/>
      </c>
      <c r="DA268" s="966"/>
      <c r="DB268" s="966"/>
    </row>
    <row r="269" spans="1:106" s="1167" customFormat="1" ht="15" hidden="1" customHeight="1" x14ac:dyDescent="0.15">
      <c r="A269" s="1150"/>
      <c r="B269" s="773"/>
      <c r="C269" s="1150"/>
      <c r="D269" s="1150"/>
      <c r="E269" s="668">
        <v>0</v>
      </c>
      <c r="F269" s="769" t="str" cm="1">
        <f t="array" aca="1" ref="F269" ca="1">OFFSET(G269,-1,-1)</f>
        <v>1</v>
      </c>
      <c r="G269" s="804"/>
      <c r="H269" s="804"/>
      <c r="I269" s="804"/>
      <c r="J269" s="804"/>
      <c r="K269" s="804"/>
      <c r="L269" s="769" t="b" cm="1">
        <f t="array" aca="1" ref="L269" ca="1">OFFSET(M269,-1,-1)</f>
        <v>0</v>
      </c>
      <c r="M269" s="804"/>
      <c r="N269" s="804"/>
      <c r="O269" s="804"/>
      <c r="P269" s="804"/>
      <c r="Q269" s="804"/>
      <c r="R269" s="1150"/>
      <c r="S269" s="107" t="b" cm="1">
        <f t="array" aca="1" ref="S269" ca="1">OFFSET(T269,-1,-1)</f>
        <v>1</v>
      </c>
      <c r="T269" s="1150"/>
      <c r="U269" s="690" t="b">
        <f t="shared" ca="1" si="99"/>
        <v>1</v>
      </c>
      <c r="V269" s="1150"/>
      <c r="W269" s="1150"/>
      <c r="X269" s="810" t="str">
        <f>"{                  
         funcDyn: 'msg1',
         blok: 'blok_2',
         wsCross: 'Топливо 4.4',
         linkFormula: 'AE-AE#AF-AF',
         levelDyn: "&amp;Y139&amp;"
}"</f>
        <v>{                  
         funcDyn: 'msg1',
         blok: 'blok_2',
         wsCross: 'Топливо 4.4',
         linkFormula: 'AE-AE#AF-AF',
         levelDyn: 1
}</v>
      </c>
      <c r="Y269" s="1428"/>
      <c r="Z269" s="1428"/>
      <c r="AA269" s="691"/>
      <c r="AB269" s="1551"/>
      <c r="AD269" s="813"/>
      <c r="AE269" s="812" t="s">
        <v>239</v>
      </c>
      <c r="AF269" s="736"/>
      <c r="AG269" s="724"/>
      <c r="AH269" s="726"/>
      <c r="AI269" s="728"/>
      <c r="AJ269" s="728"/>
      <c r="AK269" s="728"/>
      <c r="AL269" s="728"/>
      <c r="AM269" s="728"/>
      <c r="AN269" s="728"/>
      <c r="AO269" s="728"/>
      <c r="AP269" s="728"/>
      <c r="AQ269" s="728"/>
      <c r="AR269" s="728"/>
      <c r="AS269" s="728"/>
      <c r="AT269" s="728"/>
      <c r="AU269" s="728"/>
      <c r="AV269" s="728"/>
      <c r="AW269" s="728"/>
      <c r="AX269" s="728"/>
      <c r="AY269" s="728"/>
      <c r="AZ269" s="728"/>
      <c r="BA269" s="728"/>
      <c r="BB269" s="728"/>
      <c r="BC269" s="728"/>
      <c r="BD269" s="728"/>
      <c r="BE269" s="728"/>
      <c r="BF269" s="728"/>
      <c r="BG269" s="728"/>
      <c r="BH269" s="728"/>
      <c r="BI269" s="728"/>
      <c r="BJ269" s="728"/>
      <c r="BK269" s="728"/>
      <c r="BL269" s="728"/>
      <c r="BM269" s="728"/>
      <c r="BN269" s="728"/>
      <c r="BO269" s="728"/>
      <c r="BP269" s="728"/>
      <c r="BQ269" s="728"/>
      <c r="BR269" s="728"/>
      <c r="BS269" s="728"/>
      <c r="BT269" s="728"/>
      <c r="BU269" s="728"/>
      <c r="BV269" s="728"/>
      <c r="BW269" s="728"/>
      <c r="BX269" s="728"/>
      <c r="BY269" s="728"/>
      <c r="BZ269" s="728"/>
      <c r="CA269" s="728"/>
      <c r="CB269" s="728"/>
      <c r="CC269" s="728"/>
      <c r="CD269" s="728"/>
      <c r="CE269" s="728"/>
      <c r="CF269" s="728"/>
      <c r="CG269" s="728"/>
      <c r="CH269" s="728"/>
      <c r="CI269" s="728"/>
      <c r="CJ269" s="728"/>
      <c r="CK269" s="728"/>
      <c r="CL269" s="728"/>
      <c r="CM269" s="728"/>
      <c r="CN269" s="728"/>
      <c r="CO269" s="728"/>
      <c r="CP269" s="728"/>
      <c r="CQ269" s="728"/>
      <c r="CR269" s="728"/>
      <c r="CS269" s="728"/>
      <c r="CT269" s="43"/>
      <c r="CW269" s="960" t="str">
        <f>IF(AND(ISNUMBER(VALUE(TRIM(SUBSTITUTE(AD269,".","")))),TRIM(SUBSTITUTE(AD269,".",""))&lt;&gt;""),"P"&amp;SUBSTITUTE(AD269,".",""),"")</f>
        <v/>
      </c>
      <c r="CX269" s="965"/>
      <c r="CY269" s="965"/>
      <c r="CZ269" s="965"/>
      <c r="DA269" s="966"/>
      <c r="DB269" s="966"/>
    </row>
    <row r="270" spans="1:106" s="1167" customFormat="1" ht="16.5" customHeight="1" x14ac:dyDescent="0.15">
      <c r="A270" s="1150"/>
      <c r="B270" s="773"/>
      <c r="C270" s="1150"/>
      <c r="D270" s="1150"/>
      <c r="E270" s="668">
        <v>17.100000000000001</v>
      </c>
      <c r="F270" s="769" t="str" cm="1">
        <f t="array" aca="1" ref="F270" ca="1">OFFSET(G270,-1,-1)</f>
        <v>1</v>
      </c>
      <c r="G270" s="804"/>
      <c r="H270" s="804"/>
      <c r="I270" s="804"/>
      <c r="J270" s="804"/>
      <c r="K270" s="804"/>
      <c r="L270" s="769" t="b" cm="1">
        <f t="array" aca="1" ref="L270" ca="1">OFFSET(M270,-1,-1)</f>
        <v>0</v>
      </c>
      <c r="M270" s="804"/>
      <c r="N270" s="804"/>
      <c r="O270" s="804"/>
      <c r="P270" s="804"/>
      <c r="Q270" s="804"/>
      <c r="R270" s="1150"/>
      <c r="S270" s="107" t="b" cm="1">
        <f t="array" aca="1" ref="S270" ca="1">OFFSET(T270,-1,-1)</f>
        <v>1</v>
      </c>
      <c r="T270" s="1150"/>
      <c r="U270" s="690" t="b">
        <f t="shared" ca="1" si="99"/>
        <v>1</v>
      </c>
      <c r="V270" s="1150"/>
      <c r="W270" s="1150"/>
      <c r="X270" s="1150"/>
      <c r="Y270" s="1428"/>
      <c r="Z270" s="1428"/>
      <c r="AA270" s="691"/>
      <c r="AB270" s="1551"/>
      <c r="AD270" s="121" t="s">
        <v>914</v>
      </c>
      <c r="AE270" s="1510" t="s">
        <v>915</v>
      </c>
      <c r="AF270" s="1493"/>
      <c r="AG270" s="839"/>
      <c r="AH270" s="726"/>
      <c r="AI270" s="728"/>
      <c r="AJ270" s="728"/>
      <c r="AK270" s="728"/>
      <c r="AL270" s="728"/>
      <c r="AM270" s="728"/>
      <c r="AN270" s="728"/>
      <c r="AO270" s="728"/>
      <c r="AP270" s="728"/>
      <c r="AQ270" s="728"/>
      <c r="AR270" s="728"/>
      <c r="AS270" s="728"/>
      <c r="AT270" s="728"/>
      <c r="AU270" s="728"/>
      <c r="AV270" s="728"/>
      <c r="AW270" s="728"/>
      <c r="AX270" s="728"/>
      <c r="AY270" s="728"/>
      <c r="AZ270" s="728"/>
      <c r="BA270" s="728"/>
      <c r="BB270" s="728"/>
      <c r="BC270" s="728"/>
      <c r="BD270" s="728"/>
      <c r="BE270" s="728"/>
      <c r="BF270" s="728"/>
      <c r="BG270" s="728"/>
      <c r="BH270" s="728"/>
      <c r="BI270" s="728"/>
      <c r="BJ270" s="728"/>
      <c r="BK270" s="728"/>
      <c r="BL270" s="728"/>
      <c r="BM270" s="728"/>
      <c r="BN270" s="728"/>
      <c r="BO270" s="728"/>
      <c r="BP270" s="728"/>
      <c r="BQ270" s="728"/>
      <c r="BR270" s="728"/>
      <c r="BS270" s="728"/>
      <c r="BT270" s="728"/>
      <c r="BU270" s="728"/>
      <c r="BV270" s="728"/>
      <c r="BW270" s="728"/>
      <c r="BX270" s="728"/>
      <c r="BY270" s="728"/>
      <c r="BZ270" s="728"/>
      <c r="CA270" s="728"/>
      <c r="CB270" s="728"/>
      <c r="CC270" s="728"/>
      <c r="CD270" s="728"/>
      <c r="CE270" s="728"/>
      <c r="CF270" s="728"/>
      <c r="CG270" s="728"/>
      <c r="CH270" s="728"/>
      <c r="CI270" s="728"/>
      <c r="CJ270" s="728"/>
      <c r="CK270" s="728"/>
      <c r="CL270" s="728"/>
      <c r="CM270" s="728"/>
      <c r="CN270" s="728"/>
      <c r="CO270" s="728"/>
      <c r="CP270" s="728"/>
      <c r="CQ270" s="728"/>
      <c r="CR270" s="728"/>
      <c r="CS270" s="728"/>
      <c r="CT270" s="1231"/>
      <c r="CW270" s="960" t="s">
        <v>916</v>
      </c>
      <c r="CX270" s="965"/>
      <c r="CY270" s="965"/>
      <c r="CZ270" s="965"/>
      <c r="DA270" s="966"/>
      <c r="DB270" s="966"/>
    </row>
    <row r="271" spans="1:106" s="1167" customFormat="1" ht="16.5" hidden="1" customHeight="1" x14ac:dyDescent="0.15">
      <c r="E271" s="668">
        <v>17.100000000000001</v>
      </c>
      <c r="F271" s="769" t="str" cm="1">
        <f t="array" aca="1" ref="F271" ca="1">OFFSET(G271,-1,-1)</f>
        <v>1</v>
      </c>
      <c r="L271" s="769" t="b" cm="1">
        <f t="array" aca="1" ref="L271" ca="1">OFFSET(M271,-1,-1)</f>
        <v>0</v>
      </c>
      <c r="S271" s="107" t="b" cm="1">
        <f t="array" aca="1" ref="S271" ca="1">OFFSET(T271,-1,-1)</f>
        <v>1</v>
      </c>
      <c r="T271" s="107" t="b">
        <f>AD271&lt;&gt;"42.0"</f>
        <v>0</v>
      </c>
      <c r="U271" s="690" t="b">
        <f t="shared" ca="1" si="99"/>
        <v>0</v>
      </c>
      <c r="X271" s="107" t="s">
        <v>237</v>
      </c>
      <c r="Y271" s="1481"/>
      <c r="Z271" s="1481"/>
      <c r="AB271" s="1551"/>
      <c r="AD271" s="108" t="s">
        <v>917</v>
      </c>
      <c r="AE271" s="811"/>
      <c r="AF271" s="516"/>
      <c r="AG271" s="884" t="str">
        <f>"руб./"&amp;IFERROR(INDEX(fuel_ed_izm_list,MATCH(AE271,fuel_list,0)),"")</f>
        <v>руб./</v>
      </c>
      <c r="AH271" s="932">
        <f t="shared" ref="AH271:BM271" si="133">IFERROR(AH262/AH178,0)*1000</f>
        <v>0</v>
      </c>
      <c r="AI271" s="932">
        <f t="shared" si="133"/>
        <v>0</v>
      </c>
      <c r="AJ271" s="932">
        <f t="shared" si="133"/>
        <v>0</v>
      </c>
      <c r="AK271" s="932">
        <f t="shared" si="133"/>
        <v>0</v>
      </c>
      <c r="AL271" s="932">
        <f t="shared" ca="1" si="133"/>
        <v>0</v>
      </c>
      <c r="AM271" s="932">
        <f t="shared" si="133"/>
        <v>0</v>
      </c>
      <c r="AN271" s="932">
        <f t="shared" ca="1" si="133"/>
        <v>0</v>
      </c>
      <c r="AO271" s="932">
        <f t="shared" ca="1" si="133"/>
        <v>0</v>
      </c>
      <c r="AP271" s="932">
        <f t="shared" si="133"/>
        <v>0</v>
      </c>
      <c r="AQ271" s="932">
        <f t="shared" ca="1" si="133"/>
        <v>0</v>
      </c>
      <c r="AR271" s="932">
        <f t="shared" ca="1" si="133"/>
        <v>0</v>
      </c>
      <c r="AS271" s="932">
        <f t="shared" si="133"/>
        <v>0</v>
      </c>
      <c r="AT271" s="932">
        <f t="shared" ca="1" si="133"/>
        <v>0</v>
      </c>
      <c r="AU271" s="932">
        <f t="shared" ca="1" si="133"/>
        <v>0</v>
      </c>
      <c r="AV271" s="932">
        <f t="shared" si="133"/>
        <v>0</v>
      </c>
      <c r="AW271" s="932">
        <f t="shared" ca="1" si="133"/>
        <v>0</v>
      </c>
      <c r="AX271" s="932">
        <f t="shared" ca="1" si="133"/>
        <v>0</v>
      </c>
      <c r="AY271" s="932">
        <f t="shared" si="133"/>
        <v>0</v>
      </c>
      <c r="AZ271" s="932">
        <f t="shared" ca="1" si="133"/>
        <v>0</v>
      </c>
      <c r="BA271" s="932">
        <f t="shared" ca="1" si="133"/>
        <v>0</v>
      </c>
      <c r="BB271" s="932">
        <f t="shared" si="133"/>
        <v>0</v>
      </c>
      <c r="BC271" s="932">
        <f t="shared" ca="1" si="133"/>
        <v>0</v>
      </c>
      <c r="BD271" s="932">
        <f t="shared" ca="1" si="133"/>
        <v>0</v>
      </c>
      <c r="BE271" s="932">
        <f t="shared" si="133"/>
        <v>0</v>
      </c>
      <c r="BF271" s="932">
        <f t="shared" ca="1" si="133"/>
        <v>0</v>
      </c>
      <c r="BG271" s="932">
        <f t="shared" ca="1" si="133"/>
        <v>0</v>
      </c>
      <c r="BH271" s="932">
        <f t="shared" si="133"/>
        <v>0</v>
      </c>
      <c r="BI271" s="932">
        <f t="shared" ca="1" si="133"/>
        <v>0</v>
      </c>
      <c r="BJ271" s="932">
        <f t="shared" ca="1" si="133"/>
        <v>0</v>
      </c>
      <c r="BK271" s="932">
        <f t="shared" si="133"/>
        <v>0</v>
      </c>
      <c r="BL271" s="932">
        <f t="shared" ca="1" si="133"/>
        <v>0</v>
      </c>
      <c r="BM271" s="932">
        <f t="shared" ca="1" si="133"/>
        <v>0</v>
      </c>
      <c r="BN271" s="932">
        <f t="shared" ref="BN271:CS271" si="134">IFERROR(BN262/BN178,0)*1000</f>
        <v>0</v>
      </c>
      <c r="BO271" s="932">
        <f t="shared" ca="1" si="134"/>
        <v>0</v>
      </c>
      <c r="BP271" s="932">
        <f t="shared" ca="1" si="134"/>
        <v>0</v>
      </c>
      <c r="BQ271" s="932">
        <f t="shared" si="134"/>
        <v>0</v>
      </c>
      <c r="BR271" s="932">
        <f t="shared" ca="1" si="134"/>
        <v>0</v>
      </c>
      <c r="BS271" s="932">
        <f t="shared" ca="1" si="134"/>
        <v>0</v>
      </c>
      <c r="BT271" s="932">
        <f t="shared" si="134"/>
        <v>0</v>
      </c>
      <c r="BU271" s="932">
        <f t="shared" ca="1" si="134"/>
        <v>0</v>
      </c>
      <c r="BV271" s="932">
        <f t="shared" ca="1" si="134"/>
        <v>0</v>
      </c>
      <c r="BW271" s="932">
        <f t="shared" si="134"/>
        <v>0</v>
      </c>
      <c r="BX271" s="932">
        <f t="shared" ca="1" si="134"/>
        <v>0</v>
      </c>
      <c r="BY271" s="932">
        <f t="shared" ca="1" si="134"/>
        <v>0</v>
      </c>
      <c r="BZ271" s="932">
        <f t="shared" si="134"/>
        <v>0</v>
      </c>
      <c r="CA271" s="932">
        <f t="shared" ca="1" si="134"/>
        <v>0</v>
      </c>
      <c r="CB271" s="932">
        <f t="shared" ca="1" si="134"/>
        <v>0</v>
      </c>
      <c r="CC271" s="932">
        <f t="shared" si="134"/>
        <v>0</v>
      </c>
      <c r="CD271" s="932">
        <f t="shared" ca="1" si="134"/>
        <v>0</v>
      </c>
      <c r="CE271" s="932">
        <f t="shared" ca="1" si="134"/>
        <v>0</v>
      </c>
      <c r="CF271" s="932">
        <f t="shared" si="134"/>
        <v>0</v>
      </c>
      <c r="CG271" s="932">
        <f t="shared" ca="1" si="134"/>
        <v>0</v>
      </c>
      <c r="CH271" s="932">
        <f t="shared" ca="1" si="134"/>
        <v>0</v>
      </c>
      <c r="CI271" s="932">
        <f t="shared" si="134"/>
        <v>0</v>
      </c>
      <c r="CJ271" s="932">
        <f t="shared" ca="1" si="134"/>
        <v>0</v>
      </c>
      <c r="CK271" s="932">
        <f t="shared" ca="1" si="134"/>
        <v>0</v>
      </c>
      <c r="CL271" s="932">
        <f t="shared" si="134"/>
        <v>0</v>
      </c>
      <c r="CM271" s="932">
        <f t="shared" ca="1" si="134"/>
        <v>0</v>
      </c>
      <c r="CN271" s="932">
        <f t="shared" ca="1" si="134"/>
        <v>0</v>
      </c>
      <c r="CO271" s="932">
        <f t="shared" si="134"/>
        <v>0</v>
      </c>
      <c r="CP271" s="932">
        <f t="shared" ca="1" si="134"/>
        <v>0</v>
      </c>
      <c r="CQ271" s="932">
        <f t="shared" ca="1" si="134"/>
        <v>0</v>
      </c>
      <c r="CR271" s="932">
        <f t="shared" si="134"/>
        <v>0</v>
      </c>
      <c r="CS271" s="932">
        <f t="shared" ca="1" si="134"/>
        <v>0</v>
      </c>
      <c r="CT271" s="25"/>
      <c r="CW271" s="960" t="s">
        <v>916</v>
      </c>
      <c r="CX271" s="965" t="s">
        <v>812</v>
      </c>
      <c r="CY271" s="969" cm="1">
        <f t="array" ref="CY271">AE271</f>
        <v>0</v>
      </c>
      <c r="CZ271" s="969" cm="1">
        <f t="array" ref="CZ271">AF271</f>
        <v>0</v>
      </c>
      <c r="DA271" s="966"/>
      <c r="DB271" s="966"/>
    </row>
    <row r="272" spans="1:106" s="1167" customFormat="1" ht="16.5" customHeight="1" x14ac:dyDescent="0.15">
      <c r="E272" s="668">
        <v>17.100000000000001</v>
      </c>
      <c r="F272" s="769" t="str" cm="1">
        <f t="array" aca="1" ref="F272" ca="1">OFFSET(G272,-1,-1)</f>
        <v>1</v>
      </c>
      <c r="L272" s="769" t="b" cm="1">
        <f t="array" aca="1" ref="L272" ca="1">OFFSET(M272,-1,-1)</f>
        <v>0</v>
      </c>
      <c r="S272" s="107" t="b" cm="1">
        <f t="array" aca="1" ref="S272" ca="1">OFFSET(T272,-1,-1)</f>
        <v>1</v>
      </c>
      <c r="T272" s="107" t="b">
        <f>AD272&lt;&gt;"42.0"</f>
        <v>1</v>
      </c>
      <c r="U272" s="690" t="b">
        <f t="shared" ca="1" si="99"/>
        <v>1</v>
      </c>
      <c r="X272" s="107" t="str">
        <f>'Топливо 4.4'!$AE$268&amp;'Топливо 4.4'!$AF$268</f>
        <v>Уголь длиннопламенный</v>
      </c>
      <c r="Y272" s="1481"/>
      <c r="Z272" s="1481"/>
      <c r="AB272" s="1551"/>
      <c r="AD272" s="108" t="s">
        <v>946</v>
      </c>
      <c r="AE272" s="811" t="str" cm="1">
        <f t="array" ref="AE272">IF(ISBLANK('Топливо 4.4'!$AE$268),"",'Топливо 4.4'!$AE$268)</f>
        <v>Уголь длиннопламенный</v>
      </c>
      <c r="AF272" s="516" t="str" cm="1">
        <f t="array" ref="AF272">IF(ISBLANK('Топливо 4.4'!$AF$268),"",'Топливо 4.4'!$AF$268)</f>
        <v/>
      </c>
      <c r="AG272" s="884" t="str">
        <f>"руб./"&amp;IFERROR(INDEX(fuel_ed_izm_list,MATCH(AE272,fuel_list,0)),"")</f>
        <v>руб./тнт</v>
      </c>
      <c r="AH272" s="932">
        <f t="shared" ref="AH272:BM272" si="135">IFERROR(AH263/AH179,0)*1000</f>
        <v>2306.7609562641346</v>
      </c>
      <c r="AI272" s="932">
        <f t="shared" si="135"/>
        <v>2436.8535963934319</v>
      </c>
      <c r="AJ272" s="932">
        <f t="shared" si="135"/>
        <v>2386.3431380583565</v>
      </c>
      <c r="AK272" s="932">
        <f t="shared" si="135"/>
        <v>2666.3101511419486</v>
      </c>
      <c r="AL272" s="932">
        <f t="shared" ca="1" si="135"/>
        <v>3642.41</v>
      </c>
      <c r="AM272" s="932">
        <f t="shared" si="135"/>
        <v>3642.4100000000003</v>
      </c>
      <c r="AN272" s="932">
        <f t="shared" ca="1" si="135"/>
        <v>3642.41</v>
      </c>
      <c r="AO272" s="932">
        <f t="shared" ca="1" si="135"/>
        <v>0</v>
      </c>
      <c r="AP272" s="932">
        <f t="shared" si="135"/>
        <v>0</v>
      </c>
      <c r="AQ272" s="932">
        <f t="shared" ca="1" si="135"/>
        <v>0</v>
      </c>
      <c r="AR272" s="932">
        <f t="shared" ca="1" si="135"/>
        <v>0</v>
      </c>
      <c r="AS272" s="932">
        <f t="shared" si="135"/>
        <v>0</v>
      </c>
      <c r="AT272" s="932">
        <f t="shared" ca="1" si="135"/>
        <v>0</v>
      </c>
      <c r="AU272" s="932">
        <f t="shared" ca="1" si="135"/>
        <v>0</v>
      </c>
      <c r="AV272" s="932">
        <f t="shared" si="135"/>
        <v>0</v>
      </c>
      <c r="AW272" s="932">
        <f t="shared" ca="1" si="135"/>
        <v>0</v>
      </c>
      <c r="AX272" s="932">
        <f t="shared" ca="1" si="135"/>
        <v>0</v>
      </c>
      <c r="AY272" s="932">
        <f t="shared" si="135"/>
        <v>0</v>
      </c>
      <c r="AZ272" s="932">
        <f t="shared" ca="1" si="135"/>
        <v>0</v>
      </c>
      <c r="BA272" s="932">
        <f t="shared" ca="1" si="135"/>
        <v>0</v>
      </c>
      <c r="BB272" s="932">
        <f t="shared" si="135"/>
        <v>0</v>
      </c>
      <c r="BC272" s="932">
        <f t="shared" ca="1" si="135"/>
        <v>0</v>
      </c>
      <c r="BD272" s="932">
        <f t="shared" ca="1" si="135"/>
        <v>0</v>
      </c>
      <c r="BE272" s="932">
        <f t="shared" si="135"/>
        <v>0</v>
      </c>
      <c r="BF272" s="932">
        <f t="shared" ca="1" si="135"/>
        <v>0</v>
      </c>
      <c r="BG272" s="932">
        <f t="shared" ca="1" si="135"/>
        <v>0</v>
      </c>
      <c r="BH272" s="932">
        <f t="shared" si="135"/>
        <v>0</v>
      </c>
      <c r="BI272" s="932">
        <f t="shared" ca="1" si="135"/>
        <v>0</v>
      </c>
      <c r="BJ272" s="932">
        <f t="shared" ca="1" si="135"/>
        <v>0</v>
      </c>
      <c r="BK272" s="932">
        <f t="shared" si="135"/>
        <v>0</v>
      </c>
      <c r="BL272" s="932">
        <f t="shared" ca="1" si="135"/>
        <v>0</v>
      </c>
      <c r="BM272" s="932">
        <f t="shared" ca="1" si="135"/>
        <v>0</v>
      </c>
      <c r="BN272" s="932">
        <f t="shared" ref="BN272:CS272" si="136">IFERROR(BN263/BN179,0)*1000</f>
        <v>0</v>
      </c>
      <c r="BO272" s="932">
        <f t="shared" ca="1" si="136"/>
        <v>0</v>
      </c>
      <c r="BP272" s="932">
        <f t="shared" ca="1" si="136"/>
        <v>3428.2413699999997</v>
      </c>
      <c r="BQ272" s="932">
        <f t="shared" si="136"/>
        <v>3428.2413699999997</v>
      </c>
      <c r="BR272" s="932">
        <f t="shared" ca="1" si="136"/>
        <v>3428.2413700000002</v>
      </c>
      <c r="BS272" s="932">
        <f t="shared" ca="1" si="136"/>
        <v>0</v>
      </c>
      <c r="BT272" s="932">
        <f t="shared" si="136"/>
        <v>0</v>
      </c>
      <c r="BU272" s="932">
        <f t="shared" ca="1" si="136"/>
        <v>0</v>
      </c>
      <c r="BV272" s="932">
        <f t="shared" ca="1" si="136"/>
        <v>0</v>
      </c>
      <c r="BW272" s="932">
        <f t="shared" si="136"/>
        <v>0</v>
      </c>
      <c r="BX272" s="932">
        <f t="shared" ca="1" si="136"/>
        <v>0</v>
      </c>
      <c r="BY272" s="932">
        <f t="shared" ca="1" si="136"/>
        <v>0</v>
      </c>
      <c r="BZ272" s="932">
        <f t="shared" si="136"/>
        <v>0</v>
      </c>
      <c r="CA272" s="932">
        <f t="shared" ca="1" si="136"/>
        <v>0</v>
      </c>
      <c r="CB272" s="932">
        <f t="shared" ca="1" si="136"/>
        <v>0</v>
      </c>
      <c r="CC272" s="932">
        <f t="shared" si="136"/>
        <v>0</v>
      </c>
      <c r="CD272" s="932">
        <f t="shared" ca="1" si="136"/>
        <v>0</v>
      </c>
      <c r="CE272" s="932">
        <f t="shared" ca="1" si="136"/>
        <v>0</v>
      </c>
      <c r="CF272" s="932">
        <f t="shared" si="136"/>
        <v>0</v>
      </c>
      <c r="CG272" s="932">
        <f t="shared" ca="1" si="136"/>
        <v>0</v>
      </c>
      <c r="CH272" s="932">
        <f t="shared" ca="1" si="136"/>
        <v>0</v>
      </c>
      <c r="CI272" s="932">
        <f t="shared" si="136"/>
        <v>0</v>
      </c>
      <c r="CJ272" s="932">
        <f t="shared" ca="1" si="136"/>
        <v>0</v>
      </c>
      <c r="CK272" s="932">
        <f t="shared" ca="1" si="136"/>
        <v>0</v>
      </c>
      <c r="CL272" s="932">
        <f t="shared" si="136"/>
        <v>0</v>
      </c>
      <c r="CM272" s="932">
        <f t="shared" ca="1" si="136"/>
        <v>0</v>
      </c>
      <c r="CN272" s="932">
        <f t="shared" ca="1" si="136"/>
        <v>0</v>
      </c>
      <c r="CO272" s="932">
        <f t="shared" si="136"/>
        <v>0</v>
      </c>
      <c r="CP272" s="932">
        <f t="shared" ca="1" si="136"/>
        <v>0</v>
      </c>
      <c r="CQ272" s="932">
        <f t="shared" ca="1" si="136"/>
        <v>0</v>
      </c>
      <c r="CR272" s="932">
        <f t="shared" si="136"/>
        <v>0</v>
      </c>
      <c r="CS272" s="932">
        <f t="shared" ca="1" si="136"/>
        <v>0</v>
      </c>
      <c r="CT272" s="1231"/>
      <c r="CW272" s="960" t="s">
        <v>916</v>
      </c>
      <c r="CX272" s="965" t="s">
        <v>812</v>
      </c>
      <c r="CY272" s="969" t="str" cm="1">
        <f t="array" ref="CY272">AE272</f>
        <v>Уголь длиннопламенный</v>
      </c>
      <c r="CZ272" s="969" t="str" cm="1">
        <f t="array" ref="CZ272">AF272</f>
        <v/>
      </c>
      <c r="DA272" s="966"/>
      <c r="DB272" s="966"/>
    </row>
    <row r="273" spans="1:106" s="1167" customFormat="1" ht="15" hidden="1" customHeight="1" x14ac:dyDescent="0.15">
      <c r="A273" s="1150"/>
      <c r="B273" s="773"/>
      <c r="C273" s="1150"/>
      <c r="D273" s="1150"/>
      <c r="E273" s="668">
        <v>0</v>
      </c>
      <c r="F273" s="769" t="str" cm="1">
        <f t="array" aca="1" ref="F273" ca="1">OFFSET(G273,-1,-1)</f>
        <v>1</v>
      </c>
      <c r="G273" s="804"/>
      <c r="H273" s="804"/>
      <c r="I273" s="804"/>
      <c r="J273" s="804"/>
      <c r="K273" s="804"/>
      <c r="L273" s="769" t="b" cm="1">
        <f t="array" aca="1" ref="L273" ca="1">OFFSET(M273,-1,-1)</f>
        <v>0</v>
      </c>
      <c r="M273" s="804"/>
      <c r="N273" s="804"/>
      <c r="O273" s="804"/>
      <c r="P273" s="804"/>
      <c r="Q273" s="804"/>
      <c r="R273" s="1150"/>
      <c r="S273" s="107" t="b" cm="1">
        <f t="array" aca="1" ref="S273" ca="1">OFFSET(T273,-1,-1)</f>
        <v>1</v>
      </c>
      <c r="T273" s="1150"/>
      <c r="U273" s="690" t="b">
        <f t="shared" ca="1" si="99"/>
        <v>1</v>
      </c>
      <c r="V273" s="1150"/>
      <c r="W273" s="1150"/>
      <c r="X273" s="810" t="str">
        <f>"{                  
         funcDyn: 'msg1',
         blok: '',
         wsCross: '',
         linkFormula: '',
         levelDyn: "&amp;Y139&amp;"
}"</f>
        <v>{                  
         funcDyn: 'msg1',
         blok: '',
         wsCross: '',
         linkFormula: '',
         levelDyn: 1
}</v>
      </c>
      <c r="Y273" s="1428"/>
      <c r="Z273" s="1428"/>
      <c r="AA273" s="691"/>
      <c r="AB273" s="1551"/>
      <c r="AD273" s="813"/>
      <c r="AE273" s="812" t="s">
        <v>239</v>
      </c>
      <c r="AF273" s="736"/>
      <c r="AG273" s="724"/>
      <c r="AH273" s="738"/>
      <c r="AI273" s="739"/>
      <c r="AJ273" s="739"/>
      <c r="AK273" s="739"/>
      <c r="AL273" s="739"/>
      <c r="AM273" s="739"/>
      <c r="AN273" s="739"/>
      <c r="AO273" s="739"/>
      <c r="AP273" s="739"/>
      <c r="AQ273" s="739"/>
      <c r="AR273" s="739"/>
      <c r="AS273" s="739"/>
      <c r="AT273" s="739"/>
      <c r="AU273" s="739"/>
      <c r="AV273" s="739"/>
      <c r="AW273" s="739"/>
      <c r="AX273" s="739"/>
      <c r="AY273" s="739"/>
      <c r="AZ273" s="739"/>
      <c r="BA273" s="739"/>
      <c r="BB273" s="739"/>
      <c r="BC273" s="739"/>
      <c r="BD273" s="739"/>
      <c r="BE273" s="739"/>
      <c r="BF273" s="739"/>
      <c r="BG273" s="739"/>
      <c r="BH273" s="739"/>
      <c r="BI273" s="739"/>
      <c r="BJ273" s="739"/>
      <c r="BK273" s="739"/>
      <c r="BL273" s="739"/>
      <c r="BM273" s="739"/>
      <c r="BN273" s="739"/>
      <c r="BO273" s="739"/>
      <c r="BP273" s="739"/>
      <c r="BQ273" s="739"/>
      <c r="BR273" s="739"/>
      <c r="BS273" s="739"/>
      <c r="BT273" s="739"/>
      <c r="BU273" s="739"/>
      <c r="BV273" s="739"/>
      <c r="BW273" s="739"/>
      <c r="BX273" s="739"/>
      <c r="BY273" s="739"/>
      <c r="BZ273" s="739"/>
      <c r="CA273" s="739"/>
      <c r="CB273" s="739"/>
      <c r="CC273" s="739"/>
      <c r="CD273" s="739"/>
      <c r="CE273" s="739"/>
      <c r="CF273" s="739"/>
      <c r="CG273" s="739"/>
      <c r="CH273" s="739"/>
      <c r="CI273" s="739"/>
      <c r="CJ273" s="739"/>
      <c r="CK273" s="739"/>
      <c r="CL273" s="739"/>
      <c r="CM273" s="739"/>
      <c r="CN273" s="739"/>
      <c r="CO273" s="739"/>
      <c r="CP273" s="739"/>
      <c r="CQ273" s="739"/>
      <c r="CR273" s="739"/>
      <c r="CS273" s="739"/>
      <c r="CT273" s="43"/>
      <c r="CW273" s="960" t="str">
        <f>IF(AND(ISNUMBER(VALUE(TRIM(SUBSTITUTE(AD273,".","")))),TRIM(SUBSTITUTE(AD273,".",""))&lt;&gt;""),"P"&amp;SUBSTITUTE(AD273,".",""),"")</f>
        <v/>
      </c>
      <c r="CX273" s="965"/>
      <c r="CY273" s="965"/>
      <c r="CZ273" s="965"/>
      <c r="DA273" s="966"/>
      <c r="DB273" s="966"/>
    </row>
    <row r="274" spans="1:106" s="1167" customFormat="1" ht="16.5" customHeight="1" x14ac:dyDescent="0.15">
      <c r="A274" s="1150"/>
      <c r="B274" s="773"/>
      <c r="C274" s="1150"/>
      <c r="D274" s="1150"/>
      <c r="E274" s="668">
        <v>17.100000000000001</v>
      </c>
      <c r="F274" s="769" t="str" cm="1">
        <f t="array" aca="1" ref="F274" ca="1">OFFSET(G274,-1,-1)</f>
        <v>1</v>
      </c>
      <c r="G274" s="804"/>
      <c r="H274" s="804"/>
      <c r="I274" s="804"/>
      <c r="J274" s="804"/>
      <c r="K274" s="804"/>
      <c r="L274" s="769" t="b" cm="1">
        <f t="array" aca="1" ref="L274" ca="1">OFFSET(M274,-1,-1)</f>
        <v>0</v>
      </c>
      <c r="M274" s="804"/>
      <c r="N274" s="804"/>
      <c r="O274" s="804"/>
      <c r="P274" s="804"/>
      <c r="Q274" s="804"/>
      <c r="R274" s="1150"/>
      <c r="S274" s="107" t="b" cm="1">
        <f t="array" aca="1" ref="S274" ca="1">OFFSET(T274,-1,-1)</f>
        <v>1</v>
      </c>
      <c r="T274" s="1150"/>
      <c r="U274" s="690" t="b">
        <f t="shared" ca="1" si="99"/>
        <v>1</v>
      </c>
      <c r="V274" s="1150"/>
      <c r="W274" s="1150"/>
      <c r="X274" s="1150"/>
      <c r="Y274" s="1428"/>
      <c r="Z274" s="1428"/>
      <c r="AA274" s="691"/>
      <c r="AB274" s="1552"/>
      <c r="AC274" s="815"/>
      <c r="AD274" s="121" t="s">
        <v>918</v>
      </c>
      <c r="AE274" s="1510" t="s">
        <v>919</v>
      </c>
      <c r="AF274" s="1493"/>
      <c r="AG274" s="724" t="s">
        <v>920</v>
      </c>
      <c r="AH274" s="725">
        <f t="shared" ref="AH274:BM274" ca="1" si="137">IFERROR(AH259/AH155*1000,0)</f>
        <v>543.68313035059111</v>
      </c>
      <c r="AI274" s="725">
        <f t="shared" ca="1" si="137"/>
        <v>547.71610952924073</v>
      </c>
      <c r="AJ274" s="725">
        <f t="shared" ca="1" si="137"/>
        <v>547.71606473148995</v>
      </c>
      <c r="AK274" s="725">
        <f t="shared" ca="1" si="137"/>
        <v>614.51348212166999</v>
      </c>
      <c r="AL274" s="725">
        <f t="shared" ca="1" si="137"/>
        <v>836.01003162422478</v>
      </c>
      <c r="AM274" s="725">
        <f t="shared" si="137"/>
        <v>836.01003162422489</v>
      </c>
      <c r="AN274" s="725">
        <f t="shared" ca="1" si="137"/>
        <v>836.01003162422467</v>
      </c>
      <c r="AO274" s="725">
        <f t="shared" ca="1" si="137"/>
        <v>0</v>
      </c>
      <c r="AP274" s="725">
        <f t="shared" si="137"/>
        <v>0</v>
      </c>
      <c r="AQ274" s="725">
        <f t="shared" ca="1" si="137"/>
        <v>0</v>
      </c>
      <c r="AR274" s="725">
        <f t="shared" ca="1" si="137"/>
        <v>0</v>
      </c>
      <c r="AS274" s="725">
        <f t="shared" si="137"/>
        <v>0</v>
      </c>
      <c r="AT274" s="725">
        <f t="shared" ca="1" si="137"/>
        <v>0</v>
      </c>
      <c r="AU274" s="725">
        <f t="shared" ca="1" si="137"/>
        <v>0</v>
      </c>
      <c r="AV274" s="725">
        <f t="shared" si="137"/>
        <v>0</v>
      </c>
      <c r="AW274" s="725">
        <f t="shared" ca="1" si="137"/>
        <v>0</v>
      </c>
      <c r="AX274" s="725">
        <f t="shared" ca="1" si="137"/>
        <v>0</v>
      </c>
      <c r="AY274" s="725">
        <f t="shared" si="137"/>
        <v>0</v>
      </c>
      <c r="AZ274" s="725">
        <f t="shared" ca="1" si="137"/>
        <v>0</v>
      </c>
      <c r="BA274" s="725">
        <f t="shared" ca="1" si="137"/>
        <v>0</v>
      </c>
      <c r="BB274" s="725">
        <f t="shared" si="137"/>
        <v>0</v>
      </c>
      <c r="BC274" s="725">
        <f t="shared" ca="1" si="137"/>
        <v>0</v>
      </c>
      <c r="BD274" s="725">
        <f t="shared" ca="1" si="137"/>
        <v>0</v>
      </c>
      <c r="BE274" s="725">
        <f t="shared" si="137"/>
        <v>0</v>
      </c>
      <c r="BF274" s="725">
        <f t="shared" ca="1" si="137"/>
        <v>0</v>
      </c>
      <c r="BG274" s="725">
        <f t="shared" ca="1" si="137"/>
        <v>0</v>
      </c>
      <c r="BH274" s="725">
        <f t="shared" si="137"/>
        <v>0</v>
      </c>
      <c r="BI274" s="725">
        <f t="shared" ca="1" si="137"/>
        <v>0</v>
      </c>
      <c r="BJ274" s="725">
        <f t="shared" ca="1" si="137"/>
        <v>0</v>
      </c>
      <c r="BK274" s="725">
        <f t="shared" si="137"/>
        <v>0</v>
      </c>
      <c r="BL274" s="725">
        <f t="shared" ca="1" si="137"/>
        <v>0</v>
      </c>
      <c r="BM274" s="725">
        <f t="shared" ca="1" si="137"/>
        <v>0</v>
      </c>
      <c r="BN274" s="725">
        <f t="shared" ref="BN274:CS274" si="138">IFERROR(BN259/BN155*1000,0)</f>
        <v>0</v>
      </c>
      <c r="BO274" s="725">
        <f t="shared" ca="1" si="138"/>
        <v>0</v>
      </c>
      <c r="BP274" s="725">
        <f t="shared" ca="1" si="138"/>
        <v>786.85380727298013</v>
      </c>
      <c r="BQ274" s="725">
        <f t="shared" si="138"/>
        <v>786.85380727298013</v>
      </c>
      <c r="BR274" s="725">
        <f t="shared" ca="1" si="138"/>
        <v>786.85380727298013</v>
      </c>
      <c r="BS274" s="725">
        <f t="shared" ca="1" si="138"/>
        <v>0</v>
      </c>
      <c r="BT274" s="725">
        <f t="shared" si="138"/>
        <v>0</v>
      </c>
      <c r="BU274" s="725">
        <f t="shared" ca="1" si="138"/>
        <v>0</v>
      </c>
      <c r="BV274" s="725">
        <f t="shared" ca="1" si="138"/>
        <v>0</v>
      </c>
      <c r="BW274" s="725">
        <f t="shared" si="138"/>
        <v>0</v>
      </c>
      <c r="BX274" s="725">
        <f t="shared" ca="1" si="138"/>
        <v>0</v>
      </c>
      <c r="BY274" s="725">
        <f t="shared" ca="1" si="138"/>
        <v>0</v>
      </c>
      <c r="BZ274" s="725">
        <f t="shared" si="138"/>
        <v>0</v>
      </c>
      <c r="CA274" s="725">
        <f t="shared" ca="1" si="138"/>
        <v>0</v>
      </c>
      <c r="CB274" s="725">
        <f t="shared" ca="1" si="138"/>
        <v>0</v>
      </c>
      <c r="CC274" s="725">
        <f t="shared" si="138"/>
        <v>0</v>
      </c>
      <c r="CD274" s="725">
        <f t="shared" ca="1" si="138"/>
        <v>0</v>
      </c>
      <c r="CE274" s="725">
        <f t="shared" ca="1" si="138"/>
        <v>0</v>
      </c>
      <c r="CF274" s="725">
        <f t="shared" si="138"/>
        <v>0</v>
      </c>
      <c r="CG274" s="725">
        <f t="shared" ca="1" si="138"/>
        <v>0</v>
      </c>
      <c r="CH274" s="725">
        <f t="shared" ca="1" si="138"/>
        <v>0</v>
      </c>
      <c r="CI274" s="725">
        <f t="shared" si="138"/>
        <v>0</v>
      </c>
      <c r="CJ274" s="725">
        <f t="shared" ca="1" si="138"/>
        <v>0</v>
      </c>
      <c r="CK274" s="725">
        <f t="shared" ca="1" si="138"/>
        <v>0</v>
      </c>
      <c r="CL274" s="725">
        <f t="shared" si="138"/>
        <v>0</v>
      </c>
      <c r="CM274" s="725">
        <f t="shared" ca="1" si="138"/>
        <v>0</v>
      </c>
      <c r="CN274" s="725">
        <f t="shared" ca="1" si="138"/>
        <v>0</v>
      </c>
      <c r="CO274" s="725">
        <f t="shared" si="138"/>
        <v>0</v>
      </c>
      <c r="CP274" s="725">
        <f t="shared" ca="1" si="138"/>
        <v>0</v>
      </c>
      <c r="CQ274" s="725">
        <f t="shared" ca="1" si="138"/>
        <v>0</v>
      </c>
      <c r="CR274" s="725">
        <f t="shared" si="138"/>
        <v>0</v>
      </c>
      <c r="CS274" s="725">
        <f t="shared" ca="1" si="138"/>
        <v>0</v>
      </c>
      <c r="CT274" s="1231"/>
      <c r="CW274" s="960" t="s">
        <v>921</v>
      </c>
      <c r="CX274" s="965"/>
      <c r="CY274" s="965"/>
      <c r="CZ274" s="965"/>
      <c r="DA274" s="966"/>
      <c r="DB274" s="966"/>
    </row>
    <row r="275" spans="1:106" ht="11.1" customHeight="1" x14ac:dyDescent="0.15">
      <c r="E275" s="668">
        <v>11.4</v>
      </c>
      <c r="F275" s="769" t="str" cm="1">
        <f t="array" aca="1" ref="F275" ca="1">OFFSET(G275,-1,-1)</f>
        <v>1</v>
      </c>
      <c r="G275" s="609"/>
      <c r="H275" s="609"/>
      <c r="I275" s="609"/>
      <c r="J275" s="609"/>
      <c r="K275" s="609"/>
      <c r="L275" s="609"/>
      <c r="M275" s="609"/>
      <c r="N275" s="609"/>
      <c r="O275" s="609"/>
      <c r="P275" s="609"/>
      <c r="Q275" s="609"/>
      <c r="R275" s="107"/>
      <c r="T275" s="107"/>
      <c r="U275" s="107"/>
      <c r="V275" s="107" t="s">
        <v>239</v>
      </c>
      <c r="W275" s="119" t="s">
        <v>947</v>
      </c>
      <c r="X275" s="107"/>
      <c r="Y275" s="107"/>
      <c r="Z275" s="107"/>
      <c r="AA275" s="684"/>
      <c r="AO275" s="1243"/>
      <c r="AP275" s="1243"/>
      <c r="AQ275" s="1243"/>
      <c r="AR275" s="1243"/>
      <c r="AS275" s="1243"/>
      <c r="AT275" s="1243"/>
      <c r="AU275" s="1243"/>
      <c r="AV275" s="1243"/>
      <c r="AW275" s="1243"/>
      <c r="AX275" s="1243"/>
      <c r="AY275" s="1243"/>
      <c r="AZ275" s="1243"/>
      <c r="BA275" s="1243"/>
      <c r="BB275" s="1243"/>
      <c r="BC275" s="1243"/>
      <c r="BD275" s="1243"/>
      <c r="BE275" s="1243"/>
      <c r="BF275" s="1243"/>
      <c r="BG275" s="1243"/>
      <c r="BH275" s="1243"/>
      <c r="BI275" s="1243"/>
      <c r="BJ275" s="1243"/>
      <c r="BK275" s="1243"/>
      <c r="BL275" s="1243"/>
      <c r="BM275" s="1243"/>
      <c r="BN275" s="1243"/>
      <c r="BO275" s="1243"/>
      <c r="BP275" s="1243"/>
      <c r="BQ275" s="1243"/>
      <c r="BR275" s="1243"/>
      <c r="BS275" s="1243"/>
      <c r="BT275" s="1243"/>
      <c r="BU275" s="1243"/>
      <c r="BV275" s="1243"/>
      <c r="BW275" s="1243"/>
      <c r="BX275" s="1243"/>
      <c r="BY275" s="1243"/>
      <c r="BZ275" s="1243"/>
      <c r="CA275" s="1243"/>
      <c r="CB275" s="1243"/>
      <c r="CC275" s="1243"/>
      <c r="CD275" s="1243"/>
      <c r="CE275" s="1243"/>
      <c r="CF275" s="1243"/>
      <c r="CG275" s="1243"/>
      <c r="CH275" s="1243"/>
      <c r="CI275" s="1243"/>
      <c r="CJ275" s="1243"/>
      <c r="CK275" s="1243"/>
      <c r="CL275" s="1243"/>
      <c r="CM275" s="1243"/>
      <c r="CN275" s="1243"/>
      <c r="CO275" s="1243"/>
      <c r="CP275" s="1243"/>
      <c r="CQ275" s="1243"/>
      <c r="CR275" s="1243"/>
      <c r="CS275" s="1243"/>
      <c r="CW275" s="960"/>
    </row>
  </sheetData>
  <sheetProtection insertRows="0" deleteColumns="0" deleteRows="0" sort="0" autoFilter="0"/>
  <mergeCells count="144">
    <mergeCell ref="AE105:AF105"/>
    <mergeCell ref="AE108:AF108"/>
    <mergeCell ref="AE111:AF111"/>
    <mergeCell ref="AE112:AF112"/>
    <mergeCell ref="AE79:AF79"/>
    <mergeCell ref="AE95:AF95"/>
    <mergeCell ref="AE98:AF98"/>
    <mergeCell ref="AE99:AF99"/>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B24:AD26"/>
    <mergeCell ref="AE76:AF76"/>
    <mergeCell ref="AE52:AF52"/>
    <mergeCell ref="AE41:AF41"/>
    <mergeCell ref="AE34:AF34"/>
    <mergeCell ref="AE35:AF35"/>
    <mergeCell ref="AE36:AF36"/>
    <mergeCell ref="AE37:AF37"/>
    <mergeCell ref="AE38:AF38"/>
    <mergeCell ref="AE40:AF40"/>
    <mergeCell ref="AE51:AF51"/>
    <mergeCell ref="AB29:AB49"/>
    <mergeCell ref="AE49:AF49"/>
    <mergeCell ref="AE50:AF50"/>
    <mergeCell ref="AE54:AF54"/>
    <mergeCell ref="AE57:AF57"/>
    <mergeCell ref="AE66:AF66"/>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E118:AF118"/>
    <mergeCell ref="AE119:AF119"/>
    <mergeCell ref="AE122:AF122"/>
    <mergeCell ref="AE85:AF85"/>
    <mergeCell ref="AE86:AF86"/>
    <mergeCell ref="AE82:AF82"/>
    <mergeCell ref="AE89:AF89"/>
    <mergeCell ref="AB118:AB124"/>
    <mergeCell ref="AB105:AB117"/>
    <mergeCell ref="AB50:AB65"/>
    <mergeCell ref="AB66:AB78"/>
    <mergeCell ref="AB79:AB91"/>
    <mergeCell ref="AB92:AB104"/>
    <mergeCell ref="Y139:Y274"/>
    <mergeCell ref="Z139:Z274"/>
    <mergeCell ref="AB140:AB160"/>
    <mergeCell ref="AB258:AB274"/>
    <mergeCell ref="AB249:AB257"/>
    <mergeCell ref="AB232:AB248"/>
    <mergeCell ref="AB161:AB180"/>
    <mergeCell ref="AB181:AB197"/>
    <mergeCell ref="AB198:AB214"/>
    <mergeCell ref="AB215:AB231"/>
    <mergeCell ref="Y28:Y138"/>
    <mergeCell ref="Z28:Z138"/>
    <mergeCell ref="AB125:AB138"/>
    <mergeCell ref="AE160:AF160"/>
    <mergeCell ref="AE161:AF161"/>
    <mergeCell ref="AE165:AF165"/>
    <mergeCell ref="AE169:AF169"/>
    <mergeCell ref="AE181:AF181"/>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62:AF162"/>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249:AF249"/>
    <mergeCell ref="AE250:AF250"/>
    <mergeCell ref="AE254:AF254"/>
    <mergeCell ref="AE206:AF206"/>
    <mergeCell ref="AE207:AF207"/>
    <mergeCell ref="AE202:AF202"/>
    <mergeCell ref="AE211:AF211"/>
  </mergeCells>
  <dataValidations count="1">
    <dataValidation type="list" allowBlank="1" showInputMessage="1" showErrorMessage="1" sqref="AE55 AE166:AE167" xr:uid="{00000000-0002-0000-0B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4602F-72E8-4486-EEF8-34C574800589}">
  <sheetPr>
    <tabColor rgb="FFFFC000"/>
    <outlinePr summaryBelow="0" summaryRight="0"/>
    <pageSetUpPr fitToPage="1"/>
  </sheetPr>
  <dimension ref="A1:BJ118"/>
  <sheetViews>
    <sheetView showGridLines="0" workbookViewId="0">
      <pane xSplit="30" ySplit="26" topLeftCell="AE68" activePane="bottomRight" state="frozen"/>
      <selection pane="topRight" activeCell="AE1" sqref="AE1"/>
      <selection pane="bottomLeft" activeCell="A27" sqref="A27"/>
      <selection pane="bottomRight" activeCell="AH80" sqref="AH80"/>
    </sheetView>
  </sheetViews>
  <sheetFormatPr defaultColWidth="9.140625" defaultRowHeight="11.25" customHeight="1" x14ac:dyDescent="0.15"/>
  <cols>
    <col min="1" max="1" width="3.5703125" style="973" hidden="1" customWidth="1"/>
    <col min="2" max="2" width="8.5703125" style="773" hidden="1" customWidth="1"/>
    <col min="3" max="4" width="3.5703125" style="1152" hidden="1" customWidth="1"/>
    <col min="5" max="5" width="8.42578125" style="772" hidden="1" customWidth="1"/>
    <col min="6" max="6" width="6.42578125" style="1152" hidden="1" customWidth="1"/>
    <col min="7" max="7" width="3.5703125" style="417" hidden="1" customWidth="1"/>
    <col min="8" max="8" width="8.42578125" style="417" hidden="1" customWidth="1"/>
    <col min="9" max="11" width="3.5703125" style="417" hidden="1" customWidth="1"/>
    <col min="12" max="12" width="12.140625" style="417" hidden="1" customWidth="1"/>
    <col min="13" max="16" width="3.5703125" style="417" hidden="1" customWidth="1"/>
    <col min="17" max="17" width="3.5703125" style="774" hidden="1" customWidth="1"/>
    <col min="18" max="18" width="12.7109375" style="774" hidden="1" customWidth="1"/>
    <col min="19" max="19" width="3.5703125" style="417"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17" customWidth="1"/>
    <col min="28" max="28" width="11.7109375" style="417" customWidth="1"/>
    <col min="29" max="29" width="44.5703125" style="417" customWidth="1"/>
    <col min="30" max="35" width="12.5703125" style="417" customWidth="1"/>
    <col min="36" max="44" width="12.5703125" style="417" hidden="1" customWidth="1"/>
    <col min="45" max="45" width="12.5703125" style="417" customWidth="1"/>
    <col min="46" max="54" width="12.5703125" style="417" hidden="1" customWidth="1"/>
    <col min="55" max="55" width="20.140625" style="417" customWidth="1"/>
    <col min="56" max="56" width="3" style="417" customWidth="1"/>
    <col min="57" max="57" width="9.140625" style="417" hidden="1"/>
    <col min="58" max="58" width="17.42578125" style="1005" hidden="1" customWidth="1"/>
    <col min="59" max="59" width="14.42578125" style="1005" hidden="1" customWidth="1"/>
    <col min="60" max="60" width="9.140625" style="1005" hidden="1"/>
    <col min="61" max="62" width="9.140625" style="1016" hidden="1"/>
  </cols>
  <sheetData>
    <row r="1" spans="1:62" s="1152" customFormat="1" ht="12" hidden="1" customHeight="1" x14ac:dyDescent="0.15">
      <c r="A1" s="973"/>
      <c r="B1" s="659"/>
      <c r="E1" s="659"/>
      <c r="F1" s="690" t="s">
        <v>83</v>
      </c>
      <c r="G1" s="160"/>
      <c r="H1" s="160"/>
      <c r="I1" s="160"/>
      <c r="J1" s="160"/>
      <c r="K1" s="160"/>
      <c r="L1" s="160"/>
      <c r="M1" s="160"/>
      <c r="N1" s="160"/>
      <c r="O1" s="160"/>
      <c r="P1" s="160"/>
      <c r="Q1" s="612"/>
      <c r="R1" s="612"/>
      <c r="S1" s="160"/>
      <c r="T1" s="679" t="s">
        <v>86</v>
      </c>
      <c r="U1" s="679" t="s">
        <v>91</v>
      </c>
      <c r="V1" s="679" t="s">
        <v>87</v>
      </c>
      <c r="W1" s="679" t="s">
        <v>88</v>
      </c>
      <c r="X1" s="679" t="s">
        <v>89</v>
      </c>
      <c r="Y1" s="690" t="s">
        <v>374</v>
      </c>
      <c r="Z1" s="679" t="s">
        <v>93</v>
      </c>
      <c r="AA1" s="690" t="s">
        <v>90</v>
      </c>
      <c r="AB1" s="690" t="s">
        <v>92</v>
      </c>
      <c r="AC1" s="690" t="s">
        <v>92</v>
      </c>
      <c r="BF1" s="971" t="s">
        <v>375</v>
      </c>
      <c r="BG1" s="971" t="s">
        <v>376</v>
      </c>
      <c r="BH1" s="971" t="s">
        <v>377</v>
      </c>
      <c r="BI1" s="974" t="s">
        <v>380</v>
      </c>
      <c r="BJ1" s="974" t="s">
        <v>381</v>
      </c>
    </row>
    <row r="2" spans="1:62" s="773" customFormat="1" ht="12" hidden="1" customHeight="1" x14ac:dyDescent="0.15">
      <c r="A2" s="981"/>
      <c r="B2" s="758" t="s">
        <v>15</v>
      </c>
      <c r="G2" s="776"/>
      <c r="H2" s="776"/>
      <c r="I2" s="776"/>
      <c r="J2" s="776"/>
      <c r="K2" s="776"/>
      <c r="L2" s="776"/>
      <c r="M2" s="776"/>
      <c r="N2" s="776"/>
      <c r="O2" s="776"/>
      <c r="P2" s="776"/>
      <c r="Q2" s="776"/>
      <c r="R2" s="776"/>
      <c r="S2" s="776"/>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963"/>
      <c r="BG2" s="963"/>
      <c r="BH2" s="963"/>
      <c r="BI2" s="975"/>
      <c r="BJ2" s="975"/>
    </row>
    <row r="3" spans="1:62" s="1152" customFormat="1" ht="12" hidden="1" customHeight="1" x14ac:dyDescent="0.15">
      <c r="A3" s="973"/>
      <c r="B3" s="659"/>
      <c r="E3" s="659"/>
      <c r="G3" s="160"/>
      <c r="H3" s="160"/>
      <c r="I3" s="160"/>
      <c r="J3" s="160"/>
      <c r="K3" s="160"/>
      <c r="L3" s="160"/>
      <c r="M3" s="160"/>
      <c r="N3" s="160"/>
      <c r="O3" s="160"/>
      <c r="P3" s="160"/>
      <c r="Q3" s="612"/>
      <c r="R3" s="612"/>
      <c r="S3" s="160"/>
      <c r="BF3" s="971"/>
      <c r="BG3" s="971"/>
      <c r="BH3" s="971"/>
      <c r="BI3" s="974"/>
      <c r="BJ3" s="974"/>
    </row>
    <row r="4" spans="1:62" s="1152" customFormat="1" ht="12" hidden="1" customHeight="1" x14ac:dyDescent="0.15">
      <c r="A4" s="973"/>
      <c r="B4" s="659"/>
      <c r="E4" s="659"/>
      <c r="G4" s="160"/>
      <c r="H4" s="160"/>
      <c r="I4" s="160"/>
      <c r="J4" s="160"/>
      <c r="K4" s="160"/>
      <c r="L4" s="160"/>
      <c r="M4" s="160"/>
      <c r="N4" s="160"/>
      <c r="O4" s="160"/>
      <c r="P4" s="160"/>
      <c r="Q4" s="612"/>
      <c r="R4" s="612"/>
      <c r="S4" s="160"/>
      <c r="BF4" s="971"/>
      <c r="BG4" s="971"/>
      <c r="BH4" s="971"/>
      <c r="BI4" s="974"/>
      <c r="BJ4" s="974"/>
    </row>
    <row r="5" spans="1:62" s="772" customFormat="1" ht="12" hidden="1" customHeight="1" x14ac:dyDescent="0.15">
      <c r="A5" s="981"/>
      <c r="B5" s="659"/>
      <c r="C5" s="659"/>
      <c r="D5" s="659"/>
      <c r="E5" s="668" t="s">
        <v>16</v>
      </c>
      <c r="G5" s="777"/>
      <c r="H5" s="777"/>
      <c r="I5" s="777"/>
      <c r="J5" s="777"/>
      <c r="K5" s="777"/>
      <c r="L5" s="777"/>
      <c r="M5" s="777"/>
      <c r="N5" s="777"/>
      <c r="O5" s="777"/>
      <c r="P5" s="777"/>
      <c r="Q5" s="777"/>
      <c r="R5" s="777"/>
      <c r="S5" s="777"/>
      <c r="AA5" s="668">
        <v>3</v>
      </c>
      <c r="AB5" s="668">
        <v>11.75</v>
      </c>
      <c r="AC5" s="668">
        <v>54</v>
      </c>
      <c r="AD5" s="668">
        <v>12.63</v>
      </c>
      <c r="AE5" s="668">
        <v>12.63</v>
      </c>
      <c r="AF5" s="668">
        <v>12.63</v>
      </c>
      <c r="AG5" s="668">
        <v>12.63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20.13</v>
      </c>
      <c r="BD5" s="668">
        <v>3</v>
      </c>
      <c r="BF5" s="963"/>
      <c r="BG5" s="963"/>
      <c r="BH5" s="963"/>
      <c r="BI5" s="975"/>
      <c r="BJ5" s="975"/>
    </row>
    <row r="6" spans="1:62" s="1152" customFormat="1" ht="12" hidden="1" customHeight="1" x14ac:dyDescent="0.15">
      <c r="A6" s="973"/>
      <c r="B6" s="659"/>
      <c r="E6" s="668"/>
      <c r="G6" s="160"/>
      <c r="H6" s="160"/>
      <c r="I6" s="160"/>
      <c r="J6" s="160"/>
      <c r="K6" s="160"/>
      <c r="L6" s="160"/>
      <c r="M6" s="160"/>
      <c r="N6" s="160"/>
      <c r="O6" s="160"/>
      <c r="P6" s="160"/>
      <c r="Q6" s="612"/>
      <c r="R6" s="612"/>
      <c r="S6" s="160"/>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71"/>
      <c r="BG6" s="971"/>
      <c r="BH6" s="971"/>
      <c r="BI6" s="974"/>
      <c r="BJ6" s="974"/>
    </row>
    <row r="7" spans="1:62" ht="12" hidden="1" customHeight="1" x14ac:dyDescent="0.15">
      <c r="F7" s="160"/>
      <c r="T7" s="160"/>
      <c r="U7" s="160"/>
      <c r="V7" s="160"/>
      <c r="W7" s="160"/>
      <c r="X7" s="160"/>
      <c r="Y7" s="160"/>
      <c r="Z7" s="160"/>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$AI$25</f>
        <v>Предложение организации</v>
      </c>
      <c r="AK7" s="160" t="str" cm="1">
        <f t="array" ref="AK7">$AI$25</f>
        <v>Предложение организации</v>
      </c>
      <c r="AL7" s="160" t="str" cm="1">
        <f t="array" ref="AL7">$AI$25</f>
        <v>Предложение организации</v>
      </c>
      <c r="AM7" s="160" t="str" cm="1">
        <f t="array" ref="AM7">$AI$25</f>
        <v>Предложение организации</v>
      </c>
      <c r="AN7" s="160" t="str" cm="1">
        <f t="array" ref="AN7">$AI$25</f>
        <v>Предложение организации</v>
      </c>
      <c r="AO7" s="160" t="str" cm="1">
        <f t="array" ref="AO7">$AI$25</f>
        <v>Предложение организации</v>
      </c>
      <c r="AP7" s="160" t="str" cm="1">
        <f t="array" ref="AP7">$AI$25</f>
        <v>Предложение организации</v>
      </c>
      <c r="AQ7" s="160" t="str" cm="1">
        <f t="array" ref="AQ7">$AI$25</f>
        <v>Предложение организации</v>
      </c>
      <c r="AR7" s="160" t="str" cm="1">
        <f t="array" ref="AR7">$AI$25</f>
        <v>Предложение организации</v>
      </c>
      <c r="AS7" s="160" t="str" cm="1">
        <f t="array" ref="AS7">$AS$25</f>
        <v>Принято органом регулирования</v>
      </c>
      <c r="AT7" s="160" t="str" cm="1">
        <f t="array" ref="AT7">$AS$25</f>
        <v>Принято органом регулирования</v>
      </c>
      <c r="AU7" s="160" t="str" cm="1">
        <f t="array" ref="AU7">$AS$25</f>
        <v>Принято органом регулирования</v>
      </c>
      <c r="AV7" s="160" t="str" cm="1">
        <f t="array" ref="AV7">$AS$25</f>
        <v>Принято органом регулирования</v>
      </c>
      <c r="AW7" s="160" t="str" cm="1">
        <f t="array" ref="AW7">$AS$25</f>
        <v>Принято органом регулирования</v>
      </c>
      <c r="AX7" s="160" t="str" cm="1">
        <f t="array" ref="AX7">$AS$25</f>
        <v>Принято органом регулирования</v>
      </c>
      <c r="AY7" s="160" t="str" cm="1">
        <f t="array" ref="AY7">$AS$25</f>
        <v>Принято органом регулирования</v>
      </c>
      <c r="AZ7" s="160" t="str" cm="1">
        <f t="array" ref="AZ7">$AS$25</f>
        <v>Принято органом регулирования</v>
      </c>
      <c r="BA7" s="160" t="str" cm="1">
        <f t="array" ref="BA7">$AS$25</f>
        <v>Принято органом регулирования</v>
      </c>
      <c r="BB7" s="160" t="str" cm="1">
        <f t="array" ref="BB7">$AS$25</f>
        <v>Принято органом регулирования</v>
      </c>
    </row>
    <row r="8" spans="1:62" ht="12" hidden="1" customHeight="1" x14ac:dyDescent="0.15">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62" s="1003" customFormat="1" ht="12" hidden="1" customHeight="1" x14ac:dyDescent="0.15">
      <c r="A9" s="970" t="s">
        <v>461</v>
      </c>
      <c r="B9" s="941"/>
      <c r="E9" s="941"/>
      <c r="Q9" s="950"/>
      <c r="R9" s="950"/>
      <c r="AE9" s="949">
        <f>god-2</f>
        <v>2024</v>
      </c>
      <c r="AF9" s="949">
        <f>god-2</f>
        <v>2024</v>
      </c>
      <c r="AG9" s="949">
        <f>god-2</f>
        <v>2024</v>
      </c>
      <c r="AH9" s="949">
        <f>god-1</f>
        <v>2025</v>
      </c>
      <c r="AI9" s="949" cm="1">
        <f t="array" ref="AI9">god</f>
        <v>2026</v>
      </c>
      <c r="AJ9" s="949">
        <f>god+1</f>
        <v>2027</v>
      </c>
      <c r="AK9" s="949">
        <f>god+2</f>
        <v>2028</v>
      </c>
      <c r="AL9" s="949">
        <f>god+3</f>
        <v>2029</v>
      </c>
      <c r="AM9" s="949">
        <f>god+4</f>
        <v>2030</v>
      </c>
      <c r="AN9" s="949">
        <f>god+5</f>
        <v>2031</v>
      </c>
      <c r="AO9" s="949">
        <f>god+6</f>
        <v>2032</v>
      </c>
      <c r="AP9" s="949">
        <f>god+7</f>
        <v>2033</v>
      </c>
      <c r="AQ9" s="949">
        <f>god+8</f>
        <v>2034</v>
      </c>
      <c r="AR9" s="949">
        <f>god+9</f>
        <v>2035</v>
      </c>
      <c r="AS9" s="949" cm="1">
        <f t="array" ref="AS9">god</f>
        <v>2026</v>
      </c>
      <c r="AT9" s="949">
        <f>god+1</f>
        <v>2027</v>
      </c>
      <c r="AU9" s="949">
        <f>god+2</f>
        <v>2028</v>
      </c>
      <c r="AV9" s="949">
        <f>god+3</f>
        <v>2029</v>
      </c>
      <c r="AW9" s="949">
        <f>god+4</f>
        <v>2030</v>
      </c>
      <c r="AX9" s="949">
        <f>god+5</f>
        <v>2031</v>
      </c>
      <c r="AY9" s="949">
        <f>god+6</f>
        <v>2032</v>
      </c>
      <c r="AZ9" s="949">
        <f>god+7</f>
        <v>2033</v>
      </c>
      <c r="BA9" s="949">
        <f>god+8</f>
        <v>2034</v>
      </c>
      <c r="BB9" s="949">
        <f>god+9</f>
        <v>2035</v>
      </c>
      <c r="BF9" s="971"/>
      <c r="BG9" s="971"/>
      <c r="BH9" s="971"/>
      <c r="BI9" s="971"/>
      <c r="BJ9" s="971"/>
    </row>
    <row r="10" spans="1:62" s="1003" customFormat="1" ht="12" hidden="1" customHeight="1" x14ac:dyDescent="0.15">
      <c r="A10" s="970" t="s">
        <v>462</v>
      </c>
      <c r="B10" s="941"/>
      <c r="E10" s="941"/>
      <c r="Q10" s="950"/>
      <c r="R10" s="950"/>
      <c r="AE10" s="949" t="str" cm="1">
        <f t="array" ref="AE10">AE25</f>
        <v>Принято органом регулирования</v>
      </c>
      <c r="AF10" s="949" t="str" cm="1">
        <f t="array" ref="AF10">AF25</f>
        <v>Факт по данным организации</v>
      </c>
      <c r="AG10" s="949" t="str" cm="1">
        <f t="array" ref="AG10">AG25</f>
        <v>Факт, принятый органом регулирования</v>
      </c>
      <c r="AH10" s="949" t="str" cm="1">
        <f t="array" ref="AH10">AH25</f>
        <v>Принято органом регулирования</v>
      </c>
      <c r="AI10" s="949" t="str" cm="1">
        <f t="array" ref="AI10">AI25</f>
        <v>Предложение организации</v>
      </c>
      <c r="AJ10" s="949" t="str" cm="1">
        <f t="array" ref="AJ10">AJ25</f>
        <v>Предложение организации</v>
      </c>
      <c r="AK10" s="949" t="str" cm="1">
        <f t="array" ref="AK10">AK25</f>
        <v>Предложение организации</v>
      </c>
      <c r="AL10" s="949" t="str" cm="1">
        <f t="array" ref="AL10">AL25</f>
        <v>Предложение организации</v>
      </c>
      <c r="AM10" s="949" t="str" cm="1">
        <f t="array" ref="AM10">AM25</f>
        <v>Предложение организации</v>
      </c>
      <c r="AN10" s="949" t="str" cm="1">
        <f t="array" ref="AN10">AN25</f>
        <v>Предложение организации</v>
      </c>
      <c r="AO10" s="949" t="str" cm="1">
        <f t="array" ref="AO10">AO25</f>
        <v>Предложение организации</v>
      </c>
      <c r="AP10" s="949" t="str" cm="1">
        <f t="array" ref="AP10">AP25</f>
        <v>Предложение организации</v>
      </c>
      <c r="AQ10" s="949" t="str" cm="1">
        <f t="array" ref="AQ10">AQ25</f>
        <v>Предложение организации</v>
      </c>
      <c r="AR10" s="949" t="str" cm="1">
        <f t="array" ref="AR10">AR25</f>
        <v>Предложение организации</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AY10" s="949" t="str" cm="1">
        <f t="array" ref="AY10">AY25</f>
        <v>Принято органом регулирования</v>
      </c>
      <c r="AZ10" s="949" t="str" cm="1">
        <f t="array" ref="AZ10">AZ25</f>
        <v>Принято органом регулирования</v>
      </c>
      <c r="BA10" s="949" t="str" cm="1">
        <f t="array" ref="BA10">BA25</f>
        <v>Принято органом регулирования</v>
      </c>
      <c r="BB10" s="949" t="str" cm="1">
        <f t="array" ref="BB10">BB25</f>
        <v>Принято органом регулирования</v>
      </c>
      <c r="BF10" s="971"/>
      <c r="BG10" s="971"/>
      <c r="BH10" s="971"/>
      <c r="BI10" s="971"/>
      <c r="BJ10" s="971"/>
    </row>
    <row r="11" spans="1:62" s="1003" customFormat="1" ht="12" hidden="1" customHeight="1" x14ac:dyDescent="0.15">
      <c r="A11" s="948" t="s">
        <v>463</v>
      </c>
      <c r="B11" s="941"/>
      <c r="E11" s="941"/>
      <c r="G11" s="957"/>
      <c r="H11" s="957"/>
      <c r="I11" s="957"/>
      <c r="J11" s="957"/>
      <c r="K11" s="957"/>
      <c r="L11" s="957"/>
      <c r="M11" s="957"/>
      <c r="N11" s="957"/>
      <c r="O11" s="957"/>
      <c r="P11" s="957"/>
      <c r="Q11" s="972"/>
      <c r="R11" s="972"/>
      <c r="S11" s="957"/>
      <c r="BC11" s="949" t="str" cm="1">
        <f t="array" ref="BC11">BC24</f>
        <v>Ссылка на правовую норму (основание для принятия показателя в расчет тарифа)</v>
      </c>
      <c r="BF11" s="971"/>
      <c r="BG11" s="971"/>
      <c r="BH11" s="971"/>
      <c r="BI11" s="971"/>
      <c r="BJ11" s="971"/>
    </row>
    <row r="12" spans="1:62" s="1003" customFormat="1" ht="12" hidden="1" customHeight="1" x14ac:dyDescent="0.15">
      <c r="A12" s="948" t="s">
        <v>386</v>
      </c>
      <c r="B12" s="941"/>
      <c r="E12" s="941"/>
      <c r="G12" s="957"/>
      <c r="H12" s="957"/>
      <c r="I12" s="957"/>
      <c r="J12" s="957"/>
      <c r="K12" s="957"/>
      <c r="L12" s="957"/>
      <c r="M12" s="957"/>
      <c r="N12" s="957"/>
      <c r="O12" s="957"/>
      <c r="P12" s="957"/>
      <c r="Q12" s="972"/>
      <c r="R12" s="972"/>
      <c r="S12" s="957"/>
      <c r="AC12" s="949" t="s">
        <v>377</v>
      </c>
      <c r="BF12" s="971"/>
      <c r="BG12" s="971"/>
      <c r="BH12" s="971"/>
      <c r="BI12" s="974"/>
      <c r="BJ12" s="974"/>
    </row>
    <row r="13" spans="1:62" s="1152" customFormat="1" ht="12" hidden="1" customHeight="1" x14ac:dyDescent="0.15">
      <c r="A13" s="973"/>
      <c r="B13" s="659"/>
      <c r="E13" s="668"/>
      <c r="G13" s="160"/>
      <c r="H13" s="160"/>
      <c r="I13" s="160"/>
      <c r="J13" s="160"/>
      <c r="K13" s="160"/>
      <c r="L13" s="160"/>
      <c r="M13" s="160"/>
      <c r="N13" s="160"/>
      <c r="O13" s="160"/>
      <c r="P13" s="160"/>
      <c r="Q13" s="612"/>
      <c r="R13" s="612"/>
      <c r="S13" s="160"/>
      <c r="BF13" s="971"/>
      <c r="BG13" s="971"/>
      <c r="BH13" s="971"/>
      <c r="BI13" s="974"/>
      <c r="BJ13" s="974"/>
    </row>
    <row r="14" spans="1:62" s="1152" customFormat="1" ht="12" hidden="1" customHeight="1" x14ac:dyDescent="0.15">
      <c r="A14" s="973"/>
      <c r="B14" s="659"/>
      <c r="E14" s="668"/>
      <c r="G14" s="160"/>
      <c r="H14" s="160"/>
      <c r="I14" s="160"/>
      <c r="J14" s="160"/>
      <c r="K14" s="160"/>
      <c r="L14" s="160"/>
      <c r="M14" s="160"/>
      <c r="N14" s="160"/>
      <c r="O14" s="160"/>
      <c r="P14" s="160"/>
      <c r="Q14" s="612"/>
      <c r="R14" s="612"/>
      <c r="S14" s="160"/>
      <c r="BF14" s="971"/>
      <c r="BG14" s="971"/>
      <c r="BH14" s="971"/>
      <c r="BI14" s="974"/>
      <c r="BJ14" s="974"/>
    </row>
    <row r="15" spans="1:62" s="1152" customFormat="1" ht="12" hidden="1" customHeight="1" x14ac:dyDescent="0.15">
      <c r="A15" s="973"/>
      <c r="B15" s="659"/>
      <c r="E15" s="668"/>
      <c r="G15" s="160"/>
      <c r="H15" s="160"/>
      <c r="I15" s="160"/>
      <c r="J15" s="160"/>
      <c r="K15" s="160"/>
      <c r="L15" s="160"/>
      <c r="M15" s="160"/>
      <c r="N15" s="160"/>
      <c r="O15" s="160"/>
      <c r="P15" s="160"/>
      <c r="Q15" s="612"/>
      <c r="R15" s="612"/>
      <c r="S15" s="160"/>
      <c r="BF15" s="971"/>
      <c r="BG15" s="971"/>
      <c r="BH15" s="971"/>
      <c r="BI15" s="974"/>
      <c r="BJ15" s="974"/>
    </row>
    <row r="16" spans="1:62" s="1152" customFormat="1" ht="12" hidden="1" customHeight="1" x14ac:dyDescent="0.15">
      <c r="A16" s="973"/>
      <c r="B16" s="659"/>
      <c r="E16" s="668"/>
      <c r="G16" s="160"/>
      <c r="H16" s="160"/>
      <c r="I16" s="160"/>
      <c r="J16" s="160"/>
      <c r="K16" s="160"/>
      <c r="L16" s="160"/>
      <c r="M16" s="160"/>
      <c r="N16" s="160"/>
      <c r="O16" s="160"/>
      <c r="P16" s="160"/>
      <c r="Q16" s="612"/>
      <c r="R16" s="612"/>
      <c r="S16" s="160"/>
      <c r="BF16" s="971"/>
      <c r="BG16" s="971"/>
      <c r="BH16" s="971"/>
      <c r="BI16" s="974"/>
      <c r="BJ16" s="974"/>
    </row>
    <row r="17" spans="1:62" s="1152" customFormat="1" ht="12" hidden="1" customHeight="1" x14ac:dyDescent="0.15">
      <c r="A17" s="973"/>
      <c r="B17" s="659"/>
      <c r="E17" s="668"/>
      <c r="G17" s="160"/>
      <c r="H17" s="160"/>
      <c r="I17" s="160"/>
      <c r="J17" s="160"/>
      <c r="K17" s="160"/>
      <c r="L17" s="160"/>
      <c r="M17" s="160"/>
      <c r="N17" s="160"/>
      <c r="O17" s="160"/>
      <c r="P17" s="160"/>
      <c r="Q17" s="612"/>
      <c r="R17" s="612"/>
      <c r="S17" s="160"/>
      <c r="BF17" s="971"/>
      <c r="BG17" s="971"/>
      <c r="BH17" s="971"/>
      <c r="BI17" s="974"/>
      <c r="BJ17" s="974"/>
    </row>
    <row r="18" spans="1:62" s="1152" customFormat="1" ht="12" hidden="1" customHeight="1" x14ac:dyDescent="0.15">
      <c r="A18" s="849" t="s">
        <v>518</v>
      </c>
      <c r="B18" s="659"/>
      <c r="E18" s="668"/>
      <c r="G18" s="160"/>
      <c r="H18" s="160"/>
      <c r="I18" s="160"/>
      <c r="J18" s="160"/>
      <c r="K18" s="160"/>
      <c r="L18" s="160"/>
      <c r="M18" s="160"/>
      <c r="N18" s="160"/>
      <c r="O18" s="160"/>
      <c r="P18" s="160"/>
      <c r="Q18" s="612"/>
      <c r="R18" s="612"/>
      <c r="S18" s="160"/>
      <c r="AC18" s="123" t="s">
        <v>464</v>
      </c>
      <c r="BF18" s="971"/>
      <c r="BG18" s="971"/>
      <c r="BH18" s="971"/>
      <c r="BI18" s="974"/>
      <c r="BJ18" s="974"/>
    </row>
    <row r="19" spans="1:62" s="1152" customFormat="1" ht="12" hidden="1" customHeight="1" x14ac:dyDescent="0.15">
      <c r="A19" s="973"/>
      <c r="B19" s="659"/>
      <c r="E19" s="668"/>
      <c r="G19" s="160"/>
      <c r="H19" s="160"/>
      <c r="I19" s="160"/>
      <c r="J19" s="160"/>
      <c r="K19" s="160"/>
      <c r="L19" s="160"/>
      <c r="M19" s="160"/>
      <c r="N19" s="160"/>
      <c r="O19" s="160"/>
      <c r="P19" s="160"/>
      <c r="Q19" s="612"/>
      <c r="R19" s="612"/>
      <c r="S19" s="160"/>
      <c r="BF19" s="971"/>
      <c r="BG19" s="971"/>
      <c r="BH19" s="971"/>
      <c r="BI19" s="974"/>
      <c r="BJ19" s="974"/>
    </row>
    <row r="20" spans="1:62" s="1152" customFormat="1" ht="12" hidden="1" customHeight="1" x14ac:dyDescent="0.15">
      <c r="A20" s="973"/>
      <c r="B20" s="659"/>
      <c r="E20" s="668"/>
      <c r="G20" s="160"/>
      <c r="H20" s="160"/>
      <c r="I20" s="160"/>
      <c r="J20" s="160"/>
      <c r="K20" s="160"/>
      <c r="L20" s="160"/>
      <c r="M20" s="160"/>
      <c r="N20" s="160"/>
      <c r="O20" s="160"/>
      <c r="P20" s="160"/>
      <c r="Q20" s="612"/>
      <c r="R20" s="612"/>
      <c r="S20" s="160"/>
      <c r="BF20" s="971"/>
      <c r="BG20" s="971"/>
      <c r="BH20" s="971"/>
      <c r="BI20" s="974"/>
      <c r="BJ20" s="974"/>
    </row>
    <row r="21" spans="1:62" ht="14.65" customHeight="1" x14ac:dyDescent="0.15">
      <c r="E21" s="668">
        <v>15</v>
      </c>
      <c r="AA21" s="691"/>
      <c r="AC21" s="335" t="str" cm="1">
        <f t="array" ref="AC21">tpl_title</f>
        <v>Кемеровская область / 2026 / ООО ХК "СДС - Энерго" (ИНН:4250003450, КПП:420501001) / ДПР: 2024-2028</v>
      </c>
    </row>
    <row r="22" spans="1:62" s="804" customFormat="1" ht="19.5" customHeight="1" x14ac:dyDescent="0.15">
      <c r="A22" s="335"/>
      <c r="B22" s="659"/>
      <c r="C22" s="126"/>
      <c r="D22" s="126"/>
      <c r="E22" s="668">
        <v>20.100000000000001</v>
      </c>
      <c r="F22" s="126"/>
      <c r="Q22" s="612"/>
      <c r="R22" s="612"/>
      <c r="T22" s="126"/>
      <c r="U22" s="126"/>
      <c r="V22" s="126"/>
      <c r="W22" s="126"/>
      <c r="X22" s="126"/>
      <c r="Y22" s="126"/>
      <c r="Z22" s="126"/>
      <c r="AB22" s="325" t="s">
        <v>948</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F22" s="967"/>
      <c r="BG22" s="967"/>
      <c r="BH22" s="967"/>
      <c r="BI22" s="976"/>
      <c r="BJ22" s="976"/>
    </row>
    <row r="23" spans="1:62" s="804" customFormat="1" ht="11.1" customHeight="1" x14ac:dyDescent="0.15">
      <c r="A23" s="335"/>
      <c r="B23" s="659"/>
      <c r="C23" s="126"/>
      <c r="D23" s="126"/>
      <c r="E23" s="668">
        <v>11.4</v>
      </c>
      <c r="F23" s="126"/>
      <c r="Q23" s="612"/>
      <c r="R23" s="612"/>
      <c r="T23" s="126"/>
      <c r="U23" s="126"/>
      <c r="V23" s="126"/>
      <c r="W23" s="126"/>
      <c r="X23" s="126"/>
      <c r="Y23" s="126"/>
      <c r="Z23" s="126"/>
      <c r="AB23" s="217"/>
      <c r="AC23" s="217"/>
      <c r="AD23" s="217"/>
      <c r="AE23" s="218"/>
      <c r="AF23" s="218"/>
      <c r="AG23" s="218"/>
      <c r="AH23" s="218"/>
      <c r="AI23" s="217"/>
      <c r="AJ23" s="217"/>
      <c r="AK23" s="217"/>
      <c r="AL23" s="217"/>
      <c r="AM23" s="217"/>
      <c r="AN23" s="217"/>
      <c r="AO23" s="217"/>
      <c r="AP23" s="217"/>
      <c r="AQ23" s="217"/>
      <c r="AR23" s="217"/>
      <c r="AS23" s="217"/>
      <c r="AT23" s="217"/>
      <c r="AU23" s="217"/>
      <c r="AV23" s="217"/>
      <c r="AW23" s="217"/>
      <c r="AX23" s="217"/>
      <c r="AY23" s="217"/>
      <c r="AZ23" s="217"/>
      <c r="BA23" s="217"/>
      <c r="BB23" s="217"/>
      <c r="BC23" s="217"/>
      <c r="BF23" s="967"/>
      <c r="BG23" s="967"/>
      <c r="BH23" s="967"/>
      <c r="BI23" s="976"/>
      <c r="BJ23" s="976"/>
    </row>
    <row r="24" spans="1:62" s="162" customFormat="1" ht="14.65" customHeight="1" x14ac:dyDescent="0.15">
      <c r="A24" s="273"/>
      <c r="B24" s="663"/>
      <c r="C24" s="119"/>
      <c r="D24" s="119"/>
      <c r="E24" s="674">
        <v>15</v>
      </c>
      <c r="F24" s="119"/>
      <c r="Q24" s="767"/>
      <c r="R24" s="767"/>
      <c r="T24" s="119"/>
      <c r="U24" s="119"/>
      <c r="V24" s="119"/>
      <c r="W24" s="119"/>
      <c r="X24" s="119"/>
      <c r="Y24" s="119"/>
      <c r="Z24" s="119"/>
      <c r="AB24" s="1563" t="s">
        <v>388</v>
      </c>
      <c r="AC24" s="1563" t="s">
        <v>464</v>
      </c>
      <c r="AD24" s="1563" t="s">
        <v>465</v>
      </c>
      <c r="AE24" s="342" t="str">
        <f>god-2&amp;" год"</f>
        <v>2024 год</v>
      </c>
      <c r="AF24" s="1136" t="str">
        <f>god-2&amp;" год"</f>
        <v>2024 год</v>
      </c>
      <c r="AG24" s="342" t="str">
        <f>god-2&amp;" год"</f>
        <v>2024 год</v>
      </c>
      <c r="AH24" s="122"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496" t="s">
        <v>618</v>
      </c>
      <c r="BF24" s="971"/>
      <c r="BG24" s="977"/>
      <c r="BH24" s="977"/>
      <c r="BI24" s="978"/>
      <c r="BJ24" s="978"/>
    </row>
    <row r="25" spans="1:62" s="162" customFormat="1" ht="48.75" customHeight="1" x14ac:dyDescent="0.15">
      <c r="A25" s="273"/>
      <c r="B25" s="663"/>
      <c r="C25" s="119"/>
      <c r="D25" s="119"/>
      <c r="E25" s="674">
        <v>50.1</v>
      </c>
      <c r="F25" s="119"/>
      <c r="Q25" s="767"/>
      <c r="R25" s="767"/>
      <c r="T25" s="119"/>
      <c r="U25" s="119"/>
      <c r="V25" s="119"/>
      <c r="W25" s="119"/>
      <c r="X25" s="119"/>
      <c r="Y25" s="119"/>
      <c r="Z25" s="119"/>
      <c r="AB25" s="1563"/>
      <c r="AC25" s="1563"/>
      <c r="AD25" s="1563"/>
      <c r="AE25" s="118" t="s">
        <v>404</v>
      </c>
      <c r="AF25" s="1131" t="s">
        <v>619</v>
      </c>
      <c r="AG25" s="118" t="s">
        <v>620</v>
      </c>
      <c r="AH25" s="118" t="s">
        <v>404</v>
      </c>
      <c r="AI25" s="1132" t="s">
        <v>405</v>
      </c>
      <c r="AJ25" s="1132" t="s">
        <v>405</v>
      </c>
      <c r="AK25" s="1132" t="s">
        <v>405</v>
      </c>
      <c r="AL25" s="1132" t="s">
        <v>405</v>
      </c>
      <c r="AM25" s="1132" t="s">
        <v>405</v>
      </c>
      <c r="AN25" s="1132" t="s">
        <v>405</v>
      </c>
      <c r="AO25" s="1132" t="s">
        <v>405</v>
      </c>
      <c r="AP25" s="1132" t="s">
        <v>405</v>
      </c>
      <c r="AQ25" s="1132" t="s">
        <v>405</v>
      </c>
      <c r="AR25" s="1132" t="s">
        <v>405</v>
      </c>
      <c r="AS25" s="343" t="s">
        <v>404</v>
      </c>
      <c r="AT25" s="343" t="s">
        <v>404</v>
      </c>
      <c r="AU25" s="343" t="s">
        <v>404</v>
      </c>
      <c r="AV25" s="343" t="s">
        <v>404</v>
      </c>
      <c r="AW25" s="343" t="s">
        <v>404</v>
      </c>
      <c r="AX25" s="343" t="s">
        <v>404</v>
      </c>
      <c r="AY25" s="343" t="s">
        <v>404</v>
      </c>
      <c r="AZ25" s="343" t="s">
        <v>404</v>
      </c>
      <c r="BA25" s="343" t="s">
        <v>404</v>
      </c>
      <c r="BB25" s="343" t="s">
        <v>404</v>
      </c>
      <c r="BC25" s="1496"/>
      <c r="BF25" s="971"/>
      <c r="BG25" s="977"/>
      <c r="BH25" s="977"/>
      <c r="BI25" s="978"/>
      <c r="BJ25" s="978"/>
    </row>
    <row r="26" spans="1:62" s="162" customFormat="1" ht="50.25" hidden="1" customHeight="1" x14ac:dyDescent="0.15">
      <c r="A26" s="273"/>
      <c r="B26" s="663"/>
      <c r="C26" s="119"/>
      <c r="D26" s="119"/>
      <c r="E26" s="674">
        <v>0</v>
      </c>
      <c r="F26" s="119"/>
      <c r="Q26" s="767"/>
      <c r="R26" s="767"/>
      <c r="T26" s="119"/>
      <c r="U26" s="119"/>
      <c r="V26" s="119"/>
      <c r="W26" s="119"/>
      <c r="X26" s="119"/>
      <c r="Y26" s="119"/>
      <c r="Z26" s="119"/>
      <c r="AB26" s="438"/>
      <c r="AC26" s="438"/>
      <c r="AD26" s="438"/>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F26" s="971"/>
      <c r="BG26" s="977"/>
      <c r="BH26" s="977"/>
      <c r="BI26" s="978"/>
      <c r="BJ26" s="978"/>
    </row>
    <row r="27" spans="1:62" s="162" customFormat="1" ht="18.399999999999999" hidden="1" customHeight="1" x14ac:dyDescent="0.15">
      <c r="E27" s="674">
        <v>18.8</v>
      </c>
      <c r="F27" s="769" cm="1">
        <f t="array" ref="F27">X27</f>
        <v>0</v>
      </c>
      <c r="K27" s="160" cm="1">
        <f t="array" ref="K27">INDEX('Общие сведения'!$AL$169:$AL$202,MATCH($F27,'Общие сведения'!$Z$169:$Z$202,0))</f>
        <v>0</v>
      </c>
      <c r="L27" s="160" cm="1">
        <f t="array" ref="L27">INDEX('Общие сведения'!$AK$169:$AK$202,MATCH($F27,'Общие сведения'!$Z$169:$Z$202,0))</f>
        <v>0</v>
      </c>
      <c r="T27" s="679" t="b">
        <f>X27&gt;0</f>
        <v>0</v>
      </c>
      <c r="V27" s="119" t="s">
        <v>313</v>
      </c>
      <c r="X27" s="1480">
        <v>0</v>
      </c>
      <c r="Z27" s="1489"/>
      <c r="AB27" s="210" t="str" cm="1">
        <f t="array" ref="AB27">INDEX('Общие сведения'!$AG$169:$AG$202,MATCH($F27,'Общие сведения'!$Z$169:$Z$202,0))</f>
        <v xml:space="preserve">Тариф 0 (Теплоснабжение) - </v>
      </c>
      <c r="AC27" s="207"/>
      <c r="AD27" s="201"/>
      <c r="AE27" s="315">
        <f t="shared" ref="AE27:BB27" si="2">AE28+AE47</f>
        <v>0</v>
      </c>
      <c r="AF27" s="315">
        <f t="shared" si="2"/>
        <v>0</v>
      </c>
      <c r="AG27" s="315">
        <f t="shared" si="2"/>
        <v>0</v>
      </c>
      <c r="AH27" s="315">
        <f t="shared" si="2"/>
        <v>0</v>
      </c>
      <c r="AI27" s="315">
        <f t="shared" si="2"/>
        <v>0</v>
      </c>
      <c r="AJ27" s="315">
        <f t="shared" si="2"/>
        <v>0</v>
      </c>
      <c r="AK27" s="315">
        <f t="shared" si="2"/>
        <v>0</v>
      </c>
      <c r="AL27" s="315">
        <f t="shared" si="2"/>
        <v>0</v>
      </c>
      <c r="AM27" s="315">
        <f t="shared" si="2"/>
        <v>0</v>
      </c>
      <c r="AN27" s="315">
        <f t="shared" si="2"/>
        <v>0</v>
      </c>
      <c r="AO27" s="315">
        <f t="shared" si="2"/>
        <v>0</v>
      </c>
      <c r="AP27" s="315">
        <f t="shared" si="2"/>
        <v>0</v>
      </c>
      <c r="AQ27" s="315">
        <f t="shared" si="2"/>
        <v>0</v>
      </c>
      <c r="AR27" s="315">
        <f t="shared" si="2"/>
        <v>0</v>
      </c>
      <c r="AS27" s="315">
        <f t="shared" si="2"/>
        <v>0</v>
      </c>
      <c r="AT27" s="315">
        <f t="shared" si="2"/>
        <v>0</v>
      </c>
      <c r="AU27" s="315">
        <f t="shared" si="2"/>
        <v>0</v>
      </c>
      <c r="AV27" s="315">
        <f t="shared" si="2"/>
        <v>0</v>
      </c>
      <c r="AW27" s="315">
        <f t="shared" si="2"/>
        <v>0</v>
      </c>
      <c r="AX27" s="315">
        <f t="shared" si="2"/>
        <v>0</v>
      </c>
      <c r="AY27" s="315">
        <f t="shared" si="2"/>
        <v>0</v>
      </c>
      <c r="AZ27" s="315">
        <f t="shared" si="2"/>
        <v>0</v>
      </c>
      <c r="BA27" s="315">
        <f t="shared" si="2"/>
        <v>0</v>
      </c>
      <c r="BB27" s="315">
        <f t="shared" si="2"/>
        <v>0</v>
      </c>
      <c r="BC27" s="500"/>
      <c r="BF27" s="971"/>
      <c r="BG27" s="977"/>
      <c r="BH27" s="977"/>
      <c r="BI27" s="978"/>
      <c r="BJ27" s="978"/>
    </row>
    <row r="28" spans="1:62" s="1151" customFormat="1" ht="16.7" hidden="1" customHeight="1" x14ac:dyDescent="0.15">
      <c r="E28" s="674">
        <v>17.100000000000001</v>
      </c>
      <c r="F28" s="769" cm="1">
        <f t="array" aca="1" ref="F28" ca="1">OFFSET(G28,-1,-1)</f>
        <v>0</v>
      </c>
      <c r="G28" s="612" t="s">
        <v>949</v>
      </c>
      <c r="I28" s="162" t="s">
        <v>950</v>
      </c>
      <c r="T28" s="770" t="b" cm="1">
        <f t="array" ref="T28">T27</f>
        <v>0</v>
      </c>
      <c r="X28" s="1480"/>
      <c r="Z28" s="1480"/>
      <c r="AB28" s="230">
        <v>1</v>
      </c>
      <c r="AC28" s="225" t="s">
        <v>951</v>
      </c>
      <c r="AD28" s="224" t="s">
        <v>830</v>
      </c>
      <c r="AE28" s="504">
        <f t="shared" ref="AE28:BB28" si="3">SUMIF($I33:$I45,$I28,AE33:AE45)</f>
        <v>0</v>
      </c>
      <c r="AF28" s="504">
        <f t="shared" si="3"/>
        <v>0</v>
      </c>
      <c r="AG28" s="504">
        <f t="shared" si="3"/>
        <v>0</v>
      </c>
      <c r="AH28" s="504">
        <f t="shared" si="3"/>
        <v>0</v>
      </c>
      <c r="AI28" s="504">
        <f t="shared" si="3"/>
        <v>0</v>
      </c>
      <c r="AJ28" s="1259">
        <f t="shared" si="3"/>
        <v>0</v>
      </c>
      <c r="AK28" s="1259">
        <f t="shared" si="3"/>
        <v>0</v>
      </c>
      <c r="AL28" s="49">
        <f t="shared" si="3"/>
        <v>0</v>
      </c>
      <c r="AM28" s="49">
        <f t="shared" si="3"/>
        <v>0</v>
      </c>
      <c r="AN28" s="49">
        <f t="shared" si="3"/>
        <v>0</v>
      </c>
      <c r="AO28" s="49">
        <f t="shared" si="3"/>
        <v>0</v>
      </c>
      <c r="AP28" s="49">
        <f t="shared" si="3"/>
        <v>0</v>
      </c>
      <c r="AQ28" s="49">
        <f t="shared" si="3"/>
        <v>0</v>
      </c>
      <c r="AR28" s="49">
        <f t="shared" si="3"/>
        <v>0</v>
      </c>
      <c r="AS28" s="504">
        <f t="shared" si="3"/>
        <v>0</v>
      </c>
      <c r="AT28" s="1259">
        <f t="shared" si="3"/>
        <v>0</v>
      </c>
      <c r="AU28" s="1259">
        <f t="shared" si="3"/>
        <v>0</v>
      </c>
      <c r="AV28" s="49">
        <f t="shared" si="3"/>
        <v>0</v>
      </c>
      <c r="AW28" s="49">
        <f t="shared" si="3"/>
        <v>0</v>
      </c>
      <c r="AX28" s="49">
        <f t="shared" si="3"/>
        <v>0</v>
      </c>
      <c r="AY28" s="49">
        <f t="shared" si="3"/>
        <v>0</v>
      </c>
      <c r="AZ28" s="49">
        <f t="shared" si="3"/>
        <v>0</v>
      </c>
      <c r="BA28" s="49">
        <f t="shared" si="3"/>
        <v>0</v>
      </c>
      <c r="BB28" s="49">
        <f t="shared" si="3"/>
        <v>0</v>
      </c>
      <c r="BC28" s="32"/>
      <c r="BF28" s="960" t="s">
        <v>952</v>
      </c>
      <c r="BG28" s="977"/>
      <c r="BH28" s="977"/>
      <c r="BI28" s="978"/>
      <c r="BJ28" s="978"/>
    </row>
    <row r="29" spans="1:62" s="1151" customFormat="1" ht="16.7" hidden="1" customHeight="1" x14ac:dyDescent="0.15">
      <c r="E29" s="674">
        <v>17.100000000000001</v>
      </c>
      <c r="F29" s="769" cm="1">
        <f t="array" aca="1" ref="F29" ca="1">OFFSET(G29,-1,-1)</f>
        <v>0</v>
      </c>
      <c r="T29" s="770" t="b" cm="1">
        <f t="array" ref="T29">T28</f>
        <v>0</v>
      </c>
      <c r="X29" s="1480"/>
      <c r="Z29" s="1480"/>
      <c r="AB29" s="163" t="s">
        <v>473</v>
      </c>
      <c r="AC29" s="220" t="s">
        <v>953</v>
      </c>
      <c r="AD29" s="118" t="s">
        <v>753</v>
      </c>
      <c r="AE29" s="213">
        <f t="shared" ref="AE29:BB29" si="4">SUMIF($AD33:$AD45,$AD29,AE33:AE45)</f>
        <v>0</v>
      </c>
      <c r="AF29" s="213">
        <f t="shared" si="4"/>
        <v>0</v>
      </c>
      <c r="AG29" s="213">
        <f t="shared" si="4"/>
        <v>0</v>
      </c>
      <c r="AH29" s="213">
        <f t="shared" si="4"/>
        <v>0</v>
      </c>
      <c r="AI29" s="213">
        <f t="shared" si="4"/>
        <v>0</v>
      </c>
      <c r="AJ29" s="1181">
        <f t="shared" si="4"/>
        <v>0</v>
      </c>
      <c r="AK29" s="1181">
        <f t="shared" si="4"/>
        <v>0</v>
      </c>
      <c r="AL29" s="10">
        <f t="shared" si="4"/>
        <v>0</v>
      </c>
      <c r="AM29" s="10">
        <f t="shared" si="4"/>
        <v>0</v>
      </c>
      <c r="AN29" s="10">
        <f t="shared" si="4"/>
        <v>0</v>
      </c>
      <c r="AO29" s="10">
        <f t="shared" si="4"/>
        <v>0</v>
      </c>
      <c r="AP29" s="10">
        <f t="shared" si="4"/>
        <v>0</v>
      </c>
      <c r="AQ29" s="10">
        <f t="shared" si="4"/>
        <v>0</v>
      </c>
      <c r="AR29" s="10">
        <f t="shared" si="4"/>
        <v>0</v>
      </c>
      <c r="AS29" s="213">
        <f t="shared" si="4"/>
        <v>0</v>
      </c>
      <c r="AT29" s="1181">
        <f t="shared" si="4"/>
        <v>0</v>
      </c>
      <c r="AU29" s="1181">
        <f t="shared" si="4"/>
        <v>0</v>
      </c>
      <c r="AV29" s="10">
        <f t="shared" si="4"/>
        <v>0</v>
      </c>
      <c r="AW29" s="10">
        <f t="shared" si="4"/>
        <v>0</v>
      </c>
      <c r="AX29" s="10">
        <f t="shared" si="4"/>
        <v>0</v>
      </c>
      <c r="AY29" s="10">
        <f t="shared" si="4"/>
        <v>0</v>
      </c>
      <c r="AZ29" s="10">
        <f t="shared" si="4"/>
        <v>0</v>
      </c>
      <c r="BA29" s="10">
        <f t="shared" si="4"/>
        <v>0</v>
      </c>
      <c r="BB29" s="10">
        <f t="shared" si="4"/>
        <v>0</v>
      </c>
      <c r="BC29" s="25"/>
      <c r="BF29" s="971" t="s">
        <v>954</v>
      </c>
      <c r="BG29" s="977"/>
      <c r="BH29" s="977"/>
      <c r="BI29" s="978"/>
      <c r="BJ29" s="978"/>
    </row>
    <row r="30" spans="1:62" s="1151" customFormat="1" ht="16.7" hidden="1" customHeight="1" x14ac:dyDescent="0.15">
      <c r="E30" s="674">
        <v>17.100000000000001</v>
      </c>
      <c r="F30" s="769" cm="1">
        <f t="array" aca="1" ref="F30" ca="1">OFFSET(G30,-1,-1)</f>
        <v>0</v>
      </c>
      <c r="T30" s="770" t="b" cm="1">
        <f t="array" ref="T30">T29</f>
        <v>0</v>
      </c>
      <c r="X30" s="1480"/>
      <c r="Z30" s="1480"/>
      <c r="AB30" s="163" t="s">
        <v>955</v>
      </c>
      <c r="AC30" s="220" t="s">
        <v>956</v>
      </c>
      <c r="AD30" s="118" t="s">
        <v>622</v>
      </c>
      <c r="AE30" s="50">
        <f ca="1">IF($K27="передача тепловой энергии",SUMIFS('Баланс Тр'!AE$27:AE$43,'Баланс Тр'!$F$27:$F$43,$F30,'Баланс Тр'!$AB$27:$AB$43,"3"),SUMIFS('Баланс Пр'!AE$27:AE$165,'Баланс Пр'!$F$27:$F$165,$F30,'Баланс Пр'!$AB$27:$AB$165,"9.1"))</f>
        <v>0</v>
      </c>
      <c r="AF30" s="50">
        <f ca="1">IF($K27="передача тепловой энергии",SUMIFS('Баланс Тр'!AF$27:AF$43,'Баланс Тр'!$F$27:$F$43,$F30,'Баланс Тр'!$AB$27:$AB$43,"3"),SUMIFS('Баланс Пр'!AF$27:AF$165,'Баланс Пр'!$F$27:$F$165,$F30,'Баланс Пр'!$AB$27:$AB$165,"9.1"))</f>
        <v>0</v>
      </c>
      <c r="AG30" s="50">
        <f ca="1">IF($K27="передача тепловой энергии",SUMIFS('Баланс Тр'!AG$27:AG$43,'Баланс Тр'!$F$27:$F$43,$F30,'Баланс Тр'!$AB$27:$AB$43,"3"),SUMIFS('Баланс Пр'!AG$27:AG$165,'Баланс Пр'!$F$27:$F$165,$F30,'Баланс Пр'!$AB$27:$AB$165,"9.1"))</f>
        <v>0</v>
      </c>
      <c r="AH30" s="50">
        <f ca="1">IF($K27="передача тепловой энергии",SUMIFS('Баланс Тр'!AH$27:AH$43,'Баланс Тр'!$F$27:$F$43,$F30,'Баланс Тр'!$AB$27:$AB$43,"3"),SUMIFS('Баланс Пр'!AH$27:AH$165,'Баланс Пр'!$F$27:$F$165,$F30,'Баланс Пр'!$AB$27:$AB$165,"9.1"))</f>
        <v>0</v>
      </c>
      <c r="AI30" s="254">
        <f ca="1">IF($K27="передача тепловой энергии",SUMIFS('Баланс Тр'!AI$27:AI$43,'Баланс Тр'!$F$27:$F$43,$F30,'Баланс Тр'!$AB$27:$AB$43,"3"),SUMIFS('Баланс Пр'!AI$27:AI$165,'Баланс Пр'!$F$27:$F$165,$F30,'Баланс Пр'!$AB$27:$AB$165,"9.1"))</f>
        <v>0</v>
      </c>
      <c r="AJ30" s="1260">
        <f ca="1">IF($K27="передача тепловой энергии",SUMIFS('Баланс Тр'!AJ$27:AJ$43,'Баланс Тр'!$F$27:$F$43,$F30,'Баланс Тр'!$AB$27:$AB$43,"3"),SUMIFS('Баланс Пр'!AJ$27:AJ$165,'Баланс Пр'!$F$27:$F$165,$F30,'Баланс Пр'!$AB$27:$AB$165,"9.1"))</f>
        <v>0</v>
      </c>
      <c r="AK30" s="1260">
        <f ca="1">IF($K27="передача тепловой энергии",SUMIFS('Баланс Тр'!AK$27:AK$43,'Баланс Тр'!$F$27:$F$43,$F30,'Баланс Тр'!$AB$27:$AB$43,"3"),SUMIFS('Баланс Пр'!AK$27:AK$165,'Баланс Пр'!$F$27:$F$165,$F30,'Баланс Пр'!$AB$27:$AB$165,"9.1"))</f>
        <v>0</v>
      </c>
      <c r="AL30" s="50">
        <f ca="1">IF($K27="передача тепловой энергии",SUMIFS('Баланс Тр'!AL$27:AL$43,'Баланс Тр'!$F$27:$F$43,$F30,'Баланс Тр'!$AB$27:$AB$43,"3"),SUMIFS('Баланс Пр'!AL$27:AL$165,'Баланс Пр'!$F$27:$F$165,$F30,'Баланс Пр'!$AB$27:$AB$165,"9.1"))</f>
        <v>0</v>
      </c>
      <c r="AM30" s="50">
        <f ca="1">IF($K27="передача тепловой энергии",SUMIFS('Баланс Тр'!AM$27:AM$43,'Баланс Тр'!$F$27:$F$43,$F30,'Баланс Тр'!$AB$27:$AB$43,"3"),SUMIFS('Баланс Пр'!AM$27:AM$165,'Баланс Пр'!$F$27:$F$165,$F30,'Баланс Пр'!$AB$27:$AB$165,"9.1"))</f>
        <v>0</v>
      </c>
      <c r="AN30" s="50">
        <f ca="1">IF($K27="передача тепловой энергии",SUMIFS('Баланс Тр'!AN$27:AN$43,'Баланс Тр'!$F$27:$F$43,$F30,'Баланс Тр'!$AB$27:$AB$43,"3"),SUMIFS('Баланс Пр'!AN$27:AN$165,'Баланс Пр'!$F$27:$F$165,$F30,'Баланс Пр'!$AB$27:$AB$165,"9.1"))</f>
        <v>0</v>
      </c>
      <c r="AO30" s="50">
        <f ca="1">IF($K27="передача тепловой энергии",SUMIFS('Баланс Тр'!AO$27:AO$43,'Баланс Тр'!$F$27:$F$43,$F30,'Баланс Тр'!$AB$27:$AB$43,"3"),SUMIFS('Баланс Пр'!AO$27:AO$165,'Баланс Пр'!$F$27:$F$165,$F30,'Баланс Пр'!$AB$27:$AB$165,"9.1"))</f>
        <v>0</v>
      </c>
      <c r="AP30" s="50">
        <f ca="1">IF($K27="передача тепловой энергии",SUMIFS('Баланс Тр'!AP$27:AP$43,'Баланс Тр'!$F$27:$F$43,$F30,'Баланс Тр'!$AB$27:$AB$43,"3"),SUMIFS('Баланс Пр'!AP$27:AP$165,'Баланс Пр'!$F$27:$F$165,$F30,'Баланс Пр'!$AB$27:$AB$165,"9.1"))</f>
        <v>0</v>
      </c>
      <c r="AQ30" s="50">
        <f ca="1">IF($K27="передача тепловой энергии",SUMIFS('Баланс Тр'!AQ$27:AQ$43,'Баланс Тр'!$F$27:$F$43,$F30,'Баланс Тр'!$AB$27:$AB$43,"3"),SUMIFS('Баланс Пр'!AQ$27:AQ$165,'Баланс Пр'!$F$27:$F$165,$F30,'Баланс Пр'!$AB$27:$AB$165,"9.1"))</f>
        <v>0</v>
      </c>
      <c r="AR30" s="50">
        <f ca="1">IF($K27="передача тепловой энергии",SUMIFS('Баланс Тр'!AR$27:AR$43,'Баланс Тр'!$F$27:$F$43,$F30,'Баланс Тр'!$AB$27:$AB$43,"3"),SUMIFS('Баланс Пр'!AR$27:AR$165,'Баланс Пр'!$F$27:$F$165,$F30,'Баланс Пр'!$AB$27:$AB$165,"9.1"))</f>
        <v>0</v>
      </c>
      <c r="AS30" s="254">
        <f ca="1">IF($K27="передача тепловой энергии",SUMIFS('Баланс Тр'!AS$27:AS$43,'Баланс Тр'!$F$27:$F$43,$F30,'Баланс Тр'!$AB$27:$AB$43,"3"),SUMIFS('Баланс Пр'!AS$27:AS$165,'Баланс Пр'!$F$27:$F$165,$F30,'Баланс Пр'!$AB$27:$AB$165,"9.1"))</f>
        <v>0</v>
      </c>
      <c r="AT30" s="1260">
        <f ca="1">IF($K27="передача тепловой энергии",SUMIFS('Баланс Тр'!AT$27:AT$43,'Баланс Тр'!$F$27:$F$43,$F30,'Баланс Тр'!$AB$27:$AB$43,"3"),SUMIFS('Баланс Пр'!AT$27:AT$165,'Баланс Пр'!$F$27:$F$165,$F30,'Баланс Пр'!$AB$27:$AB$165,"9.1"))</f>
        <v>0</v>
      </c>
      <c r="AU30" s="1260">
        <f ca="1">IF($K27="передача тепловой энергии",SUMIFS('Баланс Тр'!AU$27:AU$43,'Баланс Тр'!$F$27:$F$43,$F30,'Баланс Тр'!$AB$27:$AB$43,"3"),SUMIFS('Баланс Пр'!AU$27:AU$165,'Баланс Пр'!$F$27:$F$165,$F30,'Баланс Пр'!$AB$27:$AB$165,"9.1"))</f>
        <v>0</v>
      </c>
      <c r="AV30" s="50">
        <f ca="1">IF($K27="передача тепловой энергии",SUMIFS('Баланс Тр'!AV$27:AV$43,'Баланс Тр'!$F$27:$F$43,$F30,'Баланс Тр'!$AB$27:$AB$43,"3"),SUMIFS('Баланс Пр'!AV$27:AV$165,'Баланс Пр'!$F$27:$F$165,$F30,'Баланс Пр'!$AB$27:$AB$165,"9.1"))</f>
        <v>0</v>
      </c>
      <c r="AW30" s="50">
        <f ca="1">IF($K27="передача тепловой энергии",SUMIFS('Баланс Тр'!AW$27:AW$43,'Баланс Тр'!$F$27:$F$43,$F30,'Баланс Тр'!$AB$27:$AB$43,"3"),SUMIFS('Баланс Пр'!AW$27:AW$165,'Баланс Пр'!$F$27:$F$165,$F30,'Баланс Пр'!$AB$27:$AB$165,"9.1"))</f>
        <v>0</v>
      </c>
      <c r="AX30" s="50">
        <f ca="1">IF($K27="передача тепловой энергии",SUMIFS('Баланс Тр'!AX$27:AX$43,'Баланс Тр'!$F$27:$F$43,$F30,'Баланс Тр'!$AB$27:$AB$43,"3"),SUMIFS('Баланс Пр'!AX$27:AX$165,'Баланс Пр'!$F$27:$F$165,$F30,'Баланс Пр'!$AB$27:$AB$165,"9.1"))</f>
        <v>0</v>
      </c>
      <c r="AY30" s="50">
        <f ca="1">IF($K27="передача тепловой энергии",SUMIFS('Баланс Тр'!AY$27:AY$43,'Баланс Тр'!$F$27:$F$43,$F30,'Баланс Тр'!$AB$27:$AB$43,"3"),SUMIFS('Баланс Пр'!AY$27:AY$165,'Баланс Пр'!$F$27:$F$165,$F30,'Баланс Пр'!$AB$27:$AB$165,"9.1"))</f>
        <v>0</v>
      </c>
      <c r="AZ30" s="50">
        <f ca="1">IF($K27="передача тепловой энергии",SUMIFS('Баланс Тр'!AZ$27:AZ$43,'Баланс Тр'!$F$27:$F$43,$F30,'Баланс Тр'!$AB$27:$AB$43,"3"),SUMIFS('Баланс Пр'!AZ$27:AZ$165,'Баланс Пр'!$F$27:$F$165,$F30,'Баланс Пр'!$AB$27:$AB$165,"9.1"))</f>
        <v>0</v>
      </c>
      <c r="BA30" s="50">
        <f ca="1">IF($K27="передача тепловой энергии",SUMIFS('Баланс Тр'!BA$27:BA$43,'Баланс Тр'!$F$27:$F$43,$F30,'Баланс Тр'!$AB$27:$AB$43,"3"),SUMIFS('Баланс Пр'!BA$27:BA$165,'Баланс Пр'!$F$27:$F$165,$F30,'Баланс Пр'!$AB$27:$AB$165,"9.1"))</f>
        <v>0</v>
      </c>
      <c r="BB30" s="50">
        <f ca="1">IF($K27="передача тепловой энергии",SUMIFS('Баланс Тр'!BB$27:BB$43,'Баланс Тр'!$F$27:$F$43,$F30,'Баланс Тр'!$AB$27:$AB$43,"3"),SUMIFS('Баланс Пр'!BB$27:BB$165,'Баланс Пр'!$F$27:$F$165,$F30,'Баланс Пр'!$AB$27:$AB$165,"9.1"))</f>
        <v>0</v>
      </c>
      <c r="BC30" s="25"/>
      <c r="BF30" s="971" t="s">
        <v>779</v>
      </c>
      <c r="BG30" s="977"/>
      <c r="BH30" s="977"/>
      <c r="BI30" s="978"/>
      <c r="BJ30" s="978"/>
    </row>
    <row r="31" spans="1:62" s="1151" customFormat="1" ht="16.7" hidden="1" customHeight="1" x14ac:dyDescent="0.15">
      <c r="E31" s="674">
        <v>17.100000000000001</v>
      </c>
      <c r="F31" s="769" cm="1">
        <f t="array" aca="1" ref="F31" ca="1">OFFSET(G31,-1,-1)</f>
        <v>0</v>
      </c>
      <c r="T31" s="770" t="b" cm="1">
        <f t="array" ref="T31">T30</f>
        <v>0</v>
      </c>
      <c r="X31" s="1480"/>
      <c r="Z31" s="1480"/>
      <c r="AB31" s="163" t="s">
        <v>957</v>
      </c>
      <c r="AC31" s="220" t="s">
        <v>958</v>
      </c>
      <c r="AD31" s="118" t="s">
        <v>959</v>
      </c>
      <c r="AE31" s="213">
        <f t="shared" ref="AE31:BB31" si="5">IF(AE29=0,0,AE28/AE29)</f>
        <v>0</v>
      </c>
      <c r="AF31" s="213">
        <f t="shared" si="5"/>
        <v>0</v>
      </c>
      <c r="AG31" s="213">
        <f t="shared" si="5"/>
        <v>0</v>
      </c>
      <c r="AH31" s="213">
        <f t="shared" si="5"/>
        <v>0</v>
      </c>
      <c r="AI31" s="213">
        <f t="shared" si="5"/>
        <v>0</v>
      </c>
      <c r="AJ31" s="1181">
        <f t="shared" si="5"/>
        <v>0</v>
      </c>
      <c r="AK31" s="1181">
        <f t="shared" si="5"/>
        <v>0</v>
      </c>
      <c r="AL31" s="10">
        <f t="shared" si="5"/>
        <v>0</v>
      </c>
      <c r="AM31" s="10">
        <f t="shared" si="5"/>
        <v>0</v>
      </c>
      <c r="AN31" s="10">
        <f t="shared" si="5"/>
        <v>0</v>
      </c>
      <c r="AO31" s="10">
        <f t="shared" si="5"/>
        <v>0</v>
      </c>
      <c r="AP31" s="10">
        <f t="shared" si="5"/>
        <v>0</v>
      </c>
      <c r="AQ31" s="10">
        <f t="shared" si="5"/>
        <v>0</v>
      </c>
      <c r="AR31" s="10">
        <f t="shared" si="5"/>
        <v>0</v>
      </c>
      <c r="AS31" s="213">
        <f t="shared" si="5"/>
        <v>0</v>
      </c>
      <c r="AT31" s="1181">
        <f t="shared" si="5"/>
        <v>0</v>
      </c>
      <c r="AU31" s="1181">
        <f t="shared" si="5"/>
        <v>0</v>
      </c>
      <c r="AV31" s="10">
        <f t="shared" si="5"/>
        <v>0</v>
      </c>
      <c r="AW31" s="10">
        <f t="shared" si="5"/>
        <v>0</v>
      </c>
      <c r="AX31" s="10">
        <f t="shared" si="5"/>
        <v>0</v>
      </c>
      <c r="AY31" s="10">
        <f t="shared" si="5"/>
        <v>0</v>
      </c>
      <c r="AZ31" s="10">
        <f t="shared" si="5"/>
        <v>0</v>
      </c>
      <c r="BA31" s="10">
        <f t="shared" si="5"/>
        <v>0</v>
      </c>
      <c r="BB31" s="10">
        <f t="shared" si="5"/>
        <v>0</v>
      </c>
      <c r="BC31" s="25"/>
      <c r="BF31" s="971" t="s">
        <v>960</v>
      </c>
      <c r="BG31" s="977"/>
      <c r="BH31" s="977"/>
      <c r="BI31" s="978"/>
      <c r="BJ31" s="978"/>
    </row>
    <row r="32" spans="1:62" s="1151" customFormat="1" ht="16.7" hidden="1" customHeight="1" x14ac:dyDescent="0.15">
      <c r="E32" s="674">
        <v>17.100000000000001</v>
      </c>
      <c r="F32" s="769" cm="1">
        <f t="array" aca="1" ref="F32" ca="1">OFFSET(G32,-1,-1)</f>
        <v>0</v>
      </c>
      <c r="T32" s="770" t="b" cm="1">
        <f t="array" ref="T32">T31</f>
        <v>0</v>
      </c>
      <c r="X32" s="1480"/>
      <c r="Z32" s="1480"/>
      <c r="AB32" s="163" t="s">
        <v>961</v>
      </c>
      <c r="AC32" s="220" t="s">
        <v>962</v>
      </c>
      <c r="AD32" s="118" t="s">
        <v>765</v>
      </c>
      <c r="AE32" s="321">
        <f t="shared" ref="AE32:BB32" ca="1" si="6">IF(AE30=0,0,AE29/AE30)*1000</f>
        <v>0</v>
      </c>
      <c r="AF32" s="321">
        <f t="shared" ca="1" si="6"/>
        <v>0</v>
      </c>
      <c r="AG32" s="321">
        <f t="shared" ca="1" si="6"/>
        <v>0</v>
      </c>
      <c r="AH32" s="321">
        <f t="shared" ca="1" si="6"/>
        <v>0</v>
      </c>
      <c r="AI32" s="321">
        <f t="shared" ca="1" si="6"/>
        <v>0</v>
      </c>
      <c r="AJ32" s="1261">
        <f t="shared" ca="1" si="6"/>
        <v>0</v>
      </c>
      <c r="AK32" s="1261">
        <f t="shared" ca="1" si="6"/>
        <v>0</v>
      </c>
      <c r="AL32" s="51">
        <f t="shared" ca="1" si="6"/>
        <v>0</v>
      </c>
      <c r="AM32" s="51">
        <f t="shared" ca="1" si="6"/>
        <v>0</v>
      </c>
      <c r="AN32" s="51">
        <f t="shared" ca="1" si="6"/>
        <v>0</v>
      </c>
      <c r="AO32" s="51">
        <f t="shared" ca="1" si="6"/>
        <v>0</v>
      </c>
      <c r="AP32" s="51">
        <f t="shared" ca="1" si="6"/>
        <v>0</v>
      </c>
      <c r="AQ32" s="51">
        <f t="shared" ca="1" si="6"/>
        <v>0</v>
      </c>
      <c r="AR32" s="51">
        <f t="shared" ca="1" si="6"/>
        <v>0</v>
      </c>
      <c r="AS32" s="321">
        <f t="shared" ca="1" si="6"/>
        <v>0</v>
      </c>
      <c r="AT32" s="1261">
        <f t="shared" ca="1" si="6"/>
        <v>0</v>
      </c>
      <c r="AU32" s="1261">
        <f t="shared" ca="1" si="6"/>
        <v>0</v>
      </c>
      <c r="AV32" s="51">
        <f t="shared" ca="1" si="6"/>
        <v>0</v>
      </c>
      <c r="AW32" s="51">
        <f t="shared" ca="1" si="6"/>
        <v>0</v>
      </c>
      <c r="AX32" s="51">
        <f t="shared" ca="1" si="6"/>
        <v>0</v>
      </c>
      <c r="AY32" s="51">
        <f t="shared" ca="1" si="6"/>
        <v>0</v>
      </c>
      <c r="AZ32" s="51">
        <f t="shared" ca="1" si="6"/>
        <v>0</v>
      </c>
      <c r="BA32" s="51">
        <f t="shared" ca="1" si="6"/>
        <v>0</v>
      </c>
      <c r="BB32" s="51">
        <f t="shared" ca="1" si="6"/>
        <v>0</v>
      </c>
      <c r="BC32" s="25"/>
      <c r="BF32" s="971" t="s">
        <v>756</v>
      </c>
      <c r="BG32" s="977"/>
      <c r="BH32" s="977"/>
      <c r="BI32" s="978"/>
      <c r="BJ32" s="978"/>
    </row>
    <row r="33" spans="1:62" s="1151" customFormat="1" ht="16.7" hidden="1" customHeight="1" x14ac:dyDescent="0.15">
      <c r="E33" s="674">
        <v>17.100000000000001</v>
      </c>
      <c r="F33" s="769" cm="1">
        <f t="array" aca="1" ref="F33" ca="1">OFFSET(G33,-1,-1)</f>
        <v>0</v>
      </c>
      <c r="S33" s="106"/>
      <c r="T33" s="770" t="b" cm="1">
        <f t="array" ref="T33">T32</f>
        <v>0</v>
      </c>
      <c r="X33" s="1480"/>
      <c r="Z33" s="1480"/>
      <c r="AB33" s="286"/>
      <c r="AC33" s="283" t="s">
        <v>963</v>
      </c>
      <c r="AD33" s="284"/>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895"/>
      <c r="BF33" s="971"/>
      <c r="BG33" s="977"/>
      <c r="BH33" s="977"/>
      <c r="BI33" s="978"/>
      <c r="BJ33" s="978"/>
    </row>
    <row r="34" spans="1:62" s="1151" customFormat="1" ht="16.7" hidden="1" customHeight="1" x14ac:dyDescent="0.15">
      <c r="A34" s="918" t="str">
        <f ca="1">"checkCosts_1."&amp;F34&amp;"."&amp;Y34</f>
        <v>checkCosts_1.0.0</v>
      </c>
      <c r="E34" s="674">
        <v>17.100000000000001</v>
      </c>
      <c r="F34" s="769" cm="1">
        <f t="array" aca="1" ref="F34" ca="1">OFFSET(G34,-1,-1)</f>
        <v>0</v>
      </c>
      <c r="H34" s="160" cm="1">
        <f t="array" ref="H34">AC34</f>
        <v>0</v>
      </c>
      <c r="I34" s="162" t="s">
        <v>950</v>
      </c>
      <c r="S34" s="1554"/>
      <c r="T34" s="770" t="b">
        <f ca="1">AND(F34&gt;0,Y34&gt;0)</f>
        <v>0</v>
      </c>
      <c r="W34" s="119" t="s">
        <v>237</v>
      </c>
      <c r="X34" s="1480"/>
      <c r="Y34" s="1480">
        <v>0</v>
      </c>
      <c r="Z34" s="1480"/>
      <c r="AA34" s="1432" t="s">
        <v>218</v>
      </c>
      <c r="AB34" s="163" t="str">
        <f>"1.5."&amp;Y34</f>
        <v>1.5.0</v>
      </c>
      <c r="AC34" s="52"/>
      <c r="AD34" s="104" t="s">
        <v>830</v>
      </c>
      <c r="AE34" s="213">
        <f>AE35*AE36</f>
        <v>0</v>
      </c>
      <c r="AF34" s="10"/>
      <c r="AG34" s="10"/>
      <c r="AH34" s="213">
        <f>AH35*AH36</f>
        <v>0</v>
      </c>
      <c r="AI34" s="159"/>
      <c r="AJ34" s="1181"/>
      <c r="AK34" s="1181"/>
      <c r="AL34" s="10"/>
      <c r="AM34" s="10"/>
      <c r="AN34" s="10"/>
      <c r="AO34" s="10"/>
      <c r="AP34" s="10"/>
      <c r="AQ34" s="10"/>
      <c r="AR34" s="10"/>
      <c r="AS34" s="213">
        <f t="shared" ref="AS34:BB34" si="7">AS35*AS36</f>
        <v>0</v>
      </c>
      <c r="AT34" s="213">
        <f t="shared" si="7"/>
        <v>0</v>
      </c>
      <c r="AU34" s="213">
        <f t="shared" si="7"/>
        <v>0</v>
      </c>
      <c r="AV34" s="213">
        <f t="shared" si="7"/>
        <v>0</v>
      </c>
      <c r="AW34" s="213">
        <f t="shared" si="7"/>
        <v>0</v>
      </c>
      <c r="AX34" s="213">
        <f t="shared" si="7"/>
        <v>0</v>
      </c>
      <c r="AY34" s="213">
        <f t="shared" si="7"/>
        <v>0</v>
      </c>
      <c r="AZ34" s="213">
        <f t="shared" si="7"/>
        <v>0</v>
      </c>
      <c r="BA34" s="213">
        <f t="shared" si="7"/>
        <v>0</v>
      </c>
      <c r="BB34" s="213">
        <f t="shared" si="7"/>
        <v>0</v>
      </c>
      <c r="BC34" s="25"/>
      <c r="BF34" s="971" t="s">
        <v>964</v>
      </c>
      <c r="BG34" s="977" t="s">
        <v>965</v>
      </c>
      <c r="BH34" s="977" cm="1">
        <f t="array" ref="BH34">AC34</f>
        <v>0</v>
      </c>
      <c r="BI34" s="978"/>
      <c r="BJ34" s="978" t="b">
        <v>1</v>
      </c>
    </row>
    <row r="35" spans="1:62" s="663" customFormat="1" ht="16.7" hidden="1" customHeight="1" x14ac:dyDescent="0.15">
      <c r="E35" s="674">
        <v>17.100000000000001</v>
      </c>
      <c r="F35" s="769" cm="1">
        <f t="array" aca="1" ref="F35" ca="1">OFFSET(G35,-1,-1)</f>
        <v>0</v>
      </c>
      <c r="H35" s="160" cm="1">
        <f t="array" ref="H35">H34</f>
        <v>0</v>
      </c>
      <c r="S35" s="1554"/>
      <c r="T35" s="770" t="b" cm="1">
        <f t="array" aca="1" ref="T35" ca="1">T34</f>
        <v>0</v>
      </c>
      <c r="X35" s="1557"/>
      <c r="Y35" s="1557"/>
      <c r="Z35" s="1557"/>
      <c r="AA35" s="1432"/>
      <c r="AB35" s="686" t="str">
        <f>AB34&amp;".1"</f>
        <v>1.5.0.1</v>
      </c>
      <c r="AC35" s="655" t="s">
        <v>966</v>
      </c>
      <c r="AD35" s="122" t="s">
        <v>967</v>
      </c>
      <c r="AE35" s="53"/>
      <c r="AF35" s="1143">
        <f>IF(AF36=0,0,AF34/AF36)</f>
        <v>0</v>
      </c>
      <c r="AG35" s="1143">
        <f>IF(AG36=0,0,AG34/AG36)</f>
        <v>0</v>
      </c>
      <c r="AH35" s="53"/>
      <c r="AI35" s="1143">
        <f t="shared" ref="AI35:AR35" si="8">IF(AI36=0,0,AI34/AI36)</f>
        <v>0</v>
      </c>
      <c r="AJ35" s="1143">
        <f t="shared" si="8"/>
        <v>0</v>
      </c>
      <c r="AK35" s="1143">
        <f t="shared" si="8"/>
        <v>0</v>
      </c>
      <c r="AL35" s="1143">
        <f t="shared" si="8"/>
        <v>0</v>
      </c>
      <c r="AM35" s="1143">
        <f t="shared" si="8"/>
        <v>0</v>
      </c>
      <c r="AN35" s="1143">
        <f t="shared" si="8"/>
        <v>0</v>
      </c>
      <c r="AO35" s="1143">
        <f t="shared" si="8"/>
        <v>0</v>
      </c>
      <c r="AP35" s="1143">
        <f t="shared" si="8"/>
        <v>0</v>
      </c>
      <c r="AQ35" s="1143">
        <f t="shared" si="8"/>
        <v>0</v>
      </c>
      <c r="AR35" s="1143">
        <f t="shared" si="8"/>
        <v>0</v>
      </c>
      <c r="AS35" s="653"/>
      <c r="AT35" s="1262"/>
      <c r="AU35" s="1262"/>
      <c r="AV35" s="53"/>
      <c r="AW35" s="53"/>
      <c r="AX35" s="53"/>
      <c r="AY35" s="53"/>
      <c r="AZ35" s="53"/>
      <c r="BA35" s="53"/>
      <c r="BB35" s="53"/>
      <c r="BC35" s="20"/>
      <c r="BF35" s="971" t="s">
        <v>968</v>
      </c>
      <c r="BG35" s="977" t="s">
        <v>965</v>
      </c>
      <c r="BH35" s="977" cm="1">
        <f t="array" ref="BH35">BH34</f>
        <v>0</v>
      </c>
      <c r="BI35" s="978"/>
      <c r="BJ35" s="978"/>
    </row>
    <row r="36" spans="1:62" s="1151" customFormat="1" ht="16.7" hidden="1" customHeight="1" x14ac:dyDescent="0.15">
      <c r="A36" s="918" t="str">
        <f ca="1">"checkVolume_1."&amp;F36&amp;"."&amp;Y34</f>
        <v>checkVolume_1.0.0</v>
      </c>
      <c r="E36" s="674">
        <v>17.100000000000001</v>
      </c>
      <c r="F36" s="769" cm="1">
        <f t="array" aca="1" ref="F36" ca="1">OFFSET(G36,-1,-1)</f>
        <v>0</v>
      </c>
      <c r="H36" s="160" cm="1">
        <f t="array" ref="H36">H34</f>
        <v>0</v>
      </c>
      <c r="S36" s="1554"/>
      <c r="T36" s="770" t="b" cm="1">
        <f t="array" aca="1" ref="T36" ca="1">T34</f>
        <v>0</v>
      </c>
      <c r="X36" s="1480"/>
      <c r="Y36" s="1480"/>
      <c r="Z36" s="1480"/>
      <c r="AA36" s="1432"/>
      <c r="AB36" s="686" t="str">
        <f>AB34&amp;".2"</f>
        <v>1.5.0.2</v>
      </c>
      <c r="AC36" s="655" t="s">
        <v>969</v>
      </c>
      <c r="AD36" s="122" t="s">
        <v>753</v>
      </c>
      <c r="AE36" s="53"/>
      <c r="AF36" s="53"/>
      <c r="AG36" s="53"/>
      <c r="AH36" s="53"/>
      <c r="AI36" s="653"/>
      <c r="AJ36" s="1262"/>
      <c r="AK36" s="1262"/>
      <c r="AL36" s="53"/>
      <c r="AM36" s="53"/>
      <c r="AN36" s="53"/>
      <c r="AO36" s="53"/>
      <c r="AP36" s="53"/>
      <c r="AQ36" s="53"/>
      <c r="AR36" s="53"/>
      <c r="AS36" s="653"/>
      <c r="AT36" s="1262"/>
      <c r="AU36" s="1262"/>
      <c r="AV36" s="53"/>
      <c r="AW36" s="53"/>
      <c r="AX36" s="53"/>
      <c r="AY36" s="53"/>
      <c r="AZ36" s="53"/>
      <c r="BA36" s="53"/>
      <c r="BB36" s="53"/>
      <c r="BC36" s="20"/>
      <c r="BF36" s="971" t="s">
        <v>970</v>
      </c>
      <c r="BG36" s="977" t="s">
        <v>965</v>
      </c>
      <c r="BH36" s="977" cm="1">
        <f t="array" ref="BH36">BH34</f>
        <v>0</v>
      </c>
      <c r="BI36" s="978"/>
      <c r="BJ36" s="978"/>
    </row>
    <row r="37" spans="1:62" s="804" customFormat="1" ht="16.7" hidden="1" customHeight="1" x14ac:dyDescent="0.15">
      <c r="E37" s="668">
        <v>17.100000000000001</v>
      </c>
      <c r="F37" s="769" cm="1">
        <f t="array" aca="1" ref="F37" ca="1">OFFSET(G37,-1,-1)</f>
        <v>0</v>
      </c>
      <c r="T37" s="770" t="b">
        <f ca="1">F37&gt;0</f>
        <v>0</v>
      </c>
      <c r="W37" s="312" t="s">
        <v>971</v>
      </c>
      <c r="X37" s="1564"/>
      <c r="Z37" s="1564"/>
      <c r="AB37" s="687"/>
      <c r="AC37" s="654" t="s">
        <v>239</v>
      </c>
      <c r="AD37" s="654"/>
      <c r="AE37" s="654"/>
      <c r="AF37" s="654"/>
      <c r="AG37" s="654"/>
      <c r="AH37" s="654"/>
      <c r="AI37" s="654"/>
      <c r="AJ37" s="654"/>
      <c r="AK37" s="654"/>
      <c r="AL37" s="654"/>
      <c r="AM37" s="654"/>
      <c r="AN37" s="654"/>
      <c r="AO37" s="654"/>
      <c r="AP37" s="654"/>
      <c r="AQ37" s="654"/>
      <c r="AR37" s="654"/>
      <c r="AS37" s="654"/>
      <c r="AT37" s="654"/>
      <c r="AU37" s="654"/>
      <c r="AV37" s="654"/>
      <c r="AW37" s="654"/>
      <c r="AX37" s="654"/>
      <c r="AY37" s="654"/>
      <c r="AZ37" s="654"/>
      <c r="BA37" s="654"/>
      <c r="BB37" s="654"/>
      <c r="BC37" s="896"/>
      <c r="BF37" s="960"/>
      <c r="BG37" s="960"/>
      <c r="BH37" s="960"/>
      <c r="BI37" s="976" t="s">
        <v>965</v>
      </c>
      <c r="BJ37" s="976"/>
    </row>
    <row r="38" spans="1:62" s="1151" customFormat="1" ht="16.7" hidden="1" customHeight="1" x14ac:dyDescent="0.15">
      <c r="E38" s="674">
        <v>17.100000000000001</v>
      </c>
      <c r="F38" s="769" cm="1">
        <f t="array" aca="1" ref="F38" ca="1">OFFSET(G38,-1,-1)</f>
        <v>0</v>
      </c>
      <c r="S38" s="106"/>
      <c r="T38" s="770" t="b">
        <f ca="1">F38&gt;0</f>
        <v>0</v>
      </c>
      <c r="X38" s="1480"/>
      <c r="Z38" s="1480"/>
      <c r="AB38" s="656"/>
      <c r="AC38" s="283" t="s">
        <v>972</v>
      </c>
      <c r="AD38" s="284"/>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897"/>
      <c r="BF38" s="971"/>
      <c r="BG38" s="977"/>
      <c r="BH38" s="977"/>
      <c r="BI38" s="978"/>
      <c r="BJ38" s="978"/>
    </row>
    <row r="39" spans="1:62" s="1151" customFormat="1" ht="16.7" hidden="1" customHeight="1" x14ac:dyDescent="0.15">
      <c r="E39" s="674">
        <v>17.100000000000001</v>
      </c>
      <c r="F39" s="769" cm="1">
        <f t="array" aca="1" ref="F39" ca="1">OFFSET(G39,-1,-1)</f>
        <v>0</v>
      </c>
      <c r="H39" s="160" cm="1">
        <f t="array" ref="H39">AC39</f>
        <v>0</v>
      </c>
      <c r="I39" s="162" t="s">
        <v>950</v>
      </c>
      <c r="S39" s="1554"/>
      <c r="T39" s="770" t="b">
        <f ca="1">AND(F39&gt;0,Y39&gt;0)</f>
        <v>0</v>
      </c>
      <c r="W39" s="119" t="s">
        <v>237</v>
      </c>
      <c r="X39" s="1480"/>
      <c r="Y39" s="1480">
        <v>0</v>
      </c>
      <c r="Z39" s="1480"/>
      <c r="AA39" s="1432" t="s">
        <v>218</v>
      </c>
      <c r="AB39" s="163" t="str">
        <f>"1.6."&amp;Y39</f>
        <v>1.6.0</v>
      </c>
      <c r="AC39" s="52"/>
      <c r="AD39" s="104" t="s">
        <v>830</v>
      </c>
      <c r="AE39" s="213">
        <f t="shared" ref="AE39:BB39" si="9">AE41+AE43</f>
        <v>0</v>
      </c>
      <c r="AF39" s="213">
        <f t="shared" si="9"/>
        <v>0</v>
      </c>
      <c r="AG39" s="213">
        <f t="shared" si="9"/>
        <v>0</v>
      </c>
      <c r="AH39" s="213">
        <f t="shared" si="9"/>
        <v>0</v>
      </c>
      <c r="AI39" s="213">
        <f t="shared" si="9"/>
        <v>0</v>
      </c>
      <c r="AJ39" s="1181">
        <f t="shared" si="9"/>
        <v>0</v>
      </c>
      <c r="AK39" s="1181">
        <f t="shared" si="9"/>
        <v>0</v>
      </c>
      <c r="AL39" s="10">
        <f t="shared" si="9"/>
        <v>0</v>
      </c>
      <c r="AM39" s="10">
        <f t="shared" si="9"/>
        <v>0</v>
      </c>
      <c r="AN39" s="10">
        <f t="shared" si="9"/>
        <v>0</v>
      </c>
      <c r="AO39" s="10">
        <f t="shared" si="9"/>
        <v>0</v>
      </c>
      <c r="AP39" s="10">
        <f t="shared" si="9"/>
        <v>0</v>
      </c>
      <c r="AQ39" s="10">
        <f t="shared" si="9"/>
        <v>0</v>
      </c>
      <c r="AR39" s="10">
        <f t="shared" si="9"/>
        <v>0</v>
      </c>
      <c r="AS39" s="213">
        <f t="shared" si="9"/>
        <v>0</v>
      </c>
      <c r="AT39" s="1181">
        <f t="shared" si="9"/>
        <v>0</v>
      </c>
      <c r="AU39" s="1181">
        <f t="shared" si="9"/>
        <v>0</v>
      </c>
      <c r="AV39" s="10">
        <f t="shared" si="9"/>
        <v>0</v>
      </c>
      <c r="AW39" s="10">
        <f t="shared" si="9"/>
        <v>0</v>
      </c>
      <c r="AX39" s="10">
        <f t="shared" si="9"/>
        <v>0</v>
      </c>
      <c r="AY39" s="10">
        <f t="shared" si="9"/>
        <v>0</v>
      </c>
      <c r="AZ39" s="10">
        <f t="shared" si="9"/>
        <v>0</v>
      </c>
      <c r="BA39" s="10">
        <f t="shared" si="9"/>
        <v>0</v>
      </c>
      <c r="BB39" s="10">
        <f t="shared" si="9"/>
        <v>0</v>
      </c>
      <c r="BC39" s="25"/>
      <c r="BF39" s="971" t="s">
        <v>973</v>
      </c>
      <c r="BG39" s="977" t="s">
        <v>974</v>
      </c>
      <c r="BH39" s="977" cm="1">
        <f t="array" ref="BH39">AC39</f>
        <v>0</v>
      </c>
      <c r="BI39" s="978"/>
      <c r="BJ39" s="978" t="b">
        <v>1</v>
      </c>
    </row>
    <row r="40" spans="1:62" s="663" customFormat="1" ht="16.7" hidden="1" customHeight="1" x14ac:dyDescent="0.15">
      <c r="E40" s="674">
        <v>17.100000000000001</v>
      </c>
      <c r="F40" s="769" cm="1">
        <f t="array" aca="1" ref="F40" ca="1">OFFSET(G40,-1,-1)</f>
        <v>0</v>
      </c>
      <c r="H40" s="160" cm="1">
        <f t="array" ref="H40">H39</f>
        <v>0</v>
      </c>
      <c r="S40" s="1554"/>
      <c r="T40" s="770" t="b" cm="1">
        <f t="array" aca="1" ref="T40" ca="1">T39</f>
        <v>0</v>
      </c>
      <c r="X40" s="1557"/>
      <c r="Y40" s="1557"/>
      <c r="Z40" s="1557"/>
      <c r="AA40" s="1432"/>
      <c r="AB40" s="163" t="str">
        <f>AB39&amp;".1"</f>
        <v>1.6.0.1</v>
      </c>
      <c r="AC40" s="220" t="s">
        <v>966</v>
      </c>
      <c r="AD40" s="104" t="s">
        <v>967</v>
      </c>
      <c r="AE40" s="10"/>
      <c r="AF40" s="213">
        <f>IF(AF42=0,0,AF41/AF42)</f>
        <v>0</v>
      </c>
      <c r="AG40" s="213">
        <f>IF(AG42=0,0,AG41/AG42)</f>
        <v>0</v>
      </c>
      <c r="AH40" s="10"/>
      <c r="AI40" s="213">
        <f t="shared" ref="AI40:AR40" si="10">IF(AI42=0,0,AI41/AI42)</f>
        <v>0</v>
      </c>
      <c r="AJ40" s="213">
        <f t="shared" si="10"/>
        <v>0</v>
      </c>
      <c r="AK40" s="213">
        <f t="shared" si="10"/>
        <v>0</v>
      </c>
      <c r="AL40" s="213">
        <f t="shared" si="10"/>
        <v>0</v>
      </c>
      <c r="AM40" s="213">
        <f t="shared" si="10"/>
        <v>0</v>
      </c>
      <c r="AN40" s="213">
        <f t="shared" si="10"/>
        <v>0</v>
      </c>
      <c r="AO40" s="213">
        <f t="shared" si="10"/>
        <v>0</v>
      </c>
      <c r="AP40" s="213">
        <f t="shared" si="10"/>
        <v>0</v>
      </c>
      <c r="AQ40" s="213">
        <f t="shared" si="10"/>
        <v>0</v>
      </c>
      <c r="AR40" s="213">
        <f t="shared" si="10"/>
        <v>0</v>
      </c>
      <c r="AS40" s="159"/>
      <c r="AT40" s="1181"/>
      <c r="AU40" s="1181"/>
      <c r="AV40" s="10"/>
      <c r="AW40" s="10"/>
      <c r="AX40" s="10"/>
      <c r="AY40" s="10"/>
      <c r="AZ40" s="10"/>
      <c r="BA40" s="10"/>
      <c r="BB40" s="10"/>
      <c r="BC40" s="25"/>
      <c r="BF40" s="971" t="s">
        <v>968</v>
      </c>
      <c r="BG40" s="977" t="s">
        <v>974</v>
      </c>
      <c r="BH40" s="977" cm="1">
        <f t="array" ref="BH40">BH39</f>
        <v>0</v>
      </c>
      <c r="BI40" s="978"/>
      <c r="BJ40" s="978"/>
    </row>
    <row r="41" spans="1:62" s="1151" customFormat="1" ht="16.7" hidden="1" customHeight="1" x14ac:dyDescent="0.15">
      <c r="A41" s="918" t="str">
        <f ca="1">"checkCosts_2."&amp;F41&amp;"."&amp;Y39</f>
        <v>checkCosts_2.0.0</v>
      </c>
      <c r="E41" s="674">
        <v>17.100000000000001</v>
      </c>
      <c r="F41" s="769" cm="1">
        <f t="array" aca="1" ref="F41" ca="1">OFFSET(G41,-1,-1)</f>
        <v>0</v>
      </c>
      <c r="H41" s="160" cm="1">
        <f t="array" ref="H41">H39</f>
        <v>0</v>
      </c>
      <c r="S41" s="1554"/>
      <c r="T41" s="770" t="b" cm="1">
        <f t="array" aca="1" ref="T41" ca="1">T39</f>
        <v>0</v>
      </c>
      <c r="X41" s="1480"/>
      <c r="Y41" s="1480"/>
      <c r="Z41" s="1480"/>
      <c r="AA41" s="1432"/>
      <c r="AB41" s="163" t="str">
        <f>AB39&amp;".2"</f>
        <v>1.6.0.2</v>
      </c>
      <c r="AC41" s="220" t="s">
        <v>975</v>
      </c>
      <c r="AD41" s="104" t="s">
        <v>830</v>
      </c>
      <c r="AE41" s="10"/>
      <c r="AF41" s="10"/>
      <c r="AG41" s="10"/>
      <c r="AH41" s="10"/>
      <c r="AI41" s="159"/>
      <c r="AJ41" s="1181"/>
      <c r="AK41" s="1181"/>
      <c r="AL41" s="10"/>
      <c r="AM41" s="10"/>
      <c r="AN41" s="10"/>
      <c r="AO41" s="10"/>
      <c r="AP41" s="10"/>
      <c r="AQ41" s="10"/>
      <c r="AR41" s="10"/>
      <c r="AS41" s="159"/>
      <c r="AT41" s="1181"/>
      <c r="AU41" s="1181"/>
      <c r="AV41" s="10"/>
      <c r="AW41" s="10"/>
      <c r="AX41" s="10"/>
      <c r="AY41" s="10"/>
      <c r="AZ41" s="10"/>
      <c r="BA41" s="10"/>
      <c r="BB41" s="10"/>
      <c r="BC41" s="25"/>
      <c r="BF41" s="971" t="s">
        <v>964</v>
      </c>
      <c r="BG41" s="977" t="s">
        <v>974</v>
      </c>
      <c r="BH41" s="977" cm="1">
        <f t="array" ref="BH41">BH39</f>
        <v>0</v>
      </c>
      <c r="BI41" s="978"/>
      <c r="BJ41" s="978"/>
    </row>
    <row r="42" spans="1:62" s="1151" customFormat="1" ht="16.7" hidden="1" customHeight="1" x14ac:dyDescent="0.15">
      <c r="A42" s="918" t="str">
        <f ca="1">"checkVolume_2."&amp;F42&amp;"."&amp;Y39</f>
        <v>checkVolume_2.0.0</v>
      </c>
      <c r="E42" s="674">
        <v>17.100000000000001</v>
      </c>
      <c r="F42" s="769" cm="1">
        <f t="array" aca="1" ref="F42" ca="1">OFFSET(G42,-1,-1)</f>
        <v>0</v>
      </c>
      <c r="H42" s="160" cm="1">
        <f t="array" ref="H42">H41</f>
        <v>0</v>
      </c>
      <c r="S42" s="1554"/>
      <c r="T42" s="770" t="b" cm="1">
        <f t="array" aca="1" ref="T42" ca="1">T41</f>
        <v>0</v>
      </c>
      <c r="X42" s="1480"/>
      <c r="Y42" s="1480"/>
      <c r="Z42" s="1480"/>
      <c r="AA42" s="1432"/>
      <c r="AB42" s="163" t="str">
        <f>AB39&amp;".2.1"</f>
        <v>1.6.0.2.1</v>
      </c>
      <c r="AC42" s="347" t="s">
        <v>969</v>
      </c>
      <c r="AD42" s="118" t="s">
        <v>753</v>
      </c>
      <c r="AE42" s="10"/>
      <c r="AF42" s="10"/>
      <c r="AG42" s="10"/>
      <c r="AH42" s="10"/>
      <c r="AI42" s="159"/>
      <c r="AJ42" s="1181"/>
      <c r="AK42" s="1181"/>
      <c r="AL42" s="10"/>
      <c r="AM42" s="10"/>
      <c r="AN42" s="10"/>
      <c r="AO42" s="10"/>
      <c r="AP42" s="10"/>
      <c r="AQ42" s="10"/>
      <c r="AR42" s="10"/>
      <c r="AS42" s="159"/>
      <c r="AT42" s="1181"/>
      <c r="AU42" s="1181"/>
      <c r="AV42" s="10"/>
      <c r="AW42" s="10"/>
      <c r="AX42" s="10"/>
      <c r="AY42" s="10"/>
      <c r="AZ42" s="10"/>
      <c r="BA42" s="10"/>
      <c r="BB42" s="10"/>
      <c r="BC42" s="25"/>
      <c r="BF42" s="971" t="s">
        <v>970</v>
      </c>
      <c r="BG42" s="977" t="s">
        <v>974</v>
      </c>
      <c r="BH42" s="977" cm="1">
        <f t="array" ref="BH42">BH41</f>
        <v>0</v>
      </c>
      <c r="BI42" s="978"/>
      <c r="BJ42" s="978"/>
    </row>
    <row r="43" spans="1:62" s="1151" customFormat="1" ht="16.7" hidden="1" customHeight="1" x14ac:dyDescent="0.15">
      <c r="A43" s="918" t="str">
        <f ca="1">"checkCosts_3."&amp;F43&amp;"."&amp;Y39</f>
        <v>checkCosts_3.0.0</v>
      </c>
      <c r="E43" s="674">
        <v>17.100000000000001</v>
      </c>
      <c r="F43" s="769" cm="1">
        <f t="array" aca="1" ref="F43" ca="1">OFFSET(G43,-1,-1)</f>
        <v>0</v>
      </c>
      <c r="H43" s="160" cm="1">
        <f t="array" ref="H43">H42</f>
        <v>0</v>
      </c>
      <c r="S43" s="1554"/>
      <c r="T43" s="770" t="b" cm="1">
        <f t="array" aca="1" ref="T43" ca="1">T42</f>
        <v>0</v>
      </c>
      <c r="X43" s="1480"/>
      <c r="Y43" s="1480"/>
      <c r="Z43" s="1480"/>
      <c r="AA43" s="1432"/>
      <c r="AB43" s="163" t="str">
        <f>AB39&amp;".3"</f>
        <v>1.6.0.3</v>
      </c>
      <c r="AC43" s="220" t="s">
        <v>976</v>
      </c>
      <c r="AD43" s="104" t="s">
        <v>977</v>
      </c>
      <c r="AE43" s="10"/>
      <c r="AF43" s="10"/>
      <c r="AG43" s="10"/>
      <c r="AH43" s="10"/>
      <c r="AI43" s="159"/>
      <c r="AJ43" s="1181"/>
      <c r="AK43" s="1181"/>
      <c r="AL43" s="10"/>
      <c r="AM43" s="10"/>
      <c r="AN43" s="10"/>
      <c r="AO43" s="10"/>
      <c r="AP43" s="10"/>
      <c r="AQ43" s="10"/>
      <c r="AR43" s="10"/>
      <c r="AS43" s="159"/>
      <c r="AT43" s="1181"/>
      <c r="AU43" s="1181"/>
      <c r="AV43" s="10"/>
      <c r="AW43" s="10"/>
      <c r="AX43" s="10"/>
      <c r="AY43" s="10"/>
      <c r="AZ43" s="10"/>
      <c r="BA43" s="10"/>
      <c r="BB43" s="10"/>
      <c r="BC43" s="25"/>
      <c r="BF43" s="971" t="s">
        <v>978</v>
      </c>
      <c r="BG43" s="977" t="s">
        <v>974</v>
      </c>
      <c r="BH43" s="977" cm="1">
        <f t="array" ref="BH43">BH42</f>
        <v>0</v>
      </c>
      <c r="BI43" s="978"/>
      <c r="BJ43" s="978"/>
    </row>
    <row r="44" spans="1:62" s="1151" customFormat="1" ht="16.7" hidden="1" customHeight="1" x14ac:dyDescent="0.15">
      <c r="A44" s="918" t="str">
        <f ca="1">"checkVolume_3."&amp;F44&amp;"."&amp;Y39</f>
        <v>checkVolume_3.0.0</v>
      </c>
      <c r="E44" s="674">
        <v>17.100000000000001</v>
      </c>
      <c r="F44" s="769" cm="1">
        <f t="array" aca="1" ref="F44" ca="1">OFFSET(G44,-1,-1)</f>
        <v>0</v>
      </c>
      <c r="H44" s="160" cm="1">
        <f t="array" ref="H44">H43</f>
        <v>0</v>
      </c>
      <c r="S44" s="1554"/>
      <c r="T44" s="770" t="b" cm="1">
        <f t="array" aca="1" ref="T44" ca="1">T43</f>
        <v>0</v>
      </c>
      <c r="X44" s="1480"/>
      <c r="Y44" s="1480"/>
      <c r="Z44" s="1480"/>
      <c r="AA44" s="1432"/>
      <c r="AB44" s="686" t="str">
        <f>AB39&amp;".3.1"</f>
        <v>1.6.0.3.1</v>
      </c>
      <c r="AC44" s="652" t="s">
        <v>979</v>
      </c>
      <c r="AD44" s="122" t="s">
        <v>980</v>
      </c>
      <c r="AE44" s="53"/>
      <c r="AF44" s="53"/>
      <c r="AG44" s="53"/>
      <c r="AH44" s="53"/>
      <c r="AI44" s="653"/>
      <c r="AJ44" s="1262"/>
      <c r="AK44" s="1262"/>
      <c r="AL44" s="53"/>
      <c r="AM44" s="53"/>
      <c r="AN44" s="53"/>
      <c r="AO44" s="53"/>
      <c r="AP44" s="53"/>
      <c r="AQ44" s="53"/>
      <c r="AR44" s="53"/>
      <c r="AS44" s="653"/>
      <c r="AT44" s="1262"/>
      <c r="AU44" s="1262"/>
      <c r="AV44" s="53"/>
      <c r="AW44" s="53"/>
      <c r="AX44" s="53"/>
      <c r="AY44" s="53"/>
      <c r="AZ44" s="53"/>
      <c r="BA44" s="53"/>
      <c r="BB44" s="53"/>
      <c r="BC44" s="20"/>
      <c r="BF44" s="971" t="s">
        <v>981</v>
      </c>
      <c r="BG44" s="977" t="s">
        <v>974</v>
      </c>
      <c r="BH44" s="977" cm="1">
        <f t="array" ref="BH44">BH43</f>
        <v>0</v>
      </c>
      <c r="BI44" s="978"/>
      <c r="BJ44" s="978"/>
    </row>
    <row r="45" spans="1:62" s="804" customFormat="1" ht="16.7" hidden="1" customHeight="1" x14ac:dyDescent="0.15">
      <c r="E45" s="668">
        <v>17.100000000000001</v>
      </c>
      <c r="F45" s="769" cm="1">
        <f t="array" aca="1" ref="F45" ca="1">OFFSET(G45,-1,-1)</f>
        <v>0</v>
      </c>
      <c r="T45" s="770" t="b">
        <f ca="1">F45&gt;0</f>
        <v>0</v>
      </c>
      <c r="W45" s="312" t="s">
        <v>982</v>
      </c>
      <c r="X45" s="1564"/>
      <c r="Z45" s="1564"/>
      <c r="AB45" s="687"/>
      <c r="AC45" s="654" t="s">
        <v>983</v>
      </c>
      <c r="AD45" s="654"/>
      <c r="AE45" s="654"/>
      <c r="AF45" s="654"/>
      <c r="AG45" s="654"/>
      <c r="AH45" s="654"/>
      <c r="AI45" s="654"/>
      <c r="AJ45" s="654"/>
      <c r="AK45" s="654"/>
      <c r="AL45" s="654"/>
      <c r="AM45" s="654"/>
      <c r="AN45" s="654"/>
      <c r="AO45" s="654"/>
      <c r="AP45" s="654"/>
      <c r="AQ45" s="654"/>
      <c r="AR45" s="654"/>
      <c r="AS45" s="654"/>
      <c r="AT45" s="654"/>
      <c r="AU45" s="654"/>
      <c r="AV45" s="654"/>
      <c r="AW45" s="654"/>
      <c r="AX45" s="654"/>
      <c r="AY45" s="654"/>
      <c r="AZ45" s="654"/>
      <c r="BA45" s="654"/>
      <c r="BB45" s="654"/>
      <c r="BC45" s="896"/>
      <c r="BF45" s="960"/>
      <c r="BG45" s="960"/>
      <c r="BH45" s="960"/>
      <c r="BI45" s="976" t="s">
        <v>974</v>
      </c>
      <c r="BJ45" s="976"/>
    </row>
    <row r="46" spans="1:62" s="804" customFormat="1" ht="12" hidden="1" customHeight="1" x14ac:dyDescent="0.15">
      <c r="E46" s="668">
        <v>0</v>
      </c>
      <c r="F46" s="769" cm="1">
        <f t="array" aca="1" ref="F46" ca="1">OFFSET(G46,-1,-1)</f>
        <v>0</v>
      </c>
      <c r="T46" s="770" t="b">
        <f ca="1">F46&gt;0</f>
        <v>0</v>
      </c>
      <c r="X46" s="1564"/>
      <c r="Z46" s="1564"/>
      <c r="BF46" s="960"/>
      <c r="BG46" s="960"/>
      <c r="BH46" s="960"/>
      <c r="BI46" s="976"/>
      <c r="BJ46" s="976"/>
    </row>
    <row r="47" spans="1:62" s="170" customFormat="1" ht="14.65" hidden="1" customHeight="1" x14ac:dyDescent="0.15">
      <c r="E47" s="771">
        <v>15</v>
      </c>
      <c r="F47" s="769" cm="1">
        <f t="array" aca="1" ref="F47" ca="1">OFFSET(G47,-1,-1)</f>
        <v>0</v>
      </c>
      <c r="G47" s="140" t="s">
        <v>984</v>
      </c>
      <c r="I47" s="162" t="s">
        <v>950</v>
      </c>
      <c r="T47" s="770" t="b">
        <f ca="1">F47&gt;0</f>
        <v>0</v>
      </c>
      <c r="X47" s="1555"/>
      <c r="Z47" s="1555"/>
      <c r="AB47" s="688">
        <v>2</v>
      </c>
      <c r="AC47" s="657" t="s">
        <v>985</v>
      </c>
      <c r="AD47" s="658" t="s">
        <v>830</v>
      </c>
      <c r="AE47" s="226">
        <f t="shared" ref="AE47:BB47" si="11">SUMIF($I51:$I67,$I47,AE51:AE67)</f>
        <v>0</v>
      </c>
      <c r="AF47" s="226">
        <f t="shared" si="11"/>
        <v>0</v>
      </c>
      <c r="AG47" s="226">
        <f t="shared" si="11"/>
        <v>0</v>
      </c>
      <c r="AH47" s="226">
        <f t="shared" si="11"/>
        <v>0</v>
      </c>
      <c r="AI47" s="226">
        <f t="shared" si="11"/>
        <v>0</v>
      </c>
      <c r="AJ47" s="1263">
        <f t="shared" si="11"/>
        <v>0</v>
      </c>
      <c r="AK47" s="1263">
        <f t="shared" si="11"/>
        <v>0</v>
      </c>
      <c r="AL47" s="54">
        <f t="shared" si="11"/>
        <v>0</v>
      </c>
      <c r="AM47" s="54">
        <f t="shared" si="11"/>
        <v>0</v>
      </c>
      <c r="AN47" s="54">
        <f t="shared" si="11"/>
        <v>0</v>
      </c>
      <c r="AO47" s="54">
        <f t="shared" si="11"/>
        <v>0</v>
      </c>
      <c r="AP47" s="54">
        <f t="shared" si="11"/>
        <v>0</v>
      </c>
      <c r="AQ47" s="54">
        <f t="shared" si="11"/>
        <v>0</v>
      </c>
      <c r="AR47" s="54">
        <f t="shared" si="11"/>
        <v>0</v>
      </c>
      <c r="AS47" s="226">
        <f t="shared" si="11"/>
        <v>0</v>
      </c>
      <c r="AT47" s="1263">
        <f t="shared" si="11"/>
        <v>0</v>
      </c>
      <c r="AU47" s="1263">
        <f t="shared" si="11"/>
        <v>0</v>
      </c>
      <c r="AV47" s="54">
        <f t="shared" si="11"/>
        <v>0</v>
      </c>
      <c r="AW47" s="54">
        <f t="shared" si="11"/>
        <v>0</v>
      </c>
      <c r="AX47" s="54">
        <f t="shared" si="11"/>
        <v>0</v>
      </c>
      <c r="AY47" s="54">
        <f t="shared" si="11"/>
        <v>0</v>
      </c>
      <c r="AZ47" s="54">
        <f t="shared" si="11"/>
        <v>0</v>
      </c>
      <c r="BA47" s="54">
        <f t="shared" si="11"/>
        <v>0</v>
      </c>
      <c r="BB47" s="54">
        <f t="shared" si="11"/>
        <v>0</v>
      </c>
      <c r="BC47" s="31"/>
      <c r="BF47" s="979" t="s">
        <v>691</v>
      </c>
      <c r="BG47" s="979"/>
      <c r="BH47" s="979"/>
      <c r="BI47" s="980"/>
      <c r="BJ47" s="980"/>
    </row>
    <row r="48" spans="1:62" s="170" customFormat="1" ht="14.65" hidden="1" customHeight="1" x14ac:dyDescent="0.15">
      <c r="E48" s="771">
        <v>15</v>
      </c>
      <c r="F48" s="769" cm="1">
        <f t="array" aca="1" ref="F48" ca="1">OFFSET(G48,-1,-1)</f>
        <v>0</v>
      </c>
      <c r="G48" s="140" t="s">
        <v>986</v>
      </c>
      <c r="L48" s="160" cm="1">
        <f t="array" aca="1" ref="L48" ca="1">INDEX('Общие сведения'!$AK$169:$AK$202,MATCH($F48,'Общие сведения'!$Z$169:$Z$202,0))</f>
        <v>0</v>
      </c>
      <c r="R48" s="140" t="s">
        <v>987</v>
      </c>
      <c r="T48" s="770" t="b">
        <f ca="1">AND(F48&gt;0,L48="двухставочный")</f>
        <v>0</v>
      </c>
      <c r="X48" s="1555"/>
      <c r="Z48" s="1555"/>
      <c r="AA48" s="768" t="s">
        <v>988</v>
      </c>
      <c r="AB48" s="232" t="s">
        <v>988</v>
      </c>
      <c r="AC48" s="488" t="s">
        <v>989</v>
      </c>
      <c r="AD48" s="502" t="s">
        <v>830</v>
      </c>
      <c r="AE48" s="551">
        <f t="shared" ref="AE48:BB48" si="12">SUMIFS(AE51:AE67,$AC51:$AC67,$AC48)</f>
        <v>0</v>
      </c>
      <c r="AF48" s="551">
        <f t="shared" si="12"/>
        <v>0</v>
      </c>
      <c r="AG48" s="551">
        <f t="shared" si="12"/>
        <v>0</v>
      </c>
      <c r="AH48" s="551">
        <f t="shared" si="12"/>
        <v>0</v>
      </c>
      <c r="AI48" s="551">
        <f t="shared" si="12"/>
        <v>0</v>
      </c>
      <c r="AJ48" s="1264">
        <f t="shared" si="12"/>
        <v>0</v>
      </c>
      <c r="AK48" s="1264">
        <f t="shared" si="12"/>
        <v>0</v>
      </c>
      <c r="AL48" s="17">
        <f t="shared" si="12"/>
        <v>0</v>
      </c>
      <c r="AM48" s="17">
        <f t="shared" si="12"/>
        <v>0</v>
      </c>
      <c r="AN48" s="17">
        <f t="shared" si="12"/>
        <v>0</v>
      </c>
      <c r="AO48" s="17">
        <f t="shared" si="12"/>
        <v>0</v>
      </c>
      <c r="AP48" s="17">
        <f t="shared" si="12"/>
        <v>0</v>
      </c>
      <c r="AQ48" s="17">
        <f t="shared" si="12"/>
        <v>0</v>
      </c>
      <c r="AR48" s="17">
        <f t="shared" si="12"/>
        <v>0</v>
      </c>
      <c r="AS48" s="551">
        <f t="shared" si="12"/>
        <v>0</v>
      </c>
      <c r="AT48" s="1264">
        <f t="shared" si="12"/>
        <v>0</v>
      </c>
      <c r="AU48" s="1264">
        <f t="shared" si="12"/>
        <v>0</v>
      </c>
      <c r="AV48" s="17">
        <f t="shared" si="12"/>
        <v>0</v>
      </c>
      <c r="AW48" s="17">
        <f t="shared" si="12"/>
        <v>0</v>
      </c>
      <c r="AX48" s="17">
        <f t="shared" si="12"/>
        <v>0</v>
      </c>
      <c r="AY48" s="17">
        <f t="shared" si="12"/>
        <v>0</v>
      </c>
      <c r="AZ48" s="17">
        <f t="shared" si="12"/>
        <v>0</v>
      </c>
      <c r="BA48" s="17">
        <f t="shared" si="12"/>
        <v>0</v>
      </c>
      <c r="BB48" s="17">
        <f t="shared" si="12"/>
        <v>0</v>
      </c>
      <c r="BC48" s="31"/>
      <c r="BF48" s="979" t="s">
        <v>990</v>
      </c>
      <c r="BG48" s="979"/>
      <c r="BH48" s="979"/>
      <c r="BI48" s="980"/>
      <c r="BJ48" s="980"/>
    </row>
    <row r="49" spans="1:62" s="170" customFormat="1" ht="14.65" hidden="1" customHeight="1" x14ac:dyDescent="0.15">
      <c r="E49" s="771">
        <v>15</v>
      </c>
      <c r="F49" s="769" cm="1">
        <f t="array" aca="1" ref="F49" ca="1">OFFSET(G49,-1,-1)</f>
        <v>0</v>
      </c>
      <c r="T49" s="770" t="b" cm="1">
        <f t="array" aca="1" ref="T49" ca="1">T47</f>
        <v>0</v>
      </c>
      <c r="X49" s="1555"/>
      <c r="Z49" s="1555"/>
      <c r="AB49" s="163" t="s">
        <v>479</v>
      </c>
      <c r="AC49" s="220" t="s">
        <v>991</v>
      </c>
      <c r="AD49" s="102" t="s">
        <v>622</v>
      </c>
      <c r="AE49" s="213">
        <f t="shared" ref="AE49:BB49" si="13">SUMIF($AD51:$AD67,$AD49,AE51:AE67)</f>
        <v>0</v>
      </c>
      <c r="AF49" s="213">
        <f t="shared" si="13"/>
        <v>0</v>
      </c>
      <c r="AG49" s="213">
        <f t="shared" si="13"/>
        <v>0</v>
      </c>
      <c r="AH49" s="213">
        <f t="shared" si="13"/>
        <v>0</v>
      </c>
      <c r="AI49" s="213">
        <f t="shared" si="13"/>
        <v>0</v>
      </c>
      <c r="AJ49" s="1181">
        <f t="shared" si="13"/>
        <v>0</v>
      </c>
      <c r="AK49" s="1181">
        <f t="shared" si="13"/>
        <v>0</v>
      </c>
      <c r="AL49" s="10">
        <f t="shared" si="13"/>
        <v>0</v>
      </c>
      <c r="AM49" s="10">
        <f t="shared" si="13"/>
        <v>0</v>
      </c>
      <c r="AN49" s="10">
        <f t="shared" si="13"/>
        <v>0</v>
      </c>
      <c r="AO49" s="10">
        <f t="shared" si="13"/>
        <v>0</v>
      </c>
      <c r="AP49" s="10">
        <f t="shared" si="13"/>
        <v>0</v>
      </c>
      <c r="AQ49" s="10">
        <f t="shared" si="13"/>
        <v>0</v>
      </c>
      <c r="AR49" s="10">
        <f t="shared" si="13"/>
        <v>0</v>
      </c>
      <c r="AS49" s="213">
        <f t="shared" si="13"/>
        <v>0</v>
      </c>
      <c r="AT49" s="1181">
        <f t="shared" si="13"/>
        <v>0</v>
      </c>
      <c r="AU49" s="1181">
        <f t="shared" si="13"/>
        <v>0</v>
      </c>
      <c r="AV49" s="10">
        <f t="shared" si="13"/>
        <v>0</v>
      </c>
      <c r="AW49" s="10">
        <f t="shared" si="13"/>
        <v>0</v>
      </c>
      <c r="AX49" s="10">
        <f t="shared" si="13"/>
        <v>0</v>
      </c>
      <c r="AY49" s="10">
        <f t="shared" si="13"/>
        <v>0</v>
      </c>
      <c r="AZ49" s="10">
        <f t="shared" si="13"/>
        <v>0</v>
      </c>
      <c r="BA49" s="10">
        <f t="shared" si="13"/>
        <v>0</v>
      </c>
      <c r="BB49" s="10">
        <f t="shared" si="13"/>
        <v>0</v>
      </c>
      <c r="BC49" s="31"/>
      <c r="BF49" s="979" t="s">
        <v>992</v>
      </c>
      <c r="BG49" s="979"/>
      <c r="BH49" s="979"/>
      <c r="BI49" s="980"/>
      <c r="BJ49" s="980"/>
    </row>
    <row r="50" spans="1:62" s="170" customFormat="1" ht="14.65" hidden="1" customHeight="1" x14ac:dyDescent="0.15">
      <c r="E50" s="771">
        <v>15</v>
      </c>
      <c r="F50" s="769" cm="1">
        <f t="array" aca="1" ref="F50" ca="1">OFFSET(G50,-1,-1)</f>
        <v>0</v>
      </c>
      <c r="T50" s="770" t="b" cm="1">
        <f t="array" aca="1" ref="T50" ca="1">T49</f>
        <v>0</v>
      </c>
      <c r="X50" s="1555"/>
      <c r="Z50" s="1555"/>
      <c r="AB50" s="163" t="s">
        <v>510</v>
      </c>
      <c r="AC50" s="220" t="s">
        <v>958</v>
      </c>
      <c r="AD50" s="102" t="s">
        <v>993</v>
      </c>
      <c r="AE50" s="213">
        <f t="shared" ref="AE50:BB50" si="14">IF(AE49=0,0,AE47/AE49)*1000</f>
        <v>0</v>
      </c>
      <c r="AF50" s="213">
        <f t="shared" si="14"/>
        <v>0</v>
      </c>
      <c r="AG50" s="213">
        <f t="shared" si="14"/>
        <v>0</v>
      </c>
      <c r="AH50" s="213">
        <f t="shared" si="14"/>
        <v>0</v>
      </c>
      <c r="AI50" s="213">
        <f t="shared" si="14"/>
        <v>0</v>
      </c>
      <c r="AJ50" s="1181">
        <f t="shared" si="14"/>
        <v>0</v>
      </c>
      <c r="AK50" s="1181">
        <f t="shared" si="14"/>
        <v>0</v>
      </c>
      <c r="AL50" s="10">
        <f t="shared" si="14"/>
        <v>0</v>
      </c>
      <c r="AM50" s="10">
        <f t="shared" si="14"/>
        <v>0</v>
      </c>
      <c r="AN50" s="10">
        <f t="shared" si="14"/>
        <v>0</v>
      </c>
      <c r="AO50" s="10">
        <f t="shared" si="14"/>
        <v>0</v>
      </c>
      <c r="AP50" s="10">
        <f t="shared" si="14"/>
        <v>0</v>
      </c>
      <c r="AQ50" s="10">
        <f t="shared" si="14"/>
        <v>0</v>
      </c>
      <c r="AR50" s="10">
        <f t="shared" si="14"/>
        <v>0</v>
      </c>
      <c r="AS50" s="213">
        <f t="shared" si="14"/>
        <v>0</v>
      </c>
      <c r="AT50" s="1181">
        <f t="shared" si="14"/>
        <v>0</v>
      </c>
      <c r="AU50" s="1181">
        <f t="shared" si="14"/>
        <v>0</v>
      </c>
      <c r="AV50" s="10">
        <f t="shared" si="14"/>
        <v>0</v>
      </c>
      <c r="AW50" s="10">
        <f t="shared" si="14"/>
        <v>0</v>
      </c>
      <c r="AX50" s="10">
        <f t="shared" si="14"/>
        <v>0</v>
      </c>
      <c r="AY50" s="10">
        <f t="shared" si="14"/>
        <v>0</v>
      </c>
      <c r="AZ50" s="10">
        <f t="shared" si="14"/>
        <v>0</v>
      </c>
      <c r="BA50" s="10">
        <f t="shared" si="14"/>
        <v>0</v>
      </c>
      <c r="BB50" s="10">
        <f t="shared" si="14"/>
        <v>0</v>
      </c>
      <c r="BC50" s="31"/>
      <c r="BF50" s="979" t="s">
        <v>994</v>
      </c>
      <c r="BG50" s="979"/>
      <c r="BH50" s="979"/>
      <c r="BI50" s="980"/>
      <c r="BJ50" s="980"/>
    </row>
    <row r="51" spans="1:62" s="170" customFormat="1" ht="14.65" hidden="1" customHeight="1" x14ac:dyDescent="0.15">
      <c r="E51" s="771">
        <v>15</v>
      </c>
      <c r="F51" s="769" cm="1">
        <f t="array" aca="1" ref="F51" ca="1">OFFSET(G51,-1,-1)</f>
        <v>0</v>
      </c>
      <c r="T51" s="770" t="b" cm="1">
        <f t="array" aca="1" ref="T51" ca="1">T49</f>
        <v>0</v>
      </c>
      <c r="X51" s="1555"/>
      <c r="Z51" s="1555"/>
      <c r="AB51" s="163" t="s">
        <v>506</v>
      </c>
      <c r="AC51" s="283" t="s">
        <v>963</v>
      </c>
      <c r="AD51" s="284"/>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895"/>
      <c r="BF51" s="979"/>
      <c r="BG51" s="979"/>
      <c r="BH51" s="979"/>
      <c r="BI51" s="980"/>
      <c r="BJ51" s="980"/>
    </row>
    <row r="52" spans="1:62" s="170" customFormat="1" ht="17.25" hidden="1" customHeight="1" x14ac:dyDescent="0.15">
      <c r="E52" s="771">
        <v>0</v>
      </c>
      <c r="F52" s="769" cm="1">
        <f t="array" aca="1" ref="F52" ca="1">OFFSET(G52,-1,-1)</f>
        <v>0</v>
      </c>
      <c r="T52" s="770" t="b" cm="1">
        <f t="array" aca="1" ref="T52" ca="1">T51</f>
        <v>0</v>
      </c>
      <c r="X52" s="1555"/>
      <c r="Z52" s="1555"/>
      <c r="AB52" s="230"/>
      <c r="AC52" s="225"/>
      <c r="AD52" s="501"/>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37"/>
      <c r="BF52" s="979"/>
      <c r="BG52" s="979"/>
      <c r="BH52" s="979"/>
      <c r="BI52" s="980"/>
      <c r="BJ52" s="980"/>
    </row>
    <row r="53" spans="1:62" s="170" customFormat="1" ht="14.65" hidden="1" customHeight="1" x14ac:dyDescent="0.15">
      <c r="A53" s="918" t="str">
        <f ca="1">"checkCosts_4."&amp;F53&amp;"."&amp;Y53</f>
        <v>checkCosts_4.0.0</v>
      </c>
      <c r="E53" s="771">
        <v>15</v>
      </c>
      <c r="F53" s="769" cm="1">
        <f t="array" aca="1" ref="F53" ca="1">OFFSET(G53,-1,-1)</f>
        <v>0</v>
      </c>
      <c r="H53" s="103" cm="1">
        <f t="array" ref="H53">AC53</f>
        <v>0</v>
      </c>
      <c r="I53" s="162" t="s">
        <v>950</v>
      </c>
      <c r="S53" s="1555"/>
      <c r="T53" s="770" t="b">
        <f ca="1">AND(F53&gt;0,Y53&gt;0)</f>
        <v>0</v>
      </c>
      <c r="W53" s="119" t="s">
        <v>237</v>
      </c>
      <c r="X53" s="1555"/>
      <c r="Y53" s="1449">
        <v>0</v>
      </c>
      <c r="Z53" s="1555"/>
      <c r="AA53" s="1556" t="s">
        <v>218</v>
      </c>
      <c r="AB53" s="232" t="str">
        <f>"2.1."&amp;Y53</f>
        <v>2.1.0</v>
      </c>
      <c r="AC53" s="497"/>
      <c r="AD53" s="502" t="s">
        <v>830</v>
      </c>
      <c r="AE53" s="275">
        <f>AE55*AE56/1000</f>
        <v>0</v>
      </c>
      <c r="AF53" s="13"/>
      <c r="AG53" s="13"/>
      <c r="AH53" s="275">
        <f>AH55*AH56/1000</f>
        <v>0</v>
      </c>
      <c r="AI53" s="227"/>
      <c r="AJ53" s="1183"/>
      <c r="AK53" s="1183"/>
      <c r="AL53" s="13"/>
      <c r="AM53" s="13"/>
      <c r="AN53" s="13"/>
      <c r="AO53" s="13"/>
      <c r="AP53" s="13"/>
      <c r="AQ53" s="13"/>
      <c r="AR53" s="13"/>
      <c r="AS53" s="275">
        <f t="shared" ref="AS53:BB53" si="15">AS55*AS56/1000</f>
        <v>0</v>
      </c>
      <c r="AT53" s="275">
        <f t="shared" si="15"/>
        <v>0</v>
      </c>
      <c r="AU53" s="275">
        <f t="shared" si="15"/>
        <v>0</v>
      </c>
      <c r="AV53" s="275">
        <f t="shared" si="15"/>
        <v>0</v>
      </c>
      <c r="AW53" s="275">
        <f t="shared" si="15"/>
        <v>0</v>
      </c>
      <c r="AX53" s="275">
        <f t="shared" si="15"/>
        <v>0</v>
      </c>
      <c r="AY53" s="275">
        <f t="shared" si="15"/>
        <v>0</v>
      </c>
      <c r="AZ53" s="275">
        <f t="shared" si="15"/>
        <v>0</v>
      </c>
      <c r="BA53" s="275">
        <f t="shared" si="15"/>
        <v>0</v>
      </c>
      <c r="BB53" s="275">
        <f t="shared" si="15"/>
        <v>0</v>
      </c>
      <c r="BC53" s="55"/>
      <c r="BF53" s="979" t="s">
        <v>995</v>
      </c>
      <c r="BG53" s="979" t="s">
        <v>996</v>
      </c>
      <c r="BH53" s="979" cm="1">
        <f t="array" ref="BH53">AC53</f>
        <v>0</v>
      </c>
      <c r="BI53" s="980"/>
      <c r="BJ53" s="980" t="b">
        <v>1</v>
      </c>
    </row>
    <row r="54" spans="1:62" s="170" customFormat="1" ht="14.65" hidden="1" customHeight="1" x14ac:dyDescent="0.15">
      <c r="E54" s="771">
        <v>15</v>
      </c>
      <c r="F54" s="769" cm="1">
        <f t="array" aca="1" ref="F54" ca="1">OFFSET(G54,-1,-1)</f>
        <v>0</v>
      </c>
      <c r="L54" s="160" cm="1">
        <f t="array" aca="1" ref="L54" ca="1">INDEX('Общие сведения'!$AK$169:$AK$202,MATCH($F54,'Общие сведения'!$Z$169:$Z$202,0))</f>
        <v>0</v>
      </c>
      <c r="R54" s="140" t="s">
        <v>987</v>
      </c>
      <c r="S54" s="1555"/>
      <c r="T54" s="770" t="b">
        <f ca="1">AND(T53,L54="двухставочный")</f>
        <v>0</v>
      </c>
      <c r="X54" s="1555"/>
      <c r="Y54" s="1555"/>
      <c r="Z54" s="1555"/>
      <c r="AA54" s="1556"/>
      <c r="AB54" s="232"/>
      <c r="AC54" s="488" t="s">
        <v>989</v>
      </c>
      <c r="AD54" s="502" t="s">
        <v>830</v>
      </c>
      <c r="AE54" s="17"/>
      <c r="AF54" s="17"/>
      <c r="AG54" s="17"/>
      <c r="AH54" s="17"/>
      <c r="AI54" s="503"/>
      <c r="AJ54" s="1264"/>
      <c r="AK54" s="1264"/>
      <c r="AL54" s="17"/>
      <c r="AM54" s="17"/>
      <c r="AN54" s="17"/>
      <c r="AO54" s="17"/>
      <c r="AP54" s="17"/>
      <c r="AQ54" s="17"/>
      <c r="AR54" s="17"/>
      <c r="AS54" s="503"/>
      <c r="AT54" s="1264"/>
      <c r="AU54" s="1264"/>
      <c r="AV54" s="17"/>
      <c r="AW54" s="17"/>
      <c r="AX54" s="17"/>
      <c r="AY54" s="17"/>
      <c r="AZ54" s="17"/>
      <c r="BA54" s="17"/>
      <c r="BB54" s="17"/>
      <c r="BC54" s="56"/>
      <c r="BF54" s="979" t="s">
        <v>997</v>
      </c>
      <c r="BG54" s="979" t="s">
        <v>996</v>
      </c>
      <c r="BH54" s="979" cm="1">
        <f t="array" ref="BH54">BH53</f>
        <v>0</v>
      </c>
      <c r="BI54" s="980"/>
      <c r="BJ54" s="980"/>
    </row>
    <row r="55" spans="1:62" s="170" customFormat="1" ht="14.65" hidden="1" customHeight="1" x14ac:dyDescent="0.15">
      <c r="E55" s="771">
        <v>15</v>
      </c>
      <c r="F55" s="769" cm="1">
        <f t="array" aca="1" ref="F55" ca="1">OFFSET(G55,-1,-1)</f>
        <v>0</v>
      </c>
      <c r="H55" s="103" cm="1">
        <f t="array" ref="H55">H53</f>
        <v>0</v>
      </c>
      <c r="S55" s="1555"/>
      <c r="T55" s="770" t="b" cm="1">
        <f t="array" aca="1" ref="T55" ca="1">T53</f>
        <v>0</v>
      </c>
      <c r="X55" s="1555"/>
      <c r="Y55" s="1555"/>
      <c r="Z55" s="1555"/>
      <c r="AA55" s="1556"/>
      <c r="AB55" s="232" t="str">
        <f>AB53&amp;".1"</f>
        <v>2.1.0.1</v>
      </c>
      <c r="AC55" s="488" t="s">
        <v>966</v>
      </c>
      <c r="AD55" s="102" t="s">
        <v>993</v>
      </c>
      <c r="AE55" s="17"/>
      <c r="AF55" s="551">
        <f>IF(AF56=0,0,AF53/AF56*1000)</f>
        <v>0</v>
      </c>
      <c r="AG55" s="551">
        <f>IF(AG56=0,0,AG53/AG56*1000)</f>
        <v>0</v>
      </c>
      <c r="AH55" s="17"/>
      <c r="AI55" s="551">
        <f t="shared" ref="AI55:AR55" si="16">IF(AI56=0,0,AI53/AI56*1000)</f>
        <v>0</v>
      </c>
      <c r="AJ55" s="551">
        <f t="shared" si="16"/>
        <v>0</v>
      </c>
      <c r="AK55" s="551">
        <f t="shared" si="16"/>
        <v>0</v>
      </c>
      <c r="AL55" s="551">
        <f t="shared" si="16"/>
        <v>0</v>
      </c>
      <c r="AM55" s="551">
        <f t="shared" si="16"/>
        <v>0</v>
      </c>
      <c r="AN55" s="551">
        <f t="shared" si="16"/>
        <v>0</v>
      </c>
      <c r="AO55" s="551">
        <f t="shared" si="16"/>
        <v>0</v>
      </c>
      <c r="AP55" s="551">
        <f t="shared" si="16"/>
        <v>0</v>
      </c>
      <c r="AQ55" s="551">
        <f t="shared" si="16"/>
        <v>0</v>
      </c>
      <c r="AR55" s="551">
        <f t="shared" si="16"/>
        <v>0</v>
      </c>
      <c r="AS55" s="503"/>
      <c r="AT55" s="1264"/>
      <c r="AU55" s="1264"/>
      <c r="AV55" s="17"/>
      <c r="AW55" s="17"/>
      <c r="AX55" s="17"/>
      <c r="AY55" s="17"/>
      <c r="AZ55" s="17"/>
      <c r="BA55" s="17"/>
      <c r="BB55" s="17"/>
      <c r="BC55" s="25"/>
      <c r="BF55" s="979" t="s">
        <v>998</v>
      </c>
      <c r="BG55" s="979" t="s">
        <v>996</v>
      </c>
      <c r="BH55" s="979" cm="1">
        <f t="array" ref="BH55">BH54</f>
        <v>0</v>
      </c>
      <c r="BI55" s="980"/>
      <c r="BJ55" s="980"/>
    </row>
    <row r="56" spans="1:62" s="170" customFormat="1" ht="14.65" hidden="1" customHeight="1" x14ac:dyDescent="0.15">
      <c r="A56" s="918" t="str">
        <f ca="1">"checkVolume_4."&amp;F56&amp;"."&amp;Y53</f>
        <v>checkVolume_4.0.0</v>
      </c>
      <c r="E56" s="771">
        <v>15</v>
      </c>
      <c r="F56" s="769" cm="1">
        <f t="array" aca="1" ref="F56" ca="1">OFFSET(G56,-1,-1)</f>
        <v>0</v>
      </c>
      <c r="H56" s="103" cm="1">
        <f t="array" ref="H56">H53</f>
        <v>0</v>
      </c>
      <c r="S56" s="1555"/>
      <c r="T56" s="770" t="b" cm="1">
        <f t="array" aca="1" ref="T56" ca="1">T53</f>
        <v>0</v>
      </c>
      <c r="X56" s="1555"/>
      <c r="Y56" s="1555"/>
      <c r="Z56" s="1555"/>
      <c r="AA56" s="1556"/>
      <c r="AB56" s="232" t="str">
        <f>AB53&amp;".2"</f>
        <v>2.1.0.2</v>
      </c>
      <c r="AC56" s="488" t="s">
        <v>999</v>
      </c>
      <c r="AD56" s="102" t="s">
        <v>622</v>
      </c>
      <c r="AE56" s="17"/>
      <c r="AF56" s="17"/>
      <c r="AG56" s="17"/>
      <c r="AH56" s="17"/>
      <c r="AI56" s="503"/>
      <c r="AJ56" s="1264"/>
      <c r="AK56" s="1264"/>
      <c r="AL56" s="17"/>
      <c r="AM56" s="17"/>
      <c r="AN56" s="17"/>
      <c r="AO56" s="17"/>
      <c r="AP56" s="17"/>
      <c r="AQ56" s="17"/>
      <c r="AR56" s="17"/>
      <c r="AS56" s="503"/>
      <c r="AT56" s="1264"/>
      <c r="AU56" s="1264"/>
      <c r="AV56" s="17"/>
      <c r="AW56" s="17"/>
      <c r="AX56" s="17"/>
      <c r="AY56" s="17"/>
      <c r="AZ56" s="17"/>
      <c r="BA56" s="17"/>
      <c r="BB56" s="17"/>
      <c r="BC56" s="25"/>
      <c r="BF56" s="979" t="s">
        <v>1000</v>
      </c>
      <c r="BG56" s="979" t="s">
        <v>996</v>
      </c>
      <c r="BH56" s="979" cm="1">
        <f t="array" ref="BH56">BH54</f>
        <v>0</v>
      </c>
      <c r="BI56" s="980"/>
      <c r="BJ56" s="980"/>
    </row>
    <row r="57" spans="1:62" s="170" customFormat="1" ht="14.65" hidden="1" customHeight="1" x14ac:dyDescent="0.15">
      <c r="E57" s="771">
        <v>15</v>
      </c>
      <c r="F57" s="769" cm="1">
        <f t="array" aca="1" ref="F57" ca="1">OFFSET(G57,-1,-1)</f>
        <v>0</v>
      </c>
      <c r="T57" s="770" t="b">
        <f ca="1">F57&gt;0</f>
        <v>0</v>
      </c>
      <c r="W57" s="312" t="s">
        <v>1001</v>
      </c>
      <c r="X57" s="1555"/>
      <c r="Z57" s="1555"/>
      <c r="AB57" s="689"/>
      <c r="AC57" s="486" t="s">
        <v>1002</v>
      </c>
      <c r="AD57" s="486"/>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898"/>
      <c r="BF57" s="979"/>
      <c r="BG57" s="979"/>
      <c r="BH57" s="979"/>
      <c r="BI57" s="980" t="s">
        <v>996</v>
      </c>
      <c r="BJ57" s="980"/>
    </row>
    <row r="58" spans="1:62" s="170" customFormat="1" ht="14.65" hidden="1" customHeight="1" x14ac:dyDescent="0.15">
      <c r="E58" s="771">
        <v>15</v>
      </c>
      <c r="F58" s="769" cm="1">
        <f t="array" aca="1" ref="F58" ca="1">OFFSET(G58,-1,-1)</f>
        <v>0</v>
      </c>
      <c r="T58" s="770" t="b">
        <f ca="1">F58&gt;0</f>
        <v>0</v>
      </c>
      <c r="X58" s="1555"/>
      <c r="Z58" s="1555"/>
      <c r="AB58" s="163" t="s">
        <v>510</v>
      </c>
      <c r="AC58" s="283" t="s">
        <v>972</v>
      </c>
      <c r="AD58" s="284"/>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895"/>
      <c r="BF58" s="979"/>
      <c r="BG58" s="979"/>
      <c r="BH58" s="979"/>
      <c r="BI58" s="980"/>
      <c r="BJ58" s="980"/>
    </row>
    <row r="59" spans="1:62" s="170" customFormat="1" ht="17.25" hidden="1" customHeight="1" x14ac:dyDescent="0.15">
      <c r="E59" s="771">
        <v>0</v>
      </c>
      <c r="F59" s="769" cm="1">
        <f t="array" aca="1" ref="F59" ca="1">OFFSET(G59,-1,-1)</f>
        <v>0</v>
      </c>
      <c r="T59" s="770" t="b">
        <f ca="1">F59&gt;0</f>
        <v>0</v>
      </c>
      <c r="X59" s="1555"/>
      <c r="Z59" s="1555"/>
      <c r="AB59" s="230"/>
      <c r="AC59" s="225"/>
      <c r="AD59" s="224"/>
      <c r="AE59" s="485"/>
      <c r="AF59" s="485"/>
      <c r="AG59" s="485"/>
      <c r="AH59" s="485"/>
      <c r="AI59" s="485"/>
      <c r="AJ59" s="485"/>
      <c r="AK59" s="485"/>
      <c r="AL59" s="485"/>
      <c r="AM59" s="485"/>
      <c r="AN59" s="485"/>
      <c r="AO59" s="485"/>
      <c r="AP59" s="485"/>
      <c r="AQ59" s="485"/>
      <c r="AR59" s="485"/>
      <c r="AS59" s="485"/>
      <c r="AT59" s="485"/>
      <c r="AU59" s="485"/>
      <c r="AV59" s="485"/>
      <c r="AW59" s="485"/>
      <c r="AX59" s="485"/>
      <c r="AY59" s="485"/>
      <c r="AZ59" s="485"/>
      <c r="BA59" s="485"/>
      <c r="BB59" s="485"/>
      <c r="BC59" s="31"/>
      <c r="BF59" s="979"/>
      <c r="BG59" s="979"/>
      <c r="BH59" s="979"/>
      <c r="BI59" s="980"/>
      <c r="BJ59" s="980"/>
    </row>
    <row r="60" spans="1:62" s="170" customFormat="1" ht="14.65" hidden="1" customHeight="1" x14ac:dyDescent="0.15">
      <c r="E60" s="771">
        <v>15</v>
      </c>
      <c r="F60" s="769" cm="1">
        <f t="array" aca="1" ref="F60" ca="1">OFFSET(G60,-1,-1)</f>
        <v>0</v>
      </c>
      <c r="H60" s="103" cm="1">
        <f t="array" ref="H60">AC60</f>
        <v>0</v>
      </c>
      <c r="I60" s="103" t="s">
        <v>950</v>
      </c>
      <c r="S60" s="1555"/>
      <c r="T60" s="770" t="b">
        <f ca="1">AND(F60&gt;0,Y60&gt;0)</f>
        <v>0</v>
      </c>
      <c r="W60" s="119" t="s">
        <v>237</v>
      </c>
      <c r="X60" s="1555"/>
      <c r="Y60" s="1449">
        <v>0</v>
      </c>
      <c r="Z60" s="1555"/>
      <c r="AA60" s="1556" t="s">
        <v>218</v>
      </c>
      <c r="AB60" s="102" t="str">
        <f>"2.3."&amp;Y60</f>
        <v>2.3.0</v>
      </c>
      <c r="AC60" s="497"/>
      <c r="AD60" s="102" t="s">
        <v>830</v>
      </c>
      <c r="AE60" s="489">
        <f t="shared" ref="AE60:BB60" si="17">AE63+AE65</f>
        <v>0</v>
      </c>
      <c r="AF60" s="489">
        <f t="shared" si="17"/>
        <v>0</v>
      </c>
      <c r="AG60" s="489">
        <f t="shared" si="17"/>
        <v>0</v>
      </c>
      <c r="AH60" s="489">
        <f t="shared" si="17"/>
        <v>0</v>
      </c>
      <c r="AI60" s="489">
        <f t="shared" si="17"/>
        <v>0</v>
      </c>
      <c r="AJ60" s="1185">
        <f t="shared" si="17"/>
        <v>0</v>
      </c>
      <c r="AK60" s="1185">
        <f t="shared" si="17"/>
        <v>0</v>
      </c>
      <c r="AL60" s="16">
        <f t="shared" si="17"/>
        <v>0</v>
      </c>
      <c r="AM60" s="16">
        <f t="shared" si="17"/>
        <v>0</v>
      </c>
      <c r="AN60" s="16">
        <f t="shared" si="17"/>
        <v>0</v>
      </c>
      <c r="AO60" s="16">
        <f t="shared" si="17"/>
        <v>0</v>
      </c>
      <c r="AP60" s="16">
        <f t="shared" si="17"/>
        <v>0</v>
      </c>
      <c r="AQ60" s="16">
        <f t="shared" si="17"/>
        <v>0</v>
      </c>
      <c r="AR60" s="16">
        <f t="shared" si="17"/>
        <v>0</v>
      </c>
      <c r="AS60" s="489">
        <f t="shared" si="17"/>
        <v>0</v>
      </c>
      <c r="AT60" s="1185">
        <f t="shared" si="17"/>
        <v>0</v>
      </c>
      <c r="AU60" s="1185">
        <f t="shared" si="17"/>
        <v>0</v>
      </c>
      <c r="AV60" s="16">
        <f t="shared" si="17"/>
        <v>0</v>
      </c>
      <c r="AW60" s="16">
        <f t="shared" si="17"/>
        <v>0</v>
      </c>
      <c r="AX60" s="16">
        <f t="shared" si="17"/>
        <v>0</v>
      </c>
      <c r="AY60" s="16">
        <f t="shared" si="17"/>
        <v>0</v>
      </c>
      <c r="AZ60" s="16">
        <f t="shared" si="17"/>
        <v>0</v>
      </c>
      <c r="BA60" s="16">
        <f t="shared" si="17"/>
        <v>0</v>
      </c>
      <c r="BB60" s="16">
        <f t="shared" si="17"/>
        <v>0</v>
      </c>
      <c r="BC60" s="32"/>
      <c r="BF60" s="979" t="s">
        <v>995</v>
      </c>
      <c r="BG60" s="979" t="s">
        <v>1003</v>
      </c>
      <c r="BH60" s="979" cm="1">
        <f t="array" ref="BH60">AC60</f>
        <v>0</v>
      </c>
      <c r="BI60" s="980"/>
      <c r="BJ60" s="980" t="b">
        <v>1</v>
      </c>
    </row>
    <row r="61" spans="1:62" s="170" customFormat="1" ht="14.65" hidden="1" customHeight="1" x14ac:dyDescent="0.15">
      <c r="E61" s="771">
        <v>15</v>
      </c>
      <c r="F61" s="769" cm="1">
        <f t="array" aca="1" ref="F61" ca="1">OFFSET(G61,-1,-1)</f>
        <v>0</v>
      </c>
      <c r="L61" s="160" cm="1">
        <f t="array" aca="1" ref="L61" ca="1">INDEX('Общие сведения'!$AK$169:$AK$202,MATCH($F61,'Общие сведения'!$Z$169:$Z$202,0))</f>
        <v>0</v>
      </c>
      <c r="R61" s="140" t="s">
        <v>987</v>
      </c>
      <c r="S61" s="1555"/>
      <c r="T61" s="770" t="b">
        <f ca="1">AND(T60,L61="двухставочный")</f>
        <v>0</v>
      </c>
      <c r="X61" s="1555"/>
      <c r="Y61" s="1555"/>
      <c r="Z61" s="1555"/>
      <c r="AA61" s="1556"/>
      <c r="AB61" s="232"/>
      <c r="AC61" s="488" t="s">
        <v>989</v>
      </c>
      <c r="AD61" s="502" t="s">
        <v>830</v>
      </c>
      <c r="AE61" s="17"/>
      <c r="AF61" s="17"/>
      <c r="AG61" s="17"/>
      <c r="AH61" s="17"/>
      <c r="AI61" s="503"/>
      <c r="AJ61" s="1264"/>
      <c r="AK61" s="1264"/>
      <c r="AL61" s="17"/>
      <c r="AM61" s="17"/>
      <c r="AN61" s="17"/>
      <c r="AO61" s="17"/>
      <c r="AP61" s="17"/>
      <c r="AQ61" s="17"/>
      <c r="AR61" s="17"/>
      <c r="AS61" s="503"/>
      <c r="AT61" s="1264"/>
      <c r="AU61" s="1264"/>
      <c r="AV61" s="17"/>
      <c r="AW61" s="17"/>
      <c r="AX61" s="17"/>
      <c r="AY61" s="17"/>
      <c r="AZ61" s="17"/>
      <c r="BA61" s="17"/>
      <c r="BB61" s="17"/>
      <c r="BC61" s="56"/>
      <c r="BF61" s="979" t="s">
        <v>997</v>
      </c>
      <c r="BG61" s="979" t="s">
        <v>1003</v>
      </c>
      <c r="BH61" s="979" cm="1">
        <f t="array" ref="BH61">BH60</f>
        <v>0</v>
      </c>
      <c r="BI61" s="980"/>
      <c r="BJ61" s="980"/>
    </row>
    <row r="62" spans="1:62" s="170" customFormat="1" ht="14.65" hidden="1" customHeight="1" x14ac:dyDescent="0.15">
      <c r="E62" s="771">
        <v>15</v>
      </c>
      <c r="F62" s="769" cm="1">
        <f t="array" aca="1" ref="F62" ca="1">OFFSET(G62,-1,-1)</f>
        <v>0</v>
      </c>
      <c r="H62" s="103" cm="1">
        <f t="array" ref="H62">H60</f>
        <v>0</v>
      </c>
      <c r="S62" s="1555"/>
      <c r="T62" s="770" t="b" cm="1">
        <f t="array" aca="1" ref="T62" ca="1">T60</f>
        <v>0</v>
      </c>
      <c r="X62" s="1555"/>
      <c r="Y62" s="1555"/>
      <c r="Z62" s="1555"/>
      <c r="AA62" s="1556"/>
      <c r="AB62" s="232" t="str">
        <f>AB60&amp;".1"</f>
        <v>2.3.0.1</v>
      </c>
      <c r="AC62" s="488" t="s">
        <v>966</v>
      </c>
      <c r="AD62" s="102" t="s">
        <v>993</v>
      </c>
      <c r="AE62" s="16"/>
      <c r="AF62" s="489">
        <f>IF(AF64=0,0,AF63/AF64*1000)</f>
        <v>0</v>
      </c>
      <c r="AG62" s="489">
        <f>IF(AG64=0,0,AG63/AG64*1000)</f>
        <v>0</v>
      </c>
      <c r="AH62" s="16"/>
      <c r="AI62" s="489">
        <f t="shared" ref="AI62:AR62" si="18">IF(AI64=0,0,AI63/AI64*1000)</f>
        <v>0</v>
      </c>
      <c r="AJ62" s="489">
        <f t="shared" si="18"/>
        <v>0</v>
      </c>
      <c r="AK62" s="489">
        <f t="shared" si="18"/>
        <v>0</v>
      </c>
      <c r="AL62" s="489">
        <f t="shared" si="18"/>
        <v>0</v>
      </c>
      <c r="AM62" s="489">
        <f t="shared" si="18"/>
        <v>0</v>
      </c>
      <c r="AN62" s="489">
        <f t="shared" si="18"/>
        <v>0</v>
      </c>
      <c r="AO62" s="489">
        <f t="shared" si="18"/>
        <v>0</v>
      </c>
      <c r="AP62" s="489">
        <f t="shared" si="18"/>
        <v>0</v>
      </c>
      <c r="AQ62" s="489">
        <f t="shared" si="18"/>
        <v>0</v>
      </c>
      <c r="AR62" s="489">
        <f t="shared" si="18"/>
        <v>0</v>
      </c>
      <c r="AS62" s="484"/>
      <c r="AT62" s="1185"/>
      <c r="AU62" s="1185"/>
      <c r="AV62" s="16"/>
      <c r="AW62" s="16"/>
      <c r="AX62" s="16"/>
      <c r="AY62" s="16"/>
      <c r="AZ62" s="16"/>
      <c r="BA62" s="16"/>
      <c r="BB62" s="16"/>
      <c r="BC62" s="25"/>
      <c r="BF62" s="979" t="s">
        <v>998</v>
      </c>
      <c r="BG62" s="979" t="s">
        <v>1003</v>
      </c>
      <c r="BH62" s="979" cm="1">
        <f t="array" ref="BH62">BH61</f>
        <v>0</v>
      </c>
      <c r="BI62" s="980"/>
      <c r="BJ62" s="980"/>
    </row>
    <row r="63" spans="1:62" s="170" customFormat="1" ht="14.65" hidden="1" customHeight="1" x14ac:dyDescent="0.15">
      <c r="A63" s="918" t="str">
        <f ca="1">"checkCosts_5."&amp;F63&amp;"."&amp;Y60</f>
        <v>checkCosts_5.0.0</v>
      </c>
      <c r="E63" s="771">
        <v>15</v>
      </c>
      <c r="F63" s="769" cm="1">
        <f t="array" aca="1" ref="F63" ca="1">OFFSET(G63,-1,-1)</f>
        <v>0</v>
      </c>
      <c r="S63" s="1555"/>
      <c r="T63" s="770" t="b" cm="1">
        <f t="array" aca="1" ref="T63" ca="1">T60</f>
        <v>0</v>
      </c>
      <c r="X63" s="1555"/>
      <c r="Y63" s="1555"/>
      <c r="Z63" s="1555"/>
      <c r="AA63" s="1556"/>
      <c r="AB63" s="232" t="str">
        <f>AB60&amp;".2"</f>
        <v>2.3.0.2</v>
      </c>
      <c r="AC63" s="488" t="s">
        <v>1004</v>
      </c>
      <c r="AD63" s="102" t="s">
        <v>830</v>
      </c>
      <c r="AE63" s="16"/>
      <c r="AF63" s="16"/>
      <c r="AG63" s="16"/>
      <c r="AH63" s="16"/>
      <c r="AI63" s="484"/>
      <c r="AJ63" s="1185"/>
      <c r="AK63" s="1185"/>
      <c r="AL63" s="16"/>
      <c r="AM63" s="16"/>
      <c r="AN63" s="16"/>
      <c r="AO63" s="16"/>
      <c r="AP63" s="16"/>
      <c r="AQ63" s="16"/>
      <c r="AR63" s="16"/>
      <c r="AS63" s="484"/>
      <c r="AT63" s="1185"/>
      <c r="AU63" s="1185"/>
      <c r="AV63" s="16"/>
      <c r="AW63" s="16"/>
      <c r="AX63" s="16"/>
      <c r="AY63" s="16"/>
      <c r="AZ63" s="16"/>
      <c r="BA63" s="16"/>
      <c r="BB63" s="16"/>
      <c r="BC63" s="25"/>
      <c r="BF63" s="979" t="s">
        <v>1005</v>
      </c>
      <c r="BG63" s="979" t="s">
        <v>1003</v>
      </c>
      <c r="BH63" s="979" cm="1">
        <f t="array" ref="BH63">BH61</f>
        <v>0</v>
      </c>
      <c r="BI63" s="980"/>
      <c r="BJ63" s="980"/>
    </row>
    <row r="64" spans="1:62" s="170" customFormat="1" ht="14.65" hidden="1" customHeight="1" x14ac:dyDescent="0.15">
      <c r="A64" s="918" t="str">
        <f ca="1">"checkVolume_5."&amp;F64&amp;"."&amp;Y60</f>
        <v>checkVolume_5.0.0</v>
      </c>
      <c r="E64" s="771">
        <v>15</v>
      </c>
      <c r="F64" s="769" cm="1">
        <f t="array" aca="1" ref="F64" ca="1">OFFSET(G64,-1,-1)</f>
        <v>0</v>
      </c>
      <c r="S64" s="1555"/>
      <c r="T64" s="770" t="b" cm="1">
        <f t="array" aca="1" ref="T64" ca="1">T63</f>
        <v>0</v>
      </c>
      <c r="X64" s="1555"/>
      <c r="Y64" s="1555"/>
      <c r="Z64" s="1555"/>
      <c r="AA64" s="1556"/>
      <c r="AB64" s="338" t="str">
        <f>AB63&amp;".1"</f>
        <v>2.3.0.2.1</v>
      </c>
      <c r="AC64" s="498" t="s">
        <v>999</v>
      </c>
      <c r="AD64" s="102" t="s">
        <v>622</v>
      </c>
      <c r="AE64" s="16"/>
      <c r="AF64" s="16"/>
      <c r="AG64" s="16"/>
      <c r="AH64" s="16"/>
      <c r="AI64" s="484"/>
      <c r="AJ64" s="1185"/>
      <c r="AK64" s="1185"/>
      <c r="AL64" s="16"/>
      <c r="AM64" s="16"/>
      <c r="AN64" s="16"/>
      <c r="AO64" s="16"/>
      <c r="AP64" s="16"/>
      <c r="AQ64" s="16"/>
      <c r="AR64" s="16"/>
      <c r="AS64" s="484"/>
      <c r="AT64" s="1185"/>
      <c r="AU64" s="1185"/>
      <c r="AV64" s="16"/>
      <c r="AW64" s="16"/>
      <c r="AX64" s="16"/>
      <c r="AY64" s="16"/>
      <c r="AZ64" s="16"/>
      <c r="BA64" s="16"/>
      <c r="BB64" s="16"/>
      <c r="BC64" s="25"/>
      <c r="BF64" s="979" t="s">
        <v>1006</v>
      </c>
      <c r="BG64" s="979" t="s">
        <v>1003</v>
      </c>
      <c r="BH64" s="979" cm="1">
        <f t="array" ref="BH64">BH63</f>
        <v>0</v>
      </c>
      <c r="BI64" s="980"/>
      <c r="BJ64" s="980"/>
    </row>
    <row r="65" spans="1:62" s="170" customFormat="1" ht="14.65" hidden="1" customHeight="1" x14ac:dyDescent="0.15">
      <c r="A65" s="918" t="str">
        <f ca="1">"checkCosts_6."&amp;F65&amp;"."&amp;Y60</f>
        <v>checkCosts_6.0.0</v>
      </c>
      <c r="E65" s="771">
        <v>15</v>
      </c>
      <c r="F65" s="769" cm="1">
        <f t="array" aca="1" ref="F65" ca="1">OFFSET(G65,-1,-1)</f>
        <v>0</v>
      </c>
      <c r="S65" s="1555"/>
      <c r="T65" s="770" t="b" cm="1">
        <f t="array" aca="1" ref="T65" ca="1">T64</f>
        <v>0</v>
      </c>
      <c r="X65" s="1555"/>
      <c r="Y65" s="1555"/>
      <c r="Z65" s="1555"/>
      <c r="AA65" s="1556"/>
      <c r="AB65" s="232" t="str">
        <f>AB60&amp;".3"</f>
        <v>2.3.0.3</v>
      </c>
      <c r="AC65" s="488" t="s">
        <v>1007</v>
      </c>
      <c r="AD65" s="102" t="s">
        <v>977</v>
      </c>
      <c r="AE65" s="16"/>
      <c r="AF65" s="16"/>
      <c r="AG65" s="16"/>
      <c r="AH65" s="16"/>
      <c r="AI65" s="484"/>
      <c r="AJ65" s="1185"/>
      <c r="AK65" s="1185"/>
      <c r="AL65" s="16"/>
      <c r="AM65" s="16"/>
      <c r="AN65" s="16"/>
      <c r="AO65" s="16"/>
      <c r="AP65" s="16"/>
      <c r="AQ65" s="16"/>
      <c r="AR65" s="16"/>
      <c r="AS65" s="484"/>
      <c r="AT65" s="1185"/>
      <c r="AU65" s="1185"/>
      <c r="AV65" s="16"/>
      <c r="AW65" s="16"/>
      <c r="AX65" s="16"/>
      <c r="AY65" s="16"/>
      <c r="AZ65" s="16"/>
      <c r="BA65" s="16"/>
      <c r="BB65" s="16"/>
      <c r="BC65" s="25"/>
      <c r="BF65" s="979" t="s">
        <v>1008</v>
      </c>
      <c r="BG65" s="979" t="s">
        <v>1003</v>
      </c>
      <c r="BH65" s="979" cm="1">
        <f t="array" ref="BH65">BH64</f>
        <v>0</v>
      </c>
      <c r="BI65" s="980"/>
      <c r="BJ65" s="980"/>
    </row>
    <row r="66" spans="1:62" s="170" customFormat="1" ht="14.65" hidden="1" customHeight="1" x14ac:dyDescent="0.15">
      <c r="A66" s="918" t="str">
        <f ca="1">"checkVolume_6."&amp;F66&amp;"."&amp;Y60</f>
        <v>checkVolume_6.0.0</v>
      </c>
      <c r="E66" s="771">
        <v>15</v>
      </c>
      <c r="F66" s="769" cm="1">
        <f t="array" aca="1" ref="F66" ca="1">OFFSET(G66,-1,-1)</f>
        <v>0</v>
      </c>
      <c r="H66" s="103" cm="1">
        <f t="array" ref="H66">H60</f>
        <v>0</v>
      </c>
      <c r="S66" s="1555"/>
      <c r="T66" s="770" t="b" cm="1">
        <f t="array" aca="1" ref="T66" ca="1">T65</f>
        <v>0</v>
      </c>
      <c r="X66" s="1555"/>
      <c r="Y66" s="1555"/>
      <c r="Z66" s="1555"/>
      <c r="AA66" s="1556"/>
      <c r="AB66" s="338" t="str">
        <f>AB65&amp;".1"</f>
        <v>2.3.0.3.1</v>
      </c>
      <c r="AC66" s="499" t="s">
        <v>1009</v>
      </c>
      <c r="AD66" s="102" t="s">
        <v>715</v>
      </c>
      <c r="AE66" s="16"/>
      <c r="AF66" s="16"/>
      <c r="AG66" s="16"/>
      <c r="AH66" s="16"/>
      <c r="AI66" s="484"/>
      <c r="AJ66" s="1185"/>
      <c r="AK66" s="1185"/>
      <c r="AL66" s="16"/>
      <c r="AM66" s="16"/>
      <c r="AN66" s="16"/>
      <c r="AO66" s="16"/>
      <c r="AP66" s="16"/>
      <c r="AQ66" s="16"/>
      <c r="AR66" s="16"/>
      <c r="AS66" s="484"/>
      <c r="AT66" s="1185"/>
      <c r="AU66" s="1185"/>
      <c r="AV66" s="16"/>
      <c r="AW66" s="16"/>
      <c r="AX66" s="16"/>
      <c r="AY66" s="16"/>
      <c r="AZ66" s="16"/>
      <c r="BA66" s="16"/>
      <c r="BB66" s="16"/>
      <c r="BC66" s="25"/>
      <c r="BF66" s="979" t="s">
        <v>1010</v>
      </c>
      <c r="BG66" s="979" t="s">
        <v>1003</v>
      </c>
      <c r="BH66" s="979" cm="1">
        <f t="array" ref="BH66">BH65</f>
        <v>0</v>
      </c>
      <c r="BI66" s="980"/>
      <c r="BJ66" s="980"/>
    </row>
    <row r="67" spans="1:62" s="170" customFormat="1" ht="11.1" hidden="1" customHeight="1" x14ac:dyDescent="0.15">
      <c r="E67" s="771">
        <v>11.4</v>
      </c>
      <c r="F67" s="769" cm="1">
        <f t="array" aca="1" ref="F67" ca="1">OFFSET(G67,-1,-1)</f>
        <v>0</v>
      </c>
      <c r="T67" s="770" t="b">
        <f ca="1">F67&gt;0</f>
        <v>0</v>
      </c>
      <c r="W67" s="312" t="s">
        <v>1011</v>
      </c>
      <c r="X67" s="1555"/>
      <c r="Z67" s="1555"/>
      <c r="AB67" s="487"/>
      <c r="AC67" s="475" t="s">
        <v>1002</v>
      </c>
      <c r="AD67" s="475"/>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899"/>
      <c r="BF67" s="979"/>
      <c r="BG67" s="979"/>
      <c r="BH67" s="979"/>
      <c r="BI67" s="980" t="s">
        <v>1003</v>
      </c>
      <c r="BJ67" s="980"/>
    </row>
    <row r="68" spans="1:62" s="805" customFormat="1" ht="18" customHeight="1" x14ac:dyDescent="0.15">
      <c r="A68" s="162"/>
      <c r="B68" s="162"/>
      <c r="C68" s="162"/>
      <c r="D68" s="162"/>
      <c r="E68" s="674">
        <v>18.8</v>
      </c>
      <c r="F68" s="769" t="str" cm="1">
        <f t="array" ref="F68">X68</f>
        <v>1</v>
      </c>
      <c r="G68" s="162"/>
      <c r="H68" s="162"/>
      <c r="I68" s="162"/>
      <c r="J68" s="162"/>
      <c r="K68" s="160" t="str" cm="1">
        <f t="array" ref="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160" t="str" cm="1">
        <f t="array" ref="L68">INDEX('Общие сведения'!$AK$169:$AK$202,MATCH($F68,'Общие сведения'!$Z$169:$Z$202,0))</f>
        <v>одноставочный</v>
      </c>
      <c r="M68" s="162"/>
      <c r="N68" s="162"/>
      <c r="O68" s="162"/>
      <c r="P68" s="162"/>
      <c r="Q68" s="162"/>
      <c r="R68" s="162"/>
      <c r="S68" s="162"/>
      <c r="T68" s="679" t="b">
        <f>X68&gt;0</f>
        <v>1</v>
      </c>
      <c r="U68" s="162"/>
      <c r="V68" s="119" t="str" cm="1">
        <f t="array" ref="V68">'Топливо 4.4'!$AB$139</f>
        <v>Тариф 1 (Теплоснабжение) - Тариф на тепловую энергию (мощность), поставляемую потребителям (Не определено)</v>
      </c>
      <c r="W68" s="162"/>
      <c r="X68" s="1480" t="s">
        <v>339</v>
      </c>
      <c r="Y68" s="162"/>
      <c r="Z68" s="1489"/>
      <c r="AA68" s="162"/>
      <c r="AB68" s="210" t="str" cm="1">
        <f t="array" ref="AB68">IF(ISBLANK('Топливо 4.4'!$AB$139),"",'Топливо 4.4'!$AB$139)</f>
        <v>Тариф 1 (Теплоснабжение) - Тариф на тепловую энергию (мощность), поставляемую потребителям (Не определено)</v>
      </c>
      <c r="AC68" s="207"/>
      <c r="AD68" s="201"/>
      <c r="AE68" s="315">
        <f t="shared" ref="AE68:BB68" si="19">AE69+AE91</f>
        <v>14221.181011043998</v>
      </c>
      <c r="AF68" s="315">
        <f t="shared" si="19"/>
        <v>13493.036</v>
      </c>
      <c r="AG68" s="315">
        <f t="shared" si="19"/>
        <v>13165.65</v>
      </c>
      <c r="AH68" s="315">
        <f t="shared" si="19"/>
        <v>15270.465071049999</v>
      </c>
      <c r="AI68" s="315">
        <f t="shared" si="19"/>
        <v>17989.060000000001</v>
      </c>
      <c r="AJ68" s="315">
        <f t="shared" si="19"/>
        <v>0</v>
      </c>
      <c r="AK68" s="315">
        <f t="shared" si="19"/>
        <v>0</v>
      </c>
      <c r="AL68" s="315">
        <f t="shared" si="19"/>
        <v>0</v>
      </c>
      <c r="AM68" s="315">
        <f t="shared" si="19"/>
        <v>0</v>
      </c>
      <c r="AN68" s="315">
        <f t="shared" si="19"/>
        <v>0</v>
      </c>
      <c r="AO68" s="315">
        <f t="shared" si="19"/>
        <v>0</v>
      </c>
      <c r="AP68" s="315">
        <f t="shared" si="19"/>
        <v>0</v>
      </c>
      <c r="AQ68" s="315">
        <f t="shared" si="19"/>
        <v>0</v>
      </c>
      <c r="AR68" s="315">
        <f t="shared" si="19"/>
        <v>0</v>
      </c>
      <c r="AS68" s="315">
        <f t="shared" si="19"/>
        <v>16686.6852702</v>
      </c>
      <c r="AT68" s="315">
        <f t="shared" si="19"/>
        <v>0</v>
      </c>
      <c r="AU68" s="315">
        <f t="shared" si="19"/>
        <v>0</v>
      </c>
      <c r="AV68" s="315">
        <f t="shared" si="19"/>
        <v>0</v>
      </c>
      <c r="AW68" s="315">
        <f t="shared" si="19"/>
        <v>0</v>
      </c>
      <c r="AX68" s="315">
        <f t="shared" si="19"/>
        <v>0</v>
      </c>
      <c r="AY68" s="315">
        <f t="shared" si="19"/>
        <v>0</v>
      </c>
      <c r="AZ68" s="315">
        <f t="shared" si="19"/>
        <v>0</v>
      </c>
      <c r="BA68" s="315">
        <f t="shared" si="19"/>
        <v>0</v>
      </c>
      <c r="BB68" s="315">
        <f t="shared" si="19"/>
        <v>0</v>
      </c>
      <c r="BC68" s="500"/>
      <c r="BD68" s="162"/>
      <c r="BE68" s="162"/>
      <c r="BF68" s="971"/>
      <c r="BG68" s="977"/>
      <c r="BH68" s="977"/>
      <c r="BI68" s="978"/>
      <c r="BJ68" s="978"/>
    </row>
    <row r="69" spans="1:62" s="663" customFormat="1" ht="16.5" customHeight="1" x14ac:dyDescent="0.15">
      <c r="A69" s="1151"/>
      <c r="B69" s="1151"/>
      <c r="C69" s="1151"/>
      <c r="D69" s="1151"/>
      <c r="E69" s="674">
        <v>17.100000000000001</v>
      </c>
      <c r="F69" s="769" t="str" cm="1">
        <f t="array" aca="1" ref="F69" ca="1">OFFSET(G69,-1,-1)</f>
        <v>1</v>
      </c>
      <c r="G69" s="612" t="s">
        <v>949</v>
      </c>
      <c r="H69" s="1151"/>
      <c r="I69" s="162" t="s">
        <v>950</v>
      </c>
      <c r="J69" s="1151"/>
      <c r="K69" s="1151"/>
      <c r="L69" s="1151"/>
      <c r="M69" s="1151"/>
      <c r="N69" s="1151"/>
      <c r="O69" s="1151"/>
      <c r="P69" s="1151"/>
      <c r="Q69" s="1151"/>
      <c r="R69" s="1151"/>
      <c r="S69" s="1151"/>
      <c r="T69" s="770" t="b" cm="1">
        <f t="array" ref="T69">T68</f>
        <v>1</v>
      </c>
      <c r="U69" s="1151"/>
      <c r="V69" s="1151"/>
      <c r="W69" s="1151"/>
      <c r="X69" s="1480"/>
      <c r="Y69" s="1151"/>
      <c r="Z69" s="1480"/>
      <c r="AA69" s="1151"/>
      <c r="AB69" s="230">
        <v>1</v>
      </c>
      <c r="AC69" s="225" t="s">
        <v>951</v>
      </c>
      <c r="AD69" s="224" t="s">
        <v>830</v>
      </c>
      <c r="AE69" s="504">
        <f t="shared" ref="AE69:BB69" si="20">SUMIF($I74:$I89,$I69,AE74:AE89)</f>
        <v>14221.181011043998</v>
      </c>
      <c r="AF69" s="504">
        <f t="shared" si="20"/>
        <v>13493.036</v>
      </c>
      <c r="AG69" s="504">
        <f t="shared" si="20"/>
        <v>13165.65</v>
      </c>
      <c r="AH69" s="504">
        <f t="shared" si="20"/>
        <v>15270.465071049999</v>
      </c>
      <c r="AI69" s="504">
        <f t="shared" si="20"/>
        <v>17989.060000000001</v>
      </c>
      <c r="AJ69" s="1259">
        <f t="shared" si="20"/>
        <v>0</v>
      </c>
      <c r="AK69" s="1259">
        <f t="shared" si="20"/>
        <v>0</v>
      </c>
      <c r="AL69" s="1265">
        <f t="shared" si="20"/>
        <v>0</v>
      </c>
      <c r="AM69" s="1265">
        <f t="shared" si="20"/>
        <v>0</v>
      </c>
      <c r="AN69" s="1265">
        <f t="shared" si="20"/>
        <v>0</v>
      </c>
      <c r="AO69" s="1265">
        <f t="shared" si="20"/>
        <v>0</v>
      </c>
      <c r="AP69" s="1265">
        <f t="shared" si="20"/>
        <v>0</v>
      </c>
      <c r="AQ69" s="1265">
        <f t="shared" si="20"/>
        <v>0</v>
      </c>
      <c r="AR69" s="1265">
        <f t="shared" si="20"/>
        <v>0</v>
      </c>
      <c r="AS69" s="504">
        <f t="shared" si="20"/>
        <v>16686.6852702</v>
      </c>
      <c r="AT69" s="1259">
        <f t="shared" si="20"/>
        <v>0</v>
      </c>
      <c r="AU69" s="1259">
        <f t="shared" si="20"/>
        <v>0</v>
      </c>
      <c r="AV69" s="1265">
        <f t="shared" si="20"/>
        <v>0</v>
      </c>
      <c r="AW69" s="1265">
        <f t="shared" si="20"/>
        <v>0</v>
      </c>
      <c r="AX69" s="1265">
        <f t="shared" si="20"/>
        <v>0</v>
      </c>
      <c r="AY69" s="1265">
        <f t="shared" si="20"/>
        <v>0</v>
      </c>
      <c r="AZ69" s="1265">
        <f t="shared" si="20"/>
        <v>0</v>
      </c>
      <c r="BA69" s="1265">
        <f t="shared" si="20"/>
        <v>0</v>
      </c>
      <c r="BB69" s="1265">
        <f t="shared" si="20"/>
        <v>0</v>
      </c>
      <c r="BC69" s="1239"/>
      <c r="BD69" s="1151"/>
      <c r="BE69" s="1151"/>
      <c r="BF69" s="960" t="s">
        <v>952</v>
      </c>
      <c r="BG69" s="977"/>
      <c r="BH69" s="977"/>
      <c r="BI69" s="978"/>
      <c r="BJ69" s="978"/>
    </row>
    <row r="70" spans="1:62" s="663" customFormat="1" ht="16.5" customHeight="1" x14ac:dyDescent="0.15">
      <c r="A70" s="1151"/>
      <c r="B70" s="1151"/>
      <c r="C70" s="1151"/>
      <c r="D70" s="1151"/>
      <c r="E70" s="674">
        <v>17.100000000000001</v>
      </c>
      <c r="F70" s="769" t="str" cm="1">
        <f t="array" aca="1" ref="F70" ca="1">OFFSET(G70,-1,-1)</f>
        <v>1</v>
      </c>
      <c r="G70" s="1151"/>
      <c r="H70" s="1151"/>
      <c r="I70" s="1151"/>
      <c r="J70" s="1151"/>
      <c r="K70" s="1151"/>
      <c r="L70" s="1151"/>
      <c r="M70" s="1151"/>
      <c r="N70" s="1151"/>
      <c r="O70" s="1151"/>
      <c r="P70" s="1151"/>
      <c r="Q70" s="1151"/>
      <c r="R70" s="1151"/>
      <c r="S70" s="1151"/>
      <c r="T70" s="770" t="b" cm="1">
        <f t="array" ref="T70">T69</f>
        <v>1</v>
      </c>
      <c r="U70" s="1151"/>
      <c r="V70" s="1151"/>
      <c r="W70" s="1151"/>
      <c r="X70" s="1480"/>
      <c r="Y70" s="1151"/>
      <c r="Z70" s="1480"/>
      <c r="AA70" s="1151"/>
      <c r="AB70" s="163" t="s">
        <v>473</v>
      </c>
      <c r="AC70" s="220" t="s">
        <v>953</v>
      </c>
      <c r="AD70" s="118" t="s">
        <v>753</v>
      </c>
      <c r="AE70" s="213">
        <f t="shared" ref="AE70:BB70" si="21">SUMIF($AD74:$AD89,$AD70,AE74:AE89)</f>
        <v>3080.404</v>
      </c>
      <c r="AF70" s="213">
        <f t="shared" si="21"/>
        <v>3115.9589999999998</v>
      </c>
      <c r="AG70" s="213">
        <f t="shared" si="21"/>
        <v>3040.33</v>
      </c>
      <c r="AH70" s="213">
        <f t="shared" si="21"/>
        <v>3152.29</v>
      </c>
      <c r="AI70" s="213">
        <f t="shared" si="21"/>
        <v>3247.3</v>
      </c>
      <c r="AJ70" s="1181">
        <f t="shared" si="21"/>
        <v>0</v>
      </c>
      <c r="AK70" s="1181">
        <f t="shared" si="21"/>
        <v>0</v>
      </c>
      <c r="AL70" s="1188">
        <f t="shared" si="21"/>
        <v>0</v>
      </c>
      <c r="AM70" s="1188">
        <f t="shared" si="21"/>
        <v>0</v>
      </c>
      <c r="AN70" s="1188">
        <f t="shared" si="21"/>
        <v>0</v>
      </c>
      <c r="AO70" s="1188">
        <f t="shared" si="21"/>
        <v>0</v>
      </c>
      <c r="AP70" s="1188">
        <f t="shared" si="21"/>
        <v>0</v>
      </c>
      <c r="AQ70" s="1188">
        <f t="shared" si="21"/>
        <v>0</v>
      </c>
      <c r="AR70" s="1188">
        <f t="shared" si="21"/>
        <v>0</v>
      </c>
      <c r="AS70" s="213">
        <f t="shared" si="21"/>
        <v>2975.61</v>
      </c>
      <c r="AT70" s="1181">
        <f t="shared" si="21"/>
        <v>0</v>
      </c>
      <c r="AU70" s="1181">
        <f t="shared" si="21"/>
        <v>0</v>
      </c>
      <c r="AV70" s="1188">
        <f t="shared" si="21"/>
        <v>0</v>
      </c>
      <c r="AW70" s="1188">
        <f t="shared" si="21"/>
        <v>0</v>
      </c>
      <c r="AX70" s="1188">
        <f t="shared" si="21"/>
        <v>0</v>
      </c>
      <c r="AY70" s="1188">
        <f t="shared" si="21"/>
        <v>0</v>
      </c>
      <c r="AZ70" s="1188">
        <f t="shared" si="21"/>
        <v>0</v>
      </c>
      <c r="BA70" s="1188">
        <f t="shared" si="21"/>
        <v>0</v>
      </c>
      <c r="BB70" s="1188">
        <f t="shared" si="21"/>
        <v>0</v>
      </c>
      <c r="BC70" s="1231"/>
      <c r="BD70" s="1151"/>
      <c r="BE70" s="1151"/>
      <c r="BF70" s="971" t="s">
        <v>954</v>
      </c>
      <c r="BG70" s="977"/>
      <c r="BH70" s="977"/>
      <c r="BI70" s="978"/>
      <c r="BJ70" s="978"/>
    </row>
    <row r="71" spans="1:62" s="663" customFormat="1" ht="16.5" customHeight="1" x14ac:dyDescent="0.15">
      <c r="A71" s="1151"/>
      <c r="B71" s="1151"/>
      <c r="C71" s="1151"/>
      <c r="D71" s="1151"/>
      <c r="E71" s="674">
        <v>17.100000000000001</v>
      </c>
      <c r="F71" s="769" t="str" cm="1">
        <f t="array" aca="1" ref="F71" ca="1">OFFSET(G71,-1,-1)</f>
        <v>1</v>
      </c>
      <c r="G71" s="1151"/>
      <c r="H71" s="1151"/>
      <c r="I71" s="1151"/>
      <c r="J71" s="1151"/>
      <c r="K71" s="1151"/>
      <c r="L71" s="1151"/>
      <c r="M71" s="1151"/>
      <c r="N71" s="1151"/>
      <c r="O71" s="1151"/>
      <c r="P71" s="1151"/>
      <c r="Q71" s="1151"/>
      <c r="R71" s="1151"/>
      <c r="S71" s="1151"/>
      <c r="T71" s="770" t="b" cm="1">
        <f t="array" ref="T71">T70</f>
        <v>1</v>
      </c>
      <c r="U71" s="1151"/>
      <c r="V71" s="1151"/>
      <c r="W71" s="1151"/>
      <c r="X71" s="1480"/>
      <c r="Y71" s="1151"/>
      <c r="Z71" s="1480"/>
      <c r="AA71" s="1151"/>
      <c r="AB71" s="163" t="s">
        <v>955</v>
      </c>
      <c r="AC71" s="220" t="s">
        <v>956</v>
      </c>
      <c r="AD71" s="118" t="s">
        <v>622</v>
      </c>
      <c r="AE71" s="1266">
        <f ca="1">IF($K68="передача тепловой энергии",SUMIFS('Баланс Тр'!AE$27:AE$43,'Баланс Тр'!$F$27:$F$43,$F71,'Баланс Тр'!$AB$27:$AB$43,"3"),SUMIFS('Баланс Пр'!AE$27:AE$165,'Баланс Пр'!$F$27:$F$165,$F71,'Баланс Пр'!$AB$27:$AB$165,"9.1"))</f>
        <v>67402</v>
      </c>
      <c r="AF71" s="1266">
        <f ca="1">IF($K68="передача тепловой энергии",SUMIFS('Баланс Тр'!AF$27:AF$43,'Баланс Тр'!$F$27:$F$43,$F71,'Баланс Тр'!$AB$27:$AB$43,"3"),SUMIFS('Баланс Пр'!AF$27:AF$165,'Баланс Пр'!$F$27:$F$165,$F71,'Баланс Пр'!$AB$27:$AB$165,"9.1"))</f>
        <v>66525.09</v>
      </c>
      <c r="AG71" s="1266">
        <f ca="1">IF($K68="передача тепловой энергии",SUMIFS('Баланс Тр'!AG$27:AG$43,'Баланс Тр'!$F$27:$F$43,$F71,'Баланс Тр'!$AB$27:$AB$43,"3"),SUMIFS('Баланс Пр'!AG$27:AG$165,'Баланс Пр'!$F$27:$F$165,$F71,'Баланс Пр'!$AB$27:$AB$165,"9.1"))</f>
        <v>66525.100000000006</v>
      </c>
      <c r="AH71" s="1266">
        <f ca="1">IF($K68="передача тепловой энергии",SUMIFS('Баланс Тр'!AH$27:AH$43,'Баланс Тр'!$F$27:$F$43,$F71,'Баланс Тр'!$AB$27:$AB$43,"3"),SUMIFS('Баланс Пр'!AH$27:AH$165,'Баланс Пр'!$F$27:$F$165,$F71,'Баланс Пр'!$AB$27:$AB$165,"9.1"))</f>
        <v>68975</v>
      </c>
      <c r="AI71" s="254">
        <f ca="1">IF($K68="передача тепловой энергии",SUMIFS('Баланс Тр'!AI$27:AI$43,'Баланс Тр'!$F$27:$F$43,$F71,'Баланс Тр'!$AB$27:$AB$43,"3"),SUMIFS('Баланс Пр'!AI$27:AI$165,'Баланс Пр'!$F$27:$F$165,$F71,'Баланс Пр'!$AB$27:$AB$165,"9.1"))</f>
        <v>65109.039999999994</v>
      </c>
      <c r="AJ71" s="1260">
        <f ca="1">IF($K68="передача тепловой энергии",SUMIFS('Баланс Тр'!AJ$27:AJ$43,'Баланс Тр'!$F$27:$F$43,$F71,'Баланс Тр'!$AB$27:$AB$43,"3"),SUMIFS('Баланс Пр'!AJ$27:AJ$165,'Баланс Пр'!$F$27:$F$165,$F71,'Баланс Пр'!$AB$27:$AB$165,"9.1"))</f>
        <v>0</v>
      </c>
      <c r="AK71" s="1260">
        <f ca="1">IF($K68="передача тепловой энергии",SUMIFS('Баланс Тр'!AK$27:AK$43,'Баланс Тр'!$F$27:$F$43,$F71,'Баланс Тр'!$AB$27:$AB$43,"3"),SUMIFS('Баланс Пр'!AK$27:AK$165,'Баланс Пр'!$F$27:$F$165,$F71,'Баланс Пр'!$AB$27:$AB$165,"9.1"))</f>
        <v>0</v>
      </c>
      <c r="AL71" s="1266">
        <f ca="1">IF($K68="передача тепловой энергии",SUMIFS('Баланс Тр'!AL$27:AL$43,'Баланс Тр'!$F$27:$F$43,$F71,'Баланс Тр'!$AB$27:$AB$43,"3"),SUMIFS('Баланс Пр'!AL$27:AL$165,'Баланс Пр'!$F$27:$F$165,$F71,'Баланс Пр'!$AB$27:$AB$165,"9.1"))</f>
        <v>0</v>
      </c>
      <c r="AM71" s="1266">
        <f ca="1">IF($K68="передача тепловой энергии",SUMIFS('Баланс Тр'!AM$27:AM$43,'Баланс Тр'!$F$27:$F$43,$F71,'Баланс Тр'!$AB$27:$AB$43,"3"),SUMIFS('Баланс Пр'!AM$27:AM$165,'Баланс Пр'!$F$27:$F$165,$F71,'Баланс Пр'!$AB$27:$AB$165,"9.1"))</f>
        <v>0</v>
      </c>
      <c r="AN71" s="1266">
        <f ca="1">IF($K68="передача тепловой энергии",SUMIFS('Баланс Тр'!AN$27:AN$43,'Баланс Тр'!$F$27:$F$43,$F71,'Баланс Тр'!$AB$27:$AB$43,"3"),SUMIFS('Баланс Пр'!AN$27:AN$165,'Баланс Пр'!$F$27:$F$165,$F71,'Баланс Пр'!$AB$27:$AB$165,"9.1"))</f>
        <v>0</v>
      </c>
      <c r="AO71" s="1266">
        <f ca="1">IF($K68="передача тепловой энергии",SUMIFS('Баланс Тр'!AO$27:AO$43,'Баланс Тр'!$F$27:$F$43,$F71,'Баланс Тр'!$AB$27:$AB$43,"3"),SUMIFS('Баланс Пр'!AO$27:AO$165,'Баланс Пр'!$F$27:$F$165,$F71,'Баланс Пр'!$AB$27:$AB$165,"9.1"))</f>
        <v>0</v>
      </c>
      <c r="AP71" s="1266">
        <f ca="1">IF($K68="передача тепловой энергии",SUMIFS('Баланс Тр'!AP$27:AP$43,'Баланс Тр'!$F$27:$F$43,$F71,'Баланс Тр'!$AB$27:$AB$43,"3"),SUMIFS('Баланс Пр'!AP$27:AP$165,'Баланс Пр'!$F$27:$F$165,$F71,'Баланс Пр'!$AB$27:$AB$165,"9.1"))</f>
        <v>0</v>
      </c>
      <c r="AQ71" s="1266">
        <f ca="1">IF($K68="передача тепловой энергии",SUMIFS('Баланс Тр'!AQ$27:AQ$43,'Баланс Тр'!$F$27:$F$43,$F71,'Баланс Тр'!$AB$27:$AB$43,"3"),SUMIFS('Баланс Пр'!AQ$27:AQ$165,'Баланс Пр'!$F$27:$F$165,$F71,'Баланс Пр'!$AB$27:$AB$165,"9.1"))</f>
        <v>0</v>
      </c>
      <c r="AR71" s="1266">
        <f ca="1">IF($K68="передача тепловой энергии",SUMIFS('Баланс Тр'!AR$27:AR$43,'Баланс Тр'!$F$27:$F$43,$F71,'Баланс Тр'!$AB$27:$AB$43,"3"),SUMIFS('Баланс Пр'!AR$27:AR$165,'Баланс Пр'!$F$27:$F$165,$F71,'Баланс Пр'!$AB$27:$AB$165,"9.1"))</f>
        <v>0</v>
      </c>
      <c r="AS71" s="254">
        <f ca="1">IF($K68="передача тепловой энергии",SUMIFS('Баланс Тр'!AS$27:AS$43,'Баланс Тр'!$F$27:$F$43,$F71,'Баланс Тр'!$AB$27:$AB$43,"3"),SUMIFS('Баланс Пр'!AS$27:AS$165,'Баланс Пр'!$F$27:$F$165,$F71,'Баланс Пр'!$AB$27:$AB$165,"9.1"))</f>
        <v>65109</v>
      </c>
      <c r="AT71" s="1260">
        <f ca="1">IF($K68="передача тепловой энергии",SUMIFS('Баланс Тр'!AT$27:AT$43,'Баланс Тр'!$F$27:$F$43,$F71,'Баланс Тр'!$AB$27:$AB$43,"3"),SUMIFS('Баланс Пр'!AT$27:AT$165,'Баланс Пр'!$F$27:$F$165,$F71,'Баланс Пр'!$AB$27:$AB$165,"9.1"))</f>
        <v>0</v>
      </c>
      <c r="AU71" s="1260">
        <f ca="1">IF($K68="передача тепловой энергии",SUMIFS('Баланс Тр'!AU$27:AU$43,'Баланс Тр'!$F$27:$F$43,$F71,'Баланс Тр'!$AB$27:$AB$43,"3"),SUMIFS('Баланс Пр'!AU$27:AU$165,'Баланс Пр'!$F$27:$F$165,$F71,'Баланс Пр'!$AB$27:$AB$165,"9.1"))</f>
        <v>0</v>
      </c>
      <c r="AV71" s="1266">
        <f ca="1">IF($K68="передача тепловой энергии",SUMIFS('Баланс Тр'!AV$27:AV$43,'Баланс Тр'!$F$27:$F$43,$F71,'Баланс Тр'!$AB$27:$AB$43,"3"),SUMIFS('Баланс Пр'!AV$27:AV$165,'Баланс Пр'!$F$27:$F$165,$F71,'Баланс Пр'!$AB$27:$AB$165,"9.1"))</f>
        <v>0</v>
      </c>
      <c r="AW71" s="1266">
        <f ca="1">IF($K68="передача тепловой энергии",SUMIFS('Баланс Тр'!AW$27:AW$43,'Баланс Тр'!$F$27:$F$43,$F71,'Баланс Тр'!$AB$27:$AB$43,"3"),SUMIFS('Баланс Пр'!AW$27:AW$165,'Баланс Пр'!$F$27:$F$165,$F71,'Баланс Пр'!$AB$27:$AB$165,"9.1"))</f>
        <v>0</v>
      </c>
      <c r="AX71" s="1266">
        <f ca="1">IF($K68="передача тепловой энергии",SUMIFS('Баланс Тр'!AX$27:AX$43,'Баланс Тр'!$F$27:$F$43,$F71,'Баланс Тр'!$AB$27:$AB$43,"3"),SUMIFS('Баланс Пр'!AX$27:AX$165,'Баланс Пр'!$F$27:$F$165,$F71,'Баланс Пр'!$AB$27:$AB$165,"9.1"))</f>
        <v>0</v>
      </c>
      <c r="AY71" s="1266">
        <f ca="1">IF($K68="передача тепловой энергии",SUMIFS('Баланс Тр'!AY$27:AY$43,'Баланс Тр'!$F$27:$F$43,$F71,'Баланс Тр'!$AB$27:$AB$43,"3"),SUMIFS('Баланс Пр'!AY$27:AY$165,'Баланс Пр'!$F$27:$F$165,$F71,'Баланс Пр'!$AB$27:$AB$165,"9.1"))</f>
        <v>0</v>
      </c>
      <c r="AZ71" s="1266">
        <f ca="1">IF($K68="передача тепловой энергии",SUMIFS('Баланс Тр'!AZ$27:AZ$43,'Баланс Тр'!$F$27:$F$43,$F71,'Баланс Тр'!$AB$27:$AB$43,"3"),SUMIFS('Баланс Пр'!AZ$27:AZ$165,'Баланс Пр'!$F$27:$F$165,$F71,'Баланс Пр'!$AB$27:$AB$165,"9.1"))</f>
        <v>0</v>
      </c>
      <c r="BA71" s="1266">
        <f ca="1">IF($K68="передача тепловой энергии",SUMIFS('Баланс Тр'!BA$27:BA$43,'Баланс Тр'!$F$27:$F$43,$F71,'Баланс Тр'!$AB$27:$AB$43,"3"),SUMIFS('Баланс Пр'!BA$27:BA$165,'Баланс Пр'!$F$27:$F$165,$F71,'Баланс Пр'!$AB$27:$AB$165,"9.1"))</f>
        <v>0</v>
      </c>
      <c r="BB71" s="1266">
        <f ca="1">IF($K68="передача тепловой энергии",SUMIFS('Баланс Тр'!BB$27:BB$43,'Баланс Тр'!$F$27:$F$43,$F71,'Баланс Тр'!$AB$27:$AB$43,"3"),SUMIFS('Баланс Пр'!BB$27:BB$165,'Баланс Пр'!$F$27:$F$165,$F71,'Баланс Пр'!$AB$27:$AB$165,"9.1"))</f>
        <v>0</v>
      </c>
      <c r="BC71" s="1231"/>
      <c r="BD71" s="1151"/>
      <c r="BE71" s="1151"/>
      <c r="BF71" s="971" t="s">
        <v>779</v>
      </c>
      <c r="BG71" s="977"/>
      <c r="BH71" s="977"/>
      <c r="BI71" s="978"/>
      <c r="BJ71" s="978"/>
    </row>
    <row r="72" spans="1:62" s="663" customFormat="1" ht="16.5" customHeight="1" x14ac:dyDescent="0.15">
      <c r="A72" s="1151"/>
      <c r="B72" s="1151"/>
      <c r="C72" s="1151"/>
      <c r="D72" s="1151"/>
      <c r="E72" s="674">
        <v>17.100000000000001</v>
      </c>
      <c r="F72" s="769" t="str" cm="1">
        <f t="array" aca="1" ref="F72" ca="1">OFFSET(G72,-1,-1)</f>
        <v>1</v>
      </c>
      <c r="G72" s="1151"/>
      <c r="H72" s="1151"/>
      <c r="I72" s="1151"/>
      <c r="J72" s="1151"/>
      <c r="K72" s="1151"/>
      <c r="L72" s="1151"/>
      <c r="M72" s="1151"/>
      <c r="N72" s="1151"/>
      <c r="O72" s="1151"/>
      <c r="P72" s="1151"/>
      <c r="Q72" s="1151"/>
      <c r="R72" s="1151"/>
      <c r="S72" s="1151"/>
      <c r="T72" s="770" t="b" cm="1">
        <f t="array" ref="T72">T71</f>
        <v>1</v>
      </c>
      <c r="U72" s="1151"/>
      <c r="V72" s="1151"/>
      <c r="W72" s="1151"/>
      <c r="X72" s="1480"/>
      <c r="Y72" s="1151"/>
      <c r="Z72" s="1480"/>
      <c r="AA72" s="1151"/>
      <c r="AB72" s="163" t="s">
        <v>957</v>
      </c>
      <c r="AC72" s="220" t="s">
        <v>958</v>
      </c>
      <c r="AD72" s="118" t="s">
        <v>959</v>
      </c>
      <c r="AE72" s="213">
        <f t="shared" ref="AE72:BB72" si="22">IF(AE70=0,0,AE69/AE70)</f>
        <v>4.6166609999999997</v>
      </c>
      <c r="AF72" s="213">
        <f t="shared" si="22"/>
        <v>4.3302995963682456</v>
      </c>
      <c r="AG72" s="213">
        <f t="shared" si="22"/>
        <v>4.3303358517003092</v>
      </c>
      <c r="AH72" s="213">
        <f t="shared" si="22"/>
        <v>4.8442449999999999</v>
      </c>
      <c r="AI72" s="213">
        <f t="shared" si="22"/>
        <v>5.5396975949250145</v>
      </c>
      <c r="AJ72" s="1181">
        <f t="shared" si="22"/>
        <v>0</v>
      </c>
      <c r="AK72" s="1181">
        <f t="shared" si="22"/>
        <v>0</v>
      </c>
      <c r="AL72" s="1188">
        <f t="shared" si="22"/>
        <v>0</v>
      </c>
      <c r="AM72" s="1188">
        <f t="shared" si="22"/>
        <v>0</v>
      </c>
      <c r="AN72" s="1188">
        <f t="shared" si="22"/>
        <v>0</v>
      </c>
      <c r="AO72" s="1188">
        <f t="shared" si="22"/>
        <v>0</v>
      </c>
      <c r="AP72" s="1188">
        <f t="shared" si="22"/>
        <v>0</v>
      </c>
      <c r="AQ72" s="1188">
        <f t="shared" si="22"/>
        <v>0</v>
      </c>
      <c r="AR72" s="1188">
        <f t="shared" si="22"/>
        <v>0</v>
      </c>
      <c r="AS72" s="213">
        <f t="shared" si="22"/>
        <v>5.6078199999999994</v>
      </c>
      <c r="AT72" s="1181">
        <f t="shared" si="22"/>
        <v>0</v>
      </c>
      <c r="AU72" s="1181">
        <f t="shared" si="22"/>
        <v>0</v>
      </c>
      <c r="AV72" s="1188">
        <f t="shared" si="22"/>
        <v>0</v>
      </c>
      <c r="AW72" s="1188">
        <f t="shared" si="22"/>
        <v>0</v>
      </c>
      <c r="AX72" s="1188">
        <f t="shared" si="22"/>
        <v>0</v>
      </c>
      <c r="AY72" s="1188">
        <f t="shared" si="22"/>
        <v>0</v>
      </c>
      <c r="AZ72" s="1188">
        <f t="shared" si="22"/>
        <v>0</v>
      </c>
      <c r="BA72" s="1188">
        <f t="shared" si="22"/>
        <v>0</v>
      </c>
      <c r="BB72" s="1188">
        <f t="shared" si="22"/>
        <v>0</v>
      </c>
      <c r="BC72" s="1231"/>
      <c r="BD72" s="1151"/>
      <c r="BE72" s="1151"/>
      <c r="BF72" s="971" t="s">
        <v>960</v>
      </c>
      <c r="BG72" s="977"/>
      <c r="BH72" s="977"/>
      <c r="BI72" s="978"/>
      <c r="BJ72" s="978"/>
    </row>
    <row r="73" spans="1:62" s="663" customFormat="1" ht="16.5" customHeight="1" x14ac:dyDescent="0.15">
      <c r="A73" s="1151"/>
      <c r="B73" s="1151"/>
      <c r="C73" s="1151"/>
      <c r="D73" s="1151"/>
      <c r="E73" s="674">
        <v>17.100000000000001</v>
      </c>
      <c r="F73" s="769" t="str" cm="1">
        <f t="array" aca="1" ref="F73" ca="1">OFFSET(G73,-1,-1)</f>
        <v>1</v>
      </c>
      <c r="G73" s="1151"/>
      <c r="H73" s="1151"/>
      <c r="I73" s="1151"/>
      <c r="J73" s="1151"/>
      <c r="K73" s="1151"/>
      <c r="L73" s="1151"/>
      <c r="M73" s="1151"/>
      <c r="N73" s="1151"/>
      <c r="O73" s="1151"/>
      <c r="P73" s="1151"/>
      <c r="Q73" s="1151"/>
      <c r="R73" s="1151"/>
      <c r="S73" s="1151"/>
      <c r="T73" s="770" t="b" cm="1">
        <f t="array" ref="T73">T72</f>
        <v>1</v>
      </c>
      <c r="U73" s="1151"/>
      <c r="V73" s="1151"/>
      <c r="W73" s="1151"/>
      <c r="X73" s="1480"/>
      <c r="Y73" s="1151"/>
      <c r="Z73" s="1480"/>
      <c r="AA73" s="1151"/>
      <c r="AB73" s="163" t="s">
        <v>961</v>
      </c>
      <c r="AC73" s="220" t="s">
        <v>962</v>
      </c>
      <c r="AD73" s="118" t="s">
        <v>765</v>
      </c>
      <c r="AE73" s="321">
        <f t="shared" ref="AE73:BB73" ca="1" si="23">IF(AE71=0,0,AE70/AE71)*1000</f>
        <v>45.701967300673573</v>
      </c>
      <c r="AF73" s="321">
        <f t="shared" ca="1" si="23"/>
        <v>46.838854333004285</v>
      </c>
      <c r="AG73" s="321">
        <f t="shared" ca="1" si="23"/>
        <v>45.70199819316317</v>
      </c>
      <c r="AH73" s="321">
        <f t="shared" ca="1" si="23"/>
        <v>45.701920985864447</v>
      </c>
      <c r="AI73" s="321">
        <f t="shared" ca="1" si="23"/>
        <v>49.874794652171197</v>
      </c>
      <c r="AJ73" s="1261">
        <f t="shared" ca="1" si="23"/>
        <v>0</v>
      </c>
      <c r="AK73" s="1261">
        <f t="shared" ca="1" si="23"/>
        <v>0</v>
      </c>
      <c r="AL73" s="1267">
        <f t="shared" ca="1" si="23"/>
        <v>0</v>
      </c>
      <c r="AM73" s="1267">
        <f t="shared" ca="1" si="23"/>
        <v>0</v>
      </c>
      <c r="AN73" s="1267">
        <f t="shared" ca="1" si="23"/>
        <v>0</v>
      </c>
      <c r="AO73" s="1267">
        <f t="shared" ca="1" si="23"/>
        <v>0</v>
      </c>
      <c r="AP73" s="1267">
        <f t="shared" ca="1" si="23"/>
        <v>0</v>
      </c>
      <c r="AQ73" s="1267">
        <f t="shared" ca="1" si="23"/>
        <v>0</v>
      </c>
      <c r="AR73" s="1267">
        <f t="shared" ca="1" si="23"/>
        <v>0</v>
      </c>
      <c r="AS73" s="321">
        <f t="shared" ca="1" si="23"/>
        <v>45.701976685250891</v>
      </c>
      <c r="AT73" s="1261">
        <f t="shared" ca="1" si="23"/>
        <v>0</v>
      </c>
      <c r="AU73" s="1261">
        <f t="shared" ca="1" si="23"/>
        <v>0</v>
      </c>
      <c r="AV73" s="1267">
        <f t="shared" ca="1" si="23"/>
        <v>0</v>
      </c>
      <c r="AW73" s="1267">
        <f t="shared" ca="1" si="23"/>
        <v>0</v>
      </c>
      <c r="AX73" s="1267">
        <f t="shared" ca="1" si="23"/>
        <v>0</v>
      </c>
      <c r="AY73" s="1267">
        <f t="shared" ca="1" si="23"/>
        <v>0</v>
      </c>
      <c r="AZ73" s="1267">
        <f t="shared" ca="1" si="23"/>
        <v>0</v>
      </c>
      <c r="BA73" s="1267">
        <f t="shared" ca="1" si="23"/>
        <v>0</v>
      </c>
      <c r="BB73" s="1267">
        <f t="shared" ca="1" si="23"/>
        <v>0</v>
      </c>
      <c r="BC73" s="1231"/>
      <c r="BD73" s="1151"/>
      <c r="BE73" s="1151"/>
      <c r="BF73" s="971" t="s">
        <v>756</v>
      </c>
      <c r="BG73" s="977"/>
      <c r="BH73" s="977"/>
      <c r="BI73" s="978"/>
      <c r="BJ73" s="978"/>
    </row>
    <row r="74" spans="1:62" s="663" customFormat="1" ht="16.5" customHeight="1" x14ac:dyDescent="0.15">
      <c r="A74" s="1151"/>
      <c r="B74" s="1151"/>
      <c r="C74" s="1151"/>
      <c r="D74" s="1151"/>
      <c r="E74" s="674">
        <v>17.100000000000001</v>
      </c>
      <c r="F74" s="769" t="str" cm="1">
        <f t="array" aca="1" ref="F74" ca="1">OFFSET(G74,-1,-1)</f>
        <v>1</v>
      </c>
      <c r="G74" s="1151"/>
      <c r="H74" s="1151"/>
      <c r="I74" s="1151"/>
      <c r="J74" s="1151"/>
      <c r="K74" s="1151"/>
      <c r="L74" s="1151"/>
      <c r="M74" s="1151"/>
      <c r="N74" s="1151"/>
      <c r="O74" s="1151"/>
      <c r="P74" s="1151"/>
      <c r="Q74" s="1151"/>
      <c r="R74" s="1151"/>
      <c r="S74" s="106"/>
      <c r="T74" s="770" t="b" cm="1">
        <f t="array" ref="T74">T73</f>
        <v>1</v>
      </c>
      <c r="U74" s="1151"/>
      <c r="V74" s="1151"/>
      <c r="W74" s="1151"/>
      <c r="X74" s="1480"/>
      <c r="Y74" s="1151"/>
      <c r="Z74" s="1480"/>
      <c r="AA74" s="1151"/>
      <c r="AB74" s="286"/>
      <c r="AC74" s="283" t="s">
        <v>963</v>
      </c>
      <c r="AD74" s="284"/>
      <c r="AE74" s="285"/>
      <c r="AF74" s="285"/>
      <c r="AG74" s="285"/>
      <c r="AH74" s="285"/>
      <c r="AI74" s="285"/>
      <c r="AJ74" s="285"/>
      <c r="AK74" s="285"/>
      <c r="AL74" s="285"/>
      <c r="AM74" s="285"/>
      <c r="AN74" s="285"/>
      <c r="AO74" s="285"/>
      <c r="AP74" s="285"/>
      <c r="AQ74" s="285"/>
      <c r="AR74" s="285"/>
      <c r="AS74" s="285"/>
      <c r="AT74" s="285"/>
      <c r="AU74" s="285"/>
      <c r="AV74" s="285"/>
      <c r="AW74" s="285"/>
      <c r="AX74" s="285"/>
      <c r="AY74" s="285"/>
      <c r="AZ74" s="285"/>
      <c r="BA74" s="285"/>
      <c r="BB74" s="285"/>
      <c r="BC74" s="895"/>
      <c r="BD74" s="1151"/>
      <c r="BE74" s="1151"/>
      <c r="BF74" s="971"/>
      <c r="BG74" s="977"/>
      <c r="BH74" s="977"/>
      <c r="BI74" s="978"/>
      <c r="BJ74" s="978"/>
    </row>
    <row r="75" spans="1:62" s="663" customFormat="1" ht="16.5" hidden="1" customHeight="1" x14ac:dyDescent="0.15">
      <c r="A75" s="918" t="str">
        <f ca="1">"checkCosts_1."&amp;F75&amp;"."&amp;Y75</f>
        <v>checkCosts_1.1.0</v>
      </c>
      <c r="E75" s="674">
        <v>17.100000000000001</v>
      </c>
      <c r="F75" s="769" t="str" cm="1">
        <f t="array" aca="1" ref="F75" ca="1">OFFSET(G75,-1,-1)</f>
        <v>1</v>
      </c>
      <c r="H75" s="160" cm="1">
        <f t="array" ref="H75">AC75</f>
        <v>0</v>
      </c>
      <c r="I75" s="162" t="s">
        <v>950</v>
      </c>
      <c r="S75" s="1554"/>
      <c r="T75" s="770" t="b">
        <f ca="1">AND(F75&gt;0,Y75&gt;0)</f>
        <v>0</v>
      </c>
      <c r="W75" s="119" t="s">
        <v>237</v>
      </c>
      <c r="X75" s="1557"/>
      <c r="Y75" s="1480">
        <v>0</v>
      </c>
      <c r="Z75" s="1557"/>
      <c r="AA75" s="1432" t="s">
        <v>218</v>
      </c>
      <c r="AB75" s="163" t="str">
        <f>"1.5."&amp;Y75</f>
        <v>1.5.0</v>
      </c>
      <c r="AC75" s="52"/>
      <c r="AD75" s="104" t="s">
        <v>830</v>
      </c>
      <c r="AE75" s="213">
        <f>AE76*AE77</f>
        <v>0</v>
      </c>
      <c r="AF75" s="10"/>
      <c r="AG75" s="10"/>
      <c r="AH75" s="213">
        <f>AH76*AH77</f>
        <v>0</v>
      </c>
      <c r="AI75" s="159"/>
      <c r="AJ75" s="10"/>
      <c r="AK75" s="10"/>
      <c r="AL75" s="10"/>
      <c r="AM75" s="10"/>
      <c r="AN75" s="10"/>
      <c r="AO75" s="10"/>
      <c r="AP75" s="10"/>
      <c r="AQ75" s="10"/>
      <c r="AR75" s="10"/>
      <c r="AS75" s="213">
        <f t="shared" ref="AS75:BB75" si="24">AS76*AS77</f>
        <v>0</v>
      </c>
      <c r="AT75" s="213">
        <f t="shared" si="24"/>
        <v>0</v>
      </c>
      <c r="AU75" s="213">
        <f t="shared" si="24"/>
        <v>0</v>
      </c>
      <c r="AV75" s="213">
        <f t="shared" si="24"/>
        <v>0</v>
      </c>
      <c r="AW75" s="213">
        <f t="shared" si="24"/>
        <v>0</v>
      </c>
      <c r="AX75" s="213">
        <f t="shared" si="24"/>
        <v>0</v>
      </c>
      <c r="AY75" s="213">
        <f t="shared" si="24"/>
        <v>0</v>
      </c>
      <c r="AZ75" s="213">
        <f t="shared" si="24"/>
        <v>0</v>
      </c>
      <c r="BA75" s="213">
        <f t="shared" si="24"/>
        <v>0</v>
      </c>
      <c r="BB75" s="213">
        <f t="shared" si="24"/>
        <v>0</v>
      </c>
      <c r="BC75" s="25"/>
      <c r="BF75" s="971" t="s">
        <v>964</v>
      </c>
      <c r="BG75" s="977" t="s">
        <v>965</v>
      </c>
      <c r="BH75" s="977" cm="1">
        <f t="array" ref="BH75">AC75</f>
        <v>0</v>
      </c>
      <c r="BI75" s="978"/>
      <c r="BJ75" s="978" t="b">
        <v>1</v>
      </c>
    </row>
    <row r="76" spans="1:62" s="663" customFormat="1" ht="16.5" hidden="1" customHeight="1" x14ac:dyDescent="0.15">
      <c r="E76" s="674">
        <v>17.100000000000001</v>
      </c>
      <c r="F76" s="769" t="str" cm="1">
        <f t="array" aca="1" ref="F76" ca="1">OFFSET(G76,-1,-1)</f>
        <v>1</v>
      </c>
      <c r="H76" s="160" cm="1">
        <f t="array" ref="H76">H75</f>
        <v>0</v>
      </c>
      <c r="S76" s="1554"/>
      <c r="T76" s="770" t="b" cm="1">
        <f t="array" aca="1" ref="T76" ca="1">T75</f>
        <v>0</v>
      </c>
      <c r="X76" s="1557"/>
      <c r="Y76" s="1557"/>
      <c r="Z76" s="1557"/>
      <c r="AA76" s="1432"/>
      <c r="AB76" s="686" t="str">
        <f>AB75&amp;".1"</f>
        <v>1.5.0.1</v>
      </c>
      <c r="AC76" s="655" t="s">
        <v>966</v>
      </c>
      <c r="AD76" s="122" t="s">
        <v>967</v>
      </c>
      <c r="AE76" s="53"/>
      <c r="AF76" s="1143">
        <f>IF(AF77=0,0,AF75/AF77)</f>
        <v>0</v>
      </c>
      <c r="AG76" s="1143">
        <f>IF(AG77=0,0,AG75/AG77)</f>
        <v>0</v>
      </c>
      <c r="AH76" s="53"/>
      <c r="AI76" s="1143">
        <f t="shared" ref="AI76:AR76" si="25">IF(AI77=0,0,AI75/AI77)</f>
        <v>0</v>
      </c>
      <c r="AJ76" s="1143">
        <f t="shared" si="25"/>
        <v>0</v>
      </c>
      <c r="AK76" s="1143">
        <f t="shared" si="25"/>
        <v>0</v>
      </c>
      <c r="AL76" s="1143">
        <f t="shared" si="25"/>
        <v>0</v>
      </c>
      <c r="AM76" s="1143">
        <f t="shared" si="25"/>
        <v>0</v>
      </c>
      <c r="AN76" s="1143">
        <f t="shared" si="25"/>
        <v>0</v>
      </c>
      <c r="AO76" s="1143">
        <f t="shared" si="25"/>
        <v>0</v>
      </c>
      <c r="AP76" s="1143">
        <f t="shared" si="25"/>
        <v>0</v>
      </c>
      <c r="AQ76" s="1143">
        <f t="shared" si="25"/>
        <v>0</v>
      </c>
      <c r="AR76" s="1143">
        <f t="shared" si="25"/>
        <v>0</v>
      </c>
      <c r="AS76" s="653"/>
      <c r="AT76" s="53"/>
      <c r="AU76" s="53"/>
      <c r="AV76" s="53"/>
      <c r="AW76" s="53"/>
      <c r="AX76" s="53"/>
      <c r="AY76" s="53"/>
      <c r="AZ76" s="53"/>
      <c r="BA76" s="53"/>
      <c r="BB76" s="53"/>
      <c r="BC76" s="20"/>
      <c r="BF76" s="971" t="s">
        <v>968</v>
      </c>
      <c r="BG76" s="977" t="s">
        <v>965</v>
      </c>
      <c r="BH76" s="977" cm="1">
        <f t="array" ref="BH76">BH75</f>
        <v>0</v>
      </c>
      <c r="BI76" s="978"/>
      <c r="BJ76" s="978"/>
    </row>
    <row r="77" spans="1:62" s="663" customFormat="1" ht="16.5" hidden="1" customHeight="1" x14ac:dyDescent="0.15">
      <c r="A77" s="918" t="str">
        <f ca="1">"checkVolume_1."&amp;F77&amp;"."&amp;Y75</f>
        <v>checkVolume_1.1.0</v>
      </c>
      <c r="E77" s="674">
        <v>17.100000000000001</v>
      </c>
      <c r="F77" s="769" t="str" cm="1">
        <f t="array" aca="1" ref="F77" ca="1">OFFSET(G77,-1,-1)</f>
        <v>1</v>
      </c>
      <c r="H77" s="160" cm="1">
        <f t="array" ref="H77">H75</f>
        <v>0</v>
      </c>
      <c r="S77" s="1554"/>
      <c r="T77" s="770" t="b" cm="1">
        <f t="array" aca="1" ref="T77" ca="1">T75</f>
        <v>0</v>
      </c>
      <c r="X77" s="1557"/>
      <c r="Y77" s="1557"/>
      <c r="Z77" s="1557"/>
      <c r="AA77" s="1432"/>
      <c r="AB77" s="686" t="str">
        <f>AB75&amp;".2"</f>
        <v>1.5.0.2</v>
      </c>
      <c r="AC77" s="655" t="s">
        <v>969</v>
      </c>
      <c r="AD77" s="122" t="s">
        <v>753</v>
      </c>
      <c r="AE77" s="53"/>
      <c r="AF77" s="53"/>
      <c r="AG77" s="53"/>
      <c r="AH77" s="53"/>
      <c r="AI77" s="653"/>
      <c r="AJ77" s="53"/>
      <c r="AK77" s="53"/>
      <c r="AL77" s="53"/>
      <c r="AM77" s="53"/>
      <c r="AN77" s="53"/>
      <c r="AO77" s="53"/>
      <c r="AP77" s="53"/>
      <c r="AQ77" s="53"/>
      <c r="AR77" s="53"/>
      <c r="AS77" s="653"/>
      <c r="AT77" s="53"/>
      <c r="AU77" s="53"/>
      <c r="AV77" s="53"/>
      <c r="AW77" s="53"/>
      <c r="AX77" s="53"/>
      <c r="AY77" s="53"/>
      <c r="AZ77" s="53"/>
      <c r="BA77" s="53"/>
      <c r="BB77" s="53"/>
      <c r="BC77" s="20"/>
      <c r="BF77" s="971" t="s">
        <v>970</v>
      </c>
      <c r="BG77" s="977" t="s">
        <v>965</v>
      </c>
      <c r="BH77" s="977" cm="1">
        <f t="array" ref="BH77">BH75</f>
        <v>0</v>
      </c>
      <c r="BI77" s="978"/>
      <c r="BJ77" s="978"/>
    </row>
    <row r="78" spans="1:62" s="663" customFormat="1" ht="16.5" customHeight="1" x14ac:dyDescent="0.15">
      <c r="A78" s="918" t="str">
        <f ca="1">"checkCosts_1."&amp;F78&amp;"."&amp;Y78</f>
        <v>checkCosts_1.1.1</v>
      </c>
      <c r="E78" s="674">
        <v>17.100000000000001</v>
      </c>
      <c r="F78" s="769" t="str" cm="1">
        <f t="array" aca="1" ref="F78" ca="1">OFFSET(G78,-1,-1)</f>
        <v>1</v>
      </c>
      <c r="H78" s="160" t="str" cm="1">
        <f t="array" ref="H78">AC78</f>
        <v>Без разбивки</v>
      </c>
      <c r="I78" s="162" t="s">
        <v>950</v>
      </c>
      <c r="S78" s="1554"/>
      <c r="T78" s="770" t="b">
        <f ca="1">AND(F78&gt;0,Y78&gt;0)</f>
        <v>1</v>
      </c>
      <c r="W78" s="119"/>
      <c r="X78" s="1557"/>
      <c r="Y78" s="1480" t="s">
        <v>339</v>
      </c>
      <c r="Z78" s="1557"/>
      <c r="AA78" s="1432" t="s">
        <v>218</v>
      </c>
      <c r="AB78" s="163" t="str">
        <f>"1.5."&amp;Y78</f>
        <v>1.5.1</v>
      </c>
      <c r="AC78" s="1268" t="s">
        <v>1012</v>
      </c>
      <c r="AD78" s="104" t="s">
        <v>830</v>
      </c>
      <c r="AE78" s="213">
        <f>AE79*AE80</f>
        <v>14221.181011043998</v>
      </c>
      <c r="AF78" s="1188">
        <v>13493.036</v>
      </c>
      <c r="AG78" s="1188">
        <v>13165.65</v>
      </c>
      <c r="AH78" s="213">
        <f>AH79*AH80</f>
        <v>15270.465071049999</v>
      </c>
      <c r="AI78" s="159">
        <v>17989.060000000001</v>
      </c>
      <c r="AJ78" s="1188"/>
      <c r="AK78" s="1188"/>
      <c r="AL78" s="1188"/>
      <c r="AM78" s="1188"/>
      <c r="AN78" s="1188"/>
      <c r="AO78" s="1188"/>
      <c r="AP78" s="1188"/>
      <c r="AQ78" s="1188"/>
      <c r="AR78" s="1188"/>
      <c r="AS78" s="213">
        <f t="shared" ref="AS78:BB78" si="26">AS79*AS80</f>
        <v>16686.6852702</v>
      </c>
      <c r="AT78" s="213">
        <f t="shared" si="26"/>
        <v>0</v>
      </c>
      <c r="AU78" s="213">
        <f t="shared" si="26"/>
        <v>0</v>
      </c>
      <c r="AV78" s="213">
        <f t="shared" si="26"/>
        <v>0</v>
      </c>
      <c r="AW78" s="213">
        <f t="shared" si="26"/>
        <v>0</v>
      </c>
      <c r="AX78" s="213">
        <f t="shared" si="26"/>
        <v>0</v>
      </c>
      <c r="AY78" s="213">
        <f t="shared" si="26"/>
        <v>0</v>
      </c>
      <c r="AZ78" s="213">
        <f t="shared" si="26"/>
        <v>0</v>
      </c>
      <c r="BA78" s="213">
        <f t="shared" si="26"/>
        <v>0</v>
      </c>
      <c r="BB78" s="213">
        <f t="shared" si="26"/>
        <v>0</v>
      </c>
      <c r="BC78" s="1231"/>
      <c r="BF78" s="971" t="s">
        <v>964</v>
      </c>
      <c r="BG78" s="977" t="s">
        <v>965</v>
      </c>
      <c r="BH78" s="977" t="str" cm="1">
        <f t="array" ref="BH78">AC78</f>
        <v>Без разбивки</v>
      </c>
      <c r="BI78" s="978"/>
      <c r="BJ78" s="978" t="b">
        <v>1</v>
      </c>
    </row>
    <row r="79" spans="1:62" s="663" customFormat="1" ht="16.5" customHeight="1" x14ac:dyDescent="0.15">
      <c r="E79" s="674">
        <v>17.100000000000001</v>
      </c>
      <c r="F79" s="769" t="str" cm="1">
        <f t="array" aca="1" ref="F79" ca="1">OFFSET(G79,-1,-1)</f>
        <v>1</v>
      </c>
      <c r="H79" s="160" t="str" cm="1">
        <f t="array" ref="H79">H78</f>
        <v>Без разбивки</v>
      </c>
      <c r="S79" s="1554"/>
      <c r="T79" s="770" t="b" cm="1">
        <f t="array" aca="1" ref="T79" ca="1">T78</f>
        <v>1</v>
      </c>
      <c r="X79" s="1557"/>
      <c r="Y79" s="1557"/>
      <c r="Z79" s="1557"/>
      <c r="AA79" s="1432"/>
      <c r="AB79" s="686" t="str">
        <f>AB78&amp;".1"</f>
        <v>1.5.1.1</v>
      </c>
      <c r="AC79" s="655" t="s">
        <v>966</v>
      </c>
      <c r="AD79" s="122" t="s">
        <v>967</v>
      </c>
      <c r="AE79" s="1269">
        <v>4.6166609999999997</v>
      </c>
      <c r="AF79" s="1143">
        <f>IF(AF80=0,0,AF78/AF80)</f>
        <v>4.3302995963682456</v>
      </c>
      <c r="AG79" s="1143">
        <f>IF(AG80=0,0,AG78/AG80)</f>
        <v>4.3303358517003092</v>
      </c>
      <c r="AH79" s="1269">
        <v>4.8442449999999999</v>
      </c>
      <c r="AI79" s="1143">
        <f t="shared" ref="AI79:AR79" si="27">IF(AI80=0,0,AI78/AI80)</f>
        <v>5.5396975949250145</v>
      </c>
      <c r="AJ79" s="1143">
        <f t="shared" si="27"/>
        <v>0</v>
      </c>
      <c r="AK79" s="1143">
        <f t="shared" si="27"/>
        <v>0</v>
      </c>
      <c r="AL79" s="1143">
        <f t="shared" si="27"/>
        <v>0</v>
      </c>
      <c r="AM79" s="1143">
        <f t="shared" si="27"/>
        <v>0</v>
      </c>
      <c r="AN79" s="1143">
        <f t="shared" si="27"/>
        <v>0</v>
      </c>
      <c r="AO79" s="1143">
        <f t="shared" si="27"/>
        <v>0</v>
      </c>
      <c r="AP79" s="1143">
        <f t="shared" si="27"/>
        <v>0</v>
      </c>
      <c r="AQ79" s="1143">
        <f t="shared" si="27"/>
        <v>0</v>
      </c>
      <c r="AR79" s="1143">
        <f t="shared" si="27"/>
        <v>0</v>
      </c>
      <c r="AS79" s="653">
        <v>5.6078200000000002</v>
      </c>
      <c r="AT79" s="1269"/>
      <c r="AU79" s="1269"/>
      <c r="AV79" s="1269"/>
      <c r="AW79" s="1269"/>
      <c r="AX79" s="1269"/>
      <c r="AY79" s="1269"/>
      <c r="AZ79" s="1269"/>
      <c r="BA79" s="1269"/>
      <c r="BB79" s="1269"/>
      <c r="BC79" s="1237"/>
      <c r="BF79" s="971" t="s">
        <v>968</v>
      </c>
      <c r="BG79" s="977" t="s">
        <v>965</v>
      </c>
      <c r="BH79" s="977" t="str" cm="1">
        <f t="array" ref="BH79">BH78</f>
        <v>Без разбивки</v>
      </c>
      <c r="BI79" s="978"/>
      <c r="BJ79" s="978"/>
    </row>
    <row r="80" spans="1:62" s="663" customFormat="1" ht="16.5" customHeight="1" x14ac:dyDescent="0.15">
      <c r="A80" s="918" t="str">
        <f ca="1">"checkVolume_1."&amp;F80&amp;"."&amp;Y78</f>
        <v>checkVolume_1.1.1</v>
      </c>
      <c r="E80" s="674">
        <v>17.100000000000001</v>
      </c>
      <c r="F80" s="769" t="str" cm="1">
        <f t="array" aca="1" ref="F80" ca="1">OFFSET(G80,-1,-1)</f>
        <v>1</v>
      </c>
      <c r="H80" s="160" t="str" cm="1">
        <f t="array" ref="H80">H78</f>
        <v>Без разбивки</v>
      </c>
      <c r="S80" s="1554"/>
      <c r="T80" s="770" t="b" cm="1">
        <f t="array" aca="1" ref="T80" ca="1">T78</f>
        <v>1</v>
      </c>
      <c r="X80" s="1557"/>
      <c r="Y80" s="1557"/>
      <c r="Z80" s="1557"/>
      <c r="AA80" s="1432"/>
      <c r="AB80" s="686" t="str">
        <f>AB78&amp;".2"</f>
        <v>1.5.1.2</v>
      </c>
      <c r="AC80" s="655" t="s">
        <v>969</v>
      </c>
      <c r="AD80" s="122" t="s">
        <v>753</v>
      </c>
      <c r="AE80" s="1269">
        <v>3080.404</v>
      </c>
      <c r="AF80" s="1269">
        <v>3115.9589999999998</v>
      </c>
      <c r="AG80" s="1269">
        <v>3040.33</v>
      </c>
      <c r="AH80" s="1269">
        <v>3152.29</v>
      </c>
      <c r="AI80" s="653">
        <v>3247.3</v>
      </c>
      <c r="AJ80" s="1269"/>
      <c r="AK80" s="1269"/>
      <c r="AL80" s="1269"/>
      <c r="AM80" s="1269"/>
      <c r="AN80" s="1269"/>
      <c r="AO80" s="1269"/>
      <c r="AP80" s="1269"/>
      <c r="AQ80" s="1269"/>
      <c r="AR80" s="1269"/>
      <c r="AS80" s="653">
        <v>2975.61</v>
      </c>
      <c r="AT80" s="1269"/>
      <c r="AU80" s="1269"/>
      <c r="AV80" s="1269"/>
      <c r="AW80" s="1269"/>
      <c r="AX80" s="1269"/>
      <c r="AY80" s="1269"/>
      <c r="AZ80" s="1269"/>
      <c r="BA80" s="1269"/>
      <c r="BB80" s="1269"/>
      <c r="BC80" s="1237"/>
      <c r="BF80" s="971" t="s">
        <v>970</v>
      </c>
      <c r="BG80" s="977" t="s">
        <v>965</v>
      </c>
      <c r="BH80" s="977" t="str" cm="1">
        <f t="array" ref="BH80">BH78</f>
        <v>Без разбивки</v>
      </c>
      <c r="BI80" s="978"/>
      <c r="BJ80" s="978"/>
    </row>
    <row r="81" spans="1:62" s="804" customFormat="1" ht="16.5" customHeight="1" x14ac:dyDescent="0.15">
      <c r="E81" s="668">
        <v>17.100000000000001</v>
      </c>
      <c r="F81" s="769" t="str" cm="1">
        <f t="array" aca="1" ref="F81" ca="1">OFFSET(G81,-1,-1)</f>
        <v>1</v>
      </c>
      <c r="T81" s="770" t="b">
        <f ca="1">F81&gt;0</f>
        <v>1</v>
      </c>
      <c r="W81" s="312" t="s">
        <v>971</v>
      </c>
      <c r="X81" s="1564"/>
      <c r="Z81" s="1564"/>
      <c r="AB81" s="687"/>
      <c r="AC81" s="654" t="s">
        <v>239</v>
      </c>
      <c r="AD81" s="654"/>
      <c r="AE81" s="654"/>
      <c r="AF81" s="654"/>
      <c r="AG81" s="654"/>
      <c r="AH81" s="654"/>
      <c r="AI81" s="654"/>
      <c r="AJ81" s="654"/>
      <c r="AK81" s="654"/>
      <c r="AL81" s="654"/>
      <c r="AM81" s="654"/>
      <c r="AN81" s="654"/>
      <c r="AO81" s="654"/>
      <c r="AP81" s="654"/>
      <c r="AQ81" s="654"/>
      <c r="AR81" s="654"/>
      <c r="AS81" s="654"/>
      <c r="AT81" s="654"/>
      <c r="AU81" s="654"/>
      <c r="AV81" s="654"/>
      <c r="AW81" s="654"/>
      <c r="AX81" s="654"/>
      <c r="AY81" s="654"/>
      <c r="AZ81" s="654"/>
      <c r="BA81" s="654"/>
      <c r="BB81" s="654"/>
      <c r="BC81" s="896"/>
      <c r="BF81" s="960"/>
      <c r="BG81" s="960"/>
      <c r="BH81" s="960"/>
      <c r="BI81" s="976" t="s">
        <v>965</v>
      </c>
      <c r="BJ81" s="976"/>
    </row>
    <row r="82" spans="1:62" s="663" customFormat="1" ht="16.5" customHeight="1" x14ac:dyDescent="0.15">
      <c r="A82" s="1151"/>
      <c r="B82" s="1151"/>
      <c r="C82" s="1151"/>
      <c r="D82" s="1151"/>
      <c r="E82" s="674">
        <v>17.100000000000001</v>
      </c>
      <c r="F82" s="769" t="str" cm="1">
        <f t="array" aca="1" ref="F82" ca="1">OFFSET(G82,-1,-1)</f>
        <v>1</v>
      </c>
      <c r="G82" s="1151"/>
      <c r="H82" s="1151"/>
      <c r="I82" s="1151"/>
      <c r="J82" s="1151"/>
      <c r="K82" s="1151"/>
      <c r="L82" s="1151"/>
      <c r="M82" s="1151"/>
      <c r="N82" s="1151"/>
      <c r="O82" s="1151"/>
      <c r="P82" s="1151"/>
      <c r="Q82" s="1151"/>
      <c r="R82" s="1151"/>
      <c r="S82" s="106"/>
      <c r="T82" s="770" t="b">
        <f ca="1">F82&gt;0</f>
        <v>1</v>
      </c>
      <c r="U82" s="1151"/>
      <c r="V82" s="1151"/>
      <c r="W82" s="1151"/>
      <c r="X82" s="1480"/>
      <c r="Y82" s="1151"/>
      <c r="Z82" s="1480"/>
      <c r="AA82" s="1151"/>
      <c r="AB82" s="656"/>
      <c r="AC82" s="283" t="s">
        <v>972</v>
      </c>
      <c r="AD82" s="284"/>
      <c r="AE82" s="285"/>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897"/>
      <c r="BD82" s="1151"/>
      <c r="BE82" s="1151"/>
      <c r="BF82" s="971"/>
      <c r="BG82" s="977"/>
      <c r="BH82" s="977"/>
      <c r="BI82" s="978"/>
      <c r="BJ82" s="978"/>
    </row>
    <row r="83" spans="1:62" s="663" customFormat="1" ht="16.5" hidden="1" customHeight="1" x14ac:dyDescent="0.15">
      <c r="A83" s="1151"/>
      <c r="B83" s="1151"/>
      <c r="C83" s="1151"/>
      <c r="D83" s="1151"/>
      <c r="E83" s="674">
        <v>17.100000000000001</v>
      </c>
      <c r="F83" s="769" t="str" cm="1">
        <f t="array" aca="1" ref="F83" ca="1">OFFSET(G83,-1,-1)</f>
        <v>1</v>
      </c>
      <c r="G83" s="1151"/>
      <c r="H83" s="160" cm="1">
        <f t="array" ref="H83">AC83</f>
        <v>0</v>
      </c>
      <c r="I83" s="162" t="s">
        <v>950</v>
      </c>
      <c r="J83" s="1151"/>
      <c r="K83" s="1151"/>
      <c r="L83" s="1151"/>
      <c r="M83" s="1151"/>
      <c r="N83" s="1151"/>
      <c r="O83" s="1151"/>
      <c r="P83" s="1151"/>
      <c r="Q83" s="1151"/>
      <c r="R83" s="1151"/>
      <c r="S83" s="1554"/>
      <c r="T83" s="770" t="b">
        <f ca="1">AND(F83&gt;0,Y83&gt;0)</f>
        <v>0</v>
      </c>
      <c r="U83" s="1151"/>
      <c r="V83" s="1151"/>
      <c r="W83" s="119" t="s">
        <v>237</v>
      </c>
      <c r="X83" s="1480"/>
      <c r="Y83" s="1480">
        <v>0</v>
      </c>
      <c r="Z83" s="1480"/>
      <c r="AA83" s="1432" t="s">
        <v>218</v>
      </c>
      <c r="AB83" s="163" t="str">
        <f>"1.6."&amp;Y83</f>
        <v>1.6.0</v>
      </c>
      <c r="AC83" s="52"/>
      <c r="AD83" s="104" t="s">
        <v>830</v>
      </c>
      <c r="AE83" s="213">
        <f t="shared" ref="AE83:BB83" si="28">AE85+AE87</f>
        <v>0</v>
      </c>
      <c r="AF83" s="213">
        <f t="shared" si="28"/>
        <v>0</v>
      </c>
      <c r="AG83" s="213">
        <f t="shared" si="28"/>
        <v>0</v>
      </c>
      <c r="AH83" s="213">
        <f t="shared" si="28"/>
        <v>0</v>
      </c>
      <c r="AI83" s="213">
        <f t="shared" si="28"/>
        <v>0</v>
      </c>
      <c r="AJ83" s="1181">
        <f t="shared" si="28"/>
        <v>0</v>
      </c>
      <c r="AK83" s="1181">
        <f t="shared" si="28"/>
        <v>0</v>
      </c>
      <c r="AL83" s="10">
        <f t="shared" si="28"/>
        <v>0</v>
      </c>
      <c r="AM83" s="10">
        <f t="shared" si="28"/>
        <v>0</v>
      </c>
      <c r="AN83" s="10">
        <f t="shared" si="28"/>
        <v>0</v>
      </c>
      <c r="AO83" s="10">
        <f t="shared" si="28"/>
        <v>0</v>
      </c>
      <c r="AP83" s="10">
        <f t="shared" si="28"/>
        <v>0</v>
      </c>
      <c r="AQ83" s="10">
        <f t="shared" si="28"/>
        <v>0</v>
      </c>
      <c r="AR83" s="10">
        <f t="shared" si="28"/>
        <v>0</v>
      </c>
      <c r="AS83" s="213">
        <f t="shared" si="28"/>
        <v>0</v>
      </c>
      <c r="AT83" s="1181">
        <f t="shared" si="28"/>
        <v>0</v>
      </c>
      <c r="AU83" s="1181">
        <f t="shared" si="28"/>
        <v>0</v>
      </c>
      <c r="AV83" s="10">
        <f t="shared" si="28"/>
        <v>0</v>
      </c>
      <c r="AW83" s="10">
        <f t="shared" si="28"/>
        <v>0</v>
      </c>
      <c r="AX83" s="10">
        <f t="shared" si="28"/>
        <v>0</v>
      </c>
      <c r="AY83" s="10">
        <f t="shared" si="28"/>
        <v>0</v>
      </c>
      <c r="AZ83" s="10">
        <f t="shared" si="28"/>
        <v>0</v>
      </c>
      <c r="BA83" s="10">
        <f t="shared" si="28"/>
        <v>0</v>
      </c>
      <c r="BB83" s="10">
        <f t="shared" si="28"/>
        <v>0</v>
      </c>
      <c r="BC83" s="25"/>
      <c r="BD83" s="1151"/>
      <c r="BE83" s="1151"/>
      <c r="BF83" s="971" t="s">
        <v>973</v>
      </c>
      <c r="BG83" s="977" t="s">
        <v>974</v>
      </c>
      <c r="BH83" s="977" cm="1">
        <f t="array" ref="BH83">AC83</f>
        <v>0</v>
      </c>
      <c r="BI83" s="978"/>
      <c r="BJ83" s="978" t="b">
        <v>1</v>
      </c>
    </row>
    <row r="84" spans="1:62" s="663" customFormat="1" ht="16.5" hidden="1" customHeight="1" x14ac:dyDescent="0.15">
      <c r="E84" s="674">
        <v>17.100000000000001</v>
      </c>
      <c r="F84" s="769" t="str" cm="1">
        <f t="array" aca="1" ref="F84" ca="1">OFFSET(G84,-1,-1)</f>
        <v>1</v>
      </c>
      <c r="H84" s="160" cm="1">
        <f t="array" ref="H84">H83</f>
        <v>0</v>
      </c>
      <c r="S84" s="1554"/>
      <c r="T84" s="770" t="b" cm="1">
        <f t="array" aca="1" ref="T84" ca="1">T83</f>
        <v>0</v>
      </c>
      <c r="X84" s="1557"/>
      <c r="Y84" s="1557"/>
      <c r="Z84" s="1557"/>
      <c r="AA84" s="1432"/>
      <c r="AB84" s="163" t="str">
        <f>AB83&amp;".1"</f>
        <v>1.6.0.1</v>
      </c>
      <c r="AC84" s="220" t="s">
        <v>966</v>
      </c>
      <c r="AD84" s="104" t="s">
        <v>967</v>
      </c>
      <c r="AE84" s="10"/>
      <c r="AF84" s="213">
        <f>IF(AF86=0,0,AF85/AF86)</f>
        <v>0</v>
      </c>
      <c r="AG84" s="213">
        <f>IF(AG86=0,0,AG85/AG86)</f>
        <v>0</v>
      </c>
      <c r="AH84" s="10"/>
      <c r="AI84" s="213">
        <f t="shared" ref="AI84:AR84" si="29">IF(AI86=0,0,AI85/AI86)</f>
        <v>0</v>
      </c>
      <c r="AJ84" s="213">
        <f t="shared" si="29"/>
        <v>0</v>
      </c>
      <c r="AK84" s="213">
        <f t="shared" si="29"/>
        <v>0</v>
      </c>
      <c r="AL84" s="213">
        <f t="shared" si="29"/>
        <v>0</v>
      </c>
      <c r="AM84" s="213">
        <f t="shared" si="29"/>
        <v>0</v>
      </c>
      <c r="AN84" s="213">
        <f t="shared" si="29"/>
        <v>0</v>
      </c>
      <c r="AO84" s="213">
        <f t="shared" si="29"/>
        <v>0</v>
      </c>
      <c r="AP84" s="213">
        <f t="shared" si="29"/>
        <v>0</v>
      </c>
      <c r="AQ84" s="213">
        <f t="shared" si="29"/>
        <v>0</v>
      </c>
      <c r="AR84" s="213">
        <f t="shared" si="29"/>
        <v>0</v>
      </c>
      <c r="AS84" s="159"/>
      <c r="AT84" s="1181"/>
      <c r="AU84" s="1181"/>
      <c r="AV84" s="10"/>
      <c r="AW84" s="10"/>
      <c r="AX84" s="10"/>
      <c r="AY84" s="10"/>
      <c r="AZ84" s="10"/>
      <c r="BA84" s="10"/>
      <c r="BB84" s="10"/>
      <c r="BC84" s="25"/>
      <c r="BF84" s="971" t="s">
        <v>968</v>
      </c>
      <c r="BG84" s="977" t="s">
        <v>974</v>
      </c>
      <c r="BH84" s="977" cm="1">
        <f t="array" ref="BH84">BH83</f>
        <v>0</v>
      </c>
      <c r="BI84" s="978"/>
      <c r="BJ84" s="978"/>
    </row>
    <row r="85" spans="1:62" s="663" customFormat="1" ht="16.5" hidden="1" customHeight="1" x14ac:dyDescent="0.15">
      <c r="A85" s="918" t="str">
        <f ca="1">"checkCosts_2."&amp;F85&amp;"."&amp;Y83</f>
        <v>checkCosts_2.1.0</v>
      </c>
      <c r="B85" s="1151"/>
      <c r="C85" s="1151"/>
      <c r="D85" s="1151"/>
      <c r="E85" s="674">
        <v>17.100000000000001</v>
      </c>
      <c r="F85" s="769" t="str" cm="1">
        <f t="array" aca="1" ref="F85" ca="1">OFFSET(G85,-1,-1)</f>
        <v>1</v>
      </c>
      <c r="G85" s="1151"/>
      <c r="H85" s="160" cm="1">
        <f t="array" ref="H85">H83</f>
        <v>0</v>
      </c>
      <c r="I85" s="1151"/>
      <c r="J85" s="1151"/>
      <c r="K85" s="1151"/>
      <c r="L85" s="1151"/>
      <c r="M85" s="1151"/>
      <c r="N85" s="1151"/>
      <c r="O85" s="1151"/>
      <c r="P85" s="1151"/>
      <c r="Q85" s="1151"/>
      <c r="R85" s="1151"/>
      <c r="S85" s="1554"/>
      <c r="T85" s="770" t="b" cm="1">
        <f t="array" aca="1" ref="T85" ca="1">T83</f>
        <v>0</v>
      </c>
      <c r="U85" s="1151"/>
      <c r="V85" s="1151"/>
      <c r="W85" s="1151"/>
      <c r="X85" s="1480"/>
      <c r="Y85" s="1480"/>
      <c r="Z85" s="1480"/>
      <c r="AA85" s="1432"/>
      <c r="AB85" s="163" t="str">
        <f>AB83&amp;".2"</f>
        <v>1.6.0.2</v>
      </c>
      <c r="AC85" s="220" t="s">
        <v>975</v>
      </c>
      <c r="AD85" s="104" t="s">
        <v>830</v>
      </c>
      <c r="AE85" s="10"/>
      <c r="AF85" s="10"/>
      <c r="AG85" s="10"/>
      <c r="AH85" s="10"/>
      <c r="AI85" s="159"/>
      <c r="AJ85" s="1181"/>
      <c r="AK85" s="1181"/>
      <c r="AL85" s="10"/>
      <c r="AM85" s="10"/>
      <c r="AN85" s="10"/>
      <c r="AO85" s="10"/>
      <c r="AP85" s="10"/>
      <c r="AQ85" s="10"/>
      <c r="AR85" s="10"/>
      <c r="AS85" s="159"/>
      <c r="AT85" s="1181"/>
      <c r="AU85" s="1181"/>
      <c r="AV85" s="10"/>
      <c r="AW85" s="10"/>
      <c r="AX85" s="10"/>
      <c r="AY85" s="10"/>
      <c r="AZ85" s="10"/>
      <c r="BA85" s="10"/>
      <c r="BB85" s="10"/>
      <c r="BC85" s="25"/>
      <c r="BD85" s="1151"/>
      <c r="BE85" s="1151"/>
      <c r="BF85" s="971" t="s">
        <v>964</v>
      </c>
      <c r="BG85" s="977" t="s">
        <v>974</v>
      </c>
      <c r="BH85" s="977" cm="1">
        <f t="array" ref="BH85">BH83</f>
        <v>0</v>
      </c>
      <c r="BI85" s="978"/>
      <c r="BJ85" s="978"/>
    </row>
    <row r="86" spans="1:62" s="663" customFormat="1" ht="16.5" hidden="1" customHeight="1" x14ac:dyDescent="0.15">
      <c r="A86" s="918" t="str">
        <f ca="1">"checkVolume_2."&amp;F86&amp;"."&amp;Y83</f>
        <v>checkVolume_2.1.0</v>
      </c>
      <c r="B86" s="1151"/>
      <c r="C86" s="1151"/>
      <c r="D86" s="1151"/>
      <c r="E86" s="674">
        <v>17.100000000000001</v>
      </c>
      <c r="F86" s="769" t="str" cm="1">
        <f t="array" aca="1" ref="F86" ca="1">OFFSET(G86,-1,-1)</f>
        <v>1</v>
      </c>
      <c r="G86" s="1151"/>
      <c r="H86" s="160" cm="1">
        <f t="array" ref="H86">H85</f>
        <v>0</v>
      </c>
      <c r="I86" s="1151"/>
      <c r="J86" s="1151"/>
      <c r="K86" s="1151"/>
      <c r="L86" s="1151"/>
      <c r="M86" s="1151"/>
      <c r="N86" s="1151"/>
      <c r="O86" s="1151"/>
      <c r="P86" s="1151"/>
      <c r="Q86" s="1151"/>
      <c r="R86" s="1151"/>
      <c r="S86" s="1554"/>
      <c r="T86" s="770" t="b" cm="1">
        <f t="array" aca="1" ref="T86" ca="1">T85</f>
        <v>0</v>
      </c>
      <c r="U86" s="1151"/>
      <c r="V86" s="1151"/>
      <c r="W86" s="1151"/>
      <c r="X86" s="1480"/>
      <c r="Y86" s="1480"/>
      <c r="Z86" s="1480"/>
      <c r="AA86" s="1432"/>
      <c r="AB86" s="163" t="str">
        <f>AB83&amp;".2.1"</f>
        <v>1.6.0.2.1</v>
      </c>
      <c r="AC86" s="347" t="s">
        <v>969</v>
      </c>
      <c r="AD86" s="118" t="s">
        <v>753</v>
      </c>
      <c r="AE86" s="10"/>
      <c r="AF86" s="10"/>
      <c r="AG86" s="10"/>
      <c r="AH86" s="10"/>
      <c r="AI86" s="159"/>
      <c r="AJ86" s="1181"/>
      <c r="AK86" s="1181"/>
      <c r="AL86" s="10"/>
      <c r="AM86" s="10"/>
      <c r="AN86" s="10"/>
      <c r="AO86" s="10"/>
      <c r="AP86" s="10"/>
      <c r="AQ86" s="10"/>
      <c r="AR86" s="10"/>
      <c r="AS86" s="159"/>
      <c r="AT86" s="1181"/>
      <c r="AU86" s="1181"/>
      <c r="AV86" s="10"/>
      <c r="AW86" s="10"/>
      <c r="AX86" s="10"/>
      <c r="AY86" s="10"/>
      <c r="AZ86" s="10"/>
      <c r="BA86" s="10"/>
      <c r="BB86" s="10"/>
      <c r="BC86" s="25"/>
      <c r="BD86" s="1151"/>
      <c r="BE86" s="1151"/>
      <c r="BF86" s="971" t="s">
        <v>970</v>
      </c>
      <c r="BG86" s="977" t="s">
        <v>974</v>
      </c>
      <c r="BH86" s="977" cm="1">
        <f t="array" ref="BH86">BH85</f>
        <v>0</v>
      </c>
      <c r="BI86" s="978"/>
      <c r="BJ86" s="978"/>
    </row>
    <row r="87" spans="1:62" s="663" customFormat="1" ht="16.5" hidden="1" customHeight="1" x14ac:dyDescent="0.15">
      <c r="A87" s="918" t="str">
        <f ca="1">"checkCosts_3."&amp;F87&amp;"."&amp;Y83</f>
        <v>checkCosts_3.1.0</v>
      </c>
      <c r="B87" s="1151"/>
      <c r="C87" s="1151"/>
      <c r="D87" s="1151"/>
      <c r="E87" s="674">
        <v>17.100000000000001</v>
      </c>
      <c r="F87" s="769" t="str" cm="1">
        <f t="array" aca="1" ref="F87" ca="1">OFFSET(G87,-1,-1)</f>
        <v>1</v>
      </c>
      <c r="G87" s="1151"/>
      <c r="H87" s="160" cm="1">
        <f t="array" ref="H87">H86</f>
        <v>0</v>
      </c>
      <c r="I87" s="1151"/>
      <c r="J87" s="1151"/>
      <c r="K87" s="1151"/>
      <c r="L87" s="1151"/>
      <c r="M87" s="1151"/>
      <c r="N87" s="1151"/>
      <c r="O87" s="1151"/>
      <c r="P87" s="1151"/>
      <c r="Q87" s="1151"/>
      <c r="R87" s="1151"/>
      <c r="S87" s="1554"/>
      <c r="T87" s="770" t="b" cm="1">
        <f t="array" aca="1" ref="T87" ca="1">T86</f>
        <v>0</v>
      </c>
      <c r="U87" s="1151"/>
      <c r="V87" s="1151"/>
      <c r="W87" s="1151"/>
      <c r="X87" s="1480"/>
      <c r="Y87" s="1480"/>
      <c r="Z87" s="1480"/>
      <c r="AA87" s="1432"/>
      <c r="AB87" s="163" t="str">
        <f>AB83&amp;".3"</f>
        <v>1.6.0.3</v>
      </c>
      <c r="AC87" s="220" t="s">
        <v>976</v>
      </c>
      <c r="AD87" s="104" t="s">
        <v>977</v>
      </c>
      <c r="AE87" s="10"/>
      <c r="AF87" s="10"/>
      <c r="AG87" s="10"/>
      <c r="AH87" s="10"/>
      <c r="AI87" s="159"/>
      <c r="AJ87" s="1181"/>
      <c r="AK87" s="1181"/>
      <c r="AL87" s="10"/>
      <c r="AM87" s="10"/>
      <c r="AN87" s="10"/>
      <c r="AO87" s="10"/>
      <c r="AP87" s="10"/>
      <c r="AQ87" s="10"/>
      <c r="AR87" s="10"/>
      <c r="AS87" s="159"/>
      <c r="AT87" s="1181"/>
      <c r="AU87" s="1181"/>
      <c r="AV87" s="10"/>
      <c r="AW87" s="10"/>
      <c r="AX87" s="10"/>
      <c r="AY87" s="10"/>
      <c r="AZ87" s="10"/>
      <c r="BA87" s="10"/>
      <c r="BB87" s="10"/>
      <c r="BC87" s="25"/>
      <c r="BD87" s="1151"/>
      <c r="BE87" s="1151"/>
      <c r="BF87" s="971" t="s">
        <v>978</v>
      </c>
      <c r="BG87" s="977" t="s">
        <v>974</v>
      </c>
      <c r="BH87" s="977" cm="1">
        <f t="array" ref="BH87">BH86</f>
        <v>0</v>
      </c>
      <c r="BI87" s="978"/>
      <c r="BJ87" s="978"/>
    </row>
    <row r="88" spans="1:62" s="663" customFormat="1" ht="16.5" hidden="1" customHeight="1" x14ac:dyDescent="0.15">
      <c r="A88" s="918" t="str">
        <f ca="1">"checkVolume_3."&amp;F88&amp;"."&amp;Y83</f>
        <v>checkVolume_3.1.0</v>
      </c>
      <c r="B88" s="1151"/>
      <c r="C88" s="1151"/>
      <c r="D88" s="1151"/>
      <c r="E88" s="674">
        <v>17.100000000000001</v>
      </c>
      <c r="F88" s="769" t="str" cm="1">
        <f t="array" aca="1" ref="F88" ca="1">OFFSET(G88,-1,-1)</f>
        <v>1</v>
      </c>
      <c r="G88" s="1151"/>
      <c r="H88" s="160" cm="1">
        <f t="array" ref="H88">H87</f>
        <v>0</v>
      </c>
      <c r="I88" s="1151"/>
      <c r="J88" s="1151"/>
      <c r="K88" s="1151"/>
      <c r="L88" s="1151"/>
      <c r="M88" s="1151"/>
      <c r="N88" s="1151"/>
      <c r="O88" s="1151"/>
      <c r="P88" s="1151"/>
      <c r="Q88" s="1151"/>
      <c r="R88" s="1151"/>
      <c r="S88" s="1554"/>
      <c r="T88" s="770" t="b" cm="1">
        <f t="array" aca="1" ref="T88" ca="1">T87</f>
        <v>0</v>
      </c>
      <c r="U88" s="1151"/>
      <c r="V88" s="1151"/>
      <c r="W88" s="1151"/>
      <c r="X88" s="1480"/>
      <c r="Y88" s="1480"/>
      <c r="Z88" s="1480"/>
      <c r="AA88" s="1432"/>
      <c r="AB88" s="686" t="str">
        <f>AB83&amp;".3.1"</f>
        <v>1.6.0.3.1</v>
      </c>
      <c r="AC88" s="652" t="s">
        <v>979</v>
      </c>
      <c r="AD88" s="122" t="s">
        <v>980</v>
      </c>
      <c r="AE88" s="53"/>
      <c r="AF88" s="53"/>
      <c r="AG88" s="53"/>
      <c r="AH88" s="53"/>
      <c r="AI88" s="653"/>
      <c r="AJ88" s="1262"/>
      <c r="AK88" s="1262"/>
      <c r="AL88" s="53"/>
      <c r="AM88" s="53"/>
      <c r="AN88" s="53"/>
      <c r="AO88" s="53"/>
      <c r="AP88" s="53"/>
      <c r="AQ88" s="53"/>
      <c r="AR88" s="53"/>
      <c r="AS88" s="653"/>
      <c r="AT88" s="1262"/>
      <c r="AU88" s="1262"/>
      <c r="AV88" s="53"/>
      <c r="AW88" s="53"/>
      <c r="AX88" s="53"/>
      <c r="AY88" s="53"/>
      <c r="AZ88" s="53"/>
      <c r="BA88" s="53"/>
      <c r="BB88" s="53"/>
      <c r="BC88" s="20"/>
      <c r="BD88" s="1151"/>
      <c r="BE88" s="1151"/>
      <c r="BF88" s="971" t="s">
        <v>981</v>
      </c>
      <c r="BG88" s="977" t="s">
        <v>974</v>
      </c>
      <c r="BH88" s="977" cm="1">
        <f t="array" ref="BH88">BH87</f>
        <v>0</v>
      </c>
      <c r="BI88" s="978"/>
      <c r="BJ88" s="978"/>
    </row>
    <row r="89" spans="1:62" s="804" customFormat="1" ht="16.5" customHeight="1" x14ac:dyDescent="0.15">
      <c r="E89" s="668">
        <v>17.100000000000001</v>
      </c>
      <c r="F89" s="769" t="str" cm="1">
        <f t="array" aca="1" ref="F89" ca="1">OFFSET(G89,-1,-1)</f>
        <v>1</v>
      </c>
      <c r="T89" s="770" t="b">
        <f ca="1">F89&gt;0</f>
        <v>1</v>
      </c>
      <c r="W89" s="312" t="s">
        <v>982</v>
      </c>
      <c r="X89" s="1564"/>
      <c r="Z89" s="1564"/>
      <c r="AB89" s="687"/>
      <c r="AC89" s="654" t="s">
        <v>983</v>
      </c>
      <c r="AD89" s="654"/>
      <c r="AE89" s="654"/>
      <c r="AF89" s="654"/>
      <c r="AG89" s="654"/>
      <c r="AH89" s="654"/>
      <c r="AI89" s="654"/>
      <c r="AJ89" s="654"/>
      <c r="AK89" s="654"/>
      <c r="AL89" s="654"/>
      <c r="AM89" s="654"/>
      <c r="AN89" s="654"/>
      <c r="AO89" s="654"/>
      <c r="AP89" s="654"/>
      <c r="AQ89" s="654"/>
      <c r="AR89" s="654"/>
      <c r="AS89" s="654"/>
      <c r="AT89" s="654"/>
      <c r="AU89" s="654"/>
      <c r="AV89" s="654"/>
      <c r="AW89" s="654"/>
      <c r="AX89" s="654"/>
      <c r="AY89" s="654"/>
      <c r="AZ89" s="654"/>
      <c r="BA89" s="654"/>
      <c r="BB89" s="654"/>
      <c r="BC89" s="896"/>
      <c r="BF89" s="960"/>
      <c r="BG89" s="960"/>
      <c r="BH89" s="960"/>
      <c r="BI89" s="976" t="s">
        <v>974</v>
      </c>
      <c r="BJ89" s="976"/>
    </row>
    <row r="90" spans="1:62" s="804" customFormat="1" ht="12" hidden="1" customHeight="1" x14ac:dyDescent="0.15">
      <c r="E90" s="668">
        <v>0</v>
      </c>
      <c r="F90" s="769" t="str" cm="1">
        <f t="array" aca="1" ref="F90" ca="1">OFFSET(G90,-1,-1)</f>
        <v>1</v>
      </c>
      <c r="T90" s="770" t="b">
        <f ca="1">F90&gt;0</f>
        <v>1</v>
      </c>
      <c r="X90" s="1564"/>
      <c r="Z90" s="1564"/>
      <c r="BF90" s="960"/>
      <c r="BG90" s="960"/>
      <c r="BH90" s="960"/>
      <c r="BI90" s="976"/>
      <c r="BJ90" s="976"/>
    </row>
    <row r="91" spans="1:62" s="170" customFormat="1" ht="14.25" customHeight="1" x14ac:dyDescent="0.15">
      <c r="E91" s="771">
        <v>15</v>
      </c>
      <c r="F91" s="769" t="str" cm="1">
        <f t="array" aca="1" ref="F91" ca="1">OFFSET(G91,-1,-1)</f>
        <v>1</v>
      </c>
      <c r="G91" s="140" t="s">
        <v>984</v>
      </c>
      <c r="I91" s="162" t="s">
        <v>950</v>
      </c>
      <c r="T91" s="770" t="b">
        <f ca="1">F91&gt;0</f>
        <v>1</v>
      </c>
      <c r="X91" s="1555"/>
      <c r="Z91" s="1555"/>
      <c r="AB91" s="688">
        <v>2</v>
      </c>
      <c r="AC91" s="657" t="s">
        <v>985</v>
      </c>
      <c r="AD91" s="658" t="s">
        <v>830</v>
      </c>
      <c r="AE91" s="226">
        <f t="shared" ref="AE91:BB91" si="30">SUMIF($I95:$I111,$I91,AE95:AE111)</f>
        <v>0</v>
      </c>
      <c r="AF91" s="226">
        <f t="shared" si="30"/>
        <v>0</v>
      </c>
      <c r="AG91" s="226">
        <f t="shared" si="30"/>
        <v>0</v>
      </c>
      <c r="AH91" s="226">
        <f t="shared" si="30"/>
        <v>0</v>
      </c>
      <c r="AI91" s="226">
        <f t="shared" si="30"/>
        <v>0</v>
      </c>
      <c r="AJ91" s="1263">
        <f t="shared" si="30"/>
        <v>0</v>
      </c>
      <c r="AK91" s="1263">
        <f t="shared" si="30"/>
        <v>0</v>
      </c>
      <c r="AL91" s="1270">
        <f t="shared" si="30"/>
        <v>0</v>
      </c>
      <c r="AM91" s="1270">
        <f t="shared" si="30"/>
        <v>0</v>
      </c>
      <c r="AN91" s="1270">
        <f t="shared" si="30"/>
        <v>0</v>
      </c>
      <c r="AO91" s="1270">
        <f t="shared" si="30"/>
        <v>0</v>
      </c>
      <c r="AP91" s="1270">
        <f t="shared" si="30"/>
        <v>0</v>
      </c>
      <c r="AQ91" s="1270">
        <f t="shared" si="30"/>
        <v>0</v>
      </c>
      <c r="AR91" s="1270">
        <f t="shared" si="30"/>
        <v>0</v>
      </c>
      <c r="AS91" s="226">
        <f t="shared" si="30"/>
        <v>0</v>
      </c>
      <c r="AT91" s="1263">
        <f t="shared" si="30"/>
        <v>0</v>
      </c>
      <c r="AU91" s="1263">
        <f t="shared" si="30"/>
        <v>0</v>
      </c>
      <c r="AV91" s="1270">
        <f t="shared" si="30"/>
        <v>0</v>
      </c>
      <c r="AW91" s="1270">
        <f t="shared" si="30"/>
        <v>0</v>
      </c>
      <c r="AX91" s="1270">
        <f t="shared" si="30"/>
        <v>0</v>
      </c>
      <c r="AY91" s="1270">
        <f t="shared" si="30"/>
        <v>0</v>
      </c>
      <c r="AZ91" s="1270">
        <f t="shared" si="30"/>
        <v>0</v>
      </c>
      <c r="BA91" s="1270">
        <f t="shared" si="30"/>
        <v>0</v>
      </c>
      <c r="BB91" s="1270">
        <f t="shared" si="30"/>
        <v>0</v>
      </c>
      <c r="BC91" s="1238"/>
      <c r="BF91" s="979" t="s">
        <v>691</v>
      </c>
      <c r="BG91" s="979"/>
      <c r="BH91" s="979"/>
      <c r="BI91" s="980"/>
      <c r="BJ91" s="980"/>
    </row>
    <row r="92" spans="1:62" s="170" customFormat="1" ht="14.25" hidden="1" customHeight="1" x14ac:dyDescent="0.15">
      <c r="E92" s="771">
        <v>15</v>
      </c>
      <c r="F92" s="769" t="str" cm="1">
        <f t="array" aca="1" ref="F92" ca="1">OFFSET(G92,-1,-1)</f>
        <v>1</v>
      </c>
      <c r="G92" s="140" t="s">
        <v>986</v>
      </c>
      <c r="L92" s="160" t="str" cm="1">
        <f t="array" aca="1" ref="L92" ca="1">INDEX('Общие сведения'!$AK$169:$AK$202,MATCH($F92,'Общие сведения'!$Z$169:$Z$202,0))</f>
        <v>одноставочный</v>
      </c>
      <c r="R92" s="140" t="s">
        <v>987</v>
      </c>
      <c r="T92" s="770" t="b">
        <f ca="1">AND(F92&gt;0,L92="двухставочный")</f>
        <v>0</v>
      </c>
      <c r="X92" s="1555"/>
      <c r="Z92" s="1555"/>
      <c r="AA92" s="768" t="s">
        <v>988</v>
      </c>
      <c r="AB92" s="232" t="s">
        <v>988</v>
      </c>
      <c r="AC92" s="488" t="s">
        <v>989</v>
      </c>
      <c r="AD92" s="502" t="s">
        <v>830</v>
      </c>
      <c r="AE92" s="551">
        <f t="shared" ref="AE92:BB92" si="31">SUMIFS(AE95:AE111,$AC95:$AC111,$AC92)</f>
        <v>0</v>
      </c>
      <c r="AF92" s="551">
        <f t="shared" si="31"/>
        <v>0</v>
      </c>
      <c r="AG92" s="551">
        <f t="shared" si="31"/>
        <v>0</v>
      </c>
      <c r="AH92" s="551">
        <f t="shared" si="31"/>
        <v>0</v>
      </c>
      <c r="AI92" s="551">
        <f t="shared" si="31"/>
        <v>0</v>
      </c>
      <c r="AJ92" s="1264">
        <f t="shared" si="31"/>
        <v>0</v>
      </c>
      <c r="AK92" s="1264">
        <f t="shared" si="31"/>
        <v>0</v>
      </c>
      <c r="AL92" s="17">
        <f t="shared" si="31"/>
        <v>0</v>
      </c>
      <c r="AM92" s="17">
        <f t="shared" si="31"/>
        <v>0</v>
      </c>
      <c r="AN92" s="17">
        <f t="shared" si="31"/>
        <v>0</v>
      </c>
      <c r="AO92" s="17">
        <f t="shared" si="31"/>
        <v>0</v>
      </c>
      <c r="AP92" s="17">
        <f t="shared" si="31"/>
        <v>0</v>
      </c>
      <c r="AQ92" s="17">
        <f t="shared" si="31"/>
        <v>0</v>
      </c>
      <c r="AR92" s="17">
        <f t="shared" si="31"/>
        <v>0</v>
      </c>
      <c r="AS92" s="551">
        <f t="shared" si="31"/>
        <v>0</v>
      </c>
      <c r="AT92" s="1264">
        <f t="shared" si="31"/>
        <v>0</v>
      </c>
      <c r="AU92" s="1264">
        <f t="shared" si="31"/>
        <v>0</v>
      </c>
      <c r="AV92" s="17">
        <f t="shared" si="31"/>
        <v>0</v>
      </c>
      <c r="AW92" s="17">
        <f t="shared" si="31"/>
        <v>0</v>
      </c>
      <c r="AX92" s="17">
        <f t="shared" si="31"/>
        <v>0</v>
      </c>
      <c r="AY92" s="17">
        <f t="shared" si="31"/>
        <v>0</v>
      </c>
      <c r="AZ92" s="17">
        <f t="shared" si="31"/>
        <v>0</v>
      </c>
      <c r="BA92" s="17">
        <f t="shared" si="31"/>
        <v>0</v>
      </c>
      <c r="BB92" s="17">
        <f t="shared" si="31"/>
        <v>0</v>
      </c>
      <c r="BC92" s="31"/>
      <c r="BF92" s="979" t="s">
        <v>990</v>
      </c>
      <c r="BG92" s="979"/>
      <c r="BH92" s="979"/>
      <c r="BI92" s="980"/>
      <c r="BJ92" s="980"/>
    </row>
    <row r="93" spans="1:62" s="170" customFormat="1" ht="14.25" customHeight="1" x14ac:dyDescent="0.15">
      <c r="E93" s="771">
        <v>15</v>
      </c>
      <c r="F93" s="769" t="str" cm="1">
        <f t="array" aca="1" ref="F93" ca="1">OFFSET(G93,-1,-1)</f>
        <v>1</v>
      </c>
      <c r="T93" s="770" t="b" cm="1">
        <f t="array" aca="1" ref="T93" ca="1">T91</f>
        <v>1</v>
      </c>
      <c r="X93" s="1555"/>
      <c r="Z93" s="1555"/>
      <c r="AB93" s="163" t="s">
        <v>479</v>
      </c>
      <c r="AC93" s="220" t="s">
        <v>991</v>
      </c>
      <c r="AD93" s="102" t="s">
        <v>622</v>
      </c>
      <c r="AE93" s="213">
        <f t="shared" ref="AE93:BB93" si="32">SUMIF($AD95:$AD111,$AD93,AE95:AE111)</f>
        <v>0</v>
      </c>
      <c r="AF93" s="213">
        <f t="shared" si="32"/>
        <v>0</v>
      </c>
      <c r="AG93" s="213">
        <f t="shared" si="32"/>
        <v>0</v>
      </c>
      <c r="AH93" s="213">
        <f t="shared" si="32"/>
        <v>0</v>
      </c>
      <c r="AI93" s="213">
        <f t="shared" si="32"/>
        <v>0</v>
      </c>
      <c r="AJ93" s="1181">
        <f t="shared" si="32"/>
        <v>0</v>
      </c>
      <c r="AK93" s="1181">
        <f t="shared" si="32"/>
        <v>0</v>
      </c>
      <c r="AL93" s="1188">
        <f t="shared" si="32"/>
        <v>0</v>
      </c>
      <c r="AM93" s="1188">
        <f t="shared" si="32"/>
        <v>0</v>
      </c>
      <c r="AN93" s="1188">
        <f t="shared" si="32"/>
        <v>0</v>
      </c>
      <c r="AO93" s="1188">
        <f t="shared" si="32"/>
        <v>0</v>
      </c>
      <c r="AP93" s="1188">
        <f t="shared" si="32"/>
        <v>0</v>
      </c>
      <c r="AQ93" s="1188">
        <f t="shared" si="32"/>
        <v>0</v>
      </c>
      <c r="AR93" s="1188">
        <f t="shared" si="32"/>
        <v>0</v>
      </c>
      <c r="AS93" s="213">
        <f t="shared" si="32"/>
        <v>0</v>
      </c>
      <c r="AT93" s="1181">
        <f t="shared" si="32"/>
        <v>0</v>
      </c>
      <c r="AU93" s="1181">
        <f t="shared" si="32"/>
        <v>0</v>
      </c>
      <c r="AV93" s="1188">
        <f t="shared" si="32"/>
        <v>0</v>
      </c>
      <c r="AW93" s="1188">
        <f t="shared" si="32"/>
        <v>0</v>
      </c>
      <c r="AX93" s="1188">
        <f t="shared" si="32"/>
        <v>0</v>
      </c>
      <c r="AY93" s="1188">
        <f t="shared" si="32"/>
        <v>0</v>
      </c>
      <c r="AZ93" s="1188">
        <f t="shared" si="32"/>
        <v>0</v>
      </c>
      <c r="BA93" s="1188">
        <f t="shared" si="32"/>
        <v>0</v>
      </c>
      <c r="BB93" s="1188">
        <f t="shared" si="32"/>
        <v>0</v>
      </c>
      <c r="BC93" s="1238"/>
      <c r="BF93" s="979" t="s">
        <v>992</v>
      </c>
      <c r="BG93" s="979"/>
      <c r="BH93" s="979"/>
      <c r="BI93" s="980"/>
      <c r="BJ93" s="980"/>
    </row>
    <row r="94" spans="1:62" s="170" customFormat="1" ht="14.25" customHeight="1" x14ac:dyDescent="0.15">
      <c r="E94" s="771">
        <v>15</v>
      </c>
      <c r="F94" s="769" t="str" cm="1">
        <f t="array" aca="1" ref="F94" ca="1">OFFSET(G94,-1,-1)</f>
        <v>1</v>
      </c>
      <c r="T94" s="770" t="b" cm="1">
        <f t="array" aca="1" ref="T94" ca="1">T93</f>
        <v>1</v>
      </c>
      <c r="X94" s="1555"/>
      <c r="Z94" s="1555"/>
      <c r="AB94" s="163" t="s">
        <v>510</v>
      </c>
      <c r="AC94" s="220" t="s">
        <v>958</v>
      </c>
      <c r="AD94" s="102" t="s">
        <v>993</v>
      </c>
      <c r="AE94" s="213">
        <f t="shared" ref="AE94:BB94" si="33">IF(AE93=0,0,AE91/AE93)*1000</f>
        <v>0</v>
      </c>
      <c r="AF94" s="213">
        <f t="shared" si="33"/>
        <v>0</v>
      </c>
      <c r="AG94" s="213">
        <f t="shared" si="33"/>
        <v>0</v>
      </c>
      <c r="AH94" s="213">
        <f t="shared" si="33"/>
        <v>0</v>
      </c>
      <c r="AI94" s="213">
        <f t="shared" si="33"/>
        <v>0</v>
      </c>
      <c r="AJ94" s="1181">
        <f t="shared" si="33"/>
        <v>0</v>
      </c>
      <c r="AK94" s="1181">
        <f t="shared" si="33"/>
        <v>0</v>
      </c>
      <c r="AL94" s="1188">
        <f t="shared" si="33"/>
        <v>0</v>
      </c>
      <c r="AM94" s="1188">
        <f t="shared" si="33"/>
        <v>0</v>
      </c>
      <c r="AN94" s="1188">
        <f t="shared" si="33"/>
        <v>0</v>
      </c>
      <c r="AO94" s="1188">
        <f t="shared" si="33"/>
        <v>0</v>
      </c>
      <c r="AP94" s="1188">
        <f t="shared" si="33"/>
        <v>0</v>
      </c>
      <c r="AQ94" s="1188">
        <f t="shared" si="33"/>
        <v>0</v>
      </c>
      <c r="AR94" s="1188">
        <f t="shared" si="33"/>
        <v>0</v>
      </c>
      <c r="AS94" s="213">
        <f t="shared" si="33"/>
        <v>0</v>
      </c>
      <c r="AT94" s="1181">
        <f t="shared" si="33"/>
        <v>0</v>
      </c>
      <c r="AU94" s="1181">
        <f t="shared" si="33"/>
        <v>0</v>
      </c>
      <c r="AV94" s="1188">
        <f t="shared" si="33"/>
        <v>0</v>
      </c>
      <c r="AW94" s="1188">
        <f t="shared" si="33"/>
        <v>0</v>
      </c>
      <c r="AX94" s="1188">
        <f t="shared" si="33"/>
        <v>0</v>
      </c>
      <c r="AY94" s="1188">
        <f t="shared" si="33"/>
        <v>0</v>
      </c>
      <c r="AZ94" s="1188">
        <f t="shared" si="33"/>
        <v>0</v>
      </c>
      <c r="BA94" s="1188">
        <f t="shared" si="33"/>
        <v>0</v>
      </c>
      <c r="BB94" s="1188">
        <f t="shared" si="33"/>
        <v>0</v>
      </c>
      <c r="BC94" s="1238"/>
      <c r="BF94" s="979" t="s">
        <v>994</v>
      </c>
      <c r="BG94" s="979"/>
      <c r="BH94" s="979"/>
      <c r="BI94" s="980"/>
      <c r="BJ94" s="980"/>
    </row>
    <row r="95" spans="1:62" s="170" customFormat="1" ht="14.25" customHeight="1" x14ac:dyDescent="0.15">
      <c r="E95" s="771">
        <v>15</v>
      </c>
      <c r="F95" s="769" t="str" cm="1">
        <f t="array" aca="1" ref="F95" ca="1">OFFSET(G95,-1,-1)</f>
        <v>1</v>
      </c>
      <c r="T95" s="770" t="b" cm="1">
        <f t="array" aca="1" ref="T95" ca="1">T93</f>
        <v>1</v>
      </c>
      <c r="X95" s="1555"/>
      <c r="Z95" s="1555"/>
      <c r="AB95" s="163" t="s">
        <v>506</v>
      </c>
      <c r="AC95" s="283" t="s">
        <v>963</v>
      </c>
      <c r="AD95" s="284"/>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895"/>
      <c r="BF95" s="979"/>
      <c r="BG95" s="979"/>
      <c r="BH95" s="979"/>
      <c r="BI95" s="980"/>
      <c r="BJ95" s="980"/>
    </row>
    <row r="96" spans="1:62" s="170" customFormat="1" ht="17.25" hidden="1" customHeight="1" x14ac:dyDescent="0.15">
      <c r="E96" s="771">
        <v>0</v>
      </c>
      <c r="F96" s="769" t="str" cm="1">
        <f t="array" aca="1" ref="F96" ca="1">OFFSET(G96,-1,-1)</f>
        <v>1</v>
      </c>
      <c r="T96" s="770" t="b" cm="1">
        <f t="array" aca="1" ref="T96" ca="1">T95</f>
        <v>1</v>
      </c>
      <c r="X96" s="1555"/>
      <c r="Z96" s="1555"/>
      <c r="AB96" s="230"/>
      <c r="AC96" s="225"/>
      <c r="AD96" s="501"/>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37"/>
      <c r="BF96" s="979"/>
      <c r="BG96" s="979"/>
      <c r="BH96" s="979"/>
      <c r="BI96" s="980"/>
      <c r="BJ96" s="980"/>
    </row>
    <row r="97" spans="1:62" s="170" customFormat="1" ht="14.25" hidden="1" customHeight="1" x14ac:dyDescent="0.15">
      <c r="A97" s="918" t="str">
        <f ca="1">"checkCosts_4."&amp;F97&amp;"."&amp;Y97</f>
        <v>checkCosts_4.1.0</v>
      </c>
      <c r="E97" s="771">
        <v>15</v>
      </c>
      <c r="F97" s="769" t="str" cm="1">
        <f t="array" aca="1" ref="F97" ca="1">OFFSET(G97,-1,-1)</f>
        <v>1</v>
      </c>
      <c r="H97" s="103" cm="1">
        <f t="array" ref="H97">AC97</f>
        <v>0</v>
      </c>
      <c r="I97" s="162" t="s">
        <v>950</v>
      </c>
      <c r="S97" s="1555"/>
      <c r="T97" s="770" t="b">
        <f ca="1">AND(F97&gt;0,Y97&gt;0)</f>
        <v>0</v>
      </c>
      <c r="W97" s="119" t="s">
        <v>237</v>
      </c>
      <c r="X97" s="1555"/>
      <c r="Y97" s="1449">
        <v>0</v>
      </c>
      <c r="Z97" s="1555"/>
      <c r="AA97" s="1556" t="s">
        <v>218</v>
      </c>
      <c r="AB97" s="232" t="str">
        <f>"2.1."&amp;Y97</f>
        <v>2.1.0</v>
      </c>
      <c r="AC97" s="497"/>
      <c r="AD97" s="502" t="s">
        <v>830</v>
      </c>
      <c r="AE97" s="275">
        <f>AE99*AE100/1000</f>
        <v>0</v>
      </c>
      <c r="AF97" s="13"/>
      <c r="AG97" s="13"/>
      <c r="AH97" s="275">
        <f>AH99*AH100/1000</f>
        <v>0</v>
      </c>
      <c r="AI97" s="227"/>
      <c r="AJ97" s="1183"/>
      <c r="AK97" s="1183"/>
      <c r="AL97" s="13"/>
      <c r="AM97" s="13"/>
      <c r="AN97" s="13"/>
      <c r="AO97" s="13"/>
      <c r="AP97" s="13"/>
      <c r="AQ97" s="13"/>
      <c r="AR97" s="13"/>
      <c r="AS97" s="275">
        <f t="shared" ref="AS97:BB97" si="34">AS99*AS100/1000</f>
        <v>0</v>
      </c>
      <c r="AT97" s="275">
        <f t="shared" si="34"/>
        <v>0</v>
      </c>
      <c r="AU97" s="275">
        <f t="shared" si="34"/>
        <v>0</v>
      </c>
      <c r="AV97" s="275">
        <f t="shared" si="34"/>
        <v>0</v>
      </c>
      <c r="AW97" s="275">
        <f t="shared" si="34"/>
        <v>0</v>
      </c>
      <c r="AX97" s="275">
        <f t="shared" si="34"/>
        <v>0</v>
      </c>
      <c r="AY97" s="275">
        <f t="shared" si="34"/>
        <v>0</v>
      </c>
      <c r="AZ97" s="275">
        <f t="shared" si="34"/>
        <v>0</v>
      </c>
      <c r="BA97" s="275">
        <f t="shared" si="34"/>
        <v>0</v>
      </c>
      <c r="BB97" s="275">
        <f t="shared" si="34"/>
        <v>0</v>
      </c>
      <c r="BC97" s="55"/>
      <c r="BF97" s="979" t="s">
        <v>995</v>
      </c>
      <c r="BG97" s="979" t="s">
        <v>996</v>
      </c>
      <c r="BH97" s="979" cm="1">
        <f t="array" ref="BH97">AC97</f>
        <v>0</v>
      </c>
      <c r="BI97" s="980"/>
      <c r="BJ97" s="980" t="b">
        <v>1</v>
      </c>
    </row>
    <row r="98" spans="1:62" s="170" customFormat="1" ht="14.25" hidden="1" customHeight="1" x14ac:dyDescent="0.15">
      <c r="E98" s="771">
        <v>15</v>
      </c>
      <c r="F98" s="769" t="str" cm="1">
        <f t="array" aca="1" ref="F98" ca="1">OFFSET(G98,-1,-1)</f>
        <v>1</v>
      </c>
      <c r="L98" s="160" t="str" cm="1">
        <f t="array" aca="1" ref="L98" ca="1">INDEX('Общие сведения'!$AK$169:$AK$202,MATCH($F98,'Общие сведения'!$Z$169:$Z$202,0))</f>
        <v>одноставочный</v>
      </c>
      <c r="R98" s="140" t="s">
        <v>987</v>
      </c>
      <c r="S98" s="1555"/>
      <c r="T98" s="770" t="b">
        <f ca="1">AND(T97,L98="двухставочный")</f>
        <v>0</v>
      </c>
      <c r="X98" s="1555"/>
      <c r="Y98" s="1555"/>
      <c r="Z98" s="1555"/>
      <c r="AA98" s="1556"/>
      <c r="AB98" s="232"/>
      <c r="AC98" s="488" t="s">
        <v>989</v>
      </c>
      <c r="AD98" s="502" t="s">
        <v>830</v>
      </c>
      <c r="AE98" s="17"/>
      <c r="AF98" s="17"/>
      <c r="AG98" s="17"/>
      <c r="AH98" s="17"/>
      <c r="AI98" s="503"/>
      <c r="AJ98" s="1264"/>
      <c r="AK98" s="1264"/>
      <c r="AL98" s="17"/>
      <c r="AM98" s="17"/>
      <c r="AN98" s="17"/>
      <c r="AO98" s="17"/>
      <c r="AP98" s="17"/>
      <c r="AQ98" s="17"/>
      <c r="AR98" s="17"/>
      <c r="AS98" s="503"/>
      <c r="AT98" s="1264"/>
      <c r="AU98" s="1264"/>
      <c r="AV98" s="17"/>
      <c r="AW98" s="17"/>
      <c r="AX98" s="17"/>
      <c r="AY98" s="17"/>
      <c r="AZ98" s="17"/>
      <c r="BA98" s="17"/>
      <c r="BB98" s="17"/>
      <c r="BC98" s="56"/>
      <c r="BF98" s="979" t="s">
        <v>997</v>
      </c>
      <c r="BG98" s="979" t="s">
        <v>996</v>
      </c>
      <c r="BH98" s="979" cm="1">
        <f t="array" ref="BH98">BH97</f>
        <v>0</v>
      </c>
      <c r="BI98" s="980"/>
      <c r="BJ98" s="980"/>
    </row>
    <row r="99" spans="1:62" s="170" customFormat="1" ht="14.25" hidden="1" customHeight="1" x14ac:dyDescent="0.15">
      <c r="E99" s="771">
        <v>15</v>
      </c>
      <c r="F99" s="769" t="str" cm="1">
        <f t="array" aca="1" ref="F99" ca="1">OFFSET(G99,-1,-1)</f>
        <v>1</v>
      </c>
      <c r="H99" s="103" cm="1">
        <f t="array" ref="H99">H97</f>
        <v>0</v>
      </c>
      <c r="S99" s="1555"/>
      <c r="T99" s="770" t="b" cm="1">
        <f t="array" aca="1" ref="T99" ca="1">T97</f>
        <v>0</v>
      </c>
      <c r="X99" s="1555"/>
      <c r="Y99" s="1555"/>
      <c r="Z99" s="1555"/>
      <c r="AA99" s="1556"/>
      <c r="AB99" s="232" t="str">
        <f>AB97&amp;".1"</f>
        <v>2.1.0.1</v>
      </c>
      <c r="AC99" s="488" t="s">
        <v>966</v>
      </c>
      <c r="AD99" s="102" t="s">
        <v>993</v>
      </c>
      <c r="AE99" s="17"/>
      <c r="AF99" s="551">
        <f>IF(AF100=0,0,AF97/AF100*1000)</f>
        <v>0</v>
      </c>
      <c r="AG99" s="551">
        <f>IF(AG100=0,0,AG97/AG100*1000)</f>
        <v>0</v>
      </c>
      <c r="AH99" s="17"/>
      <c r="AI99" s="551">
        <f t="shared" ref="AI99:AR99" si="35">IF(AI100=0,0,AI97/AI100*1000)</f>
        <v>0</v>
      </c>
      <c r="AJ99" s="551">
        <f t="shared" si="35"/>
        <v>0</v>
      </c>
      <c r="AK99" s="551">
        <f t="shared" si="35"/>
        <v>0</v>
      </c>
      <c r="AL99" s="551">
        <f t="shared" si="35"/>
        <v>0</v>
      </c>
      <c r="AM99" s="551">
        <f t="shared" si="35"/>
        <v>0</v>
      </c>
      <c r="AN99" s="551">
        <f t="shared" si="35"/>
        <v>0</v>
      </c>
      <c r="AO99" s="551">
        <f t="shared" si="35"/>
        <v>0</v>
      </c>
      <c r="AP99" s="551">
        <f t="shared" si="35"/>
        <v>0</v>
      </c>
      <c r="AQ99" s="551">
        <f t="shared" si="35"/>
        <v>0</v>
      </c>
      <c r="AR99" s="551">
        <f t="shared" si="35"/>
        <v>0</v>
      </c>
      <c r="AS99" s="503"/>
      <c r="AT99" s="1264"/>
      <c r="AU99" s="1264"/>
      <c r="AV99" s="17"/>
      <c r="AW99" s="17"/>
      <c r="AX99" s="17"/>
      <c r="AY99" s="17"/>
      <c r="AZ99" s="17"/>
      <c r="BA99" s="17"/>
      <c r="BB99" s="17"/>
      <c r="BC99" s="25"/>
      <c r="BF99" s="979" t="s">
        <v>998</v>
      </c>
      <c r="BG99" s="979" t="s">
        <v>996</v>
      </c>
      <c r="BH99" s="979" cm="1">
        <f t="array" ref="BH99">BH98</f>
        <v>0</v>
      </c>
      <c r="BI99" s="980"/>
      <c r="BJ99" s="980"/>
    </row>
    <row r="100" spans="1:62" s="170" customFormat="1" ht="14.25" hidden="1" customHeight="1" x14ac:dyDescent="0.15">
      <c r="A100" s="918" t="str">
        <f ca="1">"checkVolume_4."&amp;F100&amp;"."&amp;Y97</f>
        <v>checkVolume_4.1.0</v>
      </c>
      <c r="E100" s="771">
        <v>15</v>
      </c>
      <c r="F100" s="769" t="str" cm="1">
        <f t="array" aca="1" ref="F100" ca="1">OFFSET(G100,-1,-1)</f>
        <v>1</v>
      </c>
      <c r="H100" s="103" cm="1">
        <f t="array" ref="H100">H97</f>
        <v>0</v>
      </c>
      <c r="S100" s="1555"/>
      <c r="T100" s="770" t="b" cm="1">
        <f t="array" aca="1" ref="T100" ca="1">T97</f>
        <v>0</v>
      </c>
      <c r="X100" s="1555"/>
      <c r="Y100" s="1555"/>
      <c r="Z100" s="1555"/>
      <c r="AA100" s="1556"/>
      <c r="AB100" s="232" t="str">
        <f>AB97&amp;".2"</f>
        <v>2.1.0.2</v>
      </c>
      <c r="AC100" s="488" t="s">
        <v>999</v>
      </c>
      <c r="AD100" s="102" t="s">
        <v>622</v>
      </c>
      <c r="AE100" s="17"/>
      <c r="AF100" s="17"/>
      <c r="AG100" s="17"/>
      <c r="AH100" s="17"/>
      <c r="AI100" s="503"/>
      <c r="AJ100" s="1264"/>
      <c r="AK100" s="1264"/>
      <c r="AL100" s="17"/>
      <c r="AM100" s="17"/>
      <c r="AN100" s="17"/>
      <c r="AO100" s="17"/>
      <c r="AP100" s="17"/>
      <c r="AQ100" s="17"/>
      <c r="AR100" s="17"/>
      <c r="AS100" s="503"/>
      <c r="AT100" s="1264"/>
      <c r="AU100" s="1264"/>
      <c r="AV100" s="17"/>
      <c r="AW100" s="17"/>
      <c r="AX100" s="17"/>
      <c r="AY100" s="17"/>
      <c r="AZ100" s="17"/>
      <c r="BA100" s="17"/>
      <c r="BB100" s="17"/>
      <c r="BC100" s="25"/>
      <c r="BF100" s="979" t="s">
        <v>1000</v>
      </c>
      <c r="BG100" s="979" t="s">
        <v>996</v>
      </c>
      <c r="BH100" s="979" cm="1">
        <f t="array" ref="BH100">BH98</f>
        <v>0</v>
      </c>
      <c r="BI100" s="980"/>
      <c r="BJ100" s="980"/>
    </row>
    <row r="101" spans="1:62" s="170" customFormat="1" ht="14.25" customHeight="1" x14ac:dyDescent="0.15">
      <c r="E101" s="771">
        <v>15</v>
      </c>
      <c r="F101" s="769" t="str" cm="1">
        <f t="array" aca="1" ref="F101" ca="1">OFFSET(G101,-1,-1)</f>
        <v>1</v>
      </c>
      <c r="T101" s="770" t="b">
        <f ca="1">F101&gt;0</f>
        <v>1</v>
      </c>
      <c r="W101" s="312" t="s">
        <v>1001</v>
      </c>
      <c r="X101" s="1555"/>
      <c r="Z101" s="1555"/>
      <c r="AB101" s="689"/>
      <c r="AC101" s="486" t="s">
        <v>1002</v>
      </c>
      <c r="AD101" s="486"/>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898"/>
      <c r="BF101" s="979"/>
      <c r="BG101" s="979"/>
      <c r="BH101" s="979"/>
      <c r="BI101" s="980" t="s">
        <v>996</v>
      </c>
      <c r="BJ101" s="980"/>
    </row>
    <row r="102" spans="1:62" s="170" customFormat="1" ht="14.25" customHeight="1" x14ac:dyDescent="0.15">
      <c r="E102" s="771">
        <v>15</v>
      </c>
      <c r="F102" s="769" t="str" cm="1">
        <f t="array" aca="1" ref="F102" ca="1">OFFSET(G102,-1,-1)</f>
        <v>1</v>
      </c>
      <c r="T102" s="770" t="b">
        <f ca="1">F102&gt;0</f>
        <v>1</v>
      </c>
      <c r="X102" s="1555"/>
      <c r="Z102" s="1555"/>
      <c r="AB102" s="163" t="s">
        <v>510</v>
      </c>
      <c r="AC102" s="283" t="s">
        <v>972</v>
      </c>
      <c r="AD102" s="284"/>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895"/>
      <c r="BF102" s="979"/>
      <c r="BG102" s="979"/>
      <c r="BH102" s="979"/>
      <c r="BI102" s="980"/>
      <c r="BJ102" s="980"/>
    </row>
    <row r="103" spans="1:62" s="170" customFormat="1" ht="17.25" hidden="1" customHeight="1" x14ac:dyDescent="0.15">
      <c r="E103" s="771">
        <v>0</v>
      </c>
      <c r="F103" s="769" t="str" cm="1">
        <f t="array" aca="1" ref="F103" ca="1">OFFSET(G103,-1,-1)</f>
        <v>1</v>
      </c>
      <c r="T103" s="770" t="b">
        <f ca="1">F103&gt;0</f>
        <v>1</v>
      </c>
      <c r="X103" s="1555"/>
      <c r="Z103" s="1555"/>
      <c r="AB103" s="230"/>
      <c r="AC103" s="225"/>
      <c r="AD103" s="224"/>
      <c r="AE103" s="485"/>
      <c r="AF103" s="485"/>
      <c r="AG103" s="485"/>
      <c r="AH103" s="485"/>
      <c r="AI103" s="485"/>
      <c r="AJ103" s="485"/>
      <c r="AK103" s="485"/>
      <c r="AL103" s="485"/>
      <c r="AM103" s="485"/>
      <c r="AN103" s="485"/>
      <c r="AO103" s="485"/>
      <c r="AP103" s="485"/>
      <c r="AQ103" s="485"/>
      <c r="AR103" s="485"/>
      <c r="AS103" s="485"/>
      <c r="AT103" s="485"/>
      <c r="AU103" s="485"/>
      <c r="AV103" s="485"/>
      <c r="AW103" s="485"/>
      <c r="AX103" s="485"/>
      <c r="AY103" s="485"/>
      <c r="AZ103" s="485"/>
      <c r="BA103" s="485"/>
      <c r="BB103" s="485"/>
      <c r="BC103" s="31"/>
      <c r="BF103" s="979"/>
      <c r="BG103" s="979"/>
      <c r="BH103" s="979"/>
      <c r="BI103" s="980"/>
      <c r="BJ103" s="980"/>
    </row>
    <row r="104" spans="1:62" s="170" customFormat="1" ht="14.25" hidden="1" customHeight="1" x14ac:dyDescent="0.15">
      <c r="E104" s="771">
        <v>15</v>
      </c>
      <c r="F104" s="769" t="str" cm="1">
        <f t="array" aca="1" ref="F104" ca="1">OFFSET(G104,-1,-1)</f>
        <v>1</v>
      </c>
      <c r="H104" s="103" cm="1">
        <f t="array" ref="H104">AC104</f>
        <v>0</v>
      </c>
      <c r="I104" s="103" t="s">
        <v>950</v>
      </c>
      <c r="S104" s="1555"/>
      <c r="T104" s="770" t="b">
        <f ca="1">AND(F104&gt;0,Y104&gt;0)</f>
        <v>0</v>
      </c>
      <c r="W104" s="119" t="s">
        <v>237</v>
      </c>
      <c r="X104" s="1555"/>
      <c r="Y104" s="1449">
        <v>0</v>
      </c>
      <c r="Z104" s="1555"/>
      <c r="AA104" s="1556" t="s">
        <v>218</v>
      </c>
      <c r="AB104" s="102" t="str">
        <f>"2.3."&amp;Y104</f>
        <v>2.3.0</v>
      </c>
      <c r="AC104" s="497"/>
      <c r="AD104" s="102" t="s">
        <v>830</v>
      </c>
      <c r="AE104" s="489">
        <f t="shared" ref="AE104:BB104" si="36">AE107+AE109</f>
        <v>0</v>
      </c>
      <c r="AF104" s="489">
        <f t="shared" si="36"/>
        <v>0</v>
      </c>
      <c r="AG104" s="489">
        <f t="shared" si="36"/>
        <v>0</v>
      </c>
      <c r="AH104" s="489">
        <f t="shared" si="36"/>
        <v>0</v>
      </c>
      <c r="AI104" s="489">
        <f t="shared" si="36"/>
        <v>0</v>
      </c>
      <c r="AJ104" s="1185">
        <f t="shared" si="36"/>
        <v>0</v>
      </c>
      <c r="AK104" s="1185">
        <f t="shared" si="36"/>
        <v>0</v>
      </c>
      <c r="AL104" s="16">
        <f t="shared" si="36"/>
        <v>0</v>
      </c>
      <c r="AM104" s="16">
        <f t="shared" si="36"/>
        <v>0</v>
      </c>
      <c r="AN104" s="16">
        <f t="shared" si="36"/>
        <v>0</v>
      </c>
      <c r="AO104" s="16">
        <f t="shared" si="36"/>
        <v>0</v>
      </c>
      <c r="AP104" s="16">
        <f t="shared" si="36"/>
        <v>0</v>
      </c>
      <c r="AQ104" s="16">
        <f t="shared" si="36"/>
        <v>0</v>
      </c>
      <c r="AR104" s="16">
        <f t="shared" si="36"/>
        <v>0</v>
      </c>
      <c r="AS104" s="489">
        <f t="shared" si="36"/>
        <v>0</v>
      </c>
      <c r="AT104" s="1185">
        <f t="shared" si="36"/>
        <v>0</v>
      </c>
      <c r="AU104" s="1185">
        <f t="shared" si="36"/>
        <v>0</v>
      </c>
      <c r="AV104" s="16">
        <f t="shared" si="36"/>
        <v>0</v>
      </c>
      <c r="AW104" s="16">
        <f t="shared" si="36"/>
        <v>0</v>
      </c>
      <c r="AX104" s="16">
        <f t="shared" si="36"/>
        <v>0</v>
      </c>
      <c r="AY104" s="16">
        <f t="shared" si="36"/>
        <v>0</v>
      </c>
      <c r="AZ104" s="16">
        <f t="shared" si="36"/>
        <v>0</v>
      </c>
      <c r="BA104" s="16">
        <f t="shared" si="36"/>
        <v>0</v>
      </c>
      <c r="BB104" s="16">
        <f t="shared" si="36"/>
        <v>0</v>
      </c>
      <c r="BC104" s="32"/>
      <c r="BF104" s="979" t="s">
        <v>995</v>
      </c>
      <c r="BG104" s="979" t="s">
        <v>1003</v>
      </c>
      <c r="BH104" s="979" cm="1">
        <f t="array" ref="BH104">AC104</f>
        <v>0</v>
      </c>
      <c r="BI104" s="980"/>
      <c r="BJ104" s="980" t="b">
        <v>1</v>
      </c>
    </row>
    <row r="105" spans="1:62" s="170" customFormat="1" ht="14.25" hidden="1" customHeight="1" x14ac:dyDescent="0.15">
      <c r="E105" s="771">
        <v>15</v>
      </c>
      <c r="F105" s="769" t="str" cm="1">
        <f t="array" aca="1" ref="F105" ca="1">OFFSET(G105,-1,-1)</f>
        <v>1</v>
      </c>
      <c r="L105" s="160" t="str" cm="1">
        <f t="array" aca="1" ref="L105" ca="1">INDEX('Общие сведения'!$AK$169:$AK$202,MATCH($F105,'Общие сведения'!$Z$169:$Z$202,0))</f>
        <v>одноставочный</v>
      </c>
      <c r="R105" s="140" t="s">
        <v>987</v>
      </c>
      <c r="S105" s="1555"/>
      <c r="T105" s="770" t="b">
        <f ca="1">AND(T104,L105="двухставочный")</f>
        <v>0</v>
      </c>
      <c r="X105" s="1555"/>
      <c r="Y105" s="1555"/>
      <c r="Z105" s="1555"/>
      <c r="AA105" s="1556"/>
      <c r="AB105" s="232"/>
      <c r="AC105" s="488" t="s">
        <v>989</v>
      </c>
      <c r="AD105" s="502" t="s">
        <v>830</v>
      </c>
      <c r="AE105" s="17"/>
      <c r="AF105" s="17"/>
      <c r="AG105" s="17"/>
      <c r="AH105" s="17"/>
      <c r="AI105" s="503"/>
      <c r="AJ105" s="1264"/>
      <c r="AK105" s="1264"/>
      <c r="AL105" s="17"/>
      <c r="AM105" s="17"/>
      <c r="AN105" s="17"/>
      <c r="AO105" s="17"/>
      <c r="AP105" s="17"/>
      <c r="AQ105" s="17"/>
      <c r="AR105" s="17"/>
      <c r="AS105" s="503"/>
      <c r="AT105" s="1264"/>
      <c r="AU105" s="1264"/>
      <c r="AV105" s="17"/>
      <c r="AW105" s="17"/>
      <c r="AX105" s="17"/>
      <c r="AY105" s="17"/>
      <c r="AZ105" s="17"/>
      <c r="BA105" s="17"/>
      <c r="BB105" s="17"/>
      <c r="BC105" s="56"/>
      <c r="BF105" s="979" t="s">
        <v>997</v>
      </c>
      <c r="BG105" s="979" t="s">
        <v>1003</v>
      </c>
      <c r="BH105" s="979" cm="1">
        <f t="array" ref="BH105">BH104</f>
        <v>0</v>
      </c>
      <c r="BI105" s="980"/>
      <c r="BJ105" s="980"/>
    </row>
    <row r="106" spans="1:62" s="170" customFormat="1" ht="14.25" hidden="1" customHeight="1" x14ac:dyDescent="0.15">
      <c r="E106" s="771">
        <v>15</v>
      </c>
      <c r="F106" s="769" t="str" cm="1">
        <f t="array" aca="1" ref="F106" ca="1">OFFSET(G106,-1,-1)</f>
        <v>1</v>
      </c>
      <c r="H106" s="103" cm="1">
        <f t="array" ref="H106">H104</f>
        <v>0</v>
      </c>
      <c r="S106" s="1555"/>
      <c r="T106" s="770" t="b" cm="1">
        <f t="array" aca="1" ref="T106" ca="1">T104</f>
        <v>0</v>
      </c>
      <c r="X106" s="1555"/>
      <c r="Y106" s="1555"/>
      <c r="Z106" s="1555"/>
      <c r="AA106" s="1556"/>
      <c r="AB106" s="232" t="str">
        <f>AB104&amp;".1"</f>
        <v>2.3.0.1</v>
      </c>
      <c r="AC106" s="488" t="s">
        <v>966</v>
      </c>
      <c r="AD106" s="102" t="s">
        <v>993</v>
      </c>
      <c r="AE106" s="16"/>
      <c r="AF106" s="489">
        <f>IF(AF108=0,0,AF107/AF108*1000)</f>
        <v>0</v>
      </c>
      <c r="AG106" s="489">
        <f>IF(AG108=0,0,AG107/AG108*1000)</f>
        <v>0</v>
      </c>
      <c r="AH106" s="16"/>
      <c r="AI106" s="489">
        <f t="shared" ref="AI106:AR106" si="37">IF(AI108=0,0,AI107/AI108*1000)</f>
        <v>0</v>
      </c>
      <c r="AJ106" s="489">
        <f t="shared" si="37"/>
        <v>0</v>
      </c>
      <c r="AK106" s="489">
        <f t="shared" si="37"/>
        <v>0</v>
      </c>
      <c r="AL106" s="489">
        <f t="shared" si="37"/>
        <v>0</v>
      </c>
      <c r="AM106" s="489">
        <f t="shared" si="37"/>
        <v>0</v>
      </c>
      <c r="AN106" s="489">
        <f t="shared" si="37"/>
        <v>0</v>
      </c>
      <c r="AO106" s="489">
        <f t="shared" si="37"/>
        <v>0</v>
      </c>
      <c r="AP106" s="489">
        <f t="shared" si="37"/>
        <v>0</v>
      </c>
      <c r="AQ106" s="489">
        <f t="shared" si="37"/>
        <v>0</v>
      </c>
      <c r="AR106" s="489">
        <f t="shared" si="37"/>
        <v>0</v>
      </c>
      <c r="AS106" s="484"/>
      <c r="AT106" s="1185"/>
      <c r="AU106" s="1185"/>
      <c r="AV106" s="16"/>
      <c r="AW106" s="16"/>
      <c r="AX106" s="16"/>
      <c r="AY106" s="16"/>
      <c r="AZ106" s="16"/>
      <c r="BA106" s="16"/>
      <c r="BB106" s="16"/>
      <c r="BC106" s="25"/>
      <c r="BF106" s="979" t="s">
        <v>998</v>
      </c>
      <c r="BG106" s="979" t="s">
        <v>1003</v>
      </c>
      <c r="BH106" s="979" cm="1">
        <f t="array" ref="BH106">BH105</f>
        <v>0</v>
      </c>
      <c r="BI106" s="980"/>
      <c r="BJ106" s="980"/>
    </row>
    <row r="107" spans="1:62" s="170" customFormat="1" ht="14.25" hidden="1" customHeight="1" x14ac:dyDescent="0.15">
      <c r="A107" s="918" t="str">
        <f ca="1">"checkCosts_5."&amp;F107&amp;"."&amp;Y104</f>
        <v>checkCosts_5.1.0</v>
      </c>
      <c r="E107" s="771">
        <v>15</v>
      </c>
      <c r="F107" s="769" t="str" cm="1">
        <f t="array" aca="1" ref="F107" ca="1">OFFSET(G107,-1,-1)</f>
        <v>1</v>
      </c>
      <c r="S107" s="1555"/>
      <c r="T107" s="770" t="b" cm="1">
        <f t="array" aca="1" ref="T107" ca="1">T104</f>
        <v>0</v>
      </c>
      <c r="X107" s="1555"/>
      <c r="Y107" s="1555"/>
      <c r="Z107" s="1555"/>
      <c r="AA107" s="1556"/>
      <c r="AB107" s="232" t="str">
        <f>AB104&amp;".2"</f>
        <v>2.3.0.2</v>
      </c>
      <c r="AC107" s="488" t="s">
        <v>1004</v>
      </c>
      <c r="AD107" s="102" t="s">
        <v>830</v>
      </c>
      <c r="AE107" s="16"/>
      <c r="AF107" s="16"/>
      <c r="AG107" s="16"/>
      <c r="AH107" s="16"/>
      <c r="AI107" s="484"/>
      <c r="AJ107" s="1185"/>
      <c r="AK107" s="1185"/>
      <c r="AL107" s="16"/>
      <c r="AM107" s="16"/>
      <c r="AN107" s="16"/>
      <c r="AO107" s="16"/>
      <c r="AP107" s="16"/>
      <c r="AQ107" s="16"/>
      <c r="AR107" s="16"/>
      <c r="AS107" s="484"/>
      <c r="AT107" s="1185"/>
      <c r="AU107" s="1185"/>
      <c r="AV107" s="16"/>
      <c r="AW107" s="16"/>
      <c r="AX107" s="16"/>
      <c r="AY107" s="16"/>
      <c r="AZ107" s="16"/>
      <c r="BA107" s="16"/>
      <c r="BB107" s="16"/>
      <c r="BC107" s="25"/>
      <c r="BF107" s="979" t="s">
        <v>1005</v>
      </c>
      <c r="BG107" s="979" t="s">
        <v>1003</v>
      </c>
      <c r="BH107" s="979" cm="1">
        <f t="array" ref="BH107">BH105</f>
        <v>0</v>
      </c>
      <c r="BI107" s="980"/>
      <c r="BJ107" s="980"/>
    </row>
    <row r="108" spans="1:62" s="170" customFormat="1" ht="14.25" hidden="1" customHeight="1" x14ac:dyDescent="0.15">
      <c r="A108" s="918" t="str">
        <f ca="1">"checkVolume_5."&amp;F108&amp;"."&amp;Y104</f>
        <v>checkVolume_5.1.0</v>
      </c>
      <c r="E108" s="771">
        <v>15</v>
      </c>
      <c r="F108" s="769" t="str" cm="1">
        <f t="array" aca="1" ref="F108" ca="1">OFFSET(G108,-1,-1)</f>
        <v>1</v>
      </c>
      <c r="S108" s="1555"/>
      <c r="T108" s="770" t="b" cm="1">
        <f t="array" aca="1" ref="T108" ca="1">T107</f>
        <v>0</v>
      </c>
      <c r="X108" s="1555"/>
      <c r="Y108" s="1555"/>
      <c r="Z108" s="1555"/>
      <c r="AA108" s="1556"/>
      <c r="AB108" s="338" t="str">
        <f>AB107&amp;".1"</f>
        <v>2.3.0.2.1</v>
      </c>
      <c r="AC108" s="498" t="s">
        <v>999</v>
      </c>
      <c r="AD108" s="102" t="s">
        <v>622</v>
      </c>
      <c r="AE108" s="16"/>
      <c r="AF108" s="16"/>
      <c r="AG108" s="16"/>
      <c r="AH108" s="16"/>
      <c r="AI108" s="484"/>
      <c r="AJ108" s="1185"/>
      <c r="AK108" s="1185"/>
      <c r="AL108" s="16"/>
      <c r="AM108" s="16"/>
      <c r="AN108" s="16"/>
      <c r="AO108" s="16"/>
      <c r="AP108" s="16"/>
      <c r="AQ108" s="16"/>
      <c r="AR108" s="16"/>
      <c r="AS108" s="484"/>
      <c r="AT108" s="1185"/>
      <c r="AU108" s="1185"/>
      <c r="AV108" s="16"/>
      <c r="AW108" s="16"/>
      <c r="AX108" s="16"/>
      <c r="AY108" s="16"/>
      <c r="AZ108" s="16"/>
      <c r="BA108" s="16"/>
      <c r="BB108" s="16"/>
      <c r="BC108" s="25"/>
      <c r="BF108" s="979" t="s">
        <v>1006</v>
      </c>
      <c r="BG108" s="979" t="s">
        <v>1003</v>
      </c>
      <c r="BH108" s="979" cm="1">
        <f t="array" ref="BH108">BH107</f>
        <v>0</v>
      </c>
      <c r="BI108" s="980"/>
      <c r="BJ108" s="980"/>
    </row>
    <row r="109" spans="1:62" s="170" customFormat="1" ht="14.25" hidden="1" customHeight="1" x14ac:dyDescent="0.15">
      <c r="A109" s="918" t="str">
        <f ca="1">"checkCosts_6."&amp;F109&amp;"."&amp;Y104</f>
        <v>checkCosts_6.1.0</v>
      </c>
      <c r="E109" s="771">
        <v>15</v>
      </c>
      <c r="F109" s="769" t="str" cm="1">
        <f t="array" aca="1" ref="F109" ca="1">OFFSET(G109,-1,-1)</f>
        <v>1</v>
      </c>
      <c r="S109" s="1555"/>
      <c r="T109" s="770" t="b" cm="1">
        <f t="array" aca="1" ref="T109" ca="1">T108</f>
        <v>0</v>
      </c>
      <c r="X109" s="1555"/>
      <c r="Y109" s="1555"/>
      <c r="Z109" s="1555"/>
      <c r="AA109" s="1556"/>
      <c r="AB109" s="232" t="str">
        <f>AB104&amp;".3"</f>
        <v>2.3.0.3</v>
      </c>
      <c r="AC109" s="488" t="s">
        <v>1007</v>
      </c>
      <c r="AD109" s="102" t="s">
        <v>977</v>
      </c>
      <c r="AE109" s="16"/>
      <c r="AF109" s="16"/>
      <c r="AG109" s="16"/>
      <c r="AH109" s="16"/>
      <c r="AI109" s="484"/>
      <c r="AJ109" s="1185"/>
      <c r="AK109" s="1185"/>
      <c r="AL109" s="16"/>
      <c r="AM109" s="16"/>
      <c r="AN109" s="16"/>
      <c r="AO109" s="16"/>
      <c r="AP109" s="16"/>
      <c r="AQ109" s="16"/>
      <c r="AR109" s="16"/>
      <c r="AS109" s="484"/>
      <c r="AT109" s="1185"/>
      <c r="AU109" s="1185"/>
      <c r="AV109" s="16"/>
      <c r="AW109" s="16"/>
      <c r="AX109" s="16"/>
      <c r="AY109" s="16"/>
      <c r="AZ109" s="16"/>
      <c r="BA109" s="16"/>
      <c r="BB109" s="16"/>
      <c r="BC109" s="25"/>
      <c r="BF109" s="979" t="s">
        <v>1008</v>
      </c>
      <c r="BG109" s="979" t="s">
        <v>1003</v>
      </c>
      <c r="BH109" s="979" cm="1">
        <f t="array" ref="BH109">BH108</f>
        <v>0</v>
      </c>
      <c r="BI109" s="980"/>
      <c r="BJ109" s="980"/>
    </row>
    <row r="110" spans="1:62" s="170" customFormat="1" ht="14.25" hidden="1" customHeight="1" x14ac:dyDescent="0.15">
      <c r="A110" s="918" t="str">
        <f ca="1">"checkVolume_6."&amp;F110&amp;"."&amp;Y104</f>
        <v>checkVolume_6.1.0</v>
      </c>
      <c r="E110" s="771">
        <v>15</v>
      </c>
      <c r="F110" s="769" t="str" cm="1">
        <f t="array" aca="1" ref="F110" ca="1">OFFSET(G110,-1,-1)</f>
        <v>1</v>
      </c>
      <c r="H110" s="103" cm="1">
        <f t="array" ref="H110">H104</f>
        <v>0</v>
      </c>
      <c r="S110" s="1555"/>
      <c r="T110" s="770" t="b" cm="1">
        <f t="array" aca="1" ref="T110" ca="1">T109</f>
        <v>0</v>
      </c>
      <c r="X110" s="1555"/>
      <c r="Y110" s="1555"/>
      <c r="Z110" s="1555"/>
      <c r="AA110" s="1556"/>
      <c r="AB110" s="338" t="str">
        <f>AB109&amp;".1"</f>
        <v>2.3.0.3.1</v>
      </c>
      <c r="AC110" s="499" t="s">
        <v>1009</v>
      </c>
      <c r="AD110" s="102" t="s">
        <v>715</v>
      </c>
      <c r="AE110" s="16"/>
      <c r="AF110" s="16"/>
      <c r="AG110" s="16"/>
      <c r="AH110" s="16"/>
      <c r="AI110" s="484"/>
      <c r="AJ110" s="1185"/>
      <c r="AK110" s="1185"/>
      <c r="AL110" s="16"/>
      <c r="AM110" s="16"/>
      <c r="AN110" s="16"/>
      <c r="AO110" s="16"/>
      <c r="AP110" s="16"/>
      <c r="AQ110" s="16"/>
      <c r="AR110" s="16"/>
      <c r="AS110" s="484"/>
      <c r="AT110" s="1185"/>
      <c r="AU110" s="1185"/>
      <c r="AV110" s="16"/>
      <c r="AW110" s="16"/>
      <c r="AX110" s="16"/>
      <c r="AY110" s="16"/>
      <c r="AZ110" s="16"/>
      <c r="BA110" s="16"/>
      <c r="BB110" s="16"/>
      <c r="BC110" s="25"/>
      <c r="BF110" s="979" t="s">
        <v>1010</v>
      </c>
      <c r="BG110" s="979" t="s">
        <v>1003</v>
      </c>
      <c r="BH110" s="979" cm="1">
        <f t="array" ref="BH110">BH109</f>
        <v>0</v>
      </c>
      <c r="BI110" s="980"/>
      <c r="BJ110" s="980"/>
    </row>
    <row r="111" spans="1:62" s="170" customFormat="1" ht="10.5" customHeight="1" x14ac:dyDescent="0.15">
      <c r="E111" s="771">
        <v>11.4</v>
      </c>
      <c r="F111" s="769" t="str" cm="1">
        <f t="array" aca="1" ref="F111" ca="1">OFFSET(G111,-1,-1)</f>
        <v>1</v>
      </c>
      <c r="T111" s="770" t="b">
        <f ca="1">F111&gt;0</f>
        <v>1</v>
      </c>
      <c r="W111" s="312" t="s">
        <v>1011</v>
      </c>
      <c r="X111" s="1555"/>
      <c r="Z111" s="1555"/>
      <c r="AB111" s="487"/>
      <c r="AC111" s="475" t="s">
        <v>1002</v>
      </c>
      <c r="AD111" s="475"/>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899"/>
      <c r="BF111" s="979"/>
      <c r="BG111" s="979"/>
      <c r="BH111" s="979"/>
      <c r="BI111" s="980" t="s">
        <v>1003</v>
      </c>
      <c r="BJ111" s="980"/>
    </row>
    <row r="112" spans="1:62" s="804" customFormat="1" ht="11.1" customHeight="1" x14ac:dyDescent="0.15">
      <c r="A112" s="335"/>
      <c r="B112" s="659"/>
      <c r="C112" s="126"/>
      <c r="D112" s="126"/>
      <c r="E112" s="772">
        <v>11.4</v>
      </c>
      <c r="F112" s="769"/>
      <c r="Q112" s="612"/>
      <c r="R112" s="612"/>
      <c r="T112" s="126"/>
      <c r="U112" s="126" t="s">
        <v>239</v>
      </c>
      <c r="V112" s="119" t="s">
        <v>1013</v>
      </c>
      <c r="W112" s="126"/>
      <c r="X112" s="126"/>
      <c r="Y112" s="126"/>
      <c r="Z112" s="126"/>
      <c r="AB112" s="160"/>
      <c r="AC112" s="160"/>
      <c r="AD112" s="160"/>
      <c r="AE112" s="160"/>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c r="BF112" s="967"/>
      <c r="BG112" s="967"/>
      <c r="BH112" s="967"/>
      <c r="BI112" s="976"/>
      <c r="BJ112" s="976"/>
    </row>
    <row r="113" spans="1:62" s="804" customFormat="1" ht="11.25" hidden="1" customHeight="1" x14ac:dyDescent="0.15">
      <c r="A113" s="335"/>
      <c r="B113" s="659"/>
      <c r="C113" s="126"/>
      <c r="D113" s="126"/>
      <c r="E113" s="772">
        <v>0</v>
      </c>
      <c r="F113" s="126"/>
      <c r="Q113" s="612"/>
      <c r="R113" s="612"/>
      <c r="T113" s="126"/>
      <c r="U113" s="126"/>
      <c r="V113" s="119"/>
      <c r="W113" s="126"/>
      <c r="X113" s="126"/>
      <c r="Y113" s="126"/>
      <c r="Z113" s="126"/>
      <c r="AB113" s="160"/>
      <c r="AC113" s="160"/>
      <c r="AD113" s="160"/>
      <c r="AE113" s="160"/>
      <c r="AF113" s="160"/>
      <c r="AG113" s="160"/>
      <c r="AH113" s="160"/>
      <c r="AI113" s="160"/>
      <c r="AJ113" s="160"/>
      <c r="AK113" s="160"/>
      <c r="AL113" s="160"/>
      <c r="AM113" s="160"/>
      <c r="AN113" s="160"/>
      <c r="AO113" s="160"/>
      <c r="AP113" s="160"/>
      <c r="AQ113" s="160"/>
      <c r="AR113" s="160"/>
      <c r="AS113" s="160"/>
      <c r="AT113" s="160"/>
      <c r="AU113" s="160"/>
      <c r="AV113" s="160"/>
      <c r="AW113" s="160"/>
      <c r="AX113" s="160"/>
      <c r="AY113" s="160"/>
      <c r="AZ113" s="160"/>
      <c r="BA113" s="160"/>
      <c r="BB113" s="160"/>
      <c r="BC113" s="160"/>
      <c r="BF113" s="967"/>
      <c r="BG113" s="967"/>
      <c r="BH113" s="967"/>
      <c r="BI113" s="976"/>
      <c r="BJ113" s="976"/>
    </row>
    <row r="114" spans="1:62" ht="14.65" customHeight="1" x14ac:dyDescent="0.15">
      <c r="E114" s="668">
        <v>15</v>
      </c>
      <c r="AB114" s="1558" t="s">
        <v>725</v>
      </c>
      <c r="AC114" s="1558"/>
      <c r="AD114" s="1558"/>
      <c r="AE114" s="1558"/>
      <c r="AF114" s="1558"/>
      <c r="AG114" s="1558"/>
      <c r="AH114" s="1558"/>
      <c r="AI114" s="1559"/>
      <c r="AJ114" s="1559"/>
      <c r="AK114" s="1559"/>
      <c r="AL114" s="1559"/>
      <c r="AM114" s="1559"/>
      <c r="AN114" s="1559"/>
      <c r="AO114" s="1559"/>
      <c r="AP114" s="1559"/>
      <c r="AQ114" s="1559"/>
      <c r="AR114" s="1559"/>
      <c r="AS114" s="1559"/>
      <c r="AT114" s="1559"/>
      <c r="AU114" s="1559"/>
      <c r="AV114" s="1559"/>
      <c r="AW114" s="1559"/>
      <c r="AX114" s="1559"/>
      <c r="AY114" s="1559"/>
      <c r="AZ114" s="1559"/>
      <c r="BA114" s="1559"/>
      <c r="BB114" s="1559"/>
      <c r="BC114" s="1559"/>
    </row>
    <row r="115" spans="1:62" ht="14.65" customHeight="1" x14ac:dyDescent="0.15">
      <c r="E115" s="668">
        <v>15</v>
      </c>
      <c r="AA115" s="768"/>
      <c r="AB115" s="1560"/>
      <c r="AC115" s="1560"/>
      <c r="AD115" s="1560"/>
      <c r="AE115" s="1560"/>
      <c r="AF115" s="1560"/>
      <c r="AG115" s="1560"/>
      <c r="AH115" s="1560"/>
      <c r="AI115" s="1561"/>
      <c r="AJ115" s="1562"/>
      <c r="AK115" s="1562"/>
      <c r="AL115" s="1562"/>
      <c r="AM115" s="1562"/>
      <c r="AN115" s="1562"/>
      <c r="AO115" s="1562"/>
      <c r="AP115" s="1562"/>
      <c r="AQ115" s="1562"/>
      <c r="AR115" s="1562"/>
      <c r="AS115" s="1561"/>
      <c r="AT115" s="1562"/>
      <c r="AU115" s="1562"/>
      <c r="AV115" s="1562"/>
      <c r="AW115" s="1562"/>
      <c r="AX115" s="1562"/>
      <c r="AY115" s="1562"/>
      <c r="AZ115" s="1562"/>
      <c r="BA115" s="1562"/>
      <c r="BB115" s="1562"/>
      <c r="BC115" s="1561"/>
    </row>
    <row r="116" spans="1:62" ht="14.65" hidden="1" customHeight="1" x14ac:dyDescent="0.15">
      <c r="E116" s="668">
        <v>15</v>
      </c>
      <c r="T116" s="679" t="b">
        <f>ROW(W116)&gt;ROW(W$116)</f>
        <v>0</v>
      </c>
      <c r="W116" s="123" t="s">
        <v>237</v>
      </c>
      <c r="AA116" s="764" t="s">
        <v>218</v>
      </c>
      <c r="AB116" s="1565"/>
      <c r="AC116" s="1565"/>
      <c r="AD116" s="1565"/>
      <c r="AE116" s="1565"/>
      <c r="AF116" s="1565"/>
      <c r="AG116" s="1565"/>
      <c r="AH116" s="1565"/>
      <c r="AI116" s="1561"/>
      <c r="AJ116" s="1562"/>
      <c r="AK116" s="1562"/>
      <c r="AL116" s="1562"/>
      <c r="AM116" s="1562"/>
      <c r="AN116" s="1562"/>
      <c r="AO116" s="1562"/>
      <c r="AP116" s="1562"/>
      <c r="AQ116" s="1562"/>
      <c r="AR116" s="1562"/>
      <c r="AS116" s="1561"/>
      <c r="AT116" s="1562"/>
      <c r="AU116" s="1562"/>
      <c r="AV116" s="1562"/>
      <c r="AW116" s="1562"/>
      <c r="AX116" s="1562"/>
      <c r="AY116" s="1562"/>
      <c r="AZ116" s="1562"/>
      <c r="BA116" s="1562"/>
      <c r="BB116" s="1562"/>
      <c r="BC116" s="1562"/>
    </row>
    <row r="117" spans="1:62" ht="14.65" customHeight="1" x14ac:dyDescent="0.15">
      <c r="E117" s="668">
        <v>15</v>
      </c>
      <c r="W117" s="119" t="s">
        <v>1014</v>
      </c>
      <c r="AB117" s="821" t="s">
        <v>726</v>
      </c>
      <c r="AC117" s="822"/>
      <c r="AD117" s="317"/>
      <c r="AE117" s="317"/>
      <c r="AF117" s="318"/>
      <c r="AG117" s="318"/>
      <c r="AH117" s="318"/>
      <c r="AI117" s="318"/>
      <c r="AJ117" s="318"/>
      <c r="AK117" s="318"/>
      <c r="AL117" s="318"/>
      <c r="AM117" s="318"/>
      <c r="AN117" s="318"/>
      <c r="AO117" s="318"/>
      <c r="AP117" s="318"/>
      <c r="AQ117" s="318"/>
      <c r="AR117" s="318"/>
      <c r="AS117" s="318"/>
      <c r="AT117" s="318"/>
      <c r="AU117" s="318"/>
      <c r="AV117" s="318"/>
      <c r="AW117" s="318"/>
      <c r="AX117" s="318"/>
      <c r="AY117" s="318"/>
      <c r="AZ117" s="318"/>
      <c r="BA117" s="318"/>
      <c r="BB117" s="318"/>
      <c r="BC117" s="319"/>
    </row>
    <row r="118" spans="1:62" ht="11.25" customHeight="1" x14ac:dyDescent="0.15">
      <c r="BD118" s="160"/>
    </row>
  </sheetData>
  <sheetProtection formatColumns="0" formatRows="0" insertRows="0" deleteColumns="0" deleteRows="0" sort="0" autoFilter="0"/>
  <mergeCells count="38">
    <mergeCell ref="AB116:BC116"/>
    <mergeCell ref="Z27:Z67"/>
    <mergeCell ref="X27:X67"/>
    <mergeCell ref="Y34:Y36"/>
    <mergeCell ref="Y39:Y44"/>
    <mergeCell ref="Y53:Y56"/>
    <mergeCell ref="Y60:Y66"/>
    <mergeCell ref="Y75:Y77"/>
    <mergeCell ref="Y83:Y88"/>
    <mergeCell ref="Y97:Y100"/>
    <mergeCell ref="Y104:Y110"/>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7" priority="12"/>
  </conditionalFormatting>
  <conditionalFormatting sqref="BF60:BF62">
    <cfRule type="duplicateValues" dxfId="6" priority="11"/>
  </conditionalFormatting>
  <conditionalFormatting sqref="BF63">
    <cfRule type="duplicateValues" dxfId="5" priority="10"/>
  </conditionalFormatting>
  <conditionalFormatting sqref="BF62">
    <cfRule type="duplicateValues" dxfId="4" priority="9"/>
  </conditionalFormatting>
  <conditionalFormatting sqref="BF97:BF99">
    <cfRule type="duplicateValues" dxfId="3" priority="4"/>
  </conditionalFormatting>
  <conditionalFormatting sqref="BF104:BF106">
    <cfRule type="duplicateValues" dxfId="2" priority="3"/>
  </conditionalFormatting>
  <conditionalFormatting sqref="BF106">
    <cfRule type="duplicateValues" dxfId="1" priority="2"/>
  </conditionalFormatting>
  <conditionalFormatting sqref="BF107">
    <cfRule type="duplicateValues" dxfId="0" priority="1"/>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xr:uid="{00000000-0002-0000-0C00-000000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xr:uid="{00000000-0002-0000-0C00-000001000000}">
      <formula1>VOLTAGE_LEVEL_list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FEC88-70F8-7EB8-E9C4-90F3E2D8DC48}">
  <sheetPr>
    <tabColor rgb="FFFFC000"/>
    <outlinePr summaryBelow="0" summaryRight="0"/>
    <pageSetUpPr fitToPage="1"/>
  </sheetPr>
  <dimension ref="A1:BJ64"/>
  <sheetViews>
    <sheetView showGridLines="0" workbookViewId="0">
      <pane xSplit="30" ySplit="26" topLeftCell="AF40" activePane="bottomRight" state="frozen"/>
      <selection pane="topRight" activeCell="AE1" sqref="AE1"/>
      <selection pane="bottomLeft" activeCell="A27" sqref="A27"/>
      <selection pane="bottomRight" activeCell="AS57" sqref="AS57"/>
    </sheetView>
  </sheetViews>
  <sheetFormatPr defaultColWidth="8.7109375" defaultRowHeight="11.25" customHeight="1" x14ac:dyDescent="0.15"/>
  <cols>
    <col min="1" max="1" width="3.5703125" style="1149" hidden="1" customWidth="1"/>
    <col min="2" max="2" width="8.5703125" style="773" hidden="1" customWidth="1"/>
    <col min="3" max="4" width="3.5703125" style="1149" hidden="1" customWidth="1"/>
    <col min="5" max="5" width="8.42578125" style="772" hidden="1" customWidth="1"/>
    <col min="6" max="6" width="6.42578125" style="1149" hidden="1" customWidth="1"/>
    <col min="7" max="16" width="3.5703125" style="1153" hidden="1" customWidth="1"/>
    <col min="17" max="18" width="3.5703125" style="140" hidden="1" customWidth="1"/>
    <col min="19" max="19" width="3.5703125" style="1153" hidden="1" customWidth="1"/>
    <col min="20" max="20" width="7.8554687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70" customWidth="1"/>
    <col min="28" max="28" width="11" style="170" customWidth="1"/>
    <col min="29" max="29" width="47.140625" style="170" customWidth="1"/>
    <col min="30" max="30" width="12.140625" style="170" customWidth="1"/>
    <col min="31" max="35" width="12.5703125" style="170" customWidth="1"/>
    <col min="36" max="44" width="12.5703125" style="170" hidden="1" customWidth="1"/>
    <col min="45" max="45" width="12.5703125" style="170" customWidth="1"/>
    <col min="46" max="54" width="12.5703125" style="170" hidden="1" customWidth="1"/>
    <col min="55" max="55" width="20.140625" style="170" customWidth="1"/>
    <col min="56" max="56" width="3" style="170" customWidth="1"/>
    <col min="57" max="57" width="8.7109375" style="170" hidden="1"/>
    <col min="58" max="60" width="8.7109375" style="979" hidden="1"/>
    <col min="61" max="62" width="8.7109375" style="980" hidden="1"/>
  </cols>
  <sheetData>
    <row r="1" spans="1:62" s="1149" customFormat="1" ht="12" hidden="1" customHeight="1" x14ac:dyDescent="0.15">
      <c r="B1" s="659"/>
      <c r="E1" s="659"/>
      <c r="F1" s="690" t="s">
        <v>83</v>
      </c>
      <c r="G1" s="103"/>
      <c r="H1" s="103"/>
      <c r="I1" s="103"/>
      <c r="J1" s="103"/>
      <c r="K1" s="103"/>
      <c r="L1" s="103"/>
      <c r="M1" s="103"/>
      <c r="N1" s="103"/>
      <c r="O1" s="103"/>
      <c r="P1" s="103"/>
      <c r="Q1" s="140"/>
      <c r="R1" s="140"/>
      <c r="S1" s="103"/>
      <c r="T1" s="679" t="s">
        <v>86</v>
      </c>
      <c r="U1" s="679" t="s">
        <v>91</v>
      </c>
      <c r="V1" s="679" t="s">
        <v>87</v>
      </c>
      <c r="W1" s="679" t="s">
        <v>88</v>
      </c>
      <c r="X1" s="679" t="s">
        <v>89</v>
      </c>
      <c r="Y1" s="690" t="s">
        <v>374</v>
      </c>
      <c r="Z1" s="679" t="s">
        <v>93</v>
      </c>
      <c r="AA1" s="690" t="s">
        <v>90</v>
      </c>
      <c r="AB1" s="690" t="s">
        <v>92</v>
      </c>
      <c r="AC1" s="690" t="s">
        <v>92</v>
      </c>
      <c r="BF1" s="971" t="s">
        <v>375</v>
      </c>
      <c r="BG1" s="979" t="s">
        <v>376</v>
      </c>
      <c r="BH1" s="979" t="s">
        <v>377</v>
      </c>
      <c r="BI1" s="980" t="s">
        <v>380</v>
      </c>
      <c r="BJ1" s="980" t="s">
        <v>381</v>
      </c>
    </row>
    <row r="2" spans="1:62" s="773" customFormat="1" ht="12" hidden="1" customHeight="1" x14ac:dyDescent="0.15">
      <c r="B2" s="758" t="s">
        <v>15</v>
      </c>
      <c r="G2" s="776"/>
      <c r="H2" s="776"/>
      <c r="I2" s="776"/>
      <c r="J2" s="776"/>
      <c r="K2" s="776"/>
      <c r="L2" s="776"/>
      <c r="M2" s="776"/>
      <c r="N2" s="776"/>
      <c r="O2" s="776"/>
      <c r="P2" s="776"/>
      <c r="Q2" s="776"/>
      <c r="R2" s="776"/>
      <c r="S2" s="776"/>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963"/>
      <c r="BG2" s="963"/>
      <c r="BH2" s="963"/>
      <c r="BI2" s="975"/>
      <c r="BJ2" s="975"/>
    </row>
    <row r="3" spans="1:62" s="1149" customFormat="1" ht="12" hidden="1" customHeight="1" x14ac:dyDescent="0.15">
      <c r="B3" s="659"/>
      <c r="E3" s="659"/>
      <c r="G3" s="103"/>
      <c r="H3" s="103"/>
      <c r="I3" s="103"/>
      <c r="J3" s="103"/>
      <c r="K3" s="103"/>
      <c r="L3" s="103"/>
      <c r="M3" s="103"/>
      <c r="N3" s="103"/>
      <c r="O3" s="103"/>
      <c r="P3" s="103"/>
      <c r="Q3" s="140"/>
      <c r="R3" s="140"/>
      <c r="S3" s="103"/>
      <c r="T3" s="126"/>
      <c r="U3" s="126"/>
      <c r="V3" s="126"/>
      <c r="W3" s="126"/>
      <c r="X3" s="126"/>
      <c r="Y3" s="126"/>
      <c r="Z3" s="126"/>
      <c r="BF3" s="979"/>
      <c r="BG3" s="979"/>
      <c r="BH3" s="979"/>
      <c r="BI3" s="980"/>
      <c r="BJ3" s="980"/>
    </row>
    <row r="4" spans="1:62" s="1149" customFormat="1" ht="12" hidden="1" customHeight="1" x14ac:dyDescent="0.15">
      <c r="B4" s="659"/>
      <c r="E4" s="659"/>
      <c r="G4" s="103"/>
      <c r="H4" s="103"/>
      <c r="I4" s="103"/>
      <c r="J4" s="103"/>
      <c r="K4" s="103"/>
      <c r="L4" s="103"/>
      <c r="M4" s="103"/>
      <c r="N4" s="103"/>
      <c r="O4" s="103"/>
      <c r="P4" s="103"/>
      <c r="Q4" s="140"/>
      <c r="R4" s="140"/>
      <c r="S4" s="103"/>
      <c r="T4" s="126"/>
      <c r="U4" s="126"/>
      <c r="V4" s="126"/>
      <c r="W4" s="126"/>
      <c r="X4" s="126"/>
      <c r="Y4" s="126"/>
      <c r="Z4" s="126"/>
      <c r="BF4" s="979"/>
      <c r="BG4" s="979"/>
      <c r="BH4" s="979"/>
      <c r="BI4" s="980"/>
      <c r="BJ4" s="980"/>
    </row>
    <row r="5" spans="1:62"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11</v>
      </c>
      <c r="AC5" s="668">
        <v>47.13</v>
      </c>
      <c r="AD5" s="668">
        <v>12.13</v>
      </c>
      <c r="AE5" s="668">
        <v>12.63</v>
      </c>
      <c r="AF5" s="668">
        <v>12.63</v>
      </c>
      <c r="AG5" s="668">
        <v>12.63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20.13</v>
      </c>
      <c r="BD5" s="668">
        <v>3</v>
      </c>
      <c r="BF5" s="963"/>
      <c r="BG5" s="963"/>
      <c r="BH5" s="963"/>
      <c r="BI5" s="975"/>
      <c r="BJ5" s="975"/>
    </row>
    <row r="6" spans="1:62" s="1149" customFormat="1" ht="12" hidden="1" customHeight="1" x14ac:dyDescent="0.15">
      <c r="B6" s="659"/>
      <c r="E6" s="668"/>
      <c r="G6" s="103"/>
      <c r="H6" s="103"/>
      <c r="I6" s="103"/>
      <c r="J6" s="103"/>
      <c r="K6" s="103"/>
      <c r="L6" s="103"/>
      <c r="M6" s="103"/>
      <c r="N6" s="103"/>
      <c r="O6" s="103"/>
      <c r="P6" s="103"/>
      <c r="Q6" s="140"/>
      <c r="R6" s="140"/>
      <c r="S6" s="103"/>
      <c r="T6" s="126"/>
      <c r="U6" s="126"/>
      <c r="V6" s="126"/>
      <c r="W6" s="126"/>
      <c r="X6" s="126"/>
      <c r="Y6" s="126"/>
      <c r="Z6" s="126"/>
      <c r="AE6" s="130">
        <f>god-2</f>
        <v>2024</v>
      </c>
      <c r="AF6" s="130">
        <f>god-2</f>
        <v>2024</v>
      </c>
      <c r="AG6" s="130">
        <f>god-2</f>
        <v>2024</v>
      </c>
      <c r="AH6" s="130">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79"/>
      <c r="BG6" s="979"/>
      <c r="BH6" s="979"/>
      <c r="BI6" s="980"/>
      <c r="BJ6" s="980"/>
    </row>
    <row r="7" spans="1:62" s="1153" customFormat="1" ht="12" hidden="1" customHeight="1" x14ac:dyDescent="0.15">
      <c r="A7" s="130"/>
      <c r="B7" s="659"/>
      <c r="C7" s="130"/>
      <c r="D7" s="130"/>
      <c r="E7" s="668"/>
      <c r="Q7" s="140"/>
      <c r="R7" s="140"/>
      <c r="T7" s="161"/>
      <c r="U7" s="161"/>
      <c r="V7" s="161"/>
      <c r="W7" s="161"/>
      <c r="X7" s="161"/>
      <c r="Y7" s="161"/>
      <c r="Z7" s="161"/>
      <c r="AE7" s="103" t="str" cm="1">
        <f t="array" ref="AE7">AE25</f>
        <v>Принято органом регулирования</v>
      </c>
      <c r="AF7" s="103" t="str" cm="1">
        <f t="array" ref="AF7">AF25</f>
        <v>Факт по данным организации</v>
      </c>
      <c r="AG7" s="103" t="str" cm="1">
        <f t="array" ref="AG7">AG25</f>
        <v>Факт, принятый органом регулирования</v>
      </c>
      <c r="AH7" s="103" t="str" cm="1">
        <f t="array" ref="AH7">AH25</f>
        <v>Принято органом регулирования</v>
      </c>
      <c r="AI7" s="103" t="str" cm="1">
        <f t="array" ref="AI7">AI25</f>
        <v>Предложение организации</v>
      </c>
      <c r="AJ7" s="103" t="str" cm="1">
        <f t="array" ref="AJ7">AJ25</f>
        <v>Предложение организации</v>
      </c>
      <c r="AK7" s="103" t="str" cm="1">
        <f t="array" ref="AK7">AK25</f>
        <v>Предложение организации</v>
      </c>
      <c r="AL7" s="103" t="str" cm="1">
        <f t="array" ref="AL7">AL25</f>
        <v>Предложение организации</v>
      </c>
      <c r="AM7" s="103" t="str" cm="1">
        <f t="array" ref="AM7">AM25</f>
        <v>Предложение организации</v>
      </c>
      <c r="AN7" s="103" t="str" cm="1">
        <f t="array" ref="AN7">AN25</f>
        <v>Предложение организации</v>
      </c>
      <c r="AO7" s="103" t="str" cm="1">
        <f t="array" ref="AO7">AO25</f>
        <v>Предложение организации</v>
      </c>
      <c r="AP7" s="103" t="str" cm="1">
        <f t="array" ref="AP7">AP25</f>
        <v>Предложение организации</v>
      </c>
      <c r="AQ7" s="103" t="str" cm="1">
        <f t="array" ref="AQ7">AQ25</f>
        <v>Предложение организации</v>
      </c>
      <c r="AR7" s="103" t="str" cm="1">
        <f t="array" ref="AR7">AR25</f>
        <v>Предложение организации</v>
      </c>
      <c r="AS7" s="103" t="str" cm="1">
        <f t="array" ref="AS7">AS25</f>
        <v>Принято органом регулирования</v>
      </c>
      <c r="AT7" s="103" t="str" cm="1">
        <f t="array" ref="AT7">AT25</f>
        <v>Принято органом регулирования</v>
      </c>
      <c r="AU7" s="103" t="str" cm="1">
        <f t="array" ref="AU7">AU25</f>
        <v>Принято органом регулирования</v>
      </c>
      <c r="AV7" s="103" t="str" cm="1">
        <f t="array" ref="AV7">AV25</f>
        <v>Принято органом регулирования</v>
      </c>
      <c r="AW7" s="103" t="str" cm="1">
        <f t="array" ref="AW7">AW25</f>
        <v>Принято органом регулирования</v>
      </c>
      <c r="AX7" s="103" t="str" cm="1">
        <f t="array" ref="AX7">AX25</f>
        <v>Принято органом регулирования</v>
      </c>
      <c r="AY7" s="103" t="str" cm="1">
        <f t="array" ref="AY7">AY25</f>
        <v>Принято органом регулирования</v>
      </c>
      <c r="AZ7" s="103" t="str" cm="1">
        <f t="array" ref="AZ7">AZ25</f>
        <v>Принято органом регулирования</v>
      </c>
      <c r="BA7" s="103" t="str" cm="1">
        <f t="array" ref="BA7">BA25</f>
        <v>Принято органом регулирования</v>
      </c>
      <c r="BB7" s="103" t="str" cm="1">
        <f t="array" ref="BB7">BB25</f>
        <v>Принято органом регулирования</v>
      </c>
      <c r="BF7" s="979"/>
      <c r="BG7" s="979"/>
      <c r="BH7" s="979"/>
      <c r="BI7" s="980"/>
      <c r="BJ7" s="980"/>
    </row>
    <row r="8" spans="1:62" s="1153" customFormat="1" ht="12" hidden="1" customHeight="1" x14ac:dyDescent="0.15">
      <c r="A8" s="130"/>
      <c r="B8" s="659"/>
      <c r="C8" s="130"/>
      <c r="D8" s="130"/>
      <c r="E8" s="668"/>
      <c r="Q8" s="140"/>
      <c r="R8" s="140"/>
      <c r="T8" s="161"/>
      <c r="U8" s="161"/>
      <c r="V8" s="161"/>
      <c r="W8" s="161"/>
      <c r="X8" s="161"/>
      <c r="Y8" s="161"/>
      <c r="Z8" s="161"/>
      <c r="BF8" s="979"/>
      <c r="BG8" s="979"/>
      <c r="BH8" s="979"/>
      <c r="BI8" s="980"/>
      <c r="BJ8" s="980"/>
    </row>
    <row r="9" spans="1:62" s="997" customFormat="1" ht="12" hidden="1" customHeight="1" x14ac:dyDescent="0.15">
      <c r="A9" s="970" t="s">
        <v>461</v>
      </c>
      <c r="B9" s="941"/>
      <c r="E9" s="941"/>
      <c r="Q9" s="998"/>
      <c r="R9" s="998"/>
      <c r="T9" s="939"/>
      <c r="U9" s="939"/>
      <c r="V9" s="939"/>
      <c r="W9" s="939"/>
      <c r="X9" s="939"/>
      <c r="Y9" s="939"/>
      <c r="Z9" s="939"/>
      <c r="AE9" s="997">
        <f>god-2</f>
        <v>2024</v>
      </c>
      <c r="AF9" s="997">
        <f>god-2</f>
        <v>2024</v>
      </c>
      <c r="AG9" s="997">
        <f>god-2</f>
        <v>2024</v>
      </c>
      <c r="AH9" s="997">
        <f>god-1</f>
        <v>2025</v>
      </c>
      <c r="AI9" s="997" cm="1">
        <f t="array" ref="AI9">god</f>
        <v>2026</v>
      </c>
      <c r="AJ9" s="997">
        <f>god+1</f>
        <v>2027</v>
      </c>
      <c r="AK9" s="997">
        <f>god+2</f>
        <v>2028</v>
      </c>
      <c r="AL9" s="997">
        <f>god+3</f>
        <v>2029</v>
      </c>
      <c r="AM9" s="997">
        <f>god+4</f>
        <v>2030</v>
      </c>
      <c r="AN9" s="997">
        <f>god+5</f>
        <v>2031</v>
      </c>
      <c r="AO9" s="997">
        <f>god+6</f>
        <v>2032</v>
      </c>
      <c r="AP9" s="997">
        <f>god+7</f>
        <v>2033</v>
      </c>
      <c r="AQ9" s="997">
        <f>god+8</f>
        <v>2034</v>
      </c>
      <c r="AR9" s="997">
        <f>god+9</f>
        <v>2035</v>
      </c>
      <c r="AS9" s="997" cm="1">
        <f t="array" ref="AS9">god</f>
        <v>2026</v>
      </c>
      <c r="AT9" s="997">
        <f>god+1</f>
        <v>2027</v>
      </c>
      <c r="AU9" s="997">
        <f>god+2</f>
        <v>2028</v>
      </c>
      <c r="AV9" s="997">
        <f>god+3</f>
        <v>2029</v>
      </c>
      <c r="AW9" s="997">
        <f>god+4</f>
        <v>2030</v>
      </c>
      <c r="AX9" s="997">
        <f>god+5</f>
        <v>2031</v>
      </c>
      <c r="AY9" s="997">
        <f>god+6</f>
        <v>2032</v>
      </c>
      <c r="AZ9" s="997">
        <f>god+7</f>
        <v>2033</v>
      </c>
      <c r="BA9" s="997">
        <f>god+8</f>
        <v>2034</v>
      </c>
      <c r="BB9" s="997">
        <f>god+9</f>
        <v>2035</v>
      </c>
      <c r="BF9" s="979"/>
      <c r="BG9" s="979"/>
      <c r="BH9" s="979"/>
      <c r="BI9" s="980"/>
      <c r="BJ9" s="980"/>
    </row>
    <row r="10" spans="1:62" s="997" customFormat="1" ht="12" hidden="1" customHeight="1" x14ac:dyDescent="0.15">
      <c r="A10" s="970" t="s">
        <v>462</v>
      </c>
      <c r="B10" s="941"/>
      <c r="E10" s="941"/>
      <c r="Q10" s="998"/>
      <c r="R10" s="998"/>
      <c r="T10" s="939"/>
      <c r="U10" s="939"/>
      <c r="V10" s="939"/>
      <c r="W10" s="939"/>
      <c r="X10" s="939"/>
      <c r="Y10" s="939"/>
      <c r="Z10" s="939"/>
      <c r="AE10" s="997" t="str" cm="1">
        <f t="array" ref="AE10">AE25</f>
        <v>Принято органом регулирования</v>
      </c>
      <c r="AF10" s="997" t="str" cm="1">
        <f t="array" ref="AF10">AF25</f>
        <v>Факт по данным организации</v>
      </c>
      <c r="AG10" s="997" t="str" cm="1">
        <f t="array" ref="AG10">AG25</f>
        <v>Факт, принятый органом регулирования</v>
      </c>
      <c r="AH10" s="997" t="str" cm="1">
        <f t="array" ref="AH10">AH25</f>
        <v>Принято органом регулирования</v>
      </c>
      <c r="AI10" s="997" t="str" cm="1">
        <f t="array" ref="AI10">AI25</f>
        <v>Предложение организации</v>
      </c>
      <c r="AJ10" s="997" t="str" cm="1">
        <f t="array" ref="AJ10">AJ25</f>
        <v>Предложение организации</v>
      </c>
      <c r="AK10" s="997" t="str" cm="1">
        <f t="array" ref="AK10">AK25</f>
        <v>Предложение организации</v>
      </c>
      <c r="AL10" s="997" t="str" cm="1">
        <f t="array" ref="AL10">AL25</f>
        <v>Предложение организации</v>
      </c>
      <c r="AM10" s="997" t="str" cm="1">
        <f t="array" ref="AM10">AM25</f>
        <v>Предложение организации</v>
      </c>
      <c r="AN10" s="997" t="str" cm="1">
        <f t="array" ref="AN10">AN25</f>
        <v>Предложение организации</v>
      </c>
      <c r="AO10" s="997" t="str" cm="1">
        <f t="array" ref="AO10">AO25</f>
        <v>Предложение организации</v>
      </c>
      <c r="AP10" s="997" t="str" cm="1">
        <f t="array" ref="AP10">AP25</f>
        <v>Предложение организации</v>
      </c>
      <c r="AQ10" s="997" t="str" cm="1">
        <f t="array" ref="AQ10">AQ25</f>
        <v>Предложение организации</v>
      </c>
      <c r="AR10" s="997" t="str" cm="1">
        <f t="array" ref="AR10">AR25</f>
        <v>Предложение организации</v>
      </c>
      <c r="AS10" s="997" t="str" cm="1">
        <f t="array" ref="AS10">AS25</f>
        <v>Принято органом регулирования</v>
      </c>
      <c r="AT10" s="997" t="str" cm="1">
        <f t="array" ref="AT10">AT25</f>
        <v>Принято органом регулирования</v>
      </c>
      <c r="AU10" s="997" t="str" cm="1">
        <f t="array" ref="AU10">AU25</f>
        <v>Принято органом регулирования</v>
      </c>
      <c r="AV10" s="997" t="str" cm="1">
        <f t="array" ref="AV10">AV25</f>
        <v>Принято органом регулирования</v>
      </c>
      <c r="AW10" s="997" t="str" cm="1">
        <f t="array" ref="AW10">AW25</f>
        <v>Принято органом регулирования</v>
      </c>
      <c r="AX10" s="997" t="str" cm="1">
        <f t="array" ref="AX10">AX25</f>
        <v>Принято органом регулирования</v>
      </c>
      <c r="AY10" s="997" t="str" cm="1">
        <f t="array" ref="AY10">AY25</f>
        <v>Принято органом регулирования</v>
      </c>
      <c r="AZ10" s="997" t="str" cm="1">
        <f t="array" ref="AZ10">AZ25</f>
        <v>Принято органом регулирования</v>
      </c>
      <c r="BA10" s="997" t="str" cm="1">
        <f t="array" ref="BA10">BA25</f>
        <v>Принято органом регулирования</v>
      </c>
      <c r="BB10" s="997" t="str" cm="1">
        <f t="array" ref="BB10">BB25</f>
        <v>Принято органом регулирования</v>
      </c>
      <c r="BF10" s="979"/>
      <c r="BG10" s="979"/>
      <c r="BH10" s="979"/>
      <c r="BI10" s="980"/>
      <c r="BJ10" s="980"/>
    </row>
    <row r="11" spans="1:62" s="997" customFormat="1" ht="12" hidden="1" customHeight="1" x14ac:dyDescent="0.15">
      <c r="A11" s="958" t="s">
        <v>463</v>
      </c>
      <c r="B11" s="941"/>
      <c r="E11" s="941"/>
      <c r="G11" s="999"/>
      <c r="H11" s="999"/>
      <c r="I11" s="999"/>
      <c r="J11" s="999"/>
      <c r="K11" s="999"/>
      <c r="L11" s="999"/>
      <c r="M11" s="999"/>
      <c r="N11" s="999"/>
      <c r="O11" s="999"/>
      <c r="P11" s="999"/>
      <c r="Q11" s="1000"/>
      <c r="R11" s="1000"/>
      <c r="S11" s="999"/>
      <c r="T11" s="939"/>
      <c r="U11" s="939"/>
      <c r="V11" s="939"/>
      <c r="W11" s="939"/>
      <c r="X11" s="939"/>
      <c r="Y11" s="939"/>
      <c r="Z11" s="939"/>
      <c r="BC11" s="997" t="str" cm="1">
        <f t="array" ref="BC11">BC24</f>
        <v>Ссылка на правовую норму (основание для принятия показателя в расчет тарифа)</v>
      </c>
      <c r="BF11" s="979"/>
      <c r="BG11" s="979"/>
      <c r="BH11" s="979"/>
      <c r="BI11" s="979"/>
      <c r="BJ11" s="979"/>
    </row>
    <row r="12" spans="1:62" s="997" customFormat="1" ht="12" hidden="1" customHeight="1" x14ac:dyDescent="0.15">
      <c r="A12" s="958" t="s">
        <v>386</v>
      </c>
      <c r="B12" s="941"/>
      <c r="E12" s="941"/>
      <c r="G12" s="999"/>
      <c r="H12" s="999"/>
      <c r="I12" s="999"/>
      <c r="J12" s="999"/>
      <c r="K12" s="999"/>
      <c r="L12" s="999"/>
      <c r="M12" s="999"/>
      <c r="N12" s="999"/>
      <c r="O12" s="999"/>
      <c r="P12" s="999"/>
      <c r="Q12" s="1000"/>
      <c r="R12" s="1000"/>
      <c r="S12" s="999"/>
      <c r="T12" s="939"/>
      <c r="U12" s="939"/>
      <c r="V12" s="939"/>
      <c r="W12" s="939"/>
      <c r="X12" s="939"/>
      <c r="Y12" s="939"/>
      <c r="Z12" s="939"/>
      <c r="AC12" s="997" t="s">
        <v>377</v>
      </c>
      <c r="BF12" s="979"/>
      <c r="BG12" s="979"/>
      <c r="BH12" s="979"/>
      <c r="BI12" s="979"/>
      <c r="BJ12" s="979"/>
    </row>
    <row r="13" spans="1:62" s="1149" customFormat="1" ht="12" hidden="1" customHeight="1" x14ac:dyDescent="0.15">
      <c r="B13" s="659"/>
      <c r="E13" s="668"/>
      <c r="G13" s="103"/>
      <c r="H13" s="103"/>
      <c r="I13" s="103"/>
      <c r="J13" s="103"/>
      <c r="K13" s="103"/>
      <c r="L13" s="103"/>
      <c r="M13" s="103"/>
      <c r="N13" s="103"/>
      <c r="O13" s="103"/>
      <c r="P13" s="103"/>
      <c r="Q13" s="140"/>
      <c r="R13" s="140"/>
      <c r="S13" s="103"/>
      <c r="T13" s="126"/>
      <c r="U13" s="126"/>
      <c r="V13" s="126"/>
      <c r="W13" s="126"/>
      <c r="X13" s="126"/>
      <c r="Y13" s="126"/>
      <c r="Z13" s="126"/>
      <c r="AI13" s="123"/>
      <c r="AJ13" s="123"/>
      <c r="AK13" s="123"/>
      <c r="AL13" s="123"/>
      <c r="AM13" s="123"/>
      <c r="AN13" s="123"/>
      <c r="AO13" s="123"/>
      <c r="AP13" s="123"/>
      <c r="AQ13" s="123"/>
      <c r="AR13" s="123"/>
      <c r="AS13" s="123"/>
      <c r="AT13" s="123"/>
      <c r="AU13" s="123"/>
      <c r="AV13" s="123"/>
      <c r="AW13" s="123"/>
      <c r="AX13" s="123"/>
      <c r="AY13" s="123"/>
      <c r="AZ13" s="123"/>
      <c r="BA13" s="123"/>
      <c r="BB13" s="123"/>
      <c r="BF13" s="979"/>
      <c r="BG13" s="979"/>
      <c r="BH13" s="979"/>
      <c r="BI13" s="980"/>
      <c r="BJ13" s="980"/>
    </row>
    <row r="14" spans="1:62" s="1149" customFormat="1" ht="12" hidden="1" customHeight="1" x14ac:dyDescent="0.15">
      <c r="B14" s="659"/>
      <c r="E14" s="668"/>
      <c r="G14" s="103"/>
      <c r="H14" s="103"/>
      <c r="I14" s="103"/>
      <c r="J14" s="103"/>
      <c r="K14" s="103"/>
      <c r="L14" s="103"/>
      <c r="M14" s="103"/>
      <c r="N14" s="103"/>
      <c r="O14" s="103"/>
      <c r="P14" s="103"/>
      <c r="Q14" s="140"/>
      <c r="R14" s="140"/>
      <c r="S14" s="103"/>
      <c r="T14" s="126"/>
      <c r="U14" s="126"/>
      <c r="V14" s="126"/>
      <c r="W14" s="126"/>
      <c r="X14" s="126"/>
      <c r="Y14" s="126"/>
      <c r="Z14" s="126"/>
      <c r="AI14" s="123"/>
      <c r="AJ14" s="123"/>
      <c r="AK14" s="123"/>
      <c r="AL14" s="123"/>
      <c r="AM14" s="123"/>
      <c r="AN14" s="123"/>
      <c r="AO14" s="123"/>
      <c r="AP14" s="123"/>
      <c r="AQ14" s="123"/>
      <c r="AR14" s="123"/>
      <c r="AS14" s="123"/>
      <c r="AT14" s="123"/>
      <c r="AU14" s="123"/>
      <c r="AV14" s="123"/>
      <c r="AW14" s="123"/>
      <c r="AX14" s="123"/>
      <c r="AY14" s="123"/>
      <c r="AZ14" s="123"/>
      <c r="BA14" s="123"/>
      <c r="BB14" s="123"/>
      <c r="BF14" s="979"/>
      <c r="BG14" s="979"/>
      <c r="BH14" s="979"/>
      <c r="BI14" s="980"/>
      <c r="BJ14" s="980"/>
    </row>
    <row r="15" spans="1:62" s="1149" customFormat="1" ht="12" hidden="1" customHeight="1" x14ac:dyDescent="0.15">
      <c r="B15" s="659"/>
      <c r="E15" s="668"/>
      <c r="G15" s="103"/>
      <c r="H15" s="103"/>
      <c r="I15" s="103"/>
      <c r="J15" s="103"/>
      <c r="K15" s="103"/>
      <c r="L15" s="103"/>
      <c r="M15" s="103"/>
      <c r="N15" s="103"/>
      <c r="O15" s="103"/>
      <c r="P15" s="103"/>
      <c r="Q15" s="140"/>
      <c r="R15" s="140"/>
      <c r="S15" s="103"/>
      <c r="T15" s="126"/>
      <c r="U15" s="126"/>
      <c r="V15" s="126"/>
      <c r="W15" s="126"/>
      <c r="X15" s="126"/>
      <c r="Y15" s="126"/>
      <c r="Z15" s="126"/>
      <c r="AI15" s="123"/>
      <c r="AJ15" s="123"/>
      <c r="AK15" s="123"/>
      <c r="AL15" s="123"/>
      <c r="AM15" s="123"/>
      <c r="AN15" s="123"/>
      <c r="AO15" s="123"/>
      <c r="AP15" s="123"/>
      <c r="AQ15" s="123"/>
      <c r="AR15" s="123"/>
      <c r="AS15" s="123"/>
      <c r="AT15" s="123"/>
      <c r="AU15" s="123"/>
      <c r="AV15" s="123"/>
      <c r="AW15" s="123"/>
      <c r="AX15" s="123"/>
      <c r="AY15" s="123"/>
      <c r="AZ15" s="123"/>
      <c r="BA15" s="123"/>
      <c r="BB15" s="123"/>
      <c r="BF15" s="979"/>
      <c r="BG15" s="979"/>
      <c r="BH15" s="979"/>
      <c r="BI15" s="980"/>
      <c r="BJ15" s="980"/>
    </row>
    <row r="16" spans="1:62" s="1149" customFormat="1" ht="12" hidden="1" customHeight="1" x14ac:dyDescent="0.15">
      <c r="B16" s="659"/>
      <c r="E16" s="668"/>
      <c r="G16" s="103"/>
      <c r="H16" s="103"/>
      <c r="I16" s="103"/>
      <c r="J16" s="103"/>
      <c r="K16" s="103"/>
      <c r="L16" s="103"/>
      <c r="M16" s="103"/>
      <c r="N16" s="103"/>
      <c r="O16" s="103"/>
      <c r="P16" s="103"/>
      <c r="Q16" s="140"/>
      <c r="R16" s="140"/>
      <c r="S16" s="103"/>
      <c r="T16" s="126"/>
      <c r="U16" s="126"/>
      <c r="V16" s="126"/>
      <c r="W16" s="126"/>
      <c r="X16" s="126"/>
      <c r="Y16" s="126"/>
      <c r="Z16" s="126"/>
      <c r="AI16" s="123"/>
      <c r="AJ16" s="123"/>
      <c r="AK16" s="123"/>
      <c r="AL16" s="123"/>
      <c r="AM16" s="123"/>
      <c r="AN16" s="123"/>
      <c r="AO16" s="123"/>
      <c r="AP16" s="123"/>
      <c r="AQ16" s="123"/>
      <c r="AR16" s="123"/>
      <c r="AS16" s="123"/>
      <c r="AT16" s="123"/>
      <c r="AU16" s="123"/>
      <c r="AV16" s="123"/>
      <c r="AW16" s="123"/>
      <c r="AX16" s="123"/>
      <c r="AY16" s="123"/>
      <c r="AZ16" s="123"/>
      <c r="BA16" s="123"/>
      <c r="BB16" s="123"/>
      <c r="BF16" s="979"/>
      <c r="BG16" s="979"/>
      <c r="BH16" s="979"/>
      <c r="BI16" s="980"/>
      <c r="BJ16" s="980"/>
    </row>
    <row r="17" spans="1:62" s="1149" customFormat="1" ht="12" hidden="1" customHeight="1" x14ac:dyDescent="0.15">
      <c r="B17" s="659"/>
      <c r="E17" s="668"/>
      <c r="G17" s="103"/>
      <c r="H17" s="103"/>
      <c r="I17" s="103"/>
      <c r="J17" s="103"/>
      <c r="K17" s="103"/>
      <c r="L17" s="103"/>
      <c r="M17" s="103"/>
      <c r="N17" s="103"/>
      <c r="O17" s="103"/>
      <c r="P17" s="103"/>
      <c r="Q17" s="140"/>
      <c r="R17" s="140"/>
      <c r="S17" s="103"/>
      <c r="T17" s="126"/>
      <c r="U17" s="126"/>
      <c r="V17" s="126"/>
      <c r="W17" s="126"/>
      <c r="X17" s="126"/>
      <c r="Y17" s="126"/>
      <c r="Z17" s="126"/>
      <c r="BF17" s="979"/>
      <c r="BG17" s="979"/>
      <c r="BH17" s="979"/>
      <c r="BI17" s="980"/>
      <c r="BJ17" s="980"/>
    </row>
    <row r="18" spans="1:62" s="1149" customFormat="1" ht="12" hidden="1" customHeight="1" x14ac:dyDescent="0.15">
      <c r="A18" s="849" t="s">
        <v>518</v>
      </c>
      <c r="B18" s="659"/>
      <c r="E18" s="668"/>
      <c r="G18" s="103"/>
      <c r="H18" s="103"/>
      <c r="I18" s="103"/>
      <c r="J18" s="103"/>
      <c r="K18" s="103"/>
      <c r="L18" s="103"/>
      <c r="M18" s="103"/>
      <c r="N18" s="103"/>
      <c r="O18" s="103"/>
      <c r="P18" s="103"/>
      <c r="Q18" s="140"/>
      <c r="R18" s="140"/>
      <c r="S18" s="103"/>
      <c r="T18" s="126"/>
      <c r="U18" s="126"/>
      <c r="V18" s="126"/>
      <c r="W18" s="126"/>
      <c r="X18" s="126"/>
      <c r="Y18" s="126"/>
      <c r="Z18" s="126"/>
      <c r="AC18" s="130" t="s">
        <v>225</v>
      </c>
      <c r="BF18" s="979"/>
      <c r="BG18" s="979"/>
      <c r="BH18" s="979"/>
      <c r="BI18" s="980"/>
      <c r="BJ18" s="980"/>
    </row>
    <row r="19" spans="1:62" s="1149" customFormat="1" ht="12" hidden="1" customHeight="1" x14ac:dyDescent="0.15">
      <c r="B19" s="659"/>
      <c r="E19" s="668"/>
      <c r="G19" s="103"/>
      <c r="H19" s="103"/>
      <c r="I19" s="103"/>
      <c r="J19" s="103"/>
      <c r="K19" s="103"/>
      <c r="L19" s="103"/>
      <c r="M19" s="103"/>
      <c r="N19" s="103"/>
      <c r="O19" s="103"/>
      <c r="P19" s="103"/>
      <c r="Q19" s="140"/>
      <c r="R19" s="140"/>
      <c r="S19" s="103"/>
      <c r="T19" s="126"/>
      <c r="U19" s="126"/>
      <c r="V19" s="126"/>
      <c r="W19" s="126"/>
      <c r="X19" s="126"/>
      <c r="Y19" s="126"/>
      <c r="Z19" s="126"/>
      <c r="BF19" s="979"/>
      <c r="BG19" s="979"/>
      <c r="BH19" s="979"/>
      <c r="BI19" s="980"/>
      <c r="BJ19" s="980"/>
    </row>
    <row r="20" spans="1:62" s="1149" customFormat="1" ht="12" hidden="1" customHeight="1" x14ac:dyDescent="0.15">
      <c r="B20" s="659"/>
      <c r="E20" s="668"/>
      <c r="G20" s="103"/>
      <c r="H20" s="103"/>
      <c r="I20" s="103"/>
      <c r="J20" s="103"/>
      <c r="K20" s="103"/>
      <c r="L20" s="103"/>
      <c r="M20" s="103"/>
      <c r="N20" s="103"/>
      <c r="O20" s="103"/>
      <c r="P20" s="103"/>
      <c r="Q20" s="140"/>
      <c r="R20" s="140"/>
      <c r="S20" s="103"/>
      <c r="T20" s="126"/>
      <c r="U20" s="126"/>
      <c r="V20" s="126"/>
      <c r="W20" s="126"/>
      <c r="X20" s="126"/>
      <c r="Y20" s="126"/>
      <c r="Z20" s="126"/>
      <c r="BF20" s="979"/>
      <c r="BG20" s="979"/>
      <c r="BH20" s="979"/>
      <c r="BI20" s="980"/>
      <c r="BJ20" s="980"/>
    </row>
    <row r="21" spans="1:62" ht="14.65" customHeight="1" x14ac:dyDescent="0.15">
      <c r="E21" s="668">
        <v>15</v>
      </c>
      <c r="AA21" s="691"/>
      <c r="AC21" s="335" t="str" cm="1">
        <f t="array" ref="AC21">tpl_title</f>
        <v>Кемеровская область / 2026 / ООО ХК "СДС - Энерго" (ИНН:4250003450, КПП:420501001) / ДПР: 2024-2028</v>
      </c>
    </row>
    <row r="22" spans="1:62" ht="19.5" customHeight="1" x14ac:dyDescent="0.25">
      <c r="E22" s="668">
        <v>20.100000000000001</v>
      </c>
      <c r="AB22" s="325" t="s">
        <v>41</v>
      </c>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21"/>
    </row>
    <row r="23" spans="1:62" ht="11.1" customHeight="1" x14ac:dyDescent="0.15">
      <c r="E23" s="668">
        <v>11.3</v>
      </c>
      <c r="AB23" s="171"/>
      <c r="AC23" s="172"/>
      <c r="AD23" s="172"/>
      <c r="AE23" s="172"/>
      <c r="AF23" s="172"/>
      <c r="AG23" s="172"/>
      <c r="AH23" s="172"/>
      <c r="AI23" s="172"/>
      <c r="AJ23" s="172"/>
      <c r="AK23" s="172"/>
      <c r="AL23" s="172"/>
      <c r="AM23" s="172"/>
      <c r="AN23" s="172"/>
      <c r="AO23" s="172"/>
      <c r="AP23" s="172"/>
      <c r="AQ23" s="172"/>
      <c r="AR23" s="172"/>
      <c r="AS23" s="172"/>
      <c r="AT23" s="173"/>
      <c r="AU23" s="173"/>
      <c r="AV23" s="173"/>
      <c r="AW23" s="173"/>
      <c r="AX23" s="173"/>
      <c r="AY23" s="173"/>
      <c r="AZ23" s="173"/>
      <c r="BA23" s="173"/>
      <c r="BB23" s="173"/>
    </row>
    <row r="24" spans="1:62" ht="14.65" customHeight="1" x14ac:dyDescent="0.15">
      <c r="E24" s="668">
        <v>15</v>
      </c>
      <c r="AB24" s="1558" t="s">
        <v>1015</v>
      </c>
      <c r="AC24" s="1568" t="s">
        <v>225</v>
      </c>
      <c r="AD24" s="1558" t="s">
        <v>465</v>
      </c>
      <c r="AE24" s="342" t="str">
        <f>god-2&amp;" год"</f>
        <v>2024 год</v>
      </c>
      <c r="AF24" s="1136" t="str">
        <f>god-2&amp;" год"</f>
        <v>2024 год</v>
      </c>
      <c r="AG24" s="342" t="str">
        <f>god-2&amp;" год"</f>
        <v>2024 год</v>
      </c>
      <c r="AH24" s="122"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497" t="s">
        <v>618</v>
      </c>
    </row>
    <row r="25" spans="1:62" ht="48.75" customHeight="1" x14ac:dyDescent="0.15">
      <c r="E25" s="668">
        <v>50.1</v>
      </c>
      <c r="AB25" s="1567"/>
      <c r="AC25" s="1567"/>
      <c r="AD25" s="1567"/>
      <c r="AE25" s="118" t="s">
        <v>404</v>
      </c>
      <c r="AF25" s="1131" t="s">
        <v>619</v>
      </c>
      <c r="AG25" s="118" t="s">
        <v>620</v>
      </c>
      <c r="AH25" s="118" t="s">
        <v>404</v>
      </c>
      <c r="AI25" s="1132" t="s">
        <v>405</v>
      </c>
      <c r="AJ25" s="1132" t="s">
        <v>405</v>
      </c>
      <c r="AK25" s="1132" t="s">
        <v>405</v>
      </c>
      <c r="AL25" s="1132" t="s">
        <v>405</v>
      </c>
      <c r="AM25" s="1132" t="s">
        <v>405</v>
      </c>
      <c r="AN25" s="1132" t="s">
        <v>405</v>
      </c>
      <c r="AO25" s="1132" t="s">
        <v>405</v>
      </c>
      <c r="AP25" s="1132" t="s">
        <v>405</v>
      </c>
      <c r="AQ25" s="1132" t="s">
        <v>405</v>
      </c>
      <c r="AR25" s="1132" t="s">
        <v>405</v>
      </c>
      <c r="AS25" s="343" t="s">
        <v>404</v>
      </c>
      <c r="AT25" s="343" t="s">
        <v>404</v>
      </c>
      <c r="AU25" s="343" t="s">
        <v>404</v>
      </c>
      <c r="AV25" s="343" t="s">
        <v>404</v>
      </c>
      <c r="AW25" s="343" t="s">
        <v>404</v>
      </c>
      <c r="AX25" s="343" t="s">
        <v>404</v>
      </c>
      <c r="AY25" s="343" t="s">
        <v>404</v>
      </c>
      <c r="AZ25" s="343" t="s">
        <v>404</v>
      </c>
      <c r="BA25" s="343" t="s">
        <v>404</v>
      </c>
      <c r="BB25" s="343" t="s">
        <v>404</v>
      </c>
      <c r="BC25" s="1567"/>
    </row>
    <row r="26" spans="1:62" ht="50.25" hidden="1" customHeight="1" x14ac:dyDescent="0.2">
      <c r="E26" s="668">
        <v>0</v>
      </c>
      <c r="AB26" s="422"/>
      <c r="AC26" s="423"/>
      <c r="AD26" s="423"/>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4"/>
    </row>
    <row r="27" spans="1:62" ht="14.65" hidden="1" customHeight="1" x14ac:dyDescent="0.15">
      <c r="E27" s="668">
        <v>15</v>
      </c>
      <c r="F27" s="769" cm="1">
        <f t="array" ref="F27">X27</f>
        <v>0</v>
      </c>
      <c r="T27" s="679" t="b">
        <f>X27&gt;0</f>
        <v>0</v>
      </c>
      <c r="V27" s="123" t="s">
        <v>313</v>
      </c>
      <c r="X27" s="1428">
        <v>0</v>
      </c>
      <c r="Z27" s="1428"/>
      <c r="AB27" s="234" t="str" cm="1">
        <f t="array" ref="AB27">INDEX('Общие сведения'!$AG$169:$AG$202,MATCH($F27,'Общие сведения'!$Z$169:$Z$202,0))</f>
        <v xml:space="preserve">Тариф 0 (Теплоснабжение) - </v>
      </c>
      <c r="AC27" s="207"/>
      <c r="AD27" s="207"/>
      <c r="AE27" s="315">
        <f t="shared" ref="AE27:BB27" si="1">AE28+AE34</f>
        <v>0</v>
      </c>
      <c r="AF27" s="315">
        <f t="shared" si="1"/>
        <v>0</v>
      </c>
      <c r="AG27" s="315">
        <f t="shared" si="1"/>
        <v>0</v>
      </c>
      <c r="AH27" s="315">
        <f t="shared" si="1"/>
        <v>0</v>
      </c>
      <c r="AI27" s="315">
        <f t="shared" si="1"/>
        <v>0</v>
      </c>
      <c r="AJ27" s="315">
        <f t="shared" si="1"/>
        <v>0</v>
      </c>
      <c r="AK27" s="315">
        <f t="shared" si="1"/>
        <v>0</v>
      </c>
      <c r="AL27" s="315">
        <f t="shared" si="1"/>
        <v>0</v>
      </c>
      <c r="AM27" s="315">
        <f t="shared" si="1"/>
        <v>0</v>
      </c>
      <c r="AN27" s="315">
        <f t="shared" si="1"/>
        <v>0</v>
      </c>
      <c r="AO27" s="315">
        <f t="shared" si="1"/>
        <v>0</v>
      </c>
      <c r="AP27" s="315">
        <f t="shared" si="1"/>
        <v>0</v>
      </c>
      <c r="AQ27" s="315">
        <f t="shared" si="1"/>
        <v>0</v>
      </c>
      <c r="AR27" s="315">
        <f t="shared" si="1"/>
        <v>0</v>
      </c>
      <c r="AS27" s="315">
        <f t="shared" si="1"/>
        <v>0</v>
      </c>
      <c r="AT27" s="315">
        <f t="shared" si="1"/>
        <v>0</v>
      </c>
      <c r="AU27" s="315">
        <f t="shared" si="1"/>
        <v>0</v>
      </c>
      <c r="AV27" s="315">
        <f t="shared" si="1"/>
        <v>0</v>
      </c>
      <c r="AW27" s="315">
        <f t="shared" si="1"/>
        <v>0</v>
      </c>
      <c r="AX27" s="315">
        <f t="shared" si="1"/>
        <v>0</v>
      </c>
      <c r="AY27" s="315">
        <f t="shared" si="1"/>
        <v>0</v>
      </c>
      <c r="AZ27" s="315">
        <f t="shared" si="1"/>
        <v>0</v>
      </c>
      <c r="BA27" s="315">
        <f t="shared" si="1"/>
        <v>0</v>
      </c>
      <c r="BB27" s="315">
        <f t="shared" si="1"/>
        <v>0</v>
      </c>
      <c r="BC27" s="236"/>
    </row>
    <row r="28" spans="1:62" ht="14.65" hidden="1" customHeight="1" x14ac:dyDescent="0.15">
      <c r="E28" s="668">
        <v>15</v>
      </c>
      <c r="F28" s="769" cm="1">
        <f t="array" ref="F28">F27</f>
        <v>0</v>
      </c>
      <c r="G28" s="140" t="s">
        <v>1016</v>
      </c>
      <c r="T28" s="690" t="b" cm="1">
        <f t="array" ref="T28">T27</f>
        <v>0</v>
      </c>
      <c r="X28" s="1428"/>
      <c r="Z28" s="1428"/>
      <c r="AB28" s="230">
        <v>1</v>
      </c>
      <c r="AC28" s="225" t="s">
        <v>1017</v>
      </c>
      <c r="AD28" s="224" t="s">
        <v>830</v>
      </c>
      <c r="AE28" s="226">
        <f t="shared" ref="AE28:BB28" si="2">SUMIF($AD29:$AD33,$AD28,AE29:AE33)</f>
        <v>0</v>
      </c>
      <c r="AF28" s="226">
        <f t="shared" si="2"/>
        <v>0</v>
      </c>
      <c r="AG28" s="226">
        <f t="shared" si="2"/>
        <v>0</v>
      </c>
      <c r="AH28" s="226">
        <f t="shared" si="2"/>
        <v>0</v>
      </c>
      <c r="AI28" s="226">
        <f t="shared" si="2"/>
        <v>0</v>
      </c>
      <c r="AJ28" s="1263">
        <f t="shared" si="2"/>
        <v>0</v>
      </c>
      <c r="AK28" s="1263">
        <f t="shared" si="2"/>
        <v>0</v>
      </c>
      <c r="AL28" s="54">
        <f t="shared" si="2"/>
        <v>0</v>
      </c>
      <c r="AM28" s="54">
        <f t="shared" si="2"/>
        <v>0</v>
      </c>
      <c r="AN28" s="54">
        <f t="shared" si="2"/>
        <v>0</v>
      </c>
      <c r="AO28" s="54">
        <f t="shared" si="2"/>
        <v>0</v>
      </c>
      <c r="AP28" s="54">
        <f t="shared" si="2"/>
        <v>0</v>
      </c>
      <c r="AQ28" s="54">
        <f t="shared" si="2"/>
        <v>0</v>
      </c>
      <c r="AR28" s="54">
        <f t="shared" si="2"/>
        <v>0</v>
      </c>
      <c r="AS28" s="226">
        <f t="shared" si="2"/>
        <v>0</v>
      </c>
      <c r="AT28" s="1263">
        <f t="shared" si="2"/>
        <v>0</v>
      </c>
      <c r="AU28" s="1263">
        <f t="shared" si="2"/>
        <v>0</v>
      </c>
      <c r="AV28" s="54">
        <f t="shared" si="2"/>
        <v>0</v>
      </c>
      <c r="AW28" s="54">
        <f t="shared" si="2"/>
        <v>0</v>
      </c>
      <c r="AX28" s="54">
        <f t="shared" si="2"/>
        <v>0</v>
      </c>
      <c r="AY28" s="54">
        <f t="shared" si="2"/>
        <v>0</v>
      </c>
      <c r="AZ28" s="54">
        <f t="shared" si="2"/>
        <v>0</v>
      </c>
      <c r="BA28" s="54">
        <f t="shared" si="2"/>
        <v>0</v>
      </c>
      <c r="BB28" s="54">
        <f t="shared" si="2"/>
        <v>0</v>
      </c>
      <c r="BC28" s="25"/>
      <c r="BF28" s="960" t="s">
        <v>1018</v>
      </c>
    </row>
    <row r="29" spans="1:62" ht="0.2" hidden="1" customHeight="1" x14ac:dyDescent="0.15">
      <c r="E29" s="668">
        <v>0.2</v>
      </c>
      <c r="F29" s="769" cm="1">
        <f t="array" ref="F29">F28</f>
        <v>0</v>
      </c>
      <c r="T29" s="690" t="b" cm="1">
        <f t="array" ref="T29">T28</f>
        <v>0</v>
      </c>
      <c r="X29" s="1428"/>
      <c r="Z29" s="1428"/>
      <c r="AB29" s="230"/>
      <c r="AC29" s="225"/>
      <c r="AD29" s="224"/>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37"/>
      <c r="BF29" s="960" t="str">
        <f>IF(AND(ISNUMBER(VALUE(TRIM(SUBSTITUTE(AB29,".","")))),TRIM(SUBSTITUTE(AB29,".",""))&lt;&gt;""),"P"&amp;SUBSTITUTE(AB29,".",""),"")</f>
        <v/>
      </c>
    </row>
    <row r="30" spans="1:62" ht="14.65" hidden="1" customHeight="1" x14ac:dyDescent="0.15">
      <c r="A30" s="918" t="str">
        <f ca="1">"checkCosts_1."&amp;F30&amp;"."&amp;Y30</f>
        <v>checkCosts_1.0.0</v>
      </c>
      <c r="E30" s="668">
        <v>15</v>
      </c>
      <c r="F30" s="769" cm="1">
        <f t="array" aca="1" ref="F30" ca="1">OFFSET(G30,-1,-1)</f>
        <v>0</v>
      </c>
      <c r="H30" s="103" cm="1">
        <f t="array" ref="H30">AC30</f>
        <v>0</v>
      </c>
      <c r="T30" s="770" t="b">
        <f ca="1">AND(F30&gt;0,Y30&gt;0)</f>
        <v>0</v>
      </c>
      <c r="W30" s="107" t="s">
        <v>237</v>
      </c>
      <c r="X30" s="1428"/>
      <c r="Y30" s="1428">
        <v>0</v>
      </c>
      <c r="Z30" s="1428"/>
      <c r="AA30" s="1556" t="s">
        <v>218</v>
      </c>
      <c r="AB30" s="232" t="str">
        <f>"1."&amp;Y30</f>
        <v>1.0</v>
      </c>
      <c r="AC30" s="387"/>
      <c r="AD30" s="224" t="s">
        <v>830</v>
      </c>
      <c r="AE30" s="275">
        <f>AE31*AE32</f>
        <v>0</v>
      </c>
      <c r="AF30" s="13"/>
      <c r="AG30" s="13"/>
      <c r="AH30" s="275">
        <f>AH31*AH32</f>
        <v>0</v>
      </c>
      <c r="AI30" s="227"/>
      <c r="AJ30" s="1183"/>
      <c r="AK30" s="1183"/>
      <c r="AL30" s="13"/>
      <c r="AM30" s="13"/>
      <c r="AN30" s="13"/>
      <c r="AO30" s="13"/>
      <c r="AP30" s="13"/>
      <c r="AQ30" s="13"/>
      <c r="AR30" s="13"/>
      <c r="AS30" s="275">
        <f t="shared" ref="AS30:BB30" si="3">AS31*AS32</f>
        <v>0</v>
      </c>
      <c r="AT30" s="275">
        <f t="shared" si="3"/>
        <v>0</v>
      </c>
      <c r="AU30" s="275">
        <f t="shared" si="3"/>
        <v>0</v>
      </c>
      <c r="AV30" s="275">
        <f t="shared" si="3"/>
        <v>0</v>
      </c>
      <c r="AW30" s="275">
        <f t="shared" si="3"/>
        <v>0</v>
      </c>
      <c r="AX30" s="275">
        <f t="shared" si="3"/>
        <v>0</v>
      </c>
      <c r="AY30" s="275">
        <f t="shared" si="3"/>
        <v>0</v>
      </c>
      <c r="AZ30" s="275">
        <f t="shared" si="3"/>
        <v>0</v>
      </c>
      <c r="BA30" s="275">
        <f t="shared" si="3"/>
        <v>0</v>
      </c>
      <c r="BB30" s="275">
        <f t="shared" si="3"/>
        <v>0</v>
      </c>
      <c r="BC30" s="25"/>
      <c r="BF30" s="960" t="s">
        <v>1019</v>
      </c>
      <c r="BG30" s="979" t="s">
        <v>1020</v>
      </c>
      <c r="BH30" s="979" cm="1">
        <f t="array" ref="BH30">AC30</f>
        <v>0</v>
      </c>
      <c r="BJ30" s="980" t="b">
        <v>1</v>
      </c>
    </row>
    <row r="31" spans="1:62" s="1146" customFormat="1" ht="14.65" hidden="1" customHeight="1" x14ac:dyDescent="0.15">
      <c r="E31" s="668">
        <v>15</v>
      </c>
      <c r="F31" s="769" cm="1">
        <f t="array" ref="F31">F29</f>
        <v>0</v>
      </c>
      <c r="H31" s="103" cm="1">
        <f t="array" ref="H31">H30</f>
        <v>0</v>
      </c>
      <c r="T31" s="770" t="b" cm="1">
        <f t="array" aca="1" ref="T31" ca="1">T30</f>
        <v>0</v>
      </c>
      <c r="X31" s="1566"/>
      <c r="Y31" s="1566"/>
      <c r="Z31" s="1566"/>
      <c r="AA31" s="1556"/>
      <c r="AB31" s="232" t="str">
        <f>AB30&amp;".1"</f>
        <v>1.0.1</v>
      </c>
      <c r="AC31" s="238" t="s">
        <v>966</v>
      </c>
      <c r="AD31" s="102" t="s">
        <v>1021</v>
      </c>
      <c r="AE31" s="13"/>
      <c r="AF31" s="275">
        <f>IF(AF32=0,0,AF30/AF32)</f>
        <v>0</v>
      </c>
      <c r="AG31" s="275">
        <f>IF(AG32=0,0,AG30/AG32)</f>
        <v>0</v>
      </c>
      <c r="AH31" s="13"/>
      <c r="AI31" s="275">
        <f t="shared" ref="AI31:AR31" si="4">IF(AI32=0,0,AI30/AI32)</f>
        <v>0</v>
      </c>
      <c r="AJ31" s="275">
        <f t="shared" si="4"/>
        <v>0</v>
      </c>
      <c r="AK31" s="275">
        <f t="shared" si="4"/>
        <v>0</v>
      </c>
      <c r="AL31" s="275">
        <f t="shared" si="4"/>
        <v>0</v>
      </c>
      <c r="AM31" s="275">
        <f t="shared" si="4"/>
        <v>0</v>
      </c>
      <c r="AN31" s="275">
        <f t="shared" si="4"/>
        <v>0</v>
      </c>
      <c r="AO31" s="275">
        <f t="shared" si="4"/>
        <v>0</v>
      </c>
      <c r="AP31" s="275">
        <f t="shared" si="4"/>
        <v>0</v>
      </c>
      <c r="AQ31" s="275">
        <f t="shared" si="4"/>
        <v>0</v>
      </c>
      <c r="AR31" s="275">
        <f t="shared" si="4"/>
        <v>0</v>
      </c>
      <c r="AS31" s="227"/>
      <c r="AT31" s="1183"/>
      <c r="AU31" s="1183"/>
      <c r="AV31" s="13"/>
      <c r="AW31" s="13"/>
      <c r="AX31" s="13"/>
      <c r="AY31" s="13"/>
      <c r="AZ31" s="13"/>
      <c r="BA31" s="13"/>
      <c r="BB31" s="13"/>
      <c r="BC31" s="25"/>
      <c r="BF31" s="960" t="s">
        <v>1022</v>
      </c>
      <c r="BG31" s="979" t="s">
        <v>1020</v>
      </c>
      <c r="BH31" s="979" cm="1">
        <f t="array" ref="BH31">BH30</f>
        <v>0</v>
      </c>
      <c r="BI31" s="980"/>
      <c r="BJ31" s="980"/>
    </row>
    <row r="32" spans="1:62" ht="14.65" hidden="1" customHeight="1" x14ac:dyDescent="0.15">
      <c r="A32" s="918" t="str">
        <f ca="1">"checkVolume_1."&amp;F32&amp;"."&amp;Y30</f>
        <v>checkVolume_1.0.0</v>
      </c>
      <c r="E32" s="668">
        <v>15</v>
      </c>
      <c r="F32" s="769" cm="1">
        <f t="array" aca="1" ref="F32" ca="1">F30</f>
        <v>0</v>
      </c>
      <c r="H32" s="103" cm="1">
        <f t="array" ref="H32">H30</f>
        <v>0</v>
      </c>
      <c r="T32" s="770" t="b" cm="1">
        <f t="array" aca="1" ref="T32" ca="1">T30</f>
        <v>0</v>
      </c>
      <c r="X32" s="1428"/>
      <c r="Y32" s="1428"/>
      <c r="Z32" s="1428"/>
      <c r="AA32" s="1556"/>
      <c r="AB32" s="232" t="str">
        <f>AB30&amp;".2"</f>
        <v>1.0.2</v>
      </c>
      <c r="AC32" s="238" t="s">
        <v>1023</v>
      </c>
      <c r="AD32" s="102" t="s">
        <v>1024</v>
      </c>
      <c r="AE32" s="13"/>
      <c r="AF32" s="13"/>
      <c r="AG32" s="13"/>
      <c r="AH32" s="13"/>
      <c r="AI32" s="227"/>
      <c r="AJ32" s="1183"/>
      <c r="AK32" s="1183"/>
      <c r="AL32" s="13"/>
      <c r="AM32" s="13"/>
      <c r="AN32" s="13"/>
      <c r="AO32" s="13"/>
      <c r="AP32" s="13"/>
      <c r="AQ32" s="13"/>
      <c r="AR32" s="13"/>
      <c r="AS32" s="227"/>
      <c r="AT32" s="1183"/>
      <c r="AU32" s="1183"/>
      <c r="AV32" s="13"/>
      <c r="AW32" s="13"/>
      <c r="AX32" s="13"/>
      <c r="AY32" s="13"/>
      <c r="AZ32" s="13"/>
      <c r="BA32" s="13"/>
      <c r="BB32" s="13"/>
      <c r="BC32" s="25"/>
      <c r="BF32" s="960" t="s">
        <v>1025</v>
      </c>
      <c r="BG32" s="979" t="s">
        <v>1020</v>
      </c>
      <c r="BH32" s="979" cm="1">
        <f t="array" ref="BH32">BH30</f>
        <v>0</v>
      </c>
    </row>
    <row r="33" spans="1:62" ht="14.65" hidden="1" customHeight="1" x14ac:dyDescent="0.15">
      <c r="E33" s="668">
        <v>15</v>
      </c>
      <c r="F33" s="769" cm="1">
        <f t="array" ref="F33">F29</f>
        <v>0</v>
      </c>
      <c r="T33" s="690" t="b">
        <f>F33&gt;0</f>
        <v>0</v>
      </c>
      <c r="W33" s="312" t="s">
        <v>1026</v>
      </c>
      <c r="X33" s="1428"/>
      <c r="Z33" s="1428"/>
      <c r="AB33" s="246"/>
      <c r="AC33" s="247" t="s">
        <v>1002</v>
      </c>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899"/>
      <c r="BF33" s="960" t="str">
        <f>IF(AND(ISNUMBER(VALUE(TRIM(SUBSTITUTE(AB33,".","")))),TRIM(SUBSTITUTE(AB33,".",""))&lt;&gt;""),"P"&amp;SUBSTITUTE(AB33,".",""),"")</f>
        <v/>
      </c>
      <c r="BI33" s="980" t="s">
        <v>1020</v>
      </c>
    </row>
    <row r="34" spans="1:62" ht="14.65" hidden="1" customHeight="1" x14ac:dyDescent="0.15">
      <c r="E34" s="668">
        <v>15</v>
      </c>
      <c r="F34" s="769" cm="1">
        <f t="array" ref="F34">F33</f>
        <v>0</v>
      </c>
      <c r="G34" s="140" t="s">
        <v>1027</v>
      </c>
      <c r="T34" s="690" t="b">
        <f>F34&gt;0</f>
        <v>0</v>
      </c>
      <c r="X34" s="1428"/>
      <c r="Z34" s="1428"/>
      <c r="AB34" s="230">
        <v>2</v>
      </c>
      <c r="AC34" s="225" t="s">
        <v>1028</v>
      </c>
      <c r="AD34" s="224" t="s">
        <v>830</v>
      </c>
      <c r="AE34" s="226">
        <f t="shared" ref="AE34:BB34" si="5">SUMIF($AD35:$AD39,$AD34,AE35:AE39)</f>
        <v>0</v>
      </c>
      <c r="AF34" s="226">
        <f t="shared" si="5"/>
        <v>0</v>
      </c>
      <c r="AG34" s="226">
        <f t="shared" si="5"/>
        <v>0</v>
      </c>
      <c r="AH34" s="226">
        <f t="shared" si="5"/>
        <v>0</v>
      </c>
      <c r="AI34" s="226">
        <f t="shared" si="5"/>
        <v>0</v>
      </c>
      <c r="AJ34" s="1263">
        <f t="shared" si="5"/>
        <v>0</v>
      </c>
      <c r="AK34" s="1263">
        <f t="shared" si="5"/>
        <v>0</v>
      </c>
      <c r="AL34" s="54">
        <f t="shared" si="5"/>
        <v>0</v>
      </c>
      <c r="AM34" s="54">
        <f t="shared" si="5"/>
        <v>0</v>
      </c>
      <c r="AN34" s="54">
        <f t="shared" si="5"/>
        <v>0</v>
      </c>
      <c r="AO34" s="54">
        <f t="shared" si="5"/>
        <v>0</v>
      </c>
      <c r="AP34" s="54">
        <f t="shared" si="5"/>
        <v>0</v>
      </c>
      <c r="AQ34" s="54">
        <f t="shared" si="5"/>
        <v>0</v>
      </c>
      <c r="AR34" s="54">
        <f t="shared" si="5"/>
        <v>0</v>
      </c>
      <c r="AS34" s="226">
        <f t="shared" si="5"/>
        <v>0</v>
      </c>
      <c r="AT34" s="1263">
        <f t="shared" si="5"/>
        <v>0</v>
      </c>
      <c r="AU34" s="1263">
        <f t="shared" si="5"/>
        <v>0</v>
      </c>
      <c r="AV34" s="54">
        <f t="shared" si="5"/>
        <v>0</v>
      </c>
      <c r="AW34" s="54">
        <f t="shared" si="5"/>
        <v>0</v>
      </c>
      <c r="AX34" s="54">
        <f t="shared" si="5"/>
        <v>0</v>
      </c>
      <c r="AY34" s="54">
        <f t="shared" si="5"/>
        <v>0</v>
      </c>
      <c r="AZ34" s="54">
        <f t="shared" si="5"/>
        <v>0</v>
      </c>
      <c r="BA34" s="54">
        <f t="shared" si="5"/>
        <v>0</v>
      </c>
      <c r="BB34" s="54">
        <f t="shared" si="5"/>
        <v>0</v>
      </c>
      <c r="BC34" s="25"/>
      <c r="BF34" s="960" t="s">
        <v>1029</v>
      </c>
    </row>
    <row r="35" spans="1:62" ht="0.2" hidden="1" customHeight="1" x14ac:dyDescent="0.15">
      <c r="E35" s="668">
        <v>0.2</v>
      </c>
      <c r="F35" s="769" cm="1">
        <f t="array" aca="1" ref="F35" ca="1">OFFSET(G35,-1,-1)</f>
        <v>0</v>
      </c>
      <c r="T35" s="690" t="b">
        <f ca="1">F35&gt;0</f>
        <v>0</v>
      </c>
      <c r="X35" s="1428"/>
      <c r="Z35" s="1428"/>
      <c r="AB35" s="230"/>
      <c r="AC35" s="225"/>
      <c r="AD35" s="224"/>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37"/>
      <c r="BF35" s="960" t="str">
        <f>IF(AND(ISNUMBER(VALUE(TRIM(SUBSTITUTE(AB35,".","")))),TRIM(SUBSTITUTE(AB35,".",""))&lt;&gt;""),"P"&amp;SUBSTITUTE(AB35,".",""),"")</f>
        <v/>
      </c>
    </row>
    <row r="36" spans="1:62" ht="14.65" hidden="1" customHeight="1" x14ac:dyDescent="0.15">
      <c r="A36" s="918" t="str">
        <f ca="1">"checkCosts_2."&amp;F36&amp;"."&amp;Y36</f>
        <v>checkCosts_2.0.0</v>
      </c>
      <c r="E36" s="668">
        <v>15</v>
      </c>
      <c r="F36" s="769" cm="1">
        <f t="array" aca="1" ref="F36" ca="1">OFFSET(G36,-1,-1)</f>
        <v>0</v>
      </c>
      <c r="H36" s="103" cm="1">
        <f t="array" ref="H36">AC36</f>
        <v>0</v>
      </c>
      <c r="T36" s="770" t="b">
        <f ca="1">AND(F36&gt;0,Y36&gt;0)</f>
        <v>0</v>
      </c>
      <c r="W36" s="107" t="s">
        <v>237</v>
      </c>
      <c r="X36" s="1428"/>
      <c r="Y36" s="1428">
        <v>0</v>
      </c>
      <c r="Z36" s="1428"/>
      <c r="AA36" s="1556" t="s">
        <v>218</v>
      </c>
      <c r="AB36" s="232" t="str">
        <f>"2."&amp;Y36</f>
        <v>2.0</v>
      </c>
      <c r="AC36" s="387"/>
      <c r="AD36" s="224" t="s">
        <v>830</v>
      </c>
      <c r="AE36" s="275">
        <f>AE37*AE38</f>
        <v>0</v>
      </c>
      <c r="AF36" s="13"/>
      <c r="AG36" s="13"/>
      <c r="AH36" s="275">
        <f>AH37*AH38</f>
        <v>0</v>
      </c>
      <c r="AI36" s="227"/>
      <c r="AJ36" s="1183"/>
      <c r="AK36" s="1183"/>
      <c r="AL36" s="13"/>
      <c r="AM36" s="13"/>
      <c r="AN36" s="13"/>
      <c r="AO36" s="13"/>
      <c r="AP36" s="13"/>
      <c r="AQ36" s="13"/>
      <c r="AR36" s="13"/>
      <c r="AS36" s="275">
        <f t="shared" ref="AS36:BB36" si="6">AS37*AS38</f>
        <v>0</v>
      </c>
      <c r="AT36" s="275">
        <f t="shared" si="6"/>
        <v>0</v>
      </c>
      <c r="AU36" s="275">
        <f t="shared" si="6"/>
        <v>0</v>
      </c>
      <c r="AV36" s="275">
        <f t="shared" si="6"/>
        <v>0</v>
      </c>
      <c r="AW36" s="275">
        <f t="shared" si="6"/>
        <v>0</v>
      </c>
      <c r="AX36" s="275">
        <f t="shared" si="6"/>
        <v>0</v>
      </c>
      <c r="AY36" s="275">
        <f t="shared" si="6"/>
        <v>0</v>
      </c>
      <c r="AZ36" s="275">
        <f t="shared" si="6"/>
        <v>0</v>
      </c>
      <c r="BA36" s="275">
        <f t="shared" si="6"/>
        <v>0</v>
      </c>
      <c r="BB36" s="275">
        <f t="shared" si="6"/>
        <v>0</v>
      </c>
      <c r="BC36" s="25"/>
      <c r="BF36" s="960" t="s">
        <v>1030</v>
      </c>
      <c r="BG36" s="979" t="s">
        <v>1031</v>
      </c>
      <c r="BH36" s="979" cm="1">
        <f t="array" ref="BH36">AC36</f>
        <v>0</v>
      </c>
      <c r="BJ36" s="980" t="b">
        <v>1</v>
      </c>
    </row>
    <row r="37" spans="1:62" s="1146" customFormat="1" ht="14.65" hidden="1" customHeight="1" x14ac:dyDescent="0.15">
      <c r="E37" s="668">
        <v>15</v>
      </c>
      <c r="F37" s="769" cm="1">
        <f t="array" aca="1" ref="F37" ca="1">OFFSET(G37,-1,-1)</f>
        <v>0</v>
      </c>
      <c r="H37" s="103" cm="1">
        <f t="array" ref="H37">H36</f>
        <v>0</v>
      </c>
      <c r="T37" s="770" t="b" cm="1">
        <f t="array" aca="1" ref="T37" ca="1">T36</f>
        <v>0</v>
      </c>
      <c r="X37" s="1566"/>
      <c r="Y37" s="1566"/>
      <c r="Z37" s="1566"/>
      <c r="AA37" s="1556"/>
      <c r="AB37" s="232" t="str">
        <f>AB36&amp;".1"</f>
        <v>2.0.1</v>
      </c>
      <c r="AC37" s="238" t="s">
        <v>966</v>
      </c>
      <c r="AD37" s="102" t="s">
        <v>1021</v>
      </c>
      <c r="AE37" s="13"/>
      <c r="AF37" s="275">
        <f>IF(AF38=0,0,AF36/AF38)</f>
        <v>0</v>
      </c>
      <c r="AG37" s="275">
        <f>IF(AG38=0,0,AG36/AG38)</f>
        <v>0</v>
      </c>
      <c r="AH37" s="13"/>
      <c r="AI37" s="275">
        <f t="shared" ref="AI37:AR37" si="7">IF(AI38=0,0,AI36/AI38)</f>
        <v>0</v>
      </c>
      <c r="AJ37" s="275">
        <f t="shared" si="7"/>
        <v>0</v>
      </c>
      <c r="AK37" s="275">
        <f t="shared" si="7"/>
        <v>0</v>
      </c>
      <c r="AL37" s="275">
        <f t="shared" si="7"/>
        <v>0</v>
      </c>
      <c r="AM37" s="275">
        <f t="shared" si="7"/>
        <v>0</v>
      </c>
      <c r="AN37" s="275">
        <f t="shared" si="7"/>
        <v>0</v>
      </c>
      <c r="AO37" s="275">
        <f t="shared" si="7"/>
        <v>0</v>
      </c>
      <c r="AP37" s="275">
        <f t="shared" si="7"/>
        <v>0</v>
      </c>
      <c r="AQ37" s="275">
        <f t="shared" si="7"/>
        <v>0</v>
      </c>
      <c r="AR37" s="275">
        <f t="shared" si="7"/>
        <v>0</v>
      </c>
      <c r="AS37" s="227"/>
      <c r="AT37" s="1183"/>
      <c r="AU37" s="1183"/>
      <c r="AV37" s="13"/>
      <c r="AW37" s="13"/>
      <c r="AX37" s="13"/>
      <c r="AY37" s="13"/>
      <c r="AZ37" s="13"/>
      <c r="BA37" s="13"/>
      <c r="BB37" s="13"/>
      <c r="BC37" s="25"/>
      <c r="BF37" s="960" t="s">
        <v>1032</v>
      </c>
      <c r="BG37" s="979" t="s">
        <v>1031</v>
      </c>
      <c r="BH37" s="979" cm="1">
        <f t="array" ref="BH37">BH36</f>
        <v>0</v>
      </c>
      <c r="BI37" s="980"/>
      <c r="BJ37" s="980"/>
    </row>
    <row r="38" spans="1:62" ht="14.65" hidden="1" customHeight="1" x14ac:dyDescent="0.15">
      <c r="A38" s="918" t="str">
        <f ca="1">"checkVolume_2."&amp;F38&amp;"."&amp;Y36</f>
        <v>checkVolume_2.0.0</v>
      </c>
      <c r="E38" s="668">
        <v>15</v>
      </c>
      <c r="F38" s="769" cm="1">
        <f t="array" aca="1" ref="F38" ca="1">OFFSET(G38,-1,-1)</f>
        <v>0</v>
      </c>
      <c r="H38" s="103" cm="1">
        <f t="array" ref="H38">H36</f>
        <v>0</v>
      </c>
      <c r="T38" s="770" t="b" cm="1">
        <f t="array" aca="1" ref="T38" ca="1">T36</f>
        <v>0</v>
      </c>
      <c r="X38" s="1428"/>
      <c r="Y38" s="1428"/>
      <c r="Z38" s="1428"/>
      <c r="AA38" s="1556"/>
      <c r="AB38" s="232" t="str">
        <f>AB36&amp;".2"</f>
        <v>2.0.2</v>
      </c>
      <c r="AC38" s="238" t="s">
        <v>1033</v>
      </c>
      <c r="AD38" s="102" t="s">
        <v>1024</v>
      </c>
      <c r="AE38" s="13"/>
      <c r="AF38" s="13"/>
      <c r="AG38" s="13"/>
      <c r="AH38" s="13"/>
      <c r="AI38" s="227"/>
      <c r="AJ38" s="1183"/>
      <c r="AK38" s="1183"/>
      <c r="AL38" s="13"/>
      <c r="AM38" s="13"/>
      <c r="AN38" s="13"/>
      <c r="AO38" s="13"/>
      <c r="AP38" s="13"/>
      <c r="AQ38" s="13"/>
      <c r="AR38" s="13"/>
      <c r="AS38" s="227"/>
      <c r="AT38" s="1183"/>
      <c r="AU38" s="1183"/>
      <c r="AV38" s="13"/>
      <c r="AW38" s="13"/>
      <c r="AX38" s="13"/>
      <c r="AY38" s="13"/>
      <c r="AZ38" s="13"/>
      <c r="BA38" s="13"/>
      <c r="BB38" s="13"/>
      <c r="BC38" s="25"/>
      <c r="BF38" s="960" t="s">
        <v>1034</v>
      </c>
      <c r="BG38" s="979" t="s">
        <v>1031</v>
      </c>
      <c r="BH38" s="979" cm="1">
        <f t="array" ref="BH38">BH36</f>
        <v>0</v>
      </c>
    </row>
    <row r="39" spans="1:62" ht="14.65" hidden="1" customHeight="1" x14ac:dyDescent="0.15">
      <c r="E39" s="668">
        <v>15</v>
      </c>
      <c r="F39" s="769" cm="1">
        <f t="array" aca="1" ref="F39" ca="1">OFFSET(G39,-1,-1)</f>
        <v>0</v>
      </c>
      <c r="T39" s="690" t="b">
        <f ca="1">F39&gt;0</f>
        <v>0</v>
      </c>
      <c r="W39" s="312" t="s">
        <v>1035</v>
      </c>
      <c r="X39" s="1428"/>
      <c r="Z39" s="1428"/>
      <c r="AB39" s="246"/>
      <c r="AC39" s="247" t="s">
        <v>1002</v>
      </c>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8"/>
      <c r="BI39" s="980" t="s">
        <v>1031</v>
      </c>
    </row>
    <row r="40" spans="1:62" s="1167" customFormat="1" ht="14.25" customHeight="1" x14ac:dyDescent="0.15">
      <c r="A40" s="1149"/>
      <c r="B40" s="773"/>
      <c r="C40" s="1149"/>
      <c r="D40" s="1149"/>
      <c r="E40" s="668">
        <v>15</v>
      </c>
      <c r="F40" s="769" t="str" cm="1">
        <f t="array" ref="F40">X40</f>
        <v>1</v>
      </c>
      <c r="G40" s="1153"/>
      <c r="H40" s="1153"/>
      <c r="I40" s="1153"/>
      <c r="J40" s="1153"/>
      <c r="K40" s="1153"/>
      <c r="L40" s="1153"/>
      <c r="M40" s="1153"/>
      <c r="N40" s="1153"/>
      <c r="O40" s="1153"/>
      <c r="P40" s="1153"/>
      <c r="Q40" s="140"/>
      <c r="R40" s="140"/>
      <c r="S40" s="1153"/>
      <c r="T40" s="679" t="b">
        <f>X40&gt;0</f>
        <v>1</v>
      </c>
      <c r="U40" s="1150"/>
      <c r="V40" s="123" t="str" cm="1">
        <f t="array" ref="V40">ЭнергоРесурсы!$AB$68</f>
        <v>Тариф 1 (Теплоснабжение) - Тариф на тепловую энергию (мощность), поставляемую потребителям (Не определено)</v>
      </c>
      <c r="W40" s="1150"/>
      <c r="X40" s="1428" t="s">
        <v>339</v>
      </c>
      <c r="Y40" s="1150"/>
      <c r="Z40" s="1428"/>
      <c r="AA40" s="170"/>
      <c r="AB40" s="234" t="str" cm="1">
        <f t="array" ref="AB40">IF(ISBLANK(ЭнергоРесурсы!$AB$68),"",ЭнергоРесурсы!$AB$68)</f>
        <v>Тариф 1 (Теплоснабжение) - Тариф на тепловую энергию (мощность), поставляемую потребителям (Не определено)</v>
      </c>
      <c r="AC40" s="207"/>
      <c r="AD40" s="207"/>
      <c r="AE40" s="315">
        <f t="shared" ref="AE40:BB40" si="8">AE41+AE50</f>
        <v>1981.800099216</v>
      </c>
      <c r="AF40" s="315">
        <f t="shared" si="8"/>
        <v>875.74</v>
      </c>
      <c r="AG40" s="315">
        <f t="shared" si="8"/>
        <v>875.74</v>
      </c>
      <c r="AH40" s="315">
        <f t="shared" si="8"/>
        <v>2212.0018178666</v>
      </c>
      <c r="AI40" s="315">
        <f t="shared" si="8"/>
        <v>2578.6999999999998</v>
      </c>
      <c r="AJ40" s="315">
        <f t="shared" si="8"/>
        <v>0</v>
      </c>
      <c r="AK40" s="315">
        <f t="shared" si="8"/>
        <v>0</v>
      </c>
      <c r="AL40" s="315">
        <f t="shared" si="8"/>
        <v>0</v>
      </c>
      <c r="AM40" s="315">
        <f t="shared" si="8"/>
        <v>0</v>
      </c>
      <c r="AN40" s="315">
        <f t="shared" si="8"/>
        <v>0</v>
      </c>
      <c r="AO40" s="315">
        <f t="shared" si="8"/>
        <v>0</v>
      </c>
      <c r="AP40" s="315">
        <f t="shared" si="8"/>
        <v>0</v>
      </c>
      <c r="AQ40" s="315">
        <f t="shared" si="8"/>
        <v>0</v>
      </c>
      <c r="AR40" s="315">
        <f t="shared" si="8"/>
        <v>0</v>
      </c>
      <c r="AS40" s="315">
        <f t="shared" si="8"/>
        <v>2184.4466006135999</v>
      </c>
      <c r="AT40" s="315">
        <f t="shared" si="8"/>
        <v>0</v>
      </c>
      <c r="AU40" s="315">
        <f t="shared" si="8"/>
        <v>0</v>
      </c>
      <c r="AV40" s="315">
        <f t="shared" si="8"/>
        <v>0</v>
      </c>
      <c r="AW40" s="315">
        <f t="shared" si="8"/>
        <v>0</v>
      </c>
      <c r="AX40" s="315">
        <f t="shared" si="8"/>
        <v>0</v>
      </c>
      <c r="AY40" s="315">
        <f t="shared" si="8"/>
        <v>0</v>
      </c>
      <c r="AZ40" s="315">
        <f t="shared" si="8"/>
        <v>0</v>
      </c>
      <c r="BA40" s="315">
        <f t="shared" si="8"/>
        <v>0</v>
      </c>
      <c r="BB40" s="315">
        <f t="shared" si="8"/>
        <v>0</v>
      </c>
      <c r="BC40" s="236"/>
      <c r="BD40" s="170"/>
      <c r="BE40" s="170"/>
      <c r="BF40" s="979"/>
      <c r="BG40" s="979"/>
      <c r="BH40" s="979"/>
      <c r="BI40" s="980"/>
      <c r="BJ40" s="980"/>
    </row>
    <row r="41" spans="1:62" s="1167" customFormat="1" ht="14.25" customHeight="1" x14ac:dyDescent="0.15">
      <c r="A41" s="1149"/>
      <c r="B41" s="773"/>
      <c r="C41" s="1149"/>
      <c r="D41" s="1149"/>
      <c r="E41" s="668">
        <v>15</v>
      </c>
      <c r="F41" s="769" t="str" cm="1">
        <f t="array" ref="F41">F40</f>
        <v>1</v>
      </c>
      <c r="G41" s="140" t="s">
        <v>1016</v>
      </c>
      <c r="H41" s="1153"/>
      <c r="I41" s="1153"/>
      <c r="J41" s="1153"/>
      <c r="K41" s="1153"/>
      <c r="L41" s="1153"/>
      <c r="M41" s="1153"/>
      <c r="N41" s="1153"/>
      <c r="O41" s="1153"/>
      <c r="P41" s="1153"/>
      <c r="Q41" s="140"/>
      <c r="R41" s="140"/>
      <c r="S41" s="1153"/>
      <c r="T41" s="690" t="b" cm="1">
        <f t="array" ref="T41">T40</f>
        <v>1</v>
      </c>
      <c r="U41" s="1150"/>
      <c r="V41" s="1150"/>
      <c r="W41" s="1150"/>
      <c r="X41" s="1428"/>
      <c r="Y41" s="1150"/>
      <c r="Z41" s="1428"/>
      <c r="AA41" s="170"/>
      <c r="AB41" s="230">
        <v>1</v>
      </c>
      <c r="AC41" s="225" t="s">
        <v>1017</v>
      </c>
      <c r="AD41" s="224" t="s">
        <v>830</v>
      </c>
      <c r="AE41" s="226">
        <f t="shared" ref="AE41:BB41" si="9">SUMIF($AD42:$AD49,$AD41,AE42:AE49)</f>
        <v>1498.554378216</v>
      </c>
      <c r="AF41" s="226">
        <f t="shared" si="9"/>
        <v>875.74</v>
      </c>
      <c r="AG41" s="226">
        <f t="shared" si="9"/>
        <v>875.74</v>
      </c>
      <c r="AH41" s="226">
        <f t="shared" si="9"/>
        <v>1669.9772478666</v>
      </c>
      <c r="AI41" s="226">
        <f t="shared" si="9"/>
        <v>1785.14</v>
      </c>
      <c r="AJ41" s="1263">
        <f t="shared" si="9"/>
        <v>0</v>
      </c>
      <c r="AK41" s="1263">
        <f t="shared" si="9"/>
        <v>0</v>
      </c>
      <c r="AL41" s="1270">
        <f t="shared" si="9"/>
        <v>0</v>
      </c>
      <c r="AM41" s="1270">
        <f t="shared" si="9"/>
        <v>0</v>
      </c>
      <c r="AN41" s="1270">
        <f t="shared" si="9"/>
        <v>0</v>
      </c>
      <c r="AO41" s="1270">
        <f t="shared" si="9"/>
        <v>0</v>
      </c>
      <c r="AP41" s="1270">
        <f t="shared" si="9"/>
        <v>0</v>
      </c>
      <c r="AQ41" s="1270">
        <f t="shared" si="9"/>
        <v>0</v>
      </c>
      <c r="AR41" s="1270">
        <f t="shared" si="9"/>
        <v>0</v>
      </c>
      <c r="AS41" s="226">
        <f t="shared" si="9"/>
        <v>1633.6022497535</v>
      </c>
      <c r="AT41" s="1263">
        <f t="shared" si="9"/>
        <v>0</v>
      </c>
      <c r="AU41" s="1263">
        <f t="shared" si="9"/>
        <v>0</v>
      </c>
      <c r="AV41" s="1270">
        <f t="shared" si="9"/>
        <v>0</v>
      </c>
      <c r="AW41" s="1270">
        <f t="shared" si="9"/>
        <v>0</v>
      </c>
      <c r="AX41" s="1270">
        <f t="shared" si="9"/>
        <v>0</v>
      </c>
      <c r="AY41" s="1270">
        <f t="shared" si="9"/>
        <v>0</v>
      </c>
      <c r="AZ41" s="1270">
        <f t="shared" si="9"/>
        <v>0</v>
      </c>
      <c r="BA41" s="1270">
        <f t="shared" si="9"/>
        <v>0</v>
      </c>
      <c r="BB41" s="1270">
        <f t="shared" si="9"/>
        <v>0</v>
      </c>
      <c r="BC41" s="1231"/>
      <c r="BD41" s="170"/>
      <c r="BE41" s="170"/>
      <c r="BF41" s="960" t="s">
        <v>1018</v>
      </c>
      <c r="BG41" s="979"/>
      <c r="BH41" s="979"/>
      <c r="BI41" s="980"/>
      <c r="BJ41" s="980"/>
    </row>
    <row r="42" spans="1:62" s="1167" customFormat="1" ht="0" hidden="1" customHeight="1" x14ac:dyDescent="0.15">
      <c r="A42" s="1149"/>
      <c r="B42" s="773"/>
      <c r="C42" s="1149"/>
      <c r="D42" s="1149"/>
      <c r="E42" s="668">
        <v>0.2</v>
      </c>
      <c r="F42" s="769" t="str" cm="1">
        <f t="array" ref="F42">F41</f>
        <v>1</v>
      </c>
      <c r="G42" s="1153"/>
      <c r="H42" s="1153"/>
      <c r="I42" s="1153"/>
      <c r="J42" s="1153"/>
      <c r="K42" s="1153"/>
      <c r="L42" s="1153"/>
      <c r="M42" s="1153"/>
      <c r="N42" s="1153"/>
      <c r="O42" s="1153"/>
      <c r="P42" s="1153"/>
      <c r="Q42" s="140"/>
      <c r="R42" s="140"/>
      <c r="S42" s="1153"/>
      <c r="T42" s="690" t="b" cm="1">
        <f t="array" ref="T42">T41</f>
        <v>1</v>
      </c>
      <c r="U42" s="1150"/>
      <c r="V42" s="1150"/>
      <c r="W42" s="1150"/>
      <c r="X42" s="1428"/>
      <c r="Y42" s="1150"/>
      <c r="Z42" s="1428"/>
      <c r="AA42" s="170"/>
      <c r="AB42" s="230"/>
      <c r="AC42" s="225"/>
      <c r="AD42" s="224"/>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37"/>
      <c r="BD42" s="170"/>
      <c r="BE42" s="170"/>
      <c r="BF42" s="960" t="str">
        <f>IF(AND(ISNUMBER(VALUE(TRIM(SUBSTITUTE(AB42,".","")))),TRIM(SUBSTITUTE(AB42,".",""))&lt;&gt;""),"P"&amp;SUBSTITUTE(AB42,".",""),"")</f>
        <v/>
      </c>
      <c r="BG42" s="979"/>
      <c r="BH42" s="979"/>
      <c r="BI42" s="980"/>
      <c r="BJ42" s="980"/>
    </row>
    <row r="43" spans="1:62" s="1167" customFormat="1" ht="14.25" hidden="1" customHeight="1" x14ac:dyDescent="0.15">
      <c r="A43" s="918" t="str">
        <f ca="1">"checkCosts_1."&amp;F43&amp;"."&amp;Y43</f>
        <v>checkCosts_1.1.0</v>
      </c>
      <c r="E43" s="668">
        <v>15</v>
      </c>
      <c r="F43" s="769" t="str" cm="1">
        <f t="array" aca="1" ref="F43" ca="1">OFFSET(G43,-1,-1)</f>
        <v>1</v>
      </c>
      <c r="H43" s="103" cm="1">
        <f t="array" ref="H43">AC43</f>
        <v>0</v>
      </c>
      <c r="T43" s="770" t="b">
        <f ca="1">AND(F43&gt;0,Y43&gt;0)</f>
        <v>0</v>
      </c>
      <c r="W43" s="107" t="s">
        <v>237</v>
      </c>
      <c r="X43" s="1481"/>
      <c r="Y43" s="1428">
        <v>0</v>
      </c>
      <c r="Z43" s="1481"/>
      <c r="AA43" s="1556" t="s">
        <v>218</v>
      </c>
      <c r="AB43" s="232" t="str">
        <f>"1."&amp;Y43</f>
        <v>1.0</v>
      </c>
      <c r="AC43" s="387"/>
      <c r="AD43" s="224" t="s">
        <v>830</v>
      </c>
      <c r="AE43" s="275">
        <f>AE44*AE45</f>
        <v>0</v>
      </c>
      <c r="AF43" s="13"/>
      <c r="AG43" s="13"/>
      <c r="AH43" s="275">
        <f>AH44*AH45</f>
        <v>0</v>
      </c>
      <c r="AI43" s="227"/>
      <c r="AJ43" s="13"/>
      <c r="AK43" s="13"/>
      <c r="AL43" s="13"/>
      <c r="AM43" s="13"/>
      <c r="AN43" s="13"/>
      <c r="AO43" s="13"/>
      <c r="AP43" s="13"/>
      <c r="AQ43" s="13"/>
      <c r="AR43" s="13"/>
      <c r="AS43" s="275">
        <f t="shared" ref="AS43:BB43" si="10">AS44*AS45</f>
        <v>0</v>
      </c>
      <c r="AT43" s="275">
        <f t="shared" si="10"/>
        <v>0</v>
      </c>
      <c r="AU43" s="275">
        <f t="shared" si="10"/>
        <v>0</v>
      </c>
      <c r="AV43" s="275">
        <f t="shared" si="10"/>
        <v>0</v>
      </c>
      <c r="AW43" s="275">
        <f t="shared" si="10"/>
        <v>0</v>
      </c>
      <c r="AX43" s="275">
        <f t="shared" si="10"/>
        <v>0</v>
      </c>
      <c r="AY43" s="275">
        <f t="shared" si="10"/>
        <v>0</v>
      </c>
      <c r="AZ43" s="275">
        <f t="shared" si="10"/>
        <v>0</v>
      </c>
      <c r="BA43" s="275">
        <f t="shared" si="10"/>
        <v>0</v>
      </c>
      <c r="BB43" s="275">
        <f t="shared" si="10"/>
        <v>0</v>
      </c>
      <c r="BC43" s="25"/>
      <c r="BF43" s="960" t="s">
        <v>1019</v>
      </c>
      <c r="BG43" s="979" t="s">
        <v>1020</v>
      </c>
      <c r="BH43" s="979" cm="1">
        <f t="array" ref="BH43">AC43</f>
        <v>0</v>
      </c>
      <c r="BI43" s="980"/>
      <c r="BJ43" s="980" t="b">
        <v>1</v>
      </c>
    </row>
    <row r="44" spans="1:62" s="1146" customFormat="1" ht="14.25" hidden="1" customHeight="1" x14ac:dyDescent="0.15">
      <c r="E44" s="668">
        <v>15</v>
      </c>
      <c r="F44" s="769" t="str" cm="1">
        <f t="array" ref="F44">F42</f>
        <v>1</v>
      </c>
      <c r="H44" s="103" cm="1">
        <f t="array" ref="H44">H43</f>
        <v>0</v>
      </c>
      <c r="T44" s="770" t="b" cm="1">
        <f t="array" aca="1" ref="T44" ca="1">T43</f>
        <v>0</v>
      </c>
      <c r="X44" s="1566"/>
      <c r="Y44" s="1566"/>
      <c r="Z44" s="1566"/>
      <c r="AA44" s="1556"/>
      <c r="AB44" s="232" t="str">
        <f>AB43&amp;".1"</f>
        <v>1.0.1</v>
      </c>
      <c r="AC44" s="238" t="s">
        <v>966</v>
      </c>
      <c r="AD44" s="102" t="s">
        <v>1021</v>
      </c>
      <c r="AE44" s="13"/>
      <c r="AF44" s="275">
        <f>IF(AF45=0,0,AF43/AF45)</f>
        <v>0</v>
      </c>
      <c r="AG44" s="275">
        <f>IF(AG45=0,0,AG43/AG45)</f>
        <v>0</v>
      </c>
      <c r="AH44" s="13"/>
      <c r="AI44" s="275">
        <f t="shared" ref="AI44:AR44" si="11">IF(AI45=0,0,AI43/AI45)</f>
        <v>0</v>
      </c>
      <c r="AJ44" s="275">
        <f t="shared" si="11"/>
        <v>0</v>
      </c>
      <c r="AK44" s="275">
        <f t="shared" si="11"/>
        <v>0</v>
      </c>
      <c r="AL44" s="275">
        <f t="shared" si="11"/>
        <v>0</v>
      </c>
      <c r="AM44" s="275">
        <f t="shared" si="11"/>
        <v>0</v>
      </c>
      <c r="AN44" s="275">
        <f t="shared" si="11"/>
        <v>0</v>
      </c>
      <c r="AO44" s="275">
        <f t="shared" si="11"/>
        <v>0</v>
      </c>
      <c r="AP44" s="275">
        <f t="shared" si="11"/>
        <v>0</v>
      </c>
      <c r="AQ44" s="275">
        <f t="shared" si="11"/>
        <v>0</v>
      </c>
      <c r="AR44" s="275">
        <f t="shared" si="11"/>
        <v>0</v>
      </c>
      <c r="AS44" s="227"/>
      <c r="AT44" s="13"/>
      <c r="AU44" s="13"/>
      <c r="AV44" s="13"/>
      <c r="AW44" s="13"/>
      <c r="AX44" s="13"/>
      <c r="AY44" s="13"/>
      <c r="AZ44" s="13"/>
      <c r="BA44" s="13"/>
      <c r="BB44" s="13"/>
      <c r="BC44" s="25"/>
      <c r="BF44" s="960" t="s">
        <v>1022</v>
      </c>
      <c r="BG44" s="979" t="s">
        <v>1020</v>
      </c>
      <c r="BH44" s="979" cm="1">
        <f t="array" ref="BH44">BH43</f>
        <v>0</v>
      </c>
      <c r="BI44" s="980"/>
      <c r="BJ44" s="980"/>
    </row>
    <row r="45" spans="1:62" s="1167" customFormat="1" ht="14.25" hidden="1" customHeight="1" x14ac:dyDescent="0.15">
      <c r="A45" s="918" t="str">
        <f ca="1">"checkVolume_1."&amp;F45&amp;"."&amp;Y43</f>
        <v>checkVolume_1.1.0</v>
      </c>
      <c r="E45" s="668">
        <v>15</v>
      </c>
      <c r="F45" s="769" t="str" cm="1">
        <f t="array" aca="1" ref="F45" ca="1">F43</f>
        <v>1</v>
      </c>
      <c r="H45" s="103" cm="1">
        <f t="array" ref="H45">H43</f>
        <v>0</v>
      </c>
      <c r="T45" s="770" t="b" cm="1">
        <f t="array" aca="1" ref="T45" ca="1">T43</f>
        <v>0</v>
      </c>
      <c r="X45" s="1481"/>
      <c r="Y45" s="1481"/>
      <c r="Z45" s="1481"/>
      <c r="AA45" s="1556"/>
      <c r="AB45" s="232" t="str">
        <f>AB43&amp;".2"</f>
        <v>1.0.2</v>
      </c>
      <c r="AC45" s="238" t="s">
        <v>1023</v>
      </c>
      <c r="AD45" s="102" t="s">
        <v>1024</v>
      </c>
      <c r="AE45" s="13"/>
      <c r="AF45" s="13"/>
      <c r="AG45" s="13"/>
      <c r="AH45" s="13"/>
      <c r="AI45" s="227"/>
      <c r="AJ45" s="13"/>
      <c r="AK45" s="13"/>
      <c r="AL45" s="13"/>
      <c r="AM45" s="13"/>
      <c r="AN45" s="13"/>
      <c r="AO45" s="13"/>
      <c r="AP45" s="13"/>
      <c r="AQ45" s="13"/>
      <c r="AR45" s="13"/>
      <c r="AS45" s="227"/>
      <c r="AT45" s="13"/>
      <c r="AU45" s="13"/>
      <c r="AV45" s="13"/>
      <c r="AW45" s="13"/>
      <c r="AX45" s="13"/>
      <c r="AY45" s="13"/>
      <c r="AZ45" s="13"/>
      <c r="BA45" s="13"/>
      <c r="BB45" s="13"/>
      <c r="BC45" s="25"/>
      <c r="BF45" s="960" t="s">
        <v>1025</v>
      </c>
      <c r="BG45" s="979" t="s">
        <v>1020</v>
      </c>
      <c r="BH45" s="979" cm="1">
        <f t="array" ref="BH45">BH43</f>
        <v>0</v>
      </c>
      <c r="BI45" s="980"/>
      <c r="BJ45" s="980"/>
    </row>
    <row r="46" spans="1:62" s="1167" customFormat="1" ht="14.25" customHeight="1" x14ac:dyDescent="0.15">
      <c r="A46" s="918" t="str">
        <f ca="1">"checkCosts_1."&amp;F46&amp;"."&amp;Y46</f>
        <v>checkCosts_1.1.1</v>
      </c>
      <c r="E46" s="668">
        <v>15</v>
      </c>
      <c r="F46" s="769" t="str" cm="1">
        <f t="array" aca="1" ref="F46" ca="1">OFFSET(G46,-1,-1)</f>
        <v>1</v>
      </c>
      <c r="H46" s="103" t="str" cm="1">
        <f t="array" ref="H46">AC46</f>
        <v>МУП "Междуреченский Водоканал"::4214040174::421401001</v>
      </c>
      <c r="T46" s="770" t="b">
        <f ca="1">AND(F46&gt;0,Y46&gt;0)</f>
        <v>1</v>
      </c>
      <c r="W46" s="107"/>
      <c r="X46" s="1481"/>
      <c r="Y46" s="1428" t="s">
        <v>339</v>
      </c>
      <c r="Z46" s="1481"/>
      <c r="AA46" s="1556" t="s">
        <v>218</v>
      </c>
      <c r="AB46" s="232" t="str">
        <f>"1."&amp;Y46</f>
        <v>1.1</v>
      </c>
      <c r="AC46" s="387" t="s">
        <v>1036</v>
      </c>
      <c r="AD46" s="224" t="s">
        <v>830</v>
      </c>
      <c r="AE46" s="275">
        <f>AE47*AE48</f>
        <v>1498.554378216</v>
      </c>
      <c r="AF46" s="1197">
        <v>875.74</v>
      </c>
      <c r="AG46" s="1197">
        <v>875.74</v>
      </c>
      <c r="AH46" s="275">
        <f>AH47*AH48</f>
        <v>1669.9772478666</v>
      </c>
      <c r="AI46" s="227">
        <v>1785.14</v>
      </c>
      <c r="AJ46" s="1197"/>
      <c r="AK46" s="1197"/>
      <c r="AL46" s="1197"/>
      <c r="AM46" s="1197"/>
      <c r="AN46" s="1197"/>
      <c r="AO46" s="1197"/>
      <c r="AP46" s="1197"/>
      <c r="AQ46" s="1197"/>
      <c r="AR46" s="1197"/>
      <c r="AS46" s="275">
        <f t="shared" ref="AS46:BB46" si="12">AS47*AS48</f>
        <v>1633.6022497535</v>
      </c>
      <c r="AT46" s="275">
        <f t="shared" si="12"/>
        <v>0</v>
      </c>
      <c r="AU46" s="275">
        <f t="shared" si="12"/>
        <v>0</v>
      </c>
      <c r="AV46" s="275">
        <f t="shared" si="12"/>
        <v>0</v>
      </c>
      <c r="AW46" s="275">
        <f t="shared" si="12"/>
        <v>0</v>
      </c>
      <c r="AX46" s="275">
        <f t="shared" si="12"/>
        <v>0</v>
      </c>
      <c r="AY46" s="275">
        <f t="shared" si="12"/>
        <v>0</v>
      </c>
      <c r="AZ46" s="275">
        <f t="shared" si="12"/>
        <v>0</v>
      </c>
      <c r="BA46" s="275">
        <f t="shared" si="12"/>
        <v>0</v>
      </c>
      <c r="BB46" s="275">
        <f t="shared" si="12"/>
        <v>0</v>
      </c>
      <c r="BC46" s="1231"/>
      <c r="BF46" s="960" t="s">
        <v>1019</v>
      </c>
      <c r="BG46" s="979" t="s">
        <v>1020</v>
      </c>
      <c r="BH46" s="979" t="str" cm="1">
        <f t="array" ref="BH46">AC46</f>
        <v>МУП "Междуреченский Водоканал"::4214040174::421401001</v>
      </c>
      <c r="BI46" s="980"/>
      <c r="BJ46" s="980" t="b">
        <v>1</v>
      </c>
    </row>
    <row r="47" spans="1:62" s="1146" customFormat="1" ht="14.25" customHeight="1" x14ac:dyDescent="0.15">
      <c r="E47" s="668">
        <v>15</v>
      </c>
      <c r="F47" s="769" t="str" cm="1">
        <f t="array" aca="1" ref="F47" ca="1">F45</f>
        <v>1</v>
      </c>
      <c r="H47" s="103" t="str" cm="1">
        <f t="array" ref="H47">H46</f>
        <v>МУП "Междуреченский Водоканал"::4214040174::421401001</v>
      </c>
      <c r="T47" s="770" t="b" cm="1">
        <f t="array" aca="1" ref="T47" ca="1">T46</f>
        <v>1</v>
      </c>
      <c r="X47" s="1566"/>
      <c r="Y47" s="1566"/>
      <c r="Z47" s="1566"/>
      <c r="AA47" s="1556"/>
      <c r="AB47" s="232" t="str">
        <f>AB46&amp;".1"</f>
        <v>1.1.1</v>
      </c>
      <c r="AC47" s="238" t="s">
        <v>966</v>
      </c>
      <c r="AD47" s="102" t="s">
        <v>1021</v>
      </c>
      <c r="AE47" s="1197">
        <v>31.0289</v>
      </c>
      <c r="AF47" s="275">
        <f>IF(AF48=0,0,AF46/AF48)</f>
        <v>31.026894770238926</v>
      </c>
      <c r="AG47" s="275">
        <f>IF(AG48=0,0,AG46/AG48)</f>
        <v>18.371993105520115</v>
      </c>
      <c r="AH47" s="1197">
        <v>33.789790000000004</v>
      </c>
      <c r="AI47" s="275">
        <f t="shared" ref="AI47:AR47" si="13">IF(AI48=0,0,AI46/AI48)</f>
        <v>36.119956602797025</v>
      </c>
      <c r="AJ47" s="275">
        <f t="shared" si="13"/>
        <v>0</v>
      </c>
      <c r="AK47" s="275">
        <f t="shared" si="13"/>
        <v>0</v>
      </c>
      <c r="AL47" s="275">
        <f t="shared" si="13"/>
        <v>0</v>
      </c>
      <c r="AM47" s="275">
        <f t="shared" si="13"/>
        <v>0</v>
      </c>
      <c r="AN47" s="275">
        <f t="shared" si="13"/>
        <v>0</v>
      </c>
      <c r="AO47" s="275">
        <f t="shared" si="13"/>
        <v>0</v>
      </c>
      <c r="AP47" s="275">
        <f t="shared" si="13"/>
        <v>0</v>
      </c>
      <c r="AQ47" s="275">
        <f t="shared" si="13"/>
        <v>0</v>
      </c>
      <c r="AR47" s="275">
        <f t="shared" si="13"/>
        <v>0</v>
      </c>
      <c r="AS47" s="227">
        <v>35.01643</v>
      </c>
      <c r="AT47" s="1197"/>
      <c r="AU47" s="1197"/>
      <c r="AV47" s="1197"/>
      <c r="AW47" s="1197"/>
      <c r="AX47" s="1197"/>
      <c r="AY47" s="1197"/>
      <c r="AZ47" s="1197"/>
      <c r="BA47" s="1197"/>
      <c r="BB47" s="1197"/>
      <c r="BC47" s="1231"/>
      <c r="BF47" s="960" t="s">
        <v>1022</v>
      </c>
      <c r="BG47" s="979" t="s">
        <v>1020</v>
      </c>
      <c r="BH47" s="979" t="str" cm="1">
        <f t="array" ref="BH47">BH46</f>
        <v>МУП "Междуреченский Водоканал"::4214040174::421401001</v>
      </c>
      <c r="BI47" s="980"/>
      <c r="BJ47" s="980"/>
    </row>
    <row r="48" spans="1:62" s="1167" customFormat="1" ht="14.25" customHeight="1" x14ac:dyDescent="0.15">
      <c r="A48" s="918" t="str">
        <f ca="1">"checkVolume_1."&amp;F48&amp;"."&amp;Y46</f>
        <v>checkVolume_1.1.1</v>
      </c>
      <c r="E48" s="668">
        <v>15</v>
      </c>
      <c r="F48" s="769" t="str" cm="1">
        <f t="array" aca="1" ref="F48" ca="1">F46</f>
        <v>1</v>
      </c>
      <c r="H48" s="103" t="str" cm="1">
        <f t="array" ref="H48">H46</f>
        <v>МУП "Междуреченский Водоканал"::4214040174::421401001</v>
      </c>
      <c r="T48" s="770" t="b" cm="1">
        <f t="array" aca="1" ref="T48" ca="1">T46</f>
        <v>1</v>
      </c>
      <c r="X48" s="1481"/>
      <c r="Y48" s="1481"/>
      <c r="Z48" s="1481"/>
      <c r="AA48" s="1556"/>
      <c r="AB48" s="232" t="str">
        <f>AB46&amp;".2"</f>
        <v>1.1.2</v>
      </c>
      <c r="AC48" s="238" t="s">
        <v>1023</v>
      </c>
      <c r="AD48" s="102" t="s">
        <v>1024</v>
      </c>
      <c r="AE48" s="1197">
        <v>48.295439999999999</v>
      </c>
      <c r="AF48" s="1197">
        <v>28.225190000000001</v>
      </c>
      <c r="AG48" s="1197">
        <v>47.667119999999997</v>
      </c>
      <c r="AH48" s="1197">
        <v>49.422539999999998</v>
      </c>
      <c r="AI48" s="227">
        <v>49.422539999999998</v>
      </c>
      <c r="AJ48" s="1197"/>
      <c r="AK48" s="1197"/>
      <c r="AL48" s="1197"/>
      <c r="AM48" s="1197"/>
      <c r="AN48" s="1197"/>
      <c r="AO48" s="1197"/>
      <c r="AP48" s="1197"/>
      <c r="AQ48" s="1197"/>
      <c r="AR48" s="1197"/>
      <c r="AS48" s="227">
        <v>46.652450000000002</v>
      </c>
      <c r="AT48" s="1197"/>
      <c r="AU48" s="1197"/>
      <c r="AV48" s="1197"/>
      <c r="AW48" s="1197"/>
      <c r="AX48" s="1197"/>
      <c r="AY48" s="1197"/>
      <c r="AZ48" s="1197"/>
      <c r="BA48" s="1197"/>
      <c r="BB48" s="1197"/>
      <c r="BC48" s="1231"/>
      <c r="BF48" s="960" t="s">
        <v>1025</v>
      </c>
      <c r="BG48" s="979" t="s">
        <v>1020</v>
      </c>
      <c r="BH48" s="979" t="str" cm="1">
        <f t="array" ref="BH48">BH46</f>
        <v>МУП "Междуреченский Водоканал"::4214040174::421401001</v>
      </c>
      <c r="BI48" s="980"/>
      <c r="BJ48" s="980"/>
    </row>
    <row r="49" spans="1:62" s="1167" customFormat="1" ht="14.25" customHeight="1" x14ac:dyDescent="0.15">
      <c r="A49" s="1149"/>
      <c r="B49" s="773"/>
      <c r="C49" s="1149"/>
      <c r="D49" s="1149"/>
      <c r="E49" s="668">
        <v>15</v>
      </c>
      <c r="F49" s="769" t="str" cm="1">
        <f t="array" ref="F49">F42</f>
        <v>1</v>
      </c>
      <c r="G49" s="1153"/>
      <c r="H49" s="1153"/>
      <c r="I49" s="1153"/>
      <c r="J49" s="1153"/>
      <c r="K49" s="1153"/>
      <c r="L49" s="1153"/>
      <c r="M49" s="1153"/>
      <c r="N49" s="1153"/>
      <c r="O49" s="1153"/>
      <c r="P49" s="1153"/>
      <c r="Q49" s="140"/>
      <c r="R49" s="140"/>
      <c r="S49" s="1153"/>
      <c r="T49" s="690" t="b">
        <f>F49&gt;0</f>
        <v>1</v>
      </c>
      <c r="U49" s="1150"/>
      <c r="V49" s="1150"/>
      <c r="W49" s="312" t="s">
        <v>1026</v>
      </c>
      <c r="X49" s="1428"/>
      <c r="Y49" s="1150"/>
      <c r="Z49" s="1428"/>
      <c r="AA49" s="170"/>
      <c r="AB49" s="246"/>
      <c r="AC49" s="247" t="s">
        <v>1002</v>
      </c>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899"/>
      <c r="BD49" s="170"/>
      <c r="BE49" s="170"/>
      <c r="BF49" s="960" t="str">
        <f>IF(AND(ISNUMBER(VALUE(TRIM(SUBSTITUTE(AB49,".","")))),TRIM(SUBSTITUTE(AB49,".",""))&lt;&gt;""),"P"&amp;SUBSTITUTE(AB49,".",""),"")</f>
        <v/>
      </c>
      <c r="BG49" s="979"/>
      <c r="BH49" s="979"/>
      <c r="BI49" s="980" t="s">
        <v>1020</v>
      </c>
      <c r="BJ49" s="980"/>
    </row>
    <row r="50" spans="1:62" s="1167" customFormat="1" ht="14.25" customHeight="1" x14ac:dyDescent="0.15">
      <c r="A50" s="1149"/>
      <c r="B50" s="773"/>
      <c r="C50" s="1149"/>
      <c r="D50" s="1149"/>
      <c r="E50" s="668">
        <v>15</v>
      </c>
      <c r="F50" s="769" t="str" cm="1">
        <f t="array" ref="F50">F49</f>
        <v>1</v>
      </c>
      <c r="G50" s="140" t="s">
        <v>1027</v>
      </c>
      <c r="H50" s="1153"/>
      <c r="I50" s="1153"/>
      <c r="J50" s="1153"/>
      <c r="K50" s="1153"/>
      <c r="L50" s="1153"/>
      <c r="M50" s="1153"/>
      <c r="N50" s="1153"/>
      <c r="O50" s="1153"/>
      <c r="P50" s="1153"/>
      <c r="Q50" s="140"/>
      <c r="R50" s="140"/>
      <c r="S50" s="1153"/>
      <c r="T50" s="690" t="b">
        <f>F50&gt;0</f>
        <v>1</v>
      </c>
      <c r="U50" s="1150"/>
      <c r="V50" s="1150"/>
      <c r="W50" s="1150"/>
      <c r="X50" s="1428"/>
      <c r="Y50" s="1150"/>
      <c r="Z50" s="1428"/>
      <c r="AA50" s="170"/>
      <c r="AB50" s="230">
        <v>2</v>
      </c>
      <c r="AC50" s="225" t="s">
        <v>1028</v>
      </c>
      <c r="AD50" s="224" t="s">
        <v>830</v>
      </c>
      <c r="AE50" s="226">
        <f t="shared" ref="AE50:BB50" si="14">SUMIF($AD51:$AD58,$AD50,AE51:AE58)</f>
        <v>483.24572100000006</v>
      </c>
      <c r="AF50" s="226">
        <f t="shared" si="14"/>
        <v>0</v>
      </c>
      <c r="AG50" s="226">
        <f t="shared" si="14"/>
        <v>0</v>
      </c>
      <c r="AH50" s="226">
        <f t="shared" si="14"/>
        <v>542.02457000000004</v>
      </c>
      <c r="AI50" s="226">
        <f t="shared" si="14"/>
        <v>793.56</v>
      </c>
      <c r="AJ50" s="1263">
        <f t="shared" si="14"/>
        <v>0</v>
      </c>
      <c r="AK50" s="1263">
        <f t="shared" si="14"/>
        <v>0</v>
      </c>
      <c r="AL50" s="1270">
        <f t="shared" si="14"/>
        <v>0</v>
      </c>
      <c r="AM50" s="1270">
        <f t="shared" si="14"/>
        <v>0</v>
      </c>
      <c r="AN50" s="1270">
        <f t="shared" si="14"/>
        <v>0</v>
      </c>
      <c r="AO50" s="1270">
        <f t="shared" si="14"/>
        <v>0</v>
      </c>
      <c r="AP50" s="1270">
        <f t="shared" si="14"/>
        <v>0</v>
      </c>
      <c r="AQ50" s="1270">
        <f t="shared" si="14"/>
        <v>0</v>
      </c>
      <c r="AR50" s="1270">
        <f t="shared" si="14"/>
        <v>0</v>
      </c>
      <c r="AS50" s="226">
        <f t="shared" si="14"/>
        <v>550.84435086010001</v>
      </c>
      <c r="AT50" s="1263">
        <f t="shared" si="14"/>
        <v>0</v>
      </c>
      <c r="AU50" s="1263">
        <f t="shared" si="14"/>
        <v>0</v>
      </c>
      <c r="AV50" s="1270">
        <f t="shared" si="14"/>
        <v>0</v>
      </c>
      <c r="AW50" s="1270">
        <f t="shared" si="14"/>
        <v>0</v>
      </c>
      <c r="AX50" s="1270">
        <f t="shared" si="14"/>
        <v>0</v>
      </c>
      <c r="AY50" s="1270">
        <f t="shared" si="14"/>
        <v>0</v>
      </c>
      <c r="AZ50" s="1270">
        <f t="shared" si="14"/>
        <v>0</v>
      </c>
      <c r="BA50" s="1270">
        <f t="shared" si="14"/>
        <v>0</v>
      </c>
      <c r="BB50" s="1270">
        <f t="shared" si="14"/>
        <v>0</v>
      </c>
      <c r="BC50" s="1231"/>
      <c r="BD50" s="170"/>
      <c r="BE50" s="170"/>
      <c r="BF50" s="960" t="s">
        <v>1029</v>
      </c>
      <c r="BG50" s="979"/>
      <c r="BH50" s="979"/>
      <c r="BI50" s="980"/>
      <c r="BJ50" s="980"/>
    </row>
    <row r="51" spans="1:62" s="1167" customFormat="1" ht="0" hidden="1" customHeight="1" x14ac:dyDescent="0.15">
      <c r="A51" s="1149"/>
      <c r="B51" s="773"/>
      <c r="C51" s="1149"/>
      <c r="D51" s="1149"/>
      <c r="E51" s="668">
        <v>0.2</v>
      </c>
      <c r="F51" s="769" t="str" cm="1">
        <f t="array" aca="1" ref="F51" ca="1">OFFSET(G51,-1,-1)</f>
        <v>1</v>
      </c>
      <c r="G51" s="1153"/>
      <c r="H51" s="1153"/>
      <c r="I51" s="1153"/>
      <c r="J51" s="1153"/>
      <c r="K51" s="1153"/>
      <c r="L51" s="1153"/>
      <c r="M51" s="1153"/>
      <c r="N51" s="1153"/>
      <c r="O51" s="1153"/>
      <c r="P51" s="1153"/>
      <c r="Q51" s="140"/>
      <c r="R51" s="140"/>
      <c r="S51" s="1153"/>
      <c r="T51" s="690" t="b">
        <f ca="1">F51&gt;0</f>
        <v>1</v>
      </c>
      <c r="U51" s="1150"/>
      <c r="V51" s="1150"/>
      <c r="W51" s="1150"/>
      <c r="X51" s="1428"/>
      <c r="Y51" s="1150"/>
      <c r="Z51" s="1428"/>
      <c r="AA51" s="170"/>
      <c r="AB51" s="230"/>
      <c r="AC51" s="225"/>
      <c r="AD51" s="224"/>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37"/>
      <c r="BD51" s="170"/>
      <c r="BE51" s="170"/>
      <c r="BF51" s="960" t="str">
        <f>IF(AND(ISNUMBER(VALUE(TRIM(SUBSTITUTE(AB51,".","")))),TRIM(SUBSTITUTE(AB51,".",""))&lt;&gt;""),"P"&amp;SUBSTITUTE(AB51,".",""),"")</f>
        <v/>
      </c>
      <c r="BG51" s="979"/>
      <c r="BH51" s="979"/>
      <c r="BI51" s="980"/>
      <c r="BJ51" s="980"/>
    </row>
    <row r="52" spans="1:62" s="1167" customFormat="1" ht="14.25" hidden="1" customHeight="1" x14ac:dyDescent="0.15">
      <c r="A52" s="918" t="str">
        <f ca="1">"checkCosts_2."&amp;F52&amp;"."&amp;Y52</f>
        <v>checkCosts_2.1.0</v>
      </c>
      <c r="E52" s="668">
        <v>15</v>
      </c>
      <c r="F52" s="769" t="str" cm="1">
        <f t="array" aca="1" ref="F52" ca="1">OFFSET(G52,-1,-1)</f>
        <v>1</v>
      </c>
      <c r="H52" s="103" cm="1">
        <f t="array" ref="H52">AC52</f>
        <v>0</v>
      </c>
      <c r="T52" s="770" t="b">
        <f ca="1">AND(F52&gt;0,Y52&gt;0)</f>
        <v>0</v>
      </c>
      <c r="W52" s="107" t="s">
        <v>237</v>
      </c>
      <c r="X52" s="1481"/>
      <c r="Y52" s="1428">
        <v>0</v>
      </c>
      <c r="Z52" s="1481"/>
      <c r="AA52" s="1556" t="s">
        <v>218</v>
      </c>
      <c r="AB52" s="232" t="str">
        <f>"2."&amp;Y52</f>
        <v>2.0</v>
      </c>
      <c r="AC52" s="387"/>
      <c r="AD52" s="224" t="s">
        <v>830</v>
      </c>
      <c r="AE52" s="275">
        <f>AE53*AE54</f>
        <v>0</v>
      </c>
      <c r="AF52" s="13"/>
      <c r="AG52" s="13"/>
      <c r="AH52" s="275">
        <f>AH53*AH54</f>
        <v>0</v>
      </c>
      <c r="AI52" s="227"/>
      <c r="AJ52" s="13"/>
      <c r="AK52" s="13"/>
      <c r="AL52" s="13"/>
      <c r="AM52" s="13"/>
      <c r="AN52" s="13"/>
      <c r="AO52" s="13"/>
      <c r="AP52" s="13"/>
      <c r="AQ52" s="13"/>
      <c r="AR52" s="13"/>
      <c r="AS52" s="275">
        <f t="shared" ref="AS52:BB52" si="15">AS53*AS54</f>
        <v>0</v>
      </c>
      <c r="AT52" s="275">
        <f t="shared" si="15"/>
        <v>0</v>
      </c>
      <c r="AU52" s="275">
        <f t="shared" si="15"/>
        <v>0</v>
      </c>
      <c r="AV52" s="275">
        <f t="shared" si="15"/>
        <v>0</v>
      </c>
      <c r="AW52" s="275">
        <f t="shared" si="15"/>
        <v>0</v>
      </c>
      <c r="AX52" s="275">
        <f t="shared" si="15"/>
        <v>0</v>
      </c>
      <c r="AY52" s="275">
        <f t="shared" si="15"/>
        <v>0</v>
      </c>
      <c r="AZ52" s="275">
        <f t="shared" si="15"/>
        <v>0</v>
      </c>
      <c r="BA52" s="275">
        <f t="shared" si="15"/>
        <v>0</v>
      </c>
      <c r="BB52" s="275">
        <f t="shared" si="15"/>
        <v>0</v>
      </c>
      <c r="BC52" s="25"/>
      <c r="BF52" s="960" t="s">
        <v>1030</v>
      </c>
      <c r="BG52" s="979" t="s">
        <v>1031</v>
      </c>
      <c r="BH52" s="979" cm="1">
        <f t="array" ref="BH52">AC52</f>
        <v>0</v>
      </c>
      <c r="BI52" s="980"/>
      <c r="BJ52" s="980" t="b">
        <v>1</v>
      </c>
    </row>
    <row r="53" spans="1:62" s="1146" customFormat="1" ht="14.25" hidden="1" customHeight="1" x14ac:dyDescent="0.15">
      <c r="E53" s="668">
        <v>15</v>
      </c>
      <c r="F53" s="769" t="str" cm="1">
        <f t="array" aca="1" ref="F53" ca="1">OFFSET(G53,-1,-1)</f>
        <v>1</v>
      </c>
      <c r="H53" s="103" cm="1">
        <f t="array" ref="H53">H52</f>
        <v>0</v>
      </c>
      <c r="T53" s="770" t="b" cm="1">
        <f t="array" aca="1" ref="T53" ca="1">T52</f>
        <v>0</v>
      </c>
      <c r="X53" s="1566"/>
      <c r="Y53" s="1566"/>
      <c r="Z53" s="1566"/>
      <c r="AA53" s="1556"/>
      <c r="AB53" s="232" t="str">
        <f>AB52&amp;".1"</f>
        <v>2.0.1</v>
      </c>
      <c r="AC53" s="238" t="s">
        <v>966</v>
      </c>
      <c r="AD53" s="102" t="s">
        <v>1021</v>
      </c>
      <c r="AE53" s="13"/>
      <c r="AF53" s="275">
        <f>IF(AF54=0,0,AF52/AF54)</f>
        <v>0</v>
      </c>
      <c r="AG53" s="275">
        <f>IF(AG54=0,0,AG52/AG54)</f>
        <v>0</v>
      </c>
      <c r="AH53" s="13"/>
      <c r="AI53" s="275">
        <f t="shared" ref="AI53:AR53" si="16">IF(AI54=0,0,AI52/AI54)</f>
        <v>0</v>
      </c>
      <c r="AJ53" s="275">
        <f t="shared" si="16"/>
        <v>0</v>
      </c>
      <c r="AK53" s="275">
        <f t="shared" si="16"/>
        <v>0</v>
      </c>
      <c r="AL53" s="275">
        <f t="shared" si="16"/>
        <v>0</v>
      </c>
      <c r="AM53" s="275">
        <f t="shared" si="16"/>
        <v>0</v>
      </c>
      <c r="AN53" s="275">
        <f t="shared" si="16"/>
        <v>0</v>
      </c>
      <c r="AO53" s="275">
        <f t="shared" si="16"/>
        <v>0</v>
      </c>
      <c r="AP53" s="275">
        <f t="shared" si="16"/>
        <v>0</v>
      </c>
      <c r="AQ53" s="275">
        <f t="shared" si="16"/>
        <v>0</v>
      </c>
      <c r="AR53" s="275">
        <f t="shared" si="16"/>
        <v>0</v>
      </c>
      <c r="AS53" s="227"/>
      <c r="AT53" s="13"/>
      <c r="AU53" s="13"/>
      <c r="AV53" s="13"/>
      <c r="AW53" s="13"/>
      <c r="AX53" s="13"/>
      <c r="AY53" s="13"/>
      <c r="AZ53" s="13"/>
      <c r="BA53" s="13"/>
      <c r="BB53" s="13"/>
      <c r="BC53" s="25"/>
      <c r="BF53" s="960" t="s">
        <v>1032</v>
      </c>
      <c r="BG53" s="979" t="s">
        <v>1031</v>
      </c>
      <c r="BH53" s="979" cm="1">
        <f t="array" ref="BH53">BH52</f>
        <v>0</v>
      </c>
      <c r="BI53" s="980"/>
      <c r="BJ53" s="980"/>
    </row>
    <row r="54" spans="1:62" s="1167" customFormat="1" ht="14.25" hidden="1" customHeight="1" x14ac:dyDescent="0.15">
      <c r="A54" s="918" t="str">
        <f ca="1">"checkVolume_2."&amp;F54&amp;"."&amp;Y52</f>
        <v>checkVolume_2.1.0</v>
      </c>
      <c r="E54" s="668">
        <v>15</v>
      </c>
      <c r="F54" s="769" t="str" cm="1">
        <f t="array" aca="1" ref="F54" ca="1">OFFSET(G54,-1,-1)</f>
        <v>1</v>
      </c>
      <c r="H54" s="103" cm="1">
        <f t="array" ref="H54">H52</f>
        <v>0</v>
      </c>
      <c r="T54" s="770" t="b" cm="1">
        <f t="array" aca="1" ref="T54" ca="1">T52</f>
        <v>0</v>
      </c>
      <c r="X54" s="1481"/>
      <c r="Y54" s="1481"/>
      <c r="Z54" s="1481"/>
      <c r="AA54" s="1556"/>
      <c r="AB54" s="232" t="str">
        <f>AB52&amp;".2"</f>
        <v>2.0.2</v>
      </c>
      <c r="AC54" s="238" t="s">
        <v>1033</v>
      </c>
      <c r="AD54" s="102" t="s">
        <v>1024</v>
      </c>
      <c r="AE54" s="13"/>
      <c r="AF54" s="13"/>
      <c r="AG54" s="13"/>
      <c r="AH54" s="13"/>
      <c r="AI54" s="227"/>
      <c r="AJ54" s="13"/>
      <c r="AK54" s="13"/>
      <c r="AL54" s="13"/>
      <c r="AM54" s="13"/>
      <c r="AN54" s="13"/>
      <c r="AO54" s="13"/>
      <c r="AP54" s="13"/>
      <c r="AQ54" s="13"/>
      <c r="AR54" s="13"/>
      <c r="AS54" s="227"/>
      <c r="AT54" s="13"/>
      <c r="AU54" s="13"/>
      <c r="AV54" s="13"/>
      <c r="AW54" s="13"/>
      <c r="AX54" s="13"/>
      <c r="AY54" s="13"/>
      <c r="AZ54" s="13"/>
      <c r="BA54" s="13"/>
      <c r="BB54" s="13"/>
      <c r="BC54" s="25"/>
      <c r="BF54" s="960" t="s">
        <v>1034</v>
      </c>
      <c r="BG54" s="979" t="s">
        <v>1031</v>
      </c>
      <c r="BH54" s="979" cm="1">
        <f t="array" ref="BH54">BH52</f>
        <v>0</v>
      </c>
      <c r="BI54" s="980"/>
      <c r="BJ54" s="980"/>
    </row>
    <row r="55" spans="1:62" s="1167" customFormat="1" ht="14.25" customHeight="1" x14ac:dyDescent="0.15">
      <c r="A55" s="918" t="str">
        <f ca="1">"checkCosts_2."&amp;F55&amp;"."&amp;Y55</f>
        <v>checkCosts_2.1.1</v>
      </c>
      <c r="E55" s="668">
        <v>15</v>
      </c>
      <c r="F55" s="769" t="str" cm="1">
        <f t="array" aca="1" ref="F55" ca="1">OFFSET(G55,-1,-1)</f>
        <v>1</v>
      </c>
      <c r="H55" s="103" t="str" cm="1">
        <f t="array" ref="H55">AC55</f>
        <v>ООО ХК "СДС - Энерго"::4250003450::420501001</v>
      </c>
      <c r="T55" s="770" t="b">
        <f ca="1">AND(F55&gt;0,Y55&gt;0)</f>
        <v>1</v>
      </c>
      <c r="W55" s="107"/>
      <c r="X55" s="1481"/>
      <c r="Y55" s="1428" t="s">
        <v>339</v>
      </c>
      <c r="Z55" s="1481"/>
      <c r="AA55" s="1556" t="s">
        <v>218</v>
      </c>
      <c r="AB55" s="232" t="str">
        <f>"2."&amp;Y55</f>
        <v>2.1</v>
      </c>
      <c r="AC55" s="387" t="s">
        <v>1037</v>
      </c>
      <c r="AD55" s="224" t="s">
        <v>830</v>
      </c>
      <c r="AE55" s="275">
        <f>AE56*AE57</f>
        <v>483.24572100000006</v>
      </c>
      <c r="AF55" s="1197">
        <v>0</v>
      </c>
      <c r="AG55" s="1197">
        <v>0</v>
      </c>
      <c r="AH55" s="275">
        <f>AH56*AH57</f>
        <v>542.02457000000004</v>
      </c>
      <c r="AI55" s="227">
        <v>793.56</v>
      </c>
      <c r="AJ55" s="1197"/>
      <c r="AK55" s="1197"/>
      <c r="AL55" s="1197"/>
      <c r="AM55" s="1197"/>
      <c r="AN55" s="1197"/>
      <c r="AO55" s="1197"/>
      <c r="AP55" s="1197"/>
      <c r="AQ55" s="1197"/>
      <c r="AR55" s="1197"/>
      <c r="AS55" s="275">
        <f t="shared" ref="AS55:BB55" si="17">AS56*AS57</f>
        <v>550.84435086010001</v>
      </c>
      <c r="AT55" s="275">
        <f t="shared" si="17"/>
        <v>0</v>
      </c>
      <c r="AU55" s="275">
        <f t="shared" si="17"/>
        <v>0</v>
      </c>
      <c r="AV55" s="275">
        <f t="shared" si="17"/>
        <v>0</v>
      </c>
      <c r="AW55" s="275">
        <f t="shared" si="17"/>
        <v>0</v>
      </c>
      <c r="AX55" s="275">
        <f t="shared" si="17"/>
        <v>0</v>
      </c>
      <c r="AY55" s="275">
        <f t="shared" si="17"/>
        <v>0</v>
      </c>
      <c r="AZ55" s="275">
        <f t="shared" si="17"/>
        <v>0</v>
      </c>
      <c r="BA55" s="275">
        <f t="shared" si="17"/>
        <v>0</v>
      </c>
      <c r="BB55" s="275">
        <f t="shared" si="17"/>
        <v>0</v>
      </c>
      <c r="BC55" s="1231"/>
      <c r="BF55" s="960" t="s">
        <v>1030</v>
      </c>
      <c r="BG55" s="979" t="s">
        <v>1031</v>
      </c>
      <c r="BH55" s="979" t="str" cm="1">
        <f t="array" ref="BH55">AC55</f>
        <v>ООО ХК "СДС - Энерго"::4250003450::420501001</v>
      </c>
      <c r="BI55" s="980"/>
      <c r="BJ55" s="980" t="b">
        <v>1</v>
      </c>
    </row>
    <row r="56" spans="1:62" s="1146" customFormat="1" ht="14.25" customHeight="1" x14ac:dyDescent="0.15">
      <c r="E56" s="668">
        <v>15</v>
      </c>
      <c r="F56" s="769" t="str" cm="1">
        <f t="array" aca="1" ref="F56" ca="1">OFFSET(G56,-1,-1)</f>
        <v>1</v>
      </c>
      <c r="H56" s="103" t="str" cm="1">
        <f t="array" ref="H56">H55</f>
        <v>ООО ХК "СДС - Энерго"::4250003450::420501001</v>
      </c>
      <c r="T56" s="770" t="b" cm="1">
        <f t="array" aca="1" ref="T56" ca="1">T55</f>
        <v>1</v>
      </c>
      <c r="X56" s="1566"/>
      <c r="Y56" s="1566"/>
      <c r="Z56" s="1566"/>
      <c r="AA56" s="1556"/>
      <c r="AB56" s="232" t="str">
        <f>AB55&amp;".1"</f>
        <v>2.1.1</v>
      </c>
      <c r="AC56" s="238" t="s">
        <v>966</v>
      </c>
      <c r="AD56" s="102" t="s">
        <v>1021</v>
      </c>
      <c r="AE56" s="1197">
        <v>22.509</v>
      </c>
      <c r="AF56" s="275">
        <f>IF(AF57=0,0,AF55/AF57)</f>
        <v>0</v>
      </c>
      <c r="AG56" s="275">
        <f>IF(AG57=0,0,AG55/AG57)</f>
        <v>0</v>
      </c>
      <c r="AH56" s="1197">
        <v>24.67</v>
      </c>
      <c r="AI56" s="275">
        <f t="shared" ref="AI56:AR56" si="18">IF(AI57=0,0,AI55/AI57)</f>
        <v>36.120163859808827</v>
      </c>
      <c r="AJ56" s="275">
        <f t="shared" si="18"/>
        <v>0</v>
      </c>
      <c r="AK56" s="275">
        <f t="shared" si="18"/>
        <v>0</v>
      </c>
      <c r="AL56" s="275">
        <f t="shared" si="18"/>
        <v>0</v>
      </c>
      <c r="AM56" s="275">
        <f t="shared" si="18"/>
        <v>0</v>
      </c>
      <c r="AN56" s="275">
        <f t="shared" si="18"/>
        <v>0</v>
      </c>
      <c r="AO56" s="275">
        <f t="shared" si="18"/>
        <v>0</v>
      </c>
      <c r="AP56" s="275">
        <f t="shared" si="18"/>
        <v>0</v>
      </c>
      <c r="AQ56" s="275">
        <f t="shared" si="18"/>
        <v>0</v>
      </c>
      <c r="AR56" s="275">
        <f t="shared" si="18"/>
        <v>0</v>
      </c>
      <c r="AS56" s="227">
        <v>26.56127</v>
      </c>
      <c r="AT56" s="1197"/>
      <c r="AU56" s="1197"/>
      <c r="AV56" s="1197"/>
      <c r="AW56" s="1197"/>
      <c r="AX56" s="1197"/>
      <c r="AY56" s="1197"/>
      <c r="AZ56" s="1197"/>
      <c r="BA56" s="1197"/>
      <c r="BB56" s="1197"/>
      <c r="BC56" s="1231"/>
      <c r="BF56" s="960" t="s">
        <v>1032</v>
      </c>
      <c r="BG56" s="979" t="s">
        <v>1031</v>
      </c>
      <c r="BH56" s="979" t="str" cm="1">
        <f t="array" ref="BH56">BH55</f>
        <v>ООО ХК "СДС - Энерго"::4250003450::420501001</v>
      </c>
      <c r="BI56" s="980"/>
      <c r="BJ56" s="980"/>
    </row>
    <row r="57" spans="1:62" s="1167" customFormat="1" ht="14.25" customHeight="1" x14ac:dyDescent="0.15">
      <c r="A57" s="918" t="str">
        <f ca="1">"checkVolume_2."&amp;F57&amp;"."&amp;Y55</f>
        <v>checkVolume_2.1.1</v>
      </c>
      <c r="E57" s="668">
        <v>15</v>
      </c>
      <c r="F57" s="769" t="str" cm="1">
        <f t="array" aca="1" ref="F57" ca="1">OFFSET(G57,-1,-1)</f>
        <v>1</v>
      </c>
      <c r="H57" s="103" t="str" cm="1">
        <f t="array" ref="H57">H55</f>
        <v>ООО ХК "СДС - Энерго"::4250003450::420501001</v>
      </c>
      <c r="T57" s="770" t="b" cm="1">
        <f t="array" aca="1" ref="T57" ca="1">T55</f>
        <v>1</v>
      </c>
      <c r="X57" s="1481"/>
      <c r="Y57" s="1481"/>
      <c r="Z57" s="1481"/>
      <c r="AA57" s="1556"/>
      <c r="AB57" s="232" t="str">
        <f>AB55&amp;".2"</f>
        <v>2.1.2</v>
      </c>
      <c r="AC57" s="238" t="s">
        <v>1033</v>
      </c>
      <c r="AD57" s="102" t="s">
        <v>1024</v>
      </c>
      <c r="AE57" s="1197">
        <v>21.469000000000001</v>
      </c>
      <c r="AF57" s="1197">
        <v>0</v>
      </c>
      <c r="AG57" s="1197">
        <v>0</v>
      </c>
      <c r="AH57" s="1197">
        <v>21.971</v>
      </c>
      <c r="AI57" s="227">
        <v>21.97</v>
      </c>
      <c r="AJ57" s="1197"/>
      <c r="AK57" s="1197"/>
      <c r="AL57" s="1197"/>
      <c r="AM57" s="1197"/>
      <c r="AN57" s="1197"/>
      <c r="AO57" s="1197"/>
      <c r="AP57" s="1197"/>
      <c r="AQ57" s="1197"/>
      <c r="AR57" s="1197"/>
      <c r="AS57" s="227">
        <v>20.738630000000001</v>
      </c>
      <c r="AT57" s="1197"/>
      <c r="AU57" s="1197"/>
      <c r="AV57" s="1197"/>
      <c r="AW57" s="1197"/>
      <c r="AX57" s="1197"/>
      <c r="AY57" s="1197"/>
      <c r="AZ57" s="1197"/>
      <c r="BA57" s="1197"/>
      <c r="BB57" s="1197"/>
      <c r="BC57" s="1231"/>
      <c r="BF57" s="960" t="s">
        <v>1034</v>
      </c>
      <c r="BG57" s="979" t="s">
        <v>1031</v>
      </c>
      <c r="BH57" s="979" t="str" cm="1">
        <f t="array" ref="BH57">BH55</f>
        <v>ООО ХК "СДС - Энерго"::4250003450::420501001</v>
      </c>
      <c r="BI57" s="980"/>
      <c r="BJ57" s="980"/>
    </row>
    <row r="58" spans="1:62" s="1167" customFormat="1" ht="14.25" customHeight="1" x14ac:dyDescent="0.15">
      <c r="A58" s="1149"/>
      <c r="B58" s="773"/>
      <c r="C58" s="1149"/>
      <c r="D58" s="1149"/>
      <c r="E58" s="668">
        <v>15</v>
      </c>
      <c r="F58" s="769" t="str" cm="1">
        <f t="array" aca="1" ref="F58" ca="1">OFFSET(G58,-1,-1)</f>
        <v>1</v>
      </c>
      <c r="G58" s="1153"/>
      <c r="H58" s="1153"/>
      <c r="I58" s="1153"/>
      <c r="J58" s="1153"/>
      <c r="K58" s="1153"/>
      <c r="L58" s="1153"/>
      <c r="M58" s="1153"/>
      <c r="N58" s="1153"/>
      <c r="O58" s="1153"/>
      <c r="P58" s="1153"/>
      <c r="Q58" s="140"/>
      <c r="R58" s="140"/>
      <c r="S58" s="1153"/>
      <c r="T58" s="690" t="b">
        <f ca="1">F58&gt;0</f>
        <v>1</v>
      </c>
      <c r="U58" s="1150"/>
      <c r="V58" s="1150"/>
      <c r="W58" s="312" t="s">
        <v>1035</v>
      </c>
      <c r="X58" s="1428"/>
      <c r="Y58" s="1150"/>
      <c r="Z58" s="1428"/>
      <c r="AA58" s="170"/>
      <c r="AB58" s="246"/>
      <c r="AC58" s="247" t="s">
        <v>1002</v>
      </c>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8"/>
      <c r="BD58" s="170"/>
      <c r="BE58" s="170"/>
      <c r="BF58" s="979"/>
      <c r="BG58" s="979"/>
      <c r="BH58" s="979"/>
      <c r="BI58" s="980" t="s">
        <v>1031</v>
      </c>
      <c r="BJ58" s="980"/>
    </row>
    <row r="59" spans="1:62" ht="11.1" customHeight="1" x14ac:dyDescent="0.15">
      <c r="E59" s="772">
        <v>11.4</v>
      </c>
      <c r="Q59" s="612"/>
      <c r="U59" s="126" t="s">
        <v>239</v>
      </c>
      <c r="V59" s="119" t="s">
        <v>1038</v>
      </c>
    </row>
    <row r="60" spans="1:62" ht="11.25" hidden="1" customHeight="1" x14ac:dyDescent="0.15">
      <c r="E60" s="772">
        <v>0</v>
      </c>
      <c r="Q60" s="612"/>
      <c r="V60" s="119"/>
    </row>
    <row r="61" spans="1:62" s="417" customFormat="1" ht="14.65" customHeight="1" x14ac:dyDescent="0.15">
      <c r="A61" s="123"/>
      <c r="B61" s="659"/>
      <c r="C61" s="123"/>
      <c r="D61" s="123"/>
      <c r="E61" s="668">
        <v>15</v>
      </c>
      <c r="F61" s="123"/>
      <c r="Q61" s="612"/>
      <c r="R61" s="612"/>
      <c r="T61" s="123"/>
      <c r="U61" s="123"/>
      <c r="V61" s="123"/>
      <c r="W61" s="123"/>
      <c r="X61" s="123"/>
      <c r="Y61" s="123"/>
      <c r="Z61" s="123"/>
      <c r="AB61" s="1558" t="s">
        <v>725</v>
      </c>
      <c r="AC61" s="1558"/>
      <c r="AD61" s="1558"/>
      <c r="AE61" s="1558"/>
      <c r="AF61" s="1558"/>
      <c r="AG61" s="1558"/>
      <c r="AH61" s="1558"/>
      <c r="AI61" s="1559"/>
      <c r="AJ61" s="1559"/>
      <c r="AK61" s="1559"/>
      <c r="AL61" s="1559"/>
      <c r="AM61" s="1559"/>
      <c r="AN61" s="1559"/>
      <c r="AO61" s="1559"/>
      <c r="AP61" s="1559"/>
      <c r="AQ61" s="1559"/>
      <c r="AR61" s="1559"/>
      <c r="AS61" s="1559"/>
      <c r="AT61" s="1559"/>
      <c r="AU61" s="1559"/>
      <c r="AV61" s="1559"/>
      <c r="AW61" s="1559"/>
      <c r="AX61" s="1559"/>
      <c r="AY61" s="1559"/>
      <c r="AZ61" s="1559"/>
      <c r="BA61" s="1559"/>
      <c r="BB61" s="1559"/>
      <c r="BC61" s="1559"/>
      <c r="BF61" s="971"/>
      <c r="BG61" s="971"/>
      <c r="BH61" s="971"/>
      <c r="BI61" s="974"/>
      <c r="BJ61" s="974"/>
    </row>
    <row r="62" spans="1:62" s="417" customFormat="1" ht="14.65" customHeight="1" x14ac:dyDescent="0.15">
      <c r="A62" s="123"/>
      <c r="B62" s="659"/>
      <c r="C62" s="123"/>
      <c r="D62" s="123"/>
      <c r="E62" s="668">
        <v>15</v>
      </c>
      <c r="F62" s="123"/>
      <c r="Q62" s="612"/>
      <c r="R62" s="612"/>
      <c r="T62" s="123"/>
      <c r="U62" s="123"/>
      <c r="V62" s="123"/>
      <c r="W62" s="123"/>
      <c r="X62" s="123"/>
      <c r="Y62" s="123"/>
      <c r="Z62" s="123"/>
      <c r="AA62" s="768"/>
      <c r="AB62" s="1560"/>
      <c r="AC62" s="1560"/>
      <c r="AD62" s="1560"/>
      <c r="AE62" s="1560"/>
      <c r="AF62" s="1560"/>
      <c r="AG62" s="1560"/>
      <c r="AH62" s="1560"/>
      <c r="AI62" s="1561"/>
      <c r="AJ62" s="1562"/>
      <c r="AK62" s="1562"/>
      <c r="AL62" s="1562"/>
      <c r="AM62" s="1562"/>
      <c r="AN62" s="1562"/>
      <c r="AO62" s="1562"/>
      <c r="AP62" s="1562"/>
      <c r="AQ62" s="1562"/>
      <c r="AR62" s="1562"/>
      <c r="AS62" s="1561"/>
      <c r="AT62" s="1562"/>
      <c r="AU62" s="1562"/>
      <c r="AV62" s="1562"/>
      <c r="AW62" s="1562"/>
      <c r="AX62" s="1562"/>
      <c r="AY62" s="1562"/>
      <c r="AZ62" s="1562"/>
      <c r="BA62" s="1562"/>
      <c r="BB62" s="1562"/>
      <c r="BC62" s="1561"/>
      <c r="BF62" s="971"/>
      <c r="BG62" s="971"/>
      <c r="BH62" s="971"/>
      <c r="BI62" s="974"/>
      <c r="BJ62" s="974"/>
    </row>
    <row r="63" spans="1:62" s="417" customFormat="1" ht="14.65" hidden="1" customHeight="1" x14ac:dyDescent="0.15">
      <c r="A63" s="123"/>
      <c r="B63" s="659"/>
      <c r="C63" s="123"/>
      <c r="D63" s="123"/>
      <c r="E63" s="668">
        <v>15</v>
      </c>
      <c r="F63" s="123"/>
      <c r="Q63" s="612"/>
      <c r="R63" s="612"/>
      <c r="T63" s="679" t="b">
        <f>ROW(W63)&gt;ROW(W$63)</f>
        <v>0</v>
      </c>
      <c r="U63" s="123"/>
      <c r="V63" s="123"/>
      <c r="W63" s="123" t="s">
        <v>237</v>
      </c>
      <c r="X63" s="123"/>
      <c r="Y63" s="123"/>
      <c r="Z63" s="123"/>
      <c r="AA63" s="764" t="s">
        <v>218</v>
      </c>
      <c r="AB63" s="1565"/>
      <c r="AC63" s="1565"/>
      <c r="AD63" s="1565"/>
      <c r="AE63" s="1565"/>
      <c r="AF63" s="1565"/>
      <c r="AG63" s="1565"/>
      <c r="AH63" s="1565"/>
      <c r="AI63" s="1561"/>
      <c r="AJ63" s="1562"/>
      <c r="AK63" s="1562"/>
      <c r="AL63" s="1562"/>
      <c r="AM63" s="1562"/>
      <c r="AN63" s="1562"/>
      <c r="AO63" s="1562"/>
      <c r="AP63" s="1562"/>
      <c r="AQ63" s="1562"/>
      <c r="AR63" s="1562"/>
      <c r="AS63" s="1561"/>
      <c r="AT63" s="1562"/>
      <c r="AU63" s="1562"/>
      <c r="AV63" s="1562"/>
      <c r="AW63" s="1562"/>
      <c r="AX63" s="1562"/>
      <c r="AY63" s="1562"/>
      <c r="AZ63" s="1562"/>
      <c r="BA63" s="1562"/>
      <c r="BB63" s="1562"/>
      <c r="BC63" s="1562"/>
      <c r="BF63" s="971"/>
      <c r="BG63" s="971"/>
      <c r="BH63" s="971"/>
      <c r="BI63" s="974"/>
      <c r="BJ63" s="974"/>
    </row>
    <row r="64" spans="1:62" s="417" customFormat="1" ht="14.65" customHeight="1" x14ac:dyDescent="0.15">
      <c r="A64" s="123"/>
      <c r="B64" s="659"/>
      <c r="C64" s="123"/>
      <c r="D64" s="123"/>
      <c r="E64" s="668">
        <v>15</v>
      </c>
      <c r="F64" s="123"/>
      <c r="Q64" s="612"/>
      <c r="R64" s="612"/>
      <c r="T64" s="123"/>
      <c r="U64" s="123"/>
      <c r="V64" s="123"/>
      <c r="W64" s="119" t="s">
        <v>1039</v>
      </c>
      <c r="X64" s="123"/>
      <c r="Y64" s="123"/>
      <c r="Z64" s="123"/>
      <c r="AB64" s="1500" t="s">
        <v>726</v>
      </c>
      <c r="AC64" s="1501"/>
      <c r="AD64" s="317"/>
      <c r="AE64" s="317"/>
      <c r="AF64" s="318"/>
      <c r="AG64" s="318"/>
      <c r="AH64" s="318"/>
      <c r="AI64" s="318"/>
      <c r="AJ64" s="318"/>
      <c r="AK64" s="318"/>
      <c r="AL64" s="318"/>
      <c r="AM64" s="318"/>
      <c r="AN64" s="318"/>
      <c r="AO64" s="318"/>
      <c r="AP64" s="318"/>
      <c r="AQ64" s="318"/>
      <c r="AR64" s="318"/>
      <c r="AS64" s="318"/>
      <c r="AT64" s="318"/>
      <c r="AU64" s="318"/>
      <c r="AV64" s="318"/>
      <c r="AW64" s="318"/>
      <c r="AX64" s="318"/>
      <c r="AY64" s="318"/>
      <c r="AZ64" s="318"/>
      <c r="BA64" s="318"/>
      <c r="BB64" s="318"/>
      <c r="BC64" s="319"/>
      <c r="BF64" s="971"/>
      <c r="BG64" s="971"/>
      <c r="BH64" s="971"/>
      <c r="BI64" s="974"/>
      <c r="BJ64" s="974"/>
    </row>
  </sheetData>
  <sheetProtection formatColumns="0" formatRows="0" insertRows="0" deleteColumns="0" deleteRows="0" sort="0" autoFilter="0"/>
  <mergeCells count="24">
    <mergeCell ref="X40:X58"/>
    <mergeCell ref="Z40:Z58"/>
    <mergeCell ref="Y52:Y54"/>
    <mergeCell ref="AA52:AA54"/>
    <mergeCell ref="Y43:Y45"/>
    <mergeCell ref="AA43:AA45"/>
    <mergeCell ref="Y46:Y48"/>
    <mergeCell ref="AA46:AA48"/>
    <mergeCell ref="AB61:BC61"/>
    <mergeCell ref="AB62:BC62"/>
    <mergeCell ref="AB64:AC64"/>
    <mergeCell ref="Y36:Y38"/>
    <mergeCell ref="AA36:AA38"/>
    <mergeCell ref="AB63:BC63"/>
    <mergeCell ref="BC24:BC25"/>
    <mergeCell ref="Y30:Y32"/>
    <mergeCell ref="AA30:AA32"/>
    <mergeCell ref="X27:X39"/>
    <mergeCell ref="Z27:Z39"/>
    <mergeCell ref="Y55:Y57"/>
    <mergeCell ref="AA55:AA57"/>
    <mergeCell ref="AB24:AB25"/>
    <mergeCell ref="AC24:AC25"/>
    <mergeCell ref="AD24:AD25"/>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AE57 AF54:AF57 AG54:AG57 AH54:AH57 AI54:AI57 AJ54:AJ57 AK54:AK57 AL54:AL57 AM54:AM57 AN54:AN57 AO54:AO57 AP54:AP57 AQ54:AQ57 AR54:AR57 AS54:AS57 AT54:AT57 AU54:AU57 AV54:AV57 AW54:AW57 AX54:AX57 AY54:AY57 AZ54:AZ57 BA54:BA57 BB54:BB57" xr:uid="{00000000-0002-0000-0D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D9B8-156B-25B8-FA1D-D7FB102FE7C8}">
  <sheetPr>
    <tabColor rgb="FF002060"/>
    <outlinePr summaryBelow="0" summaryRight="0"/>
    <pageSetUpPr fitToPage="1"/>
  </sheetPr>
  <dimension ref="A1:BF231"/>
  <sheetViews>
    <sheetView showGridLines="0" workbookViewId="0">
      <pane xSplit="30" ySplit="26" topLeftCell="AE201" activePane="bottomRight" state="frozen"/>
      <selection pane="topRight" activeCell="AE1" sqref="AE1"/>
      <selection pane="bottomLeft" activeCell="A27" sqref="A27"/>
      <selection pane="bottomRight" activeCell="AS212" sqref="AS212"/>
    </sheetView>
  </sheetViews>
  <sheetFormatPr defaultColWidth="8.7109375" defaultRowHeight="11.25" customHeight="1" x14ac:dyDescent="0.15"/>
  <cols>
    <col min="1" max="1" width="3.5703125" style="1150" hidden="1" customWidth="1"/>
    <col min="2" max="2" width="8.5703125" style="773" hidden="1" customWidth="1"/>
    <col min="3" max="4" width="3.5703125" style="1150" hidden="1" customWidth="1"/>
    <col min="5" max="5" width="8.42578125" style="772" hidden="1" customWidth="1"/>
    <col min="6" max="6" width="6.42578125" style="1150" hidden="1" customWidth="1"/>
    <col min="7" max="16" width="3.5703125" style="804" hidden="1" customWidth="1"/>
    <col min="17" max="18" width="3.5703125" style="774" hidden="1" customWidth="1"/>
    <col min="19" max="19" width="3.5703125" style="804" hidden="1" customWidth="1"/>
    <col min="20" max="20" width="9.57031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781" customWidth="1"/>
    <col min="28" max="28" width="7.28515625" style="781" customWidth="1"/>
    <col min="29" max="29" width="41.7109375" style="781" customWidth="1"/>
    <col min="30" max="30" width="11.140625" style="149" customWidth="1"/>
    <col min="31" max="35" width="12.5703125" style="149" customWidth="1"/>
    <col min="36" max="44" width="12.5703125" style="149" hidden="1" customWidth="1"/>
    <col min="45" max="45" width="12.5703125" style="149" customWidth="1"/>
    <col min="46" max="54" width="12.5703125" style="149" hidden="1" customWidth="1"/>
    <col min="55" max="55" width="20.140625" style="781" customWidth="1"/>
    <col min="56" max="56" width="3" style="781" customWidth="1"/>
    <col min="57" max="57" width="8.7109375" style="781" hidden="1"/>
    <col min="58" max="58" width="10" style="967" hidden="1" customWidth="1"/>
  </cols>
  <sheetData>
    <row r="1" spans="1:58" s="1150" customFormat="1" ht="12" hidden="1" customHeight="1" x14ac:dyDescent="0.15">
      <c r="B1" s="659"/>
      <c r="E1" s="659"/>
      <c r="F1" s="690" t="s">
        <v>83</v>
      </c>
      <c r="G1" s="161"/>
      <c r="H1" s="161"/>
      <c r="I1" s="161"/>
      <c r="J1" s="161"/>
      <c r="K1" s="161"/>
      <c r="L1" s="161"/>
      <c r="M1" s="161"/>
      <c r="N1" s="161"/>
      <c r="O1" s="161"/>
      <c r="P1" s="161"/>
      <c r="Q1" s="612"/>
      <c r="R1" s="612"/>
      <c r="S1" s="161"/>
      <c r="T1" s="679" t="s">
        <v>86</v>
      </c>
      <c r="U1" s="679" t="s">
        <v>91</v>
      </c>
      <c r="V1" s="679" t="s">
        <v>87</v>
      </c>
      <c r="W1" s="679" t="s">
        <v>88</v>
      </c>
      <c r="X1" s="679" t="s">
        <v>89</v>
      </c>
      <c r="Y1" s="690" t="s">
        <v>374</v>
      </c>
      <c r="Z1" s="679" t="s">
        <v>93</v>
      </c>
      <c r="AA1" s="690" t="s">
        <v>90</v>
      </c>
      <c r="AB1" s="690" t="s">
        <v>92</v>
      </c>
      <c r="BF1" s="960" t="s">
        <v>375</v>
      </c>
    </row>
    <row r="2" spans="1:58" s="773" customFormat="1" ht="12" hidden="1" customHeight="1" x14ac:dyDescent="0.15">
      <c r="B2" s="758" t="s">
        <v>15</v>
      </c>
      <c r="G2" s="776"/>
      <c r="H2" s="776"/>
      <c r="I2" s="776"/>
      <c r="J2" s="776"/>
      <c r="K2" s="776"/>
      <c r="L2" s="776"/>
      <c r="M2" s="776"/>
      <c r="N2" s="776"/>
      <c r="O2" s="776"/>
      <c r="P2" s="776"/>
      <c r="Q2" s="776"/>
      <c r="R2" s="776"/>
      <c r="S2" s="776"/>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963"/>
    </row>
    <row r="3" spans="1:58" s="1150" customFormat="1" ht="12" hidden="1" customHeight="1" x14ac:dyDescent="0.15">
      <c r="B3" s="659"/>
      <c r="E3" s="659"/>
      <c r="G3" s="161"/>
      <c r="H3" s="161"/>
      <c r="I3" s="161"/>
      <c r="J3" s="161"/>
      <c r="K3" s="161"/>
      <c r="L3" s="161"/>
      <c r="M3" s="161"/>
      <c r="N3" s="161"/>
      <c r="O3" s="161"/>
      <c r="P3" s="161"/>
      <c r="Q3" s="612"/>
      <c r="R3" s="612"/>
      <c r="S3" s="161"/>
      <c r="BF3" s="960"/>
    </row>
    <row r="4" spans="1:58" s="1150" customFormat="1" ht="12" hidden="1" customHeight="1" x14ac:dyDescent="0.15">
      <c r="B4" s="659"/>
      <c r="E4" s="659"/>
      <c r="G4" s="161"/>
      <c r="H4" s="161"/>
      <c r="I4" s="161"/>
      <c r="J4" s="161"/>
      <c r="K4" s="161"/>
      <c r="L4" s="161"/>
      <c r="M4" s="161"/>
      <c r="N4" s="161"/>
      <c r="O4" s="161"/>
      <c r="P4" s="161"/>
      <c r="Q4" s="612"/>
      <c r="R4" s="612"/>
      <c r="S4" s="161"/>
      <c r="BF4" s="960"/>
    </row>
    <row r="5" spans="1:58"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7.25</v>
      </c>
      <c r="AC5" s="668">
        <v>41.75</v>
      </c>
      <c r="AD5" s="668">
        <v>11.13</v>
      </c>
      <c r="AE5" s="668">
        <v>12.63</v>
      </c>
      <c r="AF5" s="668">
        <v>12.63</v>
      </c>
      <c r="AG5" s="668">
        <v>12.63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20.13</v>
      </c>
      <c r="BD5" s="668">
        <v>3</v>
      </c>
      <c r="BF5" s="963"/>
    </row>
    <row r="6" spans="1:58" s="1150" customFormat="1" ht="12" hidden="1" customHeight="1" x14ac:dyDescent="0.15">
      <c r="B6" s="659"/>
      <c r="E6" s="668"/>
      <c r="G6" s="161"/>
      <c r="H6" s="161"/>
      <c r="I6" s="161"/>
      <c r="J6" s="161"/>
      <c r="K6" s="161"/>
      <c r="L6" s="161"/>
      <c r="M6" s="161"/>
      <c r="N6" s="161"/>
      <c r="O6" s="161"/>
      <c r="P6" s="161"/>
      <c r="Q6" s="612"/>
      <c r="R6" s="612"/>
      <c r="S6" s="161"/>
      <c r="AE6" s="126">
        <f>god-2</f>
        <v>2024</v>
      </c>
      <c r="AF6" s="126">
        <f>god-2</f>
        <v>2024</v>
      </c>
      <c r="AG6" s="126">
        <f>god-2</f>
        <v>2024</v>
      </c>
      <c r="AH6" s="126">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60"/>
    </row>
    <row r="7" spans="1:58" s="804" customFormat="1" ht="12" hidden="1" customHeight="1" x14ac:dyDescent="0.15">
      <c r="A7" s="126"/>
      <c r="B7" s="659"/>
      <c r="C7" s="126"/>
      <c r="D7" s="126"/>
      <c r="E7" s="668"/>
      <c r="Q7" s="612"/>
      <c r="R7" s="612"/>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Принято органом регулирования</v>
      </c>
      <c r="AI7" s="161" t="str" cm="1">
        <f t="array" ref="AI7">AI25</f>
        <v>Предложение организации</v>
      </c>
      <c r="AJ7" s="161" t="str" cm="1">
        <f t="array" ref="AJ7">AJ25</f>
        <v>Предложение организации</v>
      </c>
      <c r="AK7" s="161" t="str" cm="1">
        <f t="array" ref="AK7">AK25</f>
        <v>Предложение организации</v>
      </c>
      <c r="AL7" s="161" t="str" cm="1">
        <f t="array" ref="AL7">AL25</f>
        <v>Предложение организации</v>
      </c>
      <c r="AM7" s="161" t="str" cm="1">
        <f t="array" ref="AM7">AM25</f>
        <v>Предложение организации</v>
      </c>
      <c r="AN7" s="161" t="str" cm="1">
        <f t="array" ref="AN7">AN25</f>
        <v>Предложение организации</v>
      </c>
      <c r="AO7" s="161" t="str" cm="1">
        <f t="array" ref="AO7">AO25</f>
        <v>Предложение организации</v>
      </c>
      <c r="AP7" s="161" t="str" cm="1">
        <f t="array" ref="AP7">AP25</f>
        <v>Предложение организации</v>
      </c>
      <c r="AQ7" s="161" t="str" cm="1">
        <f t="array" ref="AQ7">AQ25</f>
        <v>Предложение организации</v>
      </c>
      <c r="AR7" s="161" t="str" cm="1">
        <f t="array" ref="AR7">AR25</f>
        <v>Предложение организации</v>
      </c>
      <c r="AS7" s="161" t="str" cm="1">
        <f t="array" ref="AS7">AS25</f>
        <v>Принято органом регулирования</v>
      </c>
      <c r="AT7" s="161" t="str" cm="1">
        <f t="array" ref="AT7">AT25</f>
        <v>Принято органом регулирования</v>
      </c>
      <c r="AU7" s="161" t="str" cm="1">
        <f t="array" ref="AU7">AU25</f>
        <v>Принято органом регулирования</v>
      </c>
      <c r="AV7" s="161" t="str" cm="1">
        <f t="array" ref="AV7">AV25</f>
        <v>Принято органом регулирования</v>
      </c>
      <c r="AW7" s="161" t="str" cm="1">
        <f t="array" ref="AW7">AW25</f>
        <v>Принято органом регулирования</v>
      </c>
      <c r="AX7" s="161" t="str" cm="1">
        <f t="array" ref="AX7">AX25</f>
        <v>Принято органом регулирования</v>
      </c>
      <c r="AY7" s="161" t="str" cm="1">
        <f t="array" ref="AY7">AY25</f>
        <v>Принято органом регулирования</v>
      </c>
      <c r="AZ7" s="161" t="str" cm="1">
        <f t="array" ref="AZ7">AZ25</f>
        <v>Принято органом регулирования</v>
      </c>
      <c r="BA7" s="161" t="str" cm="1">
        <f t="array" ref="BA7">BA25</f>
        <v>Принято органом регулирования</v>
      </c>
      <c r="BB7" s="161" t="str" cm="1">
        <f t="array" ref="BB7">BB25</f>
        <v>Принято органом регулирования</v>
      </c>
      <c r="BF7" s="960"/>
    </row>
    <row r="8" spans="1:58" s="804" customFormat="1" ht="12" hidden="1" customHeight="1" x14ac:dyDescent="0.15">
      <c r="A8" s="126"/>
      <c r="B8" s="659"/>
      <c r="C8" s="126"/>
      <c r="D8" s="126"/>
      <c r="E8" s="668"/>
      <c r="Q8" s="612"/>
      <c r="R8" s="612"/>
      <c r="BF8" s="960"/>
    </row>
    <row r="9" spans="1:58" s="959" customFormat="1" ht="12" hidden="1" customHeight="1" x14ac:dyDescent="0.15">
      <c r="A9" s="945" t="s">
        <v>461</v>
      </c>
      <c r="B9" s="941"/>
      <c r="E9" s="941"/>
      <c r="Q9" s="950"/>
      <c r="R9" s="950"/>
      <c r="AE9" s="939">
        <f>god-2</f>
        <v>2024</v>
      </c>
      <c r="AF9" s="939">
        <f>god-2</f>
        <v>2024</v>
      </c>
      <c r="AG9" s="939">
        <f>god-2</f>
        <v>2024</v>
      </c>
      <c r="AH9" s="939">
        <f>god-1</f>
        <v>2025</v>
      </c>
      <c r="AI9" s="939" cm="1">
        <f t="array" ref="AI9">god</f>
        <v>2026</v>
      </c>
      <c r="AJ9" s="939">
        <f>god+1</f>
        <v>2027</v>
      </c>
      <c r="AK9" s="939">
        <f>god+2</f>
        <v>2028</v>
      </c>
      <c r="AL9" s="939">
        <f>god+3</f>
        <v>2029</v>
      </c>
      <c r="AM9" s="939">
        <f>god+4</f>
        <v>2030</v>
      </c>
      <c r="AN9" s="939">
        <f>god+5</f>
        <v>2031</v>
      </c>
      <c r="AO9" s="939">
        <f>god+6</f>
        <v>2032</v>
      </c>
      <c r="AP9" s="939">
        <f>god+7</f>
        <v>2033</v>
      </c>
      <c r="AQ9" s="939">
        <f>god+8</f>
        <v>2034</v>
      </c>
      <c r="AR9" s="939">
        <f>god+9</f>
        <v>2035</v>
      </c>
      <c r="AS9" s="939" cm="1">
        <f t="array" ref="AS9">god</f>
        <v>2026</v>
      </c>
      <c r="AT9" s="939">
        <f>god+1</f>
        <v>2027</v>
      </c>
      <c r="AU9" s="939">
        <f>god+2</f>
        <v>2028</v>
      </c>
      <c r="AV9" s="939">
        <f>god+3</f>
        <v>2029</v>
      </c>
      <c r="AW9" s="939">
        <f>god+4</f>
        <v>2030</v>
      </c>
      <c r="AX9" s="939">
        <f>god+5</f>
        <v>2031</v>
      </c>
      <c r="AY9" s="939">
        <f>god+6</f>
        <v>2032</v>
      </c>
      <c r="AZ9" s="939">
        <f>god+7</f>
        <v>2033</v>
      </c>
      <c r="BA9" s="939">
        <f>god+8</f>
        <v>2034</v>
      </c>
      <c r="BB9" s="939">
        <f>god+9</f>
        <v>2035</v>
      </c>
      <c r="BF9" s="960"/>
    </row>
    <row r="10" spans="1:58" s="959" customFormat="1" ht="12" hidden="1" customHeight="1" x14ac:dyDescent="0.15">
      <c r="A10" s="945" t="s">
        <v>462</v>
      </c>
      <c r="B10" s="941"/>
      <c r="E10" s="941"/>
      <c r="Q10" s="950"/>
      <c r="R10" s="950"/>
      <c r="AE10" s="939" t="str" cm="1">
        <f t="array" ref="AE10">AE25</f>
        <v>Принято органом регулирования</v>
      </c>
      <c r="AF10" s="939" t="str" cm="1">
        <f t="array" ref="AF10">AF25</f>
        <v>Факт по данным организации</v>
      </c>
      <c r="AG10" s="939" t="str" cm="1">
        <f t="array" ref="AG10">AG25</f>
        <v>Факт, принятый органом регулирования</v>
      </c>
      <c r="AH10" s="939" t="str" cm="1">
        <f t="array" ref="AH10">AH25</f>
        <v>Принято органом регулирования</v>
      </c>
      <c r="AI10" s="939" t="str" cm="1">
        <f t="array" ref="AI10">AI25</f>
        <v>Предложение организации</v>
      </c>
      <c r="AJ10" s="939" t="str" cm="1">
        <f t="array" ref="AJ10">AJ25</f>
        <v>Предложение организации</v>
      </c>
      <c r="AK10" s="939" t="str" cm="1">
        <f t="array" ref="AK10">AK25</f>
        <v>Предложение организации</v>
      </c>
      <c r="AL10" s="939" t="str" cm="1">
        <f t="array" ref="AL10">AL25</f>
        <v>Предложение организации</v>
      </c>
      <c r="AM10" s="939" t="str" cm="1">
        <f t="array" ref="AM10">AM25</f>
        <v>Предложение организации</v>
      </c>
      <c r="AN10" s="939" t="str" cm="1">
        <f t="array" ref="AN10">AN25</f>
        <v>Предложение организации</v>
      </c>
      <c r="AO10" s="939" t="str" cm="1">
        <f t="array" ref="AO10">AO25</f>
        <v>Предложение организации</v>
      </c>
      <c r="AP10" s="939" t="str" cm="1">
        <f t="array" ref="AP10">AP25</f>
        <v>Предложение организации</v>
      </c>
      <c r="AQ10" s="939" t="str" cm="1">
        <f t="array" ref="AQ10">AQ25</f>
        <v>Предложение организации</v>
      </c>
      <c r="AR10" s="939" t="str" cm="1">
        <f t="array" ref="AR10">AR25</f>
        <v>Предложение организации</v>
      </c>
      <c r="AS10" s="939" t="str" cm="1">
        <f t="array" ref="AS10">AS25</f>
        <v>Принято органом регулирования</v>
      </c>
      <c r="AT10" s="939" t="str" cm="1">
        <f t="array" ref="AT10">AT25</f>
        <v>Принято органом регулирования</v>
      </c>
      <c r="AU10" s="939" t="str" cm="1">
        <f t="array" ref="AU10">AU25</f>
        <v>Принято органом регулирования</v>
      </c>
      <c r="AV10" s="939" t="str" cm="1">
        <f t="array" ref="AV10">AV25</f>
        <v>Принято органом регулирования</v>
      </c>
      <c r="AW10" s="939" t="str" cm="1">
        <f t="array" ref="AW10">AW25</f>
        <v>Принято органом регулирования</v>
      </c>
      <c r="AX10" s="939" t="str" cm="1">
        <f t="array" ref="AX10">AX25</f>
        <v>Принято органом регулирования</v>
      </c>
      <c r="AY10" s="939" t="str" cm="1">
        <f t="array" ref="AY10">AY25</f>
        <v>Принято органом регулирования</v>
      </c>
      <c r="AZ10" s="939" t="str" cm="1">
        <f t="array" ref="AZ10">AZ25</f>
        <v>Принято органом регулирования</v>
      </c>
      <c r="BA10" s="939" t="str" cm="1">
        <f t="array" ref="BA10">BA25</f>
        <v>Принято органом регулирования</v>
      </c>
      <c r="BB10" s="939" t="str" cm="1">
        <f t="array" ref="BB10">BB25</f>
        <v>Принято органом регулирования</v>
      </c>
      <c r="BF10" s="960"/>
    </row>
    <row r="11" spans="1:58" s="959" customFormat="1" ht="11.25" hidden="1" customHeight="1" x14ac:dyDescent="0.15">
      <c r="A11" s="945" t="s">
        <v>463</v>
      </c>
      <c r="B11" s="941"/>
      <c r="E11" s="941"/>
      <c r="G11" s="946"/>
      <c r="H11" s="946"/>
      <c r="I11" s="946"/>
      <c r="J11" s="946"/>
      <c r="K11" s="946"/>
      <c r="L11" s="946"/>
      <c r="M11" s="946"/>
      <c r="N11" s="946"/>
      <c r="O11" s="946"/>
      <c r="P11" s="946"/>
      <c r="Q11" s="972"/>
      <c r="R11" s="972"/>
      <c r="S11" s="946"/>
      <c r="BC11" s="939" t="str" cm="1">
        <f t="array" ref="BC11">BC24</f>
        <v>Ссылка на правовую норму (основание для принятия показателя в расчет тарифа)</v>
      </c>
      <c r="BF11" s="960"/>
    </row>
    <row r="12" spans="1:58" s="1150" customFormat="1" ht="11.25" hidden="1" customHeight="1" x14ac:dyDescent="0.15">
      <c r="B12" s="659"/>
      <c r="E12" s="668"/>
      <c r="G12" s="161"/>
      <c r="H12" s="161"/>
      <c r="I12" s="161"/>
      <c r="J12" s="161"/>
      <c r="K12" s="161"/>
      <c r="L12" s="161"/>
      <c r="M12" s="161"/>
      <c r="N12" s="161"/>
      <c r="O12" s="161"/>
      <c r="P12" s="161"/>
      <c r="Q12" s="612"/>
      <c r="R12" s="612"/>
      <c r="S12" s="161"/>
      <c r="BF12" s="960"/>
    </row>
    <row r="13" spans="1:58" s="1150" customFormat="1" ht="11.25" hidden="1" customHeight="1" x14ac:dyDescent="0.15">
      <c r="B13" s="659"/>
      <c r="E13" s="668"/>
      <c r="G13" s="161"/>
      <c r="H13" s="161"/>
      <c r="I13" s="161"/>
      <c r="J13" s="161"/>
      <c r="K13" s="161"/>
      <c r="L13" s="161"/>
      <c r="M13" s="161"/>
      <c r="N13" s="161"/>
      <c r="O13" s="161"/>
      <c r="P13" s="161"/>
      <c r="Q13" s="612"/>
      <c r="R13" s="612"/>
      <c r="S13" s="161"/>
      <c r="AI13" s="123"/>
      <c r="AJ13" s="123"/>
      <c r="AK13" s="123"/>
      <c r="AL13" s="123"/>
      <c r="AM13" s="123"/>
      <c r="AN13" s="123"/>
      <c r="AO13" s="123"/>
      <c r="AP13" s="123"/>
      <c r="AQ13" s="123"/>
      <c r="AR13" s="123"/>
      <c r="AS13" s="123"/>
      <c r="AT13" s="123"/>
      <c r="AU13" s="123"/>
      <c r="AV13" s="123"/>
      <c r="AW13" s="123"/>
      <c r="AX13" s="123"/>
      <c r="AY13" s="123"/>
      <c r="AZ13" s="123"/>
      <c r="BA13" s="123"/>
      <c r="BB13" s="123"/>
      <c r="BF13" s="960"/>
    </row>
    <row r="14" spans="1:58" s="1150" customFormat="1" ht="11.25" hidden="1" customHeight="1" x14ac:dyDescent="0.15">
      <c r="B14" s="659"/>
      <c r="E14" s="668"/>
      <c r="G14" s="161"/>
      <c r="H14" s="161"/>
      <c r="I14" s="161"/>
      <c r="J14" s="161"/>
      <c r="K14" s="161"/>
      <c r="L14" s="161"/>
      <c r="M14" s="161"/>
      <c r="N14" s="161"/>
      <c r="O14" s="161"/>
      <c r="P14" s="161"/>
      <c r="Q14" s="612"/>
      <c r="R14" s="612"/>
      <c r="S14" s="161"/>
      <c r="AI14" s="123"/>
      <c r="AJ14" s="123"/>
      <c r="AK14" s="123"/>
      <c r="AL14" s="123"/>
      <c r="AM14" s="123"/>
      <c r="AN14" s="123"/>
      <c r="AO14" s="123"/>
      <c r="AP14" s="123"/>
      <c r="AQ14" s="123"/>
      <c r="AR14" s="123"/>
      <c r="AS14" s="123"/>
      <c r="AT14" s="123"/>
      <c r="AU14" s="123"/>
      <c r="AV14" s="123"/>
      <c r="AW14" s="123"/>
      <c r="AX14" s="123"/>
      <c r="AY14" s="123"/>
      <c r="AZ14" s="123"/>
      <c r="BA14" s="123"/>
      <c r="BB14" s="123"/>
      <c r="BF14" s="960"/>
    </row>
    <row r="15" spans="1:58" s="1150" customFormat="1" ht="11.25" hidden="1" customHeight="1" x14ac:dyDescent="0.15">
      <c r="B15" s="659"/>
      <c r="E15" s="668"/>
      <c r="G15" s="161"/>
      <c r="H15" s="161"/>
      <c r="I15" s="161"/>
      <c r="J15" s="161"/>
      <c r="K15" s="161"/>
      <c r="L15" s="161"/>
      <c r="M15" s="161"/>
      <c r="N15" s="161"/>
      <c r="O15" s="161"/>
      <c r="P15" s="161"/>
      <c r="Q15" s="612"/>
      <c r="R15" s="612"/>
      <c r="S15" s="161"/>
      <c r="AI15" s="123"/>
      <c r="AJ15" s="123"/>
      <c r="AK15" s="123"/>
      <c r="AL15" s="123"/>
      <c r="AM15" s="123"/>
      <c r="AN15" s="123"/>
      <c r="AO15" s="123"/>
      <c r="AP15" s="123"/>
      <c r="AQ15" s="123"/>
      <c r="AR15" s="123"/>
      <c r="AS15" s="123"/>
      <c r="AT15" s="123"/>
      <c r="AU15" s="123"/>
      <c r="AV15" s="123"/>
      <c r="AW15" s="123"/>
      <c r="AX15" s="123"/>
      <c r="AY15" s="123"/>
      <c r="AZ15" s="123"/>
      <c r="BA15" s="123"/>
      <c r="BB15" s="123"/>
      <c r="BF15" s="960"/>
    </row>
    <row r="16" spans="1:58" s="1150" customFormat="1" ht="11.25" hidden="1" customHeight="1" x14ac:dyDescent="0.15">
      <c r="B16" s="659"/>
      <c r="E16" s="668"/>
      <c r="G16" s="161"/>
      <c r="H16" s="161"/>
      <c r="I16" s="161"/>
      <c r="J16" s="161"/>
      <c r="K16" s="161"/>
      <c r="L16" s="161"/>
      <c r="M16" s="161"/>
      <c r="N16" s="161"/>
      <c r="O16" s="161"/>
      <c r="P16" s="161"/>
      <c r="Q16" s="612"/>
      <c r="R16" s="612"/>
      <c r="S16" s="161"/>
      <c r="AI16" s="123"/>
      <c r="AJ16" s="123"/>
      <c r="AK16" s="123"/>
      <c r="AL16" s="123"/>
      <c r="AM16" s="123"/>
      <c r="AN16" s="123"/>
      <c r="AO16" s="123"/>
      <c r="AP16" s="123"/>
      <c r="AQ16" s="123"/>
      <c r="AR16" s="123"/>
      <c r="AS16" s="123"/>
      <c r="AT16" s="123"/>
      <c r="AU16" s="123"/>
      <c r="AV16" s="123"/>
      <c r="AW16" s="123"/>
      <c r="AX16" s="123"/>
      <c r="AY16" s="123"/>
      <c r="AZ16" s="123"/>
      <c r="BA16" s="123"/>
      <c r="BB16" s="123"/>
      <c r="BF16" s="960"/>
    </row>
    <row r="17" spans="2:58" s="1150" customFormat="1" ht="11.25" hidden="1" customHeight="1" x14ac:dyDescent="0.15">
      <c r="B17" s="659"/>
      <c r="E17" s="668"/>
      <c r="G17" s="161"/>
      <c r="H17" s="161"/>
      <c r="I17" s="161"/>
      <c r="J17" s="161"/>
      <c r="K17" s="161"/>
      <c r="L17" s="161"/>
      <c r="M17" s="161"/>
      <c r="N17" s="161"/>
      <c r="O17" s="161"/>
      <c r="P17" s="161"/>
      <c r="Q17" s="612"/>
      <c r="R17" s="612"/>
      <c r="S17" s="161"/>
      <c r="AX17" s="123"/>
      <c r="AY17" s="123"/>
      <c r="AZ17" s="123"/>
      <c r="BA17" s="123"/>
      <c r="BB17" s="123"/>
      <c r="BF17" s="960"/>
    </row>
    <row r="18" spans="2:58" s="1150" customFormat="1" ht="11.25" hidden="1" customHeight="1" x14ac:dyDescent="0.15">
      <c r="B18" s="659"/>
      <c r="E18" s="668"/>
      <c r="G18" s="161"/>
      <c r="H18" s="161"/>
      <c r="I18" s="161"/>
      <c r="J18" s="161"/>
      <c r="K18" s="161"/>
      <c r="L18" s="161"/>
      <c r="M18" s="161"/>
      <c r="N18" s="161"/>
      <c r="O18" s="161"/>
      <c r="P18" s="161"/>
      <c r="Q18" s="612"/>
      <c r="R18" s="612"/>
      <c r="S18" s="161"/>
      <c r="BF18" s="960"/>
    </row>
    <row r="19" spans="2:58" s="1150" customFormat="1" ht="11.25" hidden="1" customHeight="1" x14ac:dyDescent="0.15">
      <c r="B19" s="659"/>
      <c r="E19" s="668"/>
      <c r="G19" s="161"/>
      <c r="H19" s="161"/>
      <c r="I19" s="161"/>
      <c r="J19" s="161"/>
      <c r="K19" s="161"/>
      <c r="L19" s="161"/>
      <c r="M19" s="161"/>
      <c r="N19" s="161"/>
      <c r="O19" s="161"/>
      <c r="P19" s="161"/>
      <c r="Q19" s="612"/>
      <c r="R19" s="612"/>
      <c r="S19" s="161"/>
      <c r="BF19" s="960"/>
    </row>
    <row r="20" spans="2:58" s="1150" customFormat="1" ht="11.25" hidden="1" customHeight="1" x14ac:dyDescent="0.15">
      <c r="B20" s="659"/>
      <c r="E20" s="668"/>
      <c r="G20" s="161"/>
      <c r="H20" s="161"/>
      <c r="I20" s="161"/>
      <c r="J20" s="161"/>
      <c r="K20" s="161"/>
      <c r="L20" s="161"/>
      <c r="M20" s="161"/>
      <c r="N20" s="161"/>
      <c r="O20" s="161"/>
      <c r="P20" s="161"/>
      <c r="Q20" s="612"/>
      <c r="R20" s="612"/>
      <c r="S20" s="161"/>
      <c r="BF20" s="960"/>
    </row>
    <row r="21" spans="2:58" ht="14.65" customHeight="1" x14ac:dyDescent="0.15">
      <c r="E21" s="668">
        <v>15</v>
      </c>
      <c r="AA21" s="691"/>
      <c r="AC21" s="335" t="str" cm="1">
        <f t="array" ref="AC21">tpl_title</f>
        <v>Кемеровская область / 2026 / ООО ХК "СДС - Энерго" (ИНН:4250003450, КПП:420501001) / ДПР: 2024-2028</v>
      </c>
    </row>
    <row r="22" spans="2:58" ht="19.5" customHeight="1" x14ac:dyDescent="0.25">
      <c r="E22" s="668">
        <v>20.100000000000001</v>
      </c>
      <c r="AB22" s="325" t="s">
        <v>1040</v>
      </c>
      <c r="AC22" s="219"/>
      <c r="AD22" s="222"/>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21"/>
    </row>
    <row r="23" spans="2:58" ht="11.1" customHeight="1" x14ac:dyDescent="0.15">
      <c r="E23" s="668">
        <v>11.4</v>
      </c>
      <c r="AB23" s="1569"/>
      <c r="AC23" s="1569"/>
      <c r="AD23" s="1569"/>
      <c r="AE23" s="1569"/>
      <c r="AF23" s="1569"/>
      <c r="AG23" s="1569"/>
      <c r="AH23" s="1569"/>
      <c r="AI23" s="1569"/>
      <c r="AJ23" s="1569"/>
      <c r="AK23" s="1569"/>
      <c r="AL23" s="1569"/>
      <c r="AM23" s="1569"/>
      <c r="AN23" s="1569"/>
      <c r="AO23" s="1569"/>
      <c r="AP23" s="1569"/>
      <c r="AQ23" s="1569"/>
      <c r="AR23" s="1569"/>
      <c r="AS23" s="1569"/>
      <c r="AT23" s="1569"/>
      <c r="AU23" s="1569"/>
      <c r="AV23" s="1569"/>
      <c r="AW23" s="1569"/>
      <c r="AX23" s="1569"/>
      <c r="AY23" s="1569"/>
      <c r="AZ23" s="1569"/>
      <c r="BA23" s="1569"/>
      <c r="BB23" s="1569"/>
    </row>
    <row r="24" spans="2:58" ht="14.65" customHeight="1" x14ac:dyDescent="0.15">
      <c r="E24" s="668">
        <v>15</v>
      </c>
      <c r="AB24" s="1558" t="s">
        <v>1015</v>
      </c>
      <c r="AC24" s="1568" t="s">
        <v>225</v>
      </c>
      <c r="AD24" s="1558" t="s">
        <v>465</v>
      </c>
      <c r="AE24" s="342" t="str">
        <f>god-2&amp;" год"</f>
        <v>2024 год</v>
      </c>
      <c r="AF24" s="1136" t="str">
        <f>god-2&amp;" год"</f>
        <v>2024 год</v>
      </c>
      <c r="AG24" s="342" t="str">
        <f>god-2&amp;" год"</f>
        <v>2024 год</v>
      </c>
      <c r="AH24" s="122"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70" t="s">
        <v>618</v>
      </c>
    </row>
    <row r="25" spans="2:58" ht="48.75" customHeight="1" x14ac:dyDescent="0.15">
      <c r="E25" s="668">
        <v>50.1</v>
      </c>
      <c r="AB25" s="1558"/>
      <c r="AC25" s="1568"/>
      <c r="AD25" s="1558"/>
      <c r="AE25" s="118" t="s">
        <v>404</v>
      </c>
      <c r="AF25" s="1131" t="s">
        <v>619</v>
      </c>
      <c r="AG25" s="118" t="s">
        <v>620</v>
      </c>
      <c r="AH25" s="118" t="s">
        <v>404</v>
      </c>
      <c r="AI25" s="1132" t="s">
        <v>405</v>
      </c>
      <c r="AJ25" s="1132" t="s">
        <v>405</v>
      </c>
      <c r="AK25" s="1132" t="s">
        <v>405</v>
      </c>
      <c r="AL25" s="1132" t="s">
        <v>405</v>
      </c>
      <c r="AM25" s="1132" t="s">
        <v>405</v>
      </c>
      <c r="AN25" s="1132" t="s">
        <v>405</v>
      </c>
      <c r="AO25" s="1132" t="s">
        <v>405</v>
      </c>
      <c r="AP25" s="1132" t="s">
        <v>405</v>
      </c>
      <c r="AQ25" s="1132" t="s">
        <v>405</v>
      </c>
      <c r="AR25" s="1132" t="s">
        <v>405</v>
      </c>
      <c r="AS25" s="343" t="s">
        <v>404</v>
      </c>
      <c r="AT25" s="343" t="s">
        <v>404</v>
      </c>
      <c r="AU25" s="343" t="s">
        <v>404</v>
      </c>
      <c r="AV25" s="343" t="s">
        <v>404</v>
      </c>
      <c r="AW25" s="343" t="s">
        <v>404</v>
      </c>
      <c r="AX25" s="343" t="s">
        <v>404</v>
      </c>
      <c r="AY25" s="343" t="s">
        <v>404</v>
      </c>
      <c r="AZ25" s="343" t="s">
        <v>404</v>
      </c>
      <c r="BA25" s="343" t="s">
        <v>404</v>
      </c>
      <c r="BB25" s="343" t="s">
        <v>404</v>
      </c>
      <c r="BC25" s="1571"/>
    </row>
    <row r="26" spans="2:58" ht="50.25" hidden="1" customHeight="1" x14ac:dyDescent="0.15">
      <c r="E26" s="668">
        <v>0</v>
      </c>
      <c r="AB26" s="427"/>
      <c r="AC26" s="433"/>
      <c r="AD26" s="428"/>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34"/>
    </row>
    <row r="27" spans="2:58" ht="11.1" hidden="1" customHeight="1" x14ac:dyDescent="0.15">
      <c r="E27" s="668">
        <v>11.4</v>
      </c>
      <c r="F27" s="769" cm="1">
        <f t="array" ref="F27">X27</f>
        <v>0</v>
      </c>
      <c r="T27" s="690" t="b">
        <f>X27&gt;0</f>
        <v>0</v>
      </c>
      <c r="V27" s="123" t="s">
        <v>313</v>
      </c>
      <c r="X27" s="1428">
        <v>0</v>
      </c>
      <c r="Z27" s="1428"/>
      <c r="AB27" s="234" t="str" cm="1">
        <f t="array" ref="AB27">INDEX('Общие сведения'!$AG$169:$AG$202,MATCH($F27,'Общие сведения'!$Z$169:$Z$202,0))</f>
        <v xml:space="preserve">Тариф 0 (Теплоснабжение) - </v>
      </c>
      <c r="AC27" s="207"/>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23"/>
    </row>
    <row r="28" spans="2:58" s="164" customFormat="1" ht="22.15" hidden="1" customHeight="1" x14ac:dyDescent="0.15">
      <c r="E28" s="668">
        <v>22.8</v>
      </c>
      <c r="F28" s="769" cm="1">
        <f t="array" ref="F28">F27</f>
        <v>0</v>
      </c>
      <c r="T28" s="690" t="b" cm="1">
        <f t="array" ref="T28">T27</f>
        <v>0</v>
      </c>
      <c r="X28" s="1572"/>
      <c r="Z28" s="1572"/>
      <c r="AB28" s="224">
        <v>1</v>
      </c>
      <c r="AC28" s="225" t="s">
        <v>1041</v>
      </c>
      <c r="AD28" s="104" t="s">
        <v>830</v>
      </c>
      <c r="AE28" s="54">
        <f t="shared" ref="AE28:BB28" si="1">SUM(AE29:AE32)+SUM(AE38:AE41)</f>
        <v>0</v>
      </c>
      <c r="AF28" s="54">
        <f t="shared" si="1"/>
        <v>0</v>
      </c>
      <c r="AG28" s="54">
        <f t="shared" si="1"/>
        <v>0</v>
      </c>
      <c r="AH28" s="54">
        <f t="shared" si="1"/>
        <v>0</v>
      </c>
      <c r="AI28" s="239">
        <f t="shared" si="1"/>
        <v>0</v>
      </c>
      <c r="AJ28" s="1263">
        <f t="shared" si="1"/>
        <v>0</v>
      </c>
      <c r="AK28" s="1263">
        <f t="shared" si="1"/>
        <v>0</v>
      </c>
      <c r="AL28" s="54">
        <f t="shared" si="1"/>
        <v>0</v>
      </c>
      <c r="AM28" s="54">
        <f t="shared" si="1"/>
        <v>0</v>
      </c>
      <c r="AN28" s="54">
        <f t="shared" si="1"/>
        <v>0</v>
      </c>
      <c r="AO28" s="54">
        <f t="shared" si="1"/>
        <v>0</v>
      </c>
      <c r="AP28" s="54">
        <f t="shared" si="1"/>
        <v>0</v>
      </c>
      <c r="AQ28" s="54">
        <f t="shared" si="1"/>
        <v>0</v>
      </c>
      <c r="AR28" s="54">
        <f t="shared" si="1"/>
        <v>0</v>
      </c>
      <c r="AS28" s="239">
        <f t="shared" si="1"/>
        <v>0</v>
      </c>
      <c r="AT28" s="1263">
        <f t="shared" si="1"/>
        <v>0</v>
      </c>
      <c r="AU28" s="1263">
        <f t="shared" si="1"/>
        <v>0</v>
      </c>
      <c r="AV28" s="54">
        <f t="shared" si="1"/>
        <v>0</v>
      </c>
      <c r="AW28" s="54">
        <f t="shared" si="1"/>
        <v>0</v>
      </c>
      <c r="AX28" s="54">
        <f t="shared" si="1"/>
        <v>0</v>
      </c>
      <c r="AY28" s="54">
        <f t="shared" si="1"/>
        <v>0</v>
      </c>
      <c r="AZ28" s="54">
        <f t="shared" si="1"/>
        <v>0</v>
      </c>
      <c r="BA28" s="54">
        <f t="shared" si="1"/>
        <v>0</v>
      </c>
      <c r="BB28" s="54">
        <f t="shared" si="1"/>
        <v>0</v>
      </c>
      <c r="BC28" s="25"/>
      <c r="BF28" s="960" t="s">
        <v>1042</v>
      </c>
    </row>
    <row r="29" spans="2:58" ht="14.65" hidden="1" customHeight="1" x14ac:dyDescent="0.15">
      <c r="E29" s="668">
        <v>15</v>
      </c>
      <c r="F29" s="769" cm="1">
        <f t="array" ref="F29">F28</f>
        <v>0</v>
      </c>
      <c r="T29" s="690" t="b" cm="1">
        <f t="array" ref="T29">T28</f>
        <v>0</v>
      </c>
      <c r="X29" s="1428"/>
      <c r="Z29" s="1428"/>
      <c r="AB29" s="412" t="s">
        <v>473</v>
      </c>
      <c r="AC29" s="413" t="s">
        <v>1043</v>
      </c>
      <c r="AD29" s="412" t="s">
        <v>1044</v>
      </c>
      <c r="AE29" s="13"/>
      <c r="AF29" s="13"/>
      <c r="AG29" s="13"/>
      <c r="AH29" s="13"/>
      <c r="AI29" s="227"/>
      <c r="AJ29" s="1183"/>
      <c r="AK29" s="1183"/>
      <c r="AL29" s="13"/>
      <c r="AM29" s="13"/>
      <c r="AN29" s="13"/>
      <c r="AO29" s="13"/>
      <c r="AP29" s="13"/>
      <c r="AQ29" s="13"/>
      <c r="AR29" s="13"/>
      <c r="AS29" s="227"/>
      <c r="AT29" s="1183"/>
      <c r="AU29" s="1183"/>
      <c r="AV29" s="13"/>
      <c r="AW29" s="13"/>
      <c r="AX29" s="13"/>
      <c r="AY29" s="13"/>
      <c r="AZ29" s="13"/>
      <c r="BA29" s="13"/>
      <c r="BB29" s="13"/>
      <c r="BC29" s="25"/>
      <c r="BF29" s="960" t="s">
        <v>1045</v>
      </c>
    </row>
    <row r="30" spans="2:58" ht="14.65" hidden="1" customHeight="1" x14ac:dyDescent="0.15">
      <c r="E30" s="668">
        <v>15</v>
      </c>
      <c r="F30" s="769" cm="1">
        <f t="array" ref="F30">F29</f>
        <v>0</v>
      </c>
      <c r="T30" s="690" t="b" cm="1">
        <f t="array" ref="T30">T29</f>
        <v>0</v>
      </c>
      <c r="X30" s="1428"/>
      <c r="Z30" s="1428"/>
      <c r="AB30" s="412" t="s">
        <v>955</v>
      </c>
      <c r="AC30" s="413" t="s">
        <v>1046</v>
      </c>
      <c r="AD30" s="412" t="s">
        <v>1044</v>
      </c>
      <c r="AE30" s="13"/>
      <c r="AF30" s="13"/>
      <c r="AG30" s="13"/>
      <c r="AH30" s="13"/>
      <c r="AI30" s="227"/>
      <c r="AJ30" s="1183"/>
      <c r="AK30" s="1183"/>
      <c r="AL30" s="13"/>
      <c r="AM30" s="13"/>
      <c r="AN30" s="13"/>
      <c r="AO30" s="13"/>
      <c r="AP30" s="13"/>
      <c r="AQ30" s="13"/>
      <c r="AR30" s="13"/>
      <c r="AS30" s="227"/>
      <c r="AT30" s="1183"/>
      <c r="AU30" s="1183"/>
      <c r="AV30" s="13"/>
      <c r="AW30" s="13"/>
      <c r="AX30" s="13"/>
      <c r="AY30" s="13"/>
      <c r="AZ30" s="13"/>
      <c r="BA30" s="13"/>
      <c r="BB30" s="13"/>
      <c r="BC30" s="25"/>
      <c r="BF30" s="960" t="s">
        <v>1047</v>
      </c>
    </row>
    <row r="31" spans="2:58" ht="14.65" hidden="1" customHeight="1" x14ac:dyDescent="0.15">
      <c r="E31" s="668">
        <v>15</v>
      </c>
      <c r="F31" s="769" cm="1">
        <f t="array" ref="F31">F30</f>
        <v>0</v>
      </c>
      <c r="T31" s="690" t="b" cm="1">
        <f t="array" ref="T31">T30</f>
        <v>0</v>
      </c>
      <c r="X31" s="1428"/>
      <c r="Z31" s="1428"/>
      <c r="AB31" s="412" t="s">
        <v>957</v>
      </c>
      <c r="AC31" s="413" t="s">
        <v>1048</v>
      </c>
      <c r="AD31" s="412" t="s">
        <v>1044</v>
      </c>
      <c r="AE31" s="13"/>
      <c r="AF31" s="13"/>
      <c r="AG31" s="13"/>
      <c r="AH31" s="13"/>
      <c r="AI31" s="227"/>
      <c r="AJ31" s="1183"/>
      <c r="AK31" s="1183"/>
      <c r="AL31" s="13"/>
      <c r="AM31" s="13"/>
      <c r="AN31" s="13"/>
      <c r="AO31" s="13"/>
      <c r="AP31" s="13"/>
      <c r="AQ31" s="13"/>
      <c r="AR31" s="13"/>
      <c r="AS31" s="227"/>
      <c r="AT31" s="1183"/>
      <c r="AU31" s="1183"/>
      <c r="AV31" s="13"/>
      <c r="AW31" s="13"/>
      <c r="AX31" s="13"/>
      <c r="AY31" s="13"/>
      <c r="AZ31" s="13"/>
      <c r="BA31" s="13"/>
      <c r="BB31" s="13"/>
      <c r="BC31" s="25"/>
      <c r="BF31" s="960" t="s">
        <v>1049</v>
      </c>
    </row>
    <row r="32" spans="2:58" ht="14.65" hidden="1" customHeight="1" x14ac:dyDescent="0.15">
      <c r="E32" s="668">
        <v>15</v>
      </c>
      <c r="F32" s="769" cm="1">
        <f t="array" ref="F32">F31</f>
        <v>0</v>
      </c>
      <c r="T32" s="690" t="b" cm="1">
        <f t="array" ref="T32">T31</f>
        <v>0</v>
      </c>
      <c r="X32" s="1428"/>
      <c r="Z32" s="1428"/>
      <c r="AB32" s="412" t="s">
        <v>961</v>
      </c>
      <c r="AC32" s="413" t="s">
        <v>1050</v>
      </c>
      <c r="AD32" s="412" t="s">
        <v>1044</v>
      </c>
      <c r="AE32" s="37">
        <f t="shared" ref="AE32:BB32" si="2">SUM(AE33:AE37)</f>
        <v>0</v>
      </c>
      <c r="AF32" s="37">
        <f t="shared" si="2"/>
        <v>0</v>
      </c>
      <c r="AG32" s="37">
        <f t="shared" si="2"/>
        <v>0</v>
      </c>
      <c r="AH32" s="37">
        <f t="shared" si="2"/>
        <v>0</v>
      </c>
      <c r="AI32" s="407">
        <f t="shared" si="2"/>
        <v>0</v>
      </c>
      <c r="AJ32" s="1242">
        <f t="shared" si="2"/>
        <v>0</v>
      </c>
      <c r="AK32" s="1242">
        <f t="shared" si="2"/>
        <v>0</v>
      </c>
      <c r="AL32" s="37">
        <f t="shared" si="2"/>
        <v>0</v>
      </c>
      <c r="AM32" s="37">
        <f t="shared" si="2"/>
        <v>0</v>
      </c>
      <c r="AN32" s="37">
        <f t="shared" si="2"/>
        <v>0</v>
      </c>
      <c r="AO32" s="37">
        <f t="shared" si="2"/>
        <v>0</v>
      </c>
      <c r="AP32" s="37">
        <f t="shared" si="2"/>
        <v>0</v>
      </c>
      <c r="AQ32" s="37">
        <f t="shared" si="2"/>
        <v>0</v>
      </c>
      <c r="AR32" s="37">
        <f t="shared" si="2"/>
        <v>0</v>
      </c>
      <c r="AS32" s="407">
        <f t="shared" si="2"/>
        <v>0</v>
      </c>
      <c r="AT32" s="1242">
        <f t="shared" si="2"/>
        <v>0</v>
      </c>
      <c r="AU32" s="1242">
        <f t="shared" si="2"/>
        <v>0</v>
      </c>
      <c r="AV32" s="37">
        <f t="shared" si="2"/>
        <v>0</v>
      </c>
      <c r="AW32" s="37">
        <f t="shared" si="2"/>
        <v>0</v>
      </c>
      <c r="AX32" s="37">
        <f t="shared" si="2"/>
        <v>0</v>
      </c>
      <c r="AY32" s="37">
        <f t="shared" si="2"/>
        <v>0</v>
      </c>
      <c r="AZ32" s="37">
        <f t="shared" si="2"/>
        <v>0</v>
      </c>
      <c r="BA32" s="37">
        <f t="shared" si="2"/>
        <v>0</v>
      </c>
      <c r="BB32" s="37">
        <f t="shared" si="2"/>
        <v>0</v>
      </c>
      <c r="BC32" s="25"/>
      <c r="BF32" s="960" t="s">
        <v>1051</v>
      </c>
    </row>
    <row r="33" spans="5:58" ht="14.65" hidden="1" customHeight="1" x14ac:dyDescent="0.15">
      <c r="E33" s="668">
        <v>15</v>
      </c>
      <c r="F33" s="769" cm="1">
        <f t="array" ref="F33">F32</f>
        <v>0</v>
      </c>
      <c r="T33" s="690" t="b" cm="1">
        <f t="array" ref="T33">T32</f>
        <v>0</v>
      </c>
      <c r="X33" s="1428"/>
      <c r="Z33" s="1428"/>
      <c r="AB33" s="412" t="s">
        <v>1052</v>
      </c>
      <c r="AC33" s="414" t="s">
        <v>1053</v>
      </c>
      <c r="AD33" s="412" t="s">
        <v>1044</v>
      </c>
      <c r="AE33" s="13"/>
      <c r="AF33" s="13"/>
      <c r="AG33" s="13"/>
      <c r="AH33" s="13"/>
      <c r="AI33" s="227"/>
      <c r="AJ33" s="1183"/>
      <c r="AK33" s="1183"/>
      <c r="AL33" s="13"/>
      <c r="AM33" s="13"/>
      <c r="AN33" s="13"/>
      <c r="AO33" s="13"/>
      <c r="AP33" s="13"/>
      <c r="AQ33" s="13"/>
      <c r="AR33" s="13"/>
      <c r="AS33" s="227"/>
      <c r="AT33" s="1183"/>
      <c r="AU33" s="1183"/>
      <c r="AV33" s="13"/>
      <c r="AW33" s="13"/>
      <c r="AX33" s="13"/>
      <c r="AY33" s="13"/>
      <c r="AZ33" s="13"/>
      <c r="BA33" s="13"/>
      <c r="BB33" s="13"/>
      <c r="BC33" s="25"/>
      <c r="BF33" s="960" t="s">
        <v>1054</v>
      </c>
    </row>
    <row r="34" spans="5:58" ht="14.65" hidden="1" customHeight="1" x14ac:dyDescent="0.15">
      <c r="E34" s="668">
        <v>15</v>
      </c>
      <c r="F34" s="769" cm="1">
        <f t="array" ref="F34">F33</f>
        <v>0</v>
      </c>
      <c r="T34" s="690" t="b" cm="1">
        <f t="array" ref="T34">T33</f>
        <v>0</v>
      </c>
      <c r="X34" s="1428"/>
      <c r="Z34" s="1428"/>
      <c r="AB34" s="412" t="s">
        <v>1055</v>
      </c>
      <c r="AC34" s="414" t="s">
        <v>1056</v>
      </c>
      <c r="AD34" s="412" t="s">
        <v>1044</v>
      </c>
      <c r="AE34" s="13"/>
      <c r="AF34" s="13"/>
      <c r="AG34" s="13"/>
      <c r="AH34" s="13"/>
      <c r="AI34" s="227"/>
      <c r="AJ34" s="1183"/>
      <c r="AK34" s="1183"/>
      <c r="AL34" s="13"/>
      <c r="AM34" s="13"/>
      <c r="AN34" s="13"/>
      <c r="AO34" s="13"/>
      <c r="AP34" s="13"/>
      <c r="AQ34" s="13"/>
      <c r="AR34" s="13"/>
      <c r="AS34" s="227"/>
      <c r="AT34" s="1183"/>
      <c r="AU34" s="1183"/>
      <c r="AV34" s="13"/>
      <c r="AW34" s="13"/>
      <c r="AX34" s="13"/>
      <c r="AY34" s="13"/>
      <c r="AZ34" s="13"/>
      <c r="BA34" s="13"/>
      <c r="BB34" s="13"/>
      <c r="BC34" s="25"/>
      <c r="BF34" s="960" t="s">
        <v>1057</v>
      </c>
    </row>
    <row r="35" spans="5:58" ht="14.65" hidden="1" customHeight="1" x14ac:dyDescent="0.15">
      <c r="E35" s="668">
        <v>15</v>
      </c>
      <c r="F35" s="769" cm="1">
        <f t="array" ref="F35">F34</f>
        <v>0</v>
      </c>
      <c r="T35" s="690" t="b" cm="1">
        <f t="array" ref="T35">T34</f>
        <v>0</v>
      </c>
      <c r="X35" s="1428"/>
      <c r="Z35" s="1428"/>
      <c r="AB35" s="412" t="s">
        <v>1058</v>
      </c>
      <c r="AC35" s="414" t="s">
        <v>1059</v>
      </c>
      <c r="AD35" s="412" t="s">
        <v>1044</v>
      </c>
      <c r="AE35" s="13"/>
      <c r="AF35" s="13"/>
      <c r="AG35" s="13"/>
      <c r="AH35" s="13"/>
      <c r="AI35" s="227"/>
      <c r="AJ35" s="1183"/>
      <c r="AK35" s="1183"/>
      <c r="AL35" s="13"/>
      <c r="AM35" s="13"/>
      <c r="AN35" s="13"/>
      <c r="AO35" s="13"/>
      <c r="AP35" s="13"/>
      <c r="AQ35" s="13"/>
      <c r="AR35" s="13"/>
      <c r="AS35" s="227"/>
      <c r="AT35" s="1183"/>
      <c r="AU35" s="1183"/>
      <c r="AV35" s="13"/>
      <c r="AW35" s="13"/>
      <c r="AX35" s="13"/>
      <c r="AY35" s="13"/>
      <c r="AZ35" s="13"/>
      <c r="BA35" s="13"/>
      <c r="BB35" s="13"/>
      <c r="BC35" s="25"/>
      <c r="BF35" s="960" t="s">
        <v>1060</v>
      </c>
    </row>
    <row r="36" spans="5:58" ht="14.65" hidden="1" customHeight="1" x14ac:dyDescent="0.15">
      <c r="E36" s="668">
        <v>15</v>
      </c>
      <c r="F36" s="769" cm="1">
        <f t="array" ref="F36">F35</f>
        <v>0</v>
      </c>
      <c r="T36" s="690" t="b" cm="1">
        <f t="array" ref="T36">T35</f>
        <v>0</v>
      </c>
      <c r="X36" s="1428"/>
      <c r="Z36" s="1428"/>
      <c r="AB36" s="412" t="s">
        <v>1061</v>
      </c>
      <c r="AC36" s="414" t="s">
        <v>1062</v>
      </c>
      <c r="AD36" s="412" t="s">
        <v>1044</v>
      </c>
      <c r="AE36" s="13"/>
      <c r="AF36" s="13"/>
      <c r="AG36" s="13"/>
      <c r="AH36" s="13"/>
      <c r="AI36" s="227"/>
      <c r="AJ36" s="1183"/>
      <c r="AK36" s="1183"/>
      <c r="AL36" s="13"/>
      <c r="AM36" s="13"/>
      <c r="AN36" s="13"/>
      <c r="AO36" s="13"/>
      <c r="AP36" s="13"/>
      <c r="AQ36" s="13"/>
      <c r="AR36" s="13"/>
      <c r="AS36" s="227"/>
      <c r="AT36" s="1183"/>
      <c r="AU36" s="1183"/>
      <c r="AV36" s="13"/>
      <c r="AW36" s="13"/>
      <c r="AX36" s="13"/>
      <c r="AY36" s="13"/>
      <c r="AZ36" s="13"/>
      <c r="BA36" s="13"/>
      <c r="BB36" s="13"/>
      <c r="BC36" s="25"/>
      <c r="BF36" s="960" t="s">
        <v>1063</v>
      </c>
    </row>
    <row r="37" spans="5:58" ht="14.65" hidden="1" customHeight="1" x14ac:dyDescent="0.15">
      <c r="E37" s="668">
        <v>15</v>
      </c>
      <c r="F37" s="769" cm="1">
        <f t="array" ref="F37">F36</f>
        <v>0</v>
      </c>
      <c r="T37" s="690" t="b" cm="1">
        <f t="array" ref="T37">T36</f>
        <v>0</v>
      </c>
      <c r="X37" s="1428"/>
      <c r="Z37" s="1428"/>
      <c r="AB37" s="412" t="s">
        <v>1064</v>
      </c>
      <c r="AC37" s="414" t="s">
        <v>1065</v>
      </c>
      <c r="AD37" s="412" t="s">
        <v>1044</v>
      </c>
      <c r="AE37" s="13"/>
      <c r="AF37" s="13"/>
      <c r="AG37" s="13"/>
      <c r="AH37" s="13"/>
      <c r="AI37" s="227"/>
      <c r="AJ37" s="1183"/>
      <c r="AK37" s="1183"/>
      <c r="AL37" s="13"/>
      <c r="AM37" s="13"/>
      <c r="AN37" s="13"/>
      <c r="AO37" s="13"/>
      <c r="AP37" s="13"/>
      <c r="AQ37" s="13"/>
      <c r="AR37" s="13"/>
      <c r="AS37" s="227"/>
      <c r="AT37" s="1183"/>
      <c r="AU37" s="1183"/>
      <c r="AV37" s="13"/>
      <c r="AW37" s="13"/>
      <c r="AX37" s="13"/>
      <c r="AY37" s="13"/>
      <c r="AZ37" s="13"/>
      <c r="BA37" s="13"/>
      <c r="BB37" s="13"/>
      <c r="BC37" s="25"/>
      <c r="BF37" s="960" t="s">
        <v>1066</v>
      </c>
    </row>
    <row r="38" spans="5:58" ht="14.65" hidden="1" customHeight="1" x14ac:dyDescent="0.15">
      <c r="E38" s="668">
        <v>15</v>
      </c>
      <c r="F38" s="769" cm="1">
        <f t="array" ref="F38">F37</f>
        <v>0</v>
      </c>
      <c r="T38" s="690" t="b" cm="1">
        <f t="array" ref="T38">T37</f>
        <v>0</v>
      </c>
      <c r="X38" s="1428"/>
      <c r="Z38" s="1428"/>
      <c r="AB38" s="412" t="s">
        <v>1067</v>
      </c>
      <c r="AC38" s="413" t="s">
        <v>1068</v>
      </c>
      <c r="AD38" s="412" t="s">
        <v>1044</v>
      </c>
      <c r="AE38" s="13"/>
      <c r="AF38" s="13"/>
      <c r="AG38" s="13"/>
      <c r="AH38" s="13"/>
      <c r="AI38" s="227"/>
      <c r="AJ38" s="1183"/>
      <c r="AK38" s="1183"/>
      <c r="AL38" s="13"/>
      <c r="AM38" s="13"/>
      <c r="AN38" s="13"/>
      <c r="AO38" s="13"/>
      <c r="AP38" s="13"/>
      <c r="AQ38" s="13"/>
      <c r="AR38" s="13"/>
      <c r="AS38" s="227"/>
      <c r="AT38" s="1183"/>
      <c r="AU38" s="1183"/>
      <c r="AV38" s="13"/>
      <c r="AW38" s="13"/>
      <c r="AX38" s="13"/>
      <c r="AY38" s="13"/>
      <c r="AZ38" s="13"/>
      <c r="BA38" s="13"/>
      <c r="BB38" s="13"/>
      <c r="BC38" s="25"/>
      <c r="BF38" s="960" t="s">
        <v>1069</v>
      </c>
    </row>
    <row r="39" spans="5:58" ht="14.65" hidden="1" customHeight="1" x14ac:dyDescent="0.15">
      <c r="E39" s="668">
        <v>15</v>
      </c>
      <c r="F39" s="769" cm="1">
        <f t="array" ref="F39">F38</f>
        <v>0</v>
      </c>
      <c r="T39" s="690" t="b" cm="1">
        <f t="array" ref="T39">T38</f>
        <v>0</v>
      </c>
      <c r="X39" s="1428"/>
      <c r="Z39" s="1428"/>
      <c r="AB39" s="412" t="s">
        <v>1070</v>
      </c>
      <c r="AC39" s="413" t="s">
        <v>1071</v>
      </c>
      <c r="AD39" s="412" t="s">
        <v>1044</v>
      </c>
      <c r="AE39" s="13"/>
      <c r="AF39" s="13"/>
      <c r="AG39" s="13"/>
      <c r="AH39" s="13"/>
      <c r="AI39" s="227"/>
      <c r="AJ39" s="1183"/>
      <c r="AK39" s="1183"/>
      <c r="AL39" s="13"/>
      <c r="AM39" s="13"/>
      <c r="AN39" s="13"/>
      <c r="AO39" s="13"/>
      <c r="AP39" s="13"/>
      <c r="AQ39" s="13"/>
      <c r="AR39" s="13"/>
      <c r="AS39" s="227"/>
      <c r="AT39" s="1183"/>
      <c r="AU39" s="1183"/>
      <c r="AV39" s="13"/>
      <c r="AW39" s="13"/>
      <c r="AX39" s="13"/>
      <c r="AY39" s="13"/>
      <c r="AZ39" s="13"/>
      <c r="BA39" s="13"/>
      <c r="BB39" s="13"/>
      <c r="BC39" s="25"/>
      <c r="BF39" s="960" t="s">
        <v>1072</v>
      </c>
    </row>
    <row r="40" spans="5:58" ht="14.65" hidden="1" customHeight="1" x14ac:dyDescent="0.15">
      <c r="E40" s="668">
        <v>15</v>
      </c>
      <c r="F40" s="769" cm="1">
        <f t="array" ref="F40">F39</f>
        <v>0</v>
      </c>
      <c r="T40" s="690" t="b" cm="1">
        <f t="array" ref="T40">T39</f>
        <v>0</v>
      </c>
      <c r="X40" s="1428"/>
      <c r="Z40" s="1428"/>
      <c r="AB40" s="412" t="s">
        <v>1073</v>
      </c>
      <c r="AC40" s="413" t="s">
        <v>1074</v>
      </c>
      <c r="AD40" s="412" t="s">
        <v>1044</v>
      </c>
      <c r="AE40" s="13"/>
      <c r="AF40" s="13"/>
      <c r="AG40" s="13"/>
      <c r="AH40" s="13"/>
      <c r="AI40" s="227"/>
      <c r="AJ40" s="1183"/>
      <c r="AK40" s="1183"/>
      <c r="AL40" s="13"/>
      <c r="AM40" s="13"/>
      <c r="AN40" s="13"/>
      <c r="AO40" s="13"/>
      <c r="AP40" s="13"/>
      <c r="AQ40" s="13"/>
      <c r="AR40" s="13"/>
      <c r="AS40" s="227"/>
      <c r="AT40" s="1183"/>
      <c r="AU40" s="1183"/>
      <c r="AV40" s="13"/>
      <c r="AW40" s="13"/>
      <c r="AX40" s="13"/>
      <c r="AY40" s="13"/>
      <c r="AZ40" s="13"/>
      <c r="BA40" s="13"/>
      <c r="BB40" s="13"/>
      <c r="BC40" s="25"/>
      <c r="BF40" s="960" t="s">
        <v>1075</v>
      </c>
    </row>
    <row r="41" spans="5:58" ht="14.65" hidden="1" customHeight="1" x14ac:dyDescent="0.15">
      <c r="E41" s="668">
        <v>15</v>
      </c>
      <c r="F41" s="769" cm="1">
        <f t="array" ref="F41">F40</f>
        <v>0</v>
      </c>
      <c r="T41" s="690" t="b" cm="1">
        <f t="array" ref="T41">T40</f>
        <v>0</v>
      </c>
      <c r="X41" s="1428"/>
      <c r="Z41" s="1428"/>
      <c r="AB41" s="412" t="s">
        <v>1076</v>
      </c>
      <c r="AC41" s="413" t="s">
        <v>1077</v>
      </c>
      <c r="AD41" s="412" t="s">
        <v>1044</v>
      </c>
      <c r="AE41" s="13"/>
      <c r="AF41" s="13"/>
      <c r="AG41" s="13"/>
      <c r="AH41" s="13"/>
      <c r="AI41" s="227"/>
      <c r="AJ41" s="1183"/>
      <c r="AK41" s="1183"/>
      <c r="AL41" s="13"/>
      <c r="AM41" s="13"/>
      <c r="AN41" s="13"/>
      <c r="AO41" s="13"/>
      <c r="AP41" s="13"/>
      <c r="AQ41" s="13"/>
      <c r="AR41" s="13"/>
      <c r="AS41" s="227"/>
      <c r="AT41" s="1183"/>
      <c r="AU41" s="1183"/>
      <c r="AV41" s="13"/>
      <c r="AW41" s="13"/>
      <c r="AX41" s="13"/>
      <c r="AY41" s="13"/>
      <c r="AZ41" s="13"/>
      <c r="BA41" s="13"/>
      <c r="BB41" s="13"/>
      <c r="BC41" s="25"/>
      <c r="BF41" s="960" t="s">
        <v>1078</v>
      </c>
    </row>
    <row r="42" spans="5:58" s="164" customFormat="1" ht="44.45" hidden="1" customHeight="1" x14ac:dyDescent="0.15">
      <c r="E42" s="668">
        <v>45.6</v>
      </c>
      <c r="F42" s="769" cm="1">
        <f t="array" ref="F42">F41</f>
        <v>0</v>
      </c>
      <c r="T42" s="690" t="b" cm="1">
        <f t="array" ref="T42">T41</f>
        <v>0</v>
      </c>
      <c r="X42" s="1572"/>
      <c r="Z42" s="1572"/>
      <c r="AB42" s="224">
        <v>2</v>
      </c>
      <c r="AC42" s="225" t="s">
        <v>1079</v>
      </c>
      <c r="AD42" s="104" t="s">
        <v>830</v>
      </c>
      <c r="AE42" s="54">
        <f t="shared" ref="AE42:BB42" si="3">SUM(AE43:AE46)+SUM(AE52:AE55)</f>
        <v>0</v>
      </c>
      <c r="AF42" s="54">
        <f t="shared" si="3"/>
        <v>0</v>
      </c>
      <c r="AG42" s="54">
        <f t="shared" si="3"/>
        <v>0</v>
      </c>
      <c r="AH42" s="54">
        <f t="shared" si="3"/>
        <v>0</v>
      </c>
      <c r="AI42" s="239">
        <f t="shared" si="3"/>
        <v>0</v>
      </c>
      <c r="AJ42" s="1263">
        <f t="shared" si="3"/>
        <v>0</v>
      </c>
      <c r="AK42" s="1263">
        <f t="shared" si="3"/>
        <v>0</v>
      </c>
      <c r="AL42" s="54">
        <f t="shared" si="3"/>
        <v>0</v>
      </c>
      <c r="AM42" s="54">
        <f t="shared" si="3"/>
        <v>0</v>
      </c>
      <c r="AN42" s="54">
        <f t="shared" si="3"/>
        <v>0</v>
      </c>
      <c r="AO42" s="54">
        <f t="shared" si="3"/>
        <v>0</v>
      </c>
      <c r="AP42" s="54">
        <f t="shared" si="3"/>
        <v>0</v>
      </c>
      <c r="AQ42" s="54">
        <f t="shared" si="3"/>
        <v>0</v>
      </c>
      <c r="AR42" s="54">
        <f t="shared" si="3"/>
        <v>0</v>
      </c>
      <c r="AS42" s="239">
        <f t="shared" si="3"/>
        <v>0</v>
      </c>
      <c r="AT42" s="1263">
        <f t="shared" si="3"/>
        <v>0</v>
      </c>
      <c r="AU42" s="1263">
        <f t="shared" si="3"/>
        <v>0</v>
      </c>
      <c r="AV42" s="54">
        <f t="shared" si="3"/>
        <v>0</v>
      </c>
      <c r="AW42" s="54">
        <f t="shared" si="3"/>
        <v>0</v>
      </c>
      <c r="AX42" s="54">
        <f t="shared" si="3"/>
        <v>0</v>
      </c>
      <c r="AY42" s="54">
        <f t="shared" si="3"/>
        <v>0</v>
      </c>
      <c r="AZ42" s="54">
        <f t="shared" si="3"/>
        <v>0</v>
      </c>
      <c r="BA42" s="54">
        <f t="shared" si="3"/>
        <v>0</v>
      </c>
      <c r="BB42" s="54">
        <f t="shared" si="3"/>
        <v>0</v>
      </c>
      <c r="BC42" s="25"/>
      <c r="BF42" s="960" t="s">
        <v>1080</v>
      </c>
    </row>
    <row r="43" spans="5:58" ht="14.65" hidden="1" customHeight="1" x14ac:dyDescent="0.15">
      <c r="E43" s="668">
        <v>15</v>
      </c>
      <c r="F43" s="769" cm="1">
        <f t="array" ref="F43">F42</f>
        <v>0</v>
      </c>
      <c r="T43" s="690" t="b" cm="1">
        <f t="array" ref="T43">T42</f>
        <v>0</v>
      </c>
      <c r="X43" s="1428"/>
      <c r="Z43" s="1428"/>
      <c r="AB43" s="412" t="str">
        <f>AB42&amp;".1"</f>
        <v>2.1</v>
      </c>
      <c r="AC43" s="413" t="s">
        <v>1043</v>
      </c>
      <c r="AD43" s="412" t="s">
        <v>1044</v>
      </c>
      <c r="AE43" s="13"/>
      <c r="AF43" s="13"/>
      <c r="AG43" s="13"/>
      <c r="AH43" s="13"/>
      <c r="AI43" s="227"/>
      <c r="AJ43" s="1183"/>
      <c r="AK43" s="1183"/>
      <c r="AL43" s="13"/>
      <c r="AM43" s="13"/>
      <c r="AN43" s="13"/>
      <c r="AO43" s="13"/>
      <c r="AP43" s="13"/>
      <c r="AQ43" s="13"/>
      <c r="AR43" s="13"/>
      <c r="AS43" s="227"/>
      <c r="AT43" s="1183"/>
      <c r="AU43" s="1183"/>
      <c r="AV43" s="13"/>
      <c r="AW43" s="13"/>
      <c r="AX43" s="13"/>
      <c r="AY43" s="13"/>
      <c r="AZ43" s="13"/>
      <c r="BA43" s="13"/>
      <c r="BB43" s="13"/>
      <c r="BC43" s="25"/>
      <c r="BF43" s="960" t="s">
        <v>1081</v>
      </c>
    </row>
    <row r="44" spans="5:58" ht="14.65" hidden="1" customHeight="1" x14ac:dyDescent="0.15">
      <c r="E44" s="668">
        <v>15</v>
      </c>
      <c r="F44" s="769" cm="1">
        <f t="array" ref="F44">F43</f>
        <v>0</v>
      </c>
      <c r="T44" s="690" t="b" cm="1">
        <f t="array" ref="T44">T43</f>
        <v>0</v>
      </c>
      <c r="X44" s="1428"/>
      <c r="Z44" s="1428"/>
      <c r="AB44" s="412" t="str">
        <f>AB42&amp;".2"</f>
        <v>2.2</v>
      </c>
      <c r="AC44" s="413" t="s">
        <v>1046</v>
      </c>
      <c r="AD44" s="412" t="s">
        <v>1044</v>
      </c>
      <c r="AE44" s="13"/>
      <c r="AF44" s="13"/>
      <c r="AG44" s="13"/>
      <c r="AH44" s="13"/>
      <c r="AI44" s="227"/>
      <c r="AJ44" s="1183"/>
      <c r="AK44" s="1183"/>
      <c r="AL44" s="13"/>
      <c r="AM44" s="13"/>
      <c r="AN44" s="13"/>
      <c r="AO44" s="13"/>
      <c r="AP44" s="13"/>
      <c r="AQ44" s="13"/>
      <c r="AR44" s="13"/>
      <c r="AS44" s="227"/>
      <c r="AT44" s="1183"/>
      <c r="AU44" s="1183"/>
      <c r="AV44" s="13"/>
      <c r="AW44" s="13"/>
      <c r="AX44" s="13"/>
      <c r="AY44" s="13"/>
      <c r="AZ44" s="13"/>
      <c r="BA44" s="13"/>
      <c r="BB44" s="13"/>
      <c r="BC44" s="25"/>
      <c r="BF44" s="960" t="s">
        <v>1082</v>
      </c>
    </row>
    <row r="45" spans="5:58" ht="14.65" hidden="1" customHeight="1" x14ac:dyDescent="0.15">
      <c r="E45" s="668">
        <v>15</v>
      </c>
      <c r="F45" s="769" cm="1">
        <f t="array" ref="F45">F44</f>
        <v>0</v>
      </c>
      <c r="T45" s="690" t="b" cm="1">
        <f t="array" ref="T45">T44</f>
        <v>0</v>
      </c>
      <c r="X45" s="1428"/>
      <c r="Z45" s="1428"/>
      <c r="AB45" s="412" t="str">
        <f>AB42&amp;".3"</f>
        <v>2.3</v>
      </c>
      <c r="AC45" s="413" t="s">
        <v>1048</v>
      </c>
      <c r="AD45" s="412" t="s">
        <v>1044</v>
      </c>
      <c r="AE45" s="13"/>
      <c r="AF45" s="13"/>
      <c r="AG45" s="13"/>
      <c r="AH45" s="13"/>
      <c r="AI45" s="227"/>
      <c r="AJ45" s="1183"/>
      <c r="AK45" s="1183"/>
      <c r="AL45" s="13"/>
      <c r="AM45" s="13"/>
      <c r="AN45" s="13"/>
      <c r="AO45" s="13"/>
      <c r="AP45" s="13"/>
      <c r="AQ45" s="13"/>
      <c r="AR45" s="13"/>
      <c r="AS45" s="227"/>
      <c r="AT45" s="1183"/>
      <c r="AU45" s="1183"/>
      <c r="AV45" s="13"/>
      <c r="AW45" s="13"/>
      <c r="AX45" s="13"/>
      <c r="AY45" s="13"/>
      <c r="AZ45" s="13"/>
      <c r="BA45" s="13"/>
      <c r="BB45" s="13"/>
      <c r="BC45" s="25"/>
      <c r="BF45" s="960" t="s">
        <v>1083</v>
      </c>
    </row>
    <row r="46" spans="5:58" ht="14.65" hidden="1" customHeight="1" x14ac:dyDescent="0.15">
      <c r="E46" s="668">
        <v>15</v>
      </c>
      <c r="F46" s="769" cm="1">
        <f t="array" ref="F46">F45</f>
        <v>0</v>
      </c>
      <c r="T46" s="690" t="b" cm="1">
        <f t="array" ref="T46">T45</f>
        <v>0</v>
      </c>
      <c r="X46" s="1428"/>
      <c r="Z46" s="1428"/>
      <c r="AB46" s="412" t="str">
        <f>AB42&amp;".4"</f>
        <v>2.4</v>
      </c>
      <c r="AC46" s="413" t="s">
        <v>1050</v>
      </c>
      <c r="AD46" s="412" t="s">
        <v>1044</v>
      </c>
      <c r="AE46" s="37">
        <f t="shared" ref="AE46:BB46" si="4">SUM(AE47:AE51)</f>
        <v>0</v>
      </c>
      <c r="AF46" s="37">
        <f t="shared" si="4"/>
        <v>0</v>
      </c>
      <c r="AG46" s="37">
        <f t="shared" si="4"/>
        <v>0</v>
      </c>
      <c r="AH46" s="37">
        <f t="shared" si="4"/>
        <v>0</v>
      </c>
      <c r="AI46" s="407">
        <f t="shared" si="4"/>
        <v>0</v>
      </c>
      <c r="AJ46" s="1242">
        <f t="shared" si="4"/>
        <v>0</v>
      </c>
      <c r="AK46" s="1242">
        <f t="shared" si="4"/>
        <v>0</v>
      </c>
      <c r="AL46" s="37">
        <f t="shared" si="4"/>
        <v>0</v>
      </c>
      <c r="AM46" s="37">
        <f t="shared" si="4"/>
        <v>0</v>
      </c>
      <c r="AN46" s="37">
        <f t="shared" si="4"/>
        <v>0</v>
      </c>
      <c r="AO46" s="37">
        <f t="shared" si="4"/>
        <v>0</v>
      </c>
      <c r="AP46" s="37">
        <f t="shared" si="4"/>
        <v>0</v>
      </c>
      <c r="AQ46" s="37">
        <f t="shared" si="4"/>
        <v>0</v>
      </c>
      <c r="AR46" s="37">
        <f t="shared" si="4"/>
        <v>0</v>
      </c>
      <c r="AS46" s="407">
        <f t="shared" si="4"/>
        <v>0</v>
      </c>
      <c r="AT46" s="1242">
        <f t="shared" si="4"/>
        <v>0</v>
      </c>
      <c r="AU46" s="1242">
        <f t="shared" si="4"/>
        <v>0</v>
      </c>
      <c r="AV46" s="37">
        <f t="shared" si="4"/>
        <v>0</v>
      </c>
      <c r="AW46" s="37">
        <f t="shared" si="4"/>
        <v>0</v>
      </c>
      <c r="AX46" s="37">
        <f t="shared" si="4"/>
        <v>0</v>
      </c>
      <c r="AY46" s="37">
        <f t="shared" si="4"/>
        <v>0</v>
      </c>
      <c r="AZ46" s="37">
        <f t="shared" si="4"/>
        <v>0</v>
      </c>
      <c r="BA46" s="37">
        <f t="shared" si="4"/>
        <v>0</v>
      </c>
      <c r="BB46" s="37">
        <f t="shared" si="4"/>
        <v>0</v>
      </c>
      <c r="BC46" s="25"/>
      <c r="BF46" s="960" t="s">
        <v>1084</v>
      </c>
    </row>
    <row r="47" spans="5:58" ht="14.65" hidden="1" customHeight="1" x14ac:dyDescent="0.15">
      <c r="E47" s="668">
        <v>15</v>
      </c>
      <c r="F47" s="769" cm="1">
        <f t="array" ref="F47">F46</f>
        <v>0</v>
      </c>
      <c r="T47" s="690" t="b" cm="1">
        <f t="array" ref="T47">T46</f>
        <v>0</v>
      </c>
      <c r="X47" s="1428"/>
      <c r="Z47" s="1428"/>
      <c r="AB47" s="412" t="str">
        <f>AB46&amp;".1"</f>
        <v>2.4.1</v>
      </c>
      <c r="AC47" s="414" t="s">
        <v>1053</v>
      </c>
      <c r="AD47" s="412" t="s">
        <v>1044</v>
      </c>
      <c r="AE47" s="13"/>
      <c r="AF47" s="13"/>
      <c r="AG47" s="13"/>
      <c r="AH47" s="13"/>
      <c r="AI47" s="227"/>
      <c r="AJ47" s="1183"/>
      <c r="AK47" s="1183"/>
      <c r="AL47" s="13"/>
      <c r="AM47" s="13"/>
      <c r="AN47" s="13"/>
      <c r="AO47" s="13"/>
      <c r="AP47" s="13"/>
      <c r="AQ47" s="13"/>
      <c r="AR47" s="13"/>
      <c r="AS47" s="227"/>
      <c r="AT47" s="1183"/>
      <c r="AU47" s="1183"/>
      <c r="AV47" s="13"/>
      <c r="AW47" s="13"/>
      <c r="AX47" s="13"/>
      <c r="AY47" s="13"/>
      <c r="AZ47" s="13"/>
      <c r="BA47" s="13"/>
      <c r="BB47" s="13"/>
      <c r="BC47" s="25"/>
      <c r="BF47" s="960" t="s">
        <v>1085</v>
      </c>
    </row>
    <row r="48" spans="5:58" ht="14.65" hidden="1" customHeight="1" x14ac:dyDescent="0.15">
      <c r="E48" s="668">
        <v>15</v>
      </c>
      <c r="F48" s="769" cm="1">
        <f t="array" ref="F48">F47</f>
        <v>0</v>
      </c>
      <c r="T48" s="690" t="b" cm="1">
        <f t="array" ref="T48">T47</f>
        <v>0</v>
      </c>
      <c r="X48" s="1428"/>
      <c r="Z48" s="1428"/>
      <c r="AB48" s="412" t="str">
        <f>AB46&amp;".2"</f>
        <v>2.4.2</v>
      </c>
      <c r="AC48" s="414" t="s">
        <v>1056</v>
      </c>
      <c r="AD48" s="412" t="s">
        <v>1044</v>
      </c>
      <c r="AE48" s="13"/>
      <c r="AF48" s="13"/>
      <c r="AG48" s="13"/>
      <c r="AH48" s="13"/>
      <c r="AI48" s="227"/>
      <c r="AJ48" s="1183"/>
      <c r="AK48" s="1183"/>
      <c r="AL48" s="13"/>
      <c r="AM48" s="13"/>
      <c r="AN48" s="13"/>
      <c r="AO48" s="13"/>
      <c r="AP48" s="13"/>
      <c r="AQ48" s="13"/>
      <c r="AR48" s="13"/>
      <c r="AS48" s="227"/>
      <c r="AT48" s="1183"/>
      <c r="AU48" s="1183"/>
      <c r="AV48" s="13"/>
      <c r="AW48" s="13"/>
      <c r="AX48" s="13"/>
      <c r="AY48" s="13"/>
      <c r="AZ48" s="13"/>
      <c r="BA48" s="13"/>
      <c r="BB48" s="13"/>
      <c r="BC48" s="25"/>
      <c r="BF48" s="960" t="s">
        <v>1086</v>
      </c>
    </row>
    <row r="49" spans="5:58" ht="14.65" hidden="1" customHeight="1" x14ac:dyDescent="0.15">
      <c r="E49" s="668">
        <v>15</v>
      </c>
      <c r="F49" s="769" cm="1">
        <f t="array" ref="F49">F48</f>
        <v>0</v>
      </c>
      <c r="T49" s="690" t="b" cm="1">
        <f t="array" ref="T49">T48</f>
        <v>0</v>
      </c>
      <c r="X49" s="1428"/>
      <c r="Z49" s="1428"/>
      <c r="AB49" s="412" t="str">
        <f>AB46&amp;".3"</f>
        <v>2.4.3</v>
      </c>
      <c r="AC49" s="414" t="s">
        <v>1059</v>
      </c>
      <c r="AD49" s="412" t="s">
        <v>1044</v>
      </c>
      <c r="AE49" s="13"/>
      <c r="AF49" s="13"/>
      <c r="AG49" s="13"/>
      <c r="AH49" s="13"/>
      <c r="AI49" s="227"/>
      <c r="AJ49" s="1183"/>
      <c r="AK49" s="1183"/>
      <c r="AL49" s="13"/>
      <c r="AM49" s="13"/>
      <c r="AN49" s="13"/>
      <c r="AO49" s="13"/>
      <c r="AP49" s="13"/>
      <c r="AQ49" s="13"/>
      <c r="AR49" s="13"/>
      <c r="AS49" s="227"/>
      <c r="AT49" s="1183"/>
      <c r="AU49" s="1183"/>
      <c r="AV49" s="13"/>
      <c r="AW49" s="13"/>
      <c r="AX49" s="13"/>
      <c r="AY49" s="13"/>
      <c r="AZ49" s="13"/>
      <c r="BA49" s="13"/>
      <c r="BB49" s="13"/>
      <c r="BC49" s="25"/>
      <c r="BF49" s="960" t="s">
        <v>1087</v>
      </c>
    </row>
    <row r="50" spans="5:58" ht="14.65" hidden="1" customHeight="1" x14ac:dyDescent="0.15">
      <c r="E50" s="668">
        <v>15</v>
      </c>
      <c r="F50" s="769" cm="1">
        <f t="array" ref="F50">F49</f>
        <v>0</v>
      </c>
      <c r="T50" s="690" t="b" cm="1">
        <f t="array" ref="T50">T49</f>
        <v>0</v>
      </c>
      <c r="X50" s="1428"/>
      <c r="Z50" s="1428"/>
      <c r="AB50" s="412" t="str">
        <f>AB46&amp;".4"</f>
        <v>2.4.4</v>
      </c>
      <c r="AC50" s="414" t="s">
        <v>1062</v>
      </c>
      <c r="AD50" s="412" t="s">
        <v>1044</v>
      </c>
      <c r="AE50" s="13"/>
      <c r="AF50" s="13"/>
      <c r="AG50" s="13"/>
      <c r="AH50" s="13"/>
      <c r="AI50" s="227"/>
      <c r="AJ50" s="1183"/>
      <c r="AK50" s="1183"/>
      <c r="AL50" s="13"/>
      <c r="AM50" s="13"/>
      <c r="AN50" s="13"/>
      <c r="AO50" s="13"/>
      <c r="AP50" s="13"/>
      <c r="AQ50" s="13"/>
      <c r="AR50" s="13"/>
      <c r="AS50" s="227"/>
      <c r="AT50" s="1183"/>
      <c r="AU50" s="1183"/>
      <c r="AV50" s="13"/>
      <c r="AW50" s="13"/>
      <c r="AX50" s="13"/>
      <c r="AY50" s="13"/>
      <c r="AZ50" s="13"/>
      <c r="BA50" s="13"/>
      <c r="BB50" s="13"/>
      <c r="BC50" s="25"/>
      <c r="BF50" s="960" t="s">
        <v>1088</v>
      </c>
    </row>
    <row r="51" spans="5:58" ht="14.65" hidden="1" customHeight="1" x14ac:dyDescent="0.15">
      <c r="E51" s="668">
        <v>15</v>
      </c>
      <c r="F51" s="769" cm="1">
        <f t="array" ref="F51">F50</f>
        <v>0</v>
      </c>
      <c r="T51" s="690" t="b" cm="1">
        <f t="array" ref="T51">T50</f>
        <v>0</v>
      </c>
      <c r="X51" s="1428"/>
      <c r="Z51" s="1428"/>
      <c r="AB51" s="412" t="str">
        <f>AB46&amp;".5"</f>
        <v>2.4.5</v>
      </c>
      <c r="AC51" s="414" t="s">
        <v>1065</v>
      </c>
      <c r="AD51" s="412" t="s">
        <v>1044</v>
      </c>
      <c r="AE51" s="13"/>
      <c r="AF51" s="13"/>
      <c r="AG51" s="13"/>
      <c r="AH51" s="13"/>
      <c r="AI51" s="227"/>
      <c r="AJ51" s="1183"/>
      <c r="AK51" s="1183"/>
      <c r="AL51" s="13"/>
      <c r="AM51" s="13"/>
      <c r="AN51" s="13"/>
      <c r="AO51" s="13"/>
      <c r="AP51" s="13"/>
      <c r="AQ51" s="13"/>
      <c r="AR51" s="13"/>
      <c r="AS51" s="227"/>
      <c r="AT51" s="1183"/>
      <c r="AU51" s="1183"/>
      <c r="AV51" s="13"/>
      <c r="AW51" s="13"/>
      <c r="AX51" s="13"/>
      <c r="AY51" s="13"/>
      <c r="AZ51" s="13"/>
      <c r="BA51" s="13"/>
      <c r="BB51" s="13"/>
      <c r="BC51" s="25"/>
      <c r="BF51" s="960" t="s">
        <v>1089</v>
      </c>
    </row>
    <row r="52" spans="5:58" ht="14.65" hidden="1" customHeight="1" x14ac:dyDescent="0.15">
      <c r="E52" s="668">
        <v>15</v>
      </c>
      <c r="F52" s="769" cm="1">
        <f t="array" ref="F52">F51</f>
        <v>0</v>
      </c>
      <c r="T52" s="690" t="b" cm="1">
        <f t="array" ref="T52">T51</f>
        <v>0</v>
      </c>
      <c r="X52" s="1428"/>
      <c r="Z52" s="1428"/>
      <c r="AB52" s="412" t="str">
        <f>AB42&amp;".5"</f>
        <v>2.5</v>
      </c>
      <c r="AC52" s="413" t="s">
        <v>1068</v>
      </c>
      <c r="AD52" s="412" t="s">
        <v>1044</v>
      </c>
      <c r="AE52" s="13"/>
      <c r="AF52" s="13"/>
      <c r="AG52" s="13"/>
      <c r="AH52" s="13"/>
      <c r="AI52" s="227"/>
      <c r="AJ52" s="1183"/>
      <c r="AK52" s="1183"/>
      <c r="AL52" s="13"/>
      <c r="AM52" s="13"/>
      <c r="AN52" s="13"/>
      <c r="AO52" s="13"/>
      <c r="AP52" s="13"/>
      <c r="AQ52" s="13"/>
      <c r="AR52" s="13"/>
      <c r="AS52" s="227"/>
      <c r="AT52" s="1183"/>
      <c r="AU52" s="1183"/>
      <c r="AV52" s="13"/>
      <c r="AW52" s="13"/>
      <c r="AX52" s="13"/>
      <c r="AY52" s="13"/>
      <c r="AZ52" s="13"/>
      <c r="BA52" s="13"/>
      <c r="BB52" s="13"/>
      <c r="BC52" s="25"/>
      <c r="BF52" s="960" t="s">
        <v>1090</v>
      </c>
    </row>
    <row r="53" spans="5:58" ht="14.65" hidden="1" customHeight="1" x14ac:dyDescent="0.15">
      <c r="E53" s="668">
        <v>15</v>
      </c>
      <c r="F53" s="769" cm="1">
        <f t="array" ref="F53">F52</f>
        <v>0</v>
      </c>
      <c r="T53" s="690" t="b" cm="1">
        <f t="array" ref="T53">T52</f>
        <v>0</v>
      </c>
      <c r="X53" s="1428"/>
      <c r="Z53" s="1428"/>
      <c r="AB53" s="412" t="str">
        <f>AB42&amp;".6"</f>
        <v>2.6</v>
      </c>
      <c r="AC53" s="413" t="s">
        <v>1071</v>
      </c>
      <c r="AD53" s="412" t="s">
        <v>1044</v>
      </c>
      <c r="AE53" s="13"/>
      <c r="AF53" s="13"/>
      <c r="AG53" s="13"/>
      <c r="AH53" s="13"/>
      <c r="AI53" s="227"/>
      <c r="AJ53" s="1183"/>
      <c r="AK53" s="1183"/>
      <c r="AL53" s="13"/>
      <c r="AM53" s="13"/>
      <c r="AN53" s="13"/>
      <c r="AO53" s="13"/>
      <c r="AP53" s="13"/>
      <c r="AQ53" s="13"/>
      <c r="AR53" s="13"/>
      <c r="AS53" s="227"/>
      <c r="AT53" s="1183"/>
      <c r="AU53" s="1183"/>
      <c r="AV53" s="13"/>
      <c r="AW53" s="13"/>
      <c r="AX53" s="13"/>
      <c r="AY53" s="13"/>
      <c r="AZ53" s="13"/>
      <c r="BA53" s="13"/>
      <c r="BB53" s="13"/>
      <c r="BC53" s="25"/>
      <c r="BF53" s="960" t="s">
        <v>1091</v>
      </c>
    </row>
    <row r="54" spans="5:58" ht="14.65" hidden="1" customHeight="1" x14ac:dyDescent="0.15">
      <c r="E54" s="668">
        <v>15</v>
      </c>
      <c r="F54" s="769" cm="1">
        <f t="array" ref="F54">F53</f>
        <v>0</v>
      </c>
      <c r="T54" s="690" t="b" cm="1">
        <f t="array" ref="T54">T53</f>
        <v>0</v>
      </c>
      <c r="X54" s="1428"/>
      <c r="Z54" s="1428"/>
      <c r="AB54" s="412" t="str">
        <f>AB42&amp;".7"</f>
        <v>2.7</v>
      </c>
      <c r="AC54" s="413" t="s">
        <v>1074</v>
      </c>
      <c r="AD54" s="412" t="s">
        <v>1044</v>
      </c>
      <c r="AE54" s="13"/>
      <c r="AF54" s="13"/>
      <c r="AG54" s="13"/>
      <c r="AH54" s="13"/>
      <c r="AI54" s="227"/>
      <c r="AJ54" s="1183"/>
      <c r="AK54" s="1183"/>
      <c r="AL54" s="13"/>
      <c r="AM54" s="13"/>
      <c r="AN54" s="13"/>
      <c r="AO54" s="13"/>
      <c r="AP54" s="13"/>
      <c r="AQ54" s="13"/>
      <c r="AR54" s="13"/>
      <c r="AS54" s="227"/>
      <c r="AT54" s="1183"/>
      <c r="AU54" s="1183"/>
      <c r="AV54" s="13"/>
      <c r="AW54" s="13"/>
      <c r="AX54" s="13"/>
      <c r="AY54" s="13"/>
      <c r="AZ54" s="13"/>
      <c r="BA54" s="13"/>
      <c r="BB54" s="13"/>
      <c r="BC54" s="25"/>
      <c r="BF54" s="960" t="s">
        <v>1092</v>
      </c>
    </row>
    <row r="55" spans="5:58" ht="14.65" hidden="1" customHeight="1" x14ac:dyDescent="0.15">
      <c r="E55" s="668">
        <v>15</v>
      </c>
      <c r="F55" s="769" cm="1">
        <f t="array" ref="F55">F54</f>
        <v>0</v>
      </c>
      <c r="T55" s="690" t="b" cm="1">
        <f t="array" ref="T55">T54</f>
        <v>0</v>
      </c>
      <c r="X55" s="1428"/>
      <c r="Z55" s="1428"/>
      <c r="AB55" s="412" t="str">
        <f>AB42&amp;".8"</f>
        <v>2.8</v>
      </c>
      <c r="AC55" s="413" t="s">
        <v>1077</v>
      </c>
      <c r="AD55" s="412" t="s">
        <v>1044</v>
      </c>
      <c r="AE55" s="13"/>
      <c r="AF55" s="13"/>
      <c r="AG55" s="13"/>
      <c r="AH55" s="13"/>
      <c r="AI55" s="227"/>
      <c r="AJ55" s="1183"/>
      <c r="AK55" s="1183"/>
      <c r="AL55" s="13"/>
      <c r="AM55" s="13"/>
      <c r="AN55" s="13"/>
      <c r="AO55" s="13"/>
      <c r="AP55" s="13"/>
      <c r="AQ55" s="13"/>
      <c r="AR55" s="13"/>
      <c r="AS55" s="227"/>
      <c r="AT55" s="1183"/>
      <c r="AU55" s="1183"/>
      <c r="AV55" s="13"/>
      <c r="AW55" s="13"/>
      <c r="AX55" s="13"/>
      <c r="AY55" s="13"/>
      <c r="AZ55" s="13"/>
      <c r="BA55" s="13"/>
      <c r="BB55" s="13"/>
      <c r="BC55" s="25"/>
      <c r="BF55" s="960" t="s">
        <v>1093</v>
      </c>
    </row>
    <row r="56" spans="5:58" s="164" customFormat="1" ht="14.65" hidden="1" customHeight="1" x14ac:dyDescent="0.15">
      <c r="E56" s="668">
        <v>15</v>
      </c>
      <c r="F56" s="769" cm="1">
        <f t="array" ref="F56">F55</f>
        <v>0</v>
      </c>
      <c r="T56" s="690" t="b" cm="1">
        <f t="array" ref="T56">T55</f>
        <v>0</v>
      </c>
      <c r="X56" s="1572"/>
      <c r="Z56" s="1572"/>
      <c r="AB56" s="224">
        <v>3</v>
      </c>
      <c r="AC56" s="225" t="s">
        <v>1094</v>
      </c>
      <c r="AD56" s="104" t="s">
        <v>830</v>
      </c>
      <c r="AE56" s="54">
        <f t="shared" ref="AE56:BB56" si="5">SUM(AE57:AE60)+SUM(AE66:AE69)</f>
        <v>0</v>
      </c>
      <c r="AF56" s="54">
        <f t="shared" si="5"/>
        <v>0</v>
      </c>
      <c r="AG56" s="54">
        <f t="shared" si="5"/>
        <v>0</v>
      </c>
      <c r="AH56" s="54">
        <f t="shared" si="5"/>
        <v>0</v>
      </c>
      <c r="AI56" s="239">
        <f t="shared" si="5"/>
        <v>0</v>
      </c>
      <c r="AJ56" s="1263">
        <f t="shared" si="5"/>
        <v>0</v>
      </c>
      <c r="AK56" s="1263">
        <f t="shared" si="5"/>
        <v>0</v>
      </c>
      <c r="AL56" s="54">
        <f t="shared" si="5"/>
        <v>0</v>
      </c>
      <c r="AM56" s="54">
        <f t="shared" si="5"/>
        <v>0</v>
      </c>
      <c r="AN56" s="54">
        <f t="shared" si="5"/>
        <v>0</v>
      </c>
      <c r="AO56" s="54">
        <f t="shared" si="5"/>
        <v>0</v>
      </c>
      <c r="AP56" s="54">
        <f t="shared" si="5"/>
        <v>0</v>
      </c>
      <c r="AQ56" s="54">
        <f t="shared" si="5"/>
        <v>0</v>
      </c>
      <c r="AR56" s="54">
        <f t="shared" si="5"/>
        <v>0</v>
      </c>
      <c r="AS56" s="239">
        <f t="shared" si="5"/>
        <v>0</v>
      </c>
      <c r="AT56" s="1263">
        <f t="shared" si="5"/>
        <v>0</v>
      </c>
      <c r="AU56" s="1263">
        <f t="shared" si="5"/>
        <v>0</v>
      </c>
      <c r="AV56" s="54">
        <f t="shared" si="5"/>
        <v>0</v>
      </c>
      <c r="AW56" s="54">
        <f t="shared" si="5"/>
        <v>0</v>
      </c>
      <c r="AX56" s="54">
        <f t="shared" si="5"/>
        <v>0</v>
      </c>
      <c r="AY56" s="54">
        <f t="shared" si="5"/>
        <v>0</v>
      </c>
      <c r="AZ56" s="54">
        <f t="shared" si="5"/>
        <v>0</v>
      </c>
      <c r="BA56" s="54">
        <f t="shared" si="5"/>
        <v>0</v>
      </c>
      <c r="BB56" s="54">
        <f t="shared" si="5"/>
        <v>0</v>
      </c>
      <c r="BC56" s="25"/>
      <c r="BF56" s="960" t="s">
        <v>1095</v>
      </c>
    </row>
    <row r="57" spans="5:58" ht="14.65" hidden="1" customHeight="1" x14ac:dyDescent="0.15">
      <c r="E57" s="668">
        <v>15</v>
      </c>
      <c r="F57" s="769" cm="1">
        <f t="array" ref="F57">F56</f>
        <v>0</v>
      </c>
      <c r="T57" s="690" t="b" cm="1">
        <f t="array" ref="T57">T56</f>
        <v>0</v>
      </c>
      <c r="X57" s="1428"/>
      <c r="Z57" s="1428"/>
      <c r="AB57" s="412" t="str">
        <f>AB56&amp;".1"</f>
        <v>3.1</v>
      </c>
      <c r="AC57" s="413" t="s">
        <v>1043</v>
      </c>
      <c r="AD57" s="412" t="s">
        <v>1044</v>
      </c>
      <c r="AE57" s="13"/>
      <c r="AF57" s="13"/>
      <c r="AG57" s="13"/>
      <c r="AH57" s="13"/>
      <c r="AI57" s="227"/>
      <c r="AJ57" s="1183"/>
      <c r="AK57" s="1183"/>
      <c r="AL57" s="13"/>
      <c r="AM57" s="13"/>
      <c r="AN57" s="13"/>
      <c r="AO57" s="13"/>
      <c r="AP57" s="13"/>
      <c r="AQ57" s="13"/>
      <c r="AR57" s="13"/>
      <c r="AS57" s="227"/>
      <c r="AT57" s="1183"/>
      <c r="AU57" s="1183"/>
      <c r="AV57" s="13"/>
      <c r="AW57" s="13"/>
      <c r="AX57" s="13"/>
      <c r="AY57" s="13"/>
      <c r="AZ57" s="13"/>
      <c r="BA57" s="13"/>
      <c r="BB57" s="13"/>
      <c r="BC57" s="25"/>
      <c r="BF57" s="960" t="s">
        <v>1096</v>
      </c>
    </row>
    <row r="58" spans="5:58" ht="14.65" hidden="1" customHeight="1" x14ac:dyDescent="0.15">
      <c r="E58" s="668">
        <v>15</v>
      </c>
      <c r="F58" s="769" cm="1">
        <f t="array" ref="F58">F57</f>
        <v>0</v>
      </c>
      <c r="T58" s="690" t="b" cm="1">
        <f t="array" ref="T58">T57</f>
        <v>0</v>
      </c>
      <c r="X58" s="1428"/>
      <c r="Z58" s="1428"/>
      <c r="AB58" s="412" t="str">
        <f>AB56&amp;".2"</f>
        <v>3.2</v>
      </c>
      <c r="AC58" s="413" t="s">
        <v>1046</v>
      </c>
      <c r="AD58" s="412" t="s">
        <v>1044</v>
      </c>
      <c r="AE58" s="13"/>
      <c r="AF58" s="13"/>
      <c r="AG58" s="13"/>
      <c r="AH58" s="13"/>
      <c r="AI58" s="227"/>
      <c r="AJ58" s="1183"/>
      <c r="AK58" s="1183"/>
      <c r="AL58" s="13"/>
      <c r="AM58" s="13"/>
      <c r="AN58" s="13"/>
      <c r="AO58" s="13"/>
      <c r="AP58" s="13"/>
      <c r="AQ58" s="13"/>
      <c r="AR58" s="13"/>
      <c r="AS58" s="227"/>
      <c r="AT58" s="1183"/>
      <c r="AU58" s="1183"/>
      <c r="AV58" s="13"/>
      <c r="AW58" s="13"/>
      <c r="AX58" s="13"/>
      <c r="AY58" s="13"/>
      <c r="AZ58" s="13"/>
      <c r="BA58" s="13"/>
      <c r="BB58" s="13"/>
      <c r="BC58" s="25"/>
      <c r="BF58" s="960" t="s">
        <v>1097</v>
      </c>
    </row>
    <row r="59" spans="5:58" ht="14.65" hidden="1" customHeight="1" x14ac:dyDescent="0.15">
      <c r="E59" s="668">
        <v>15</v>
      </c>
      <c r="F59" s="769" cm="1">
        <f t="array" ref="F59">F58</f>
        <v>0</v>
      </c>
      <c r="T59" s="690" t="b" cm="1">
        <f t="array" ref="T59">T58</f>
        <v>0</v>
      </c>
      <c r="X59" s="1428"/>
      <c r="Z59" s="1428"/>
      <c r="AB59" s="412" t="str">
        <f>AB56&amp;".3"</f>
        <v>3.3</v>
      </c>
      <c r="AC59" s="413" t="s">
        <v>1048</v>
      </c>
      <c r="AD59" s="412" t="s">
        <v>1044</v>
      </c>
      <c r="AE59" s="13"/>
      <c r="AF59" s="13"/>
      <c r="AG59" s="13"/>
      <c r="AH59" s="13"/>
      <c r="AI59" s="227"/>
      <c r="AJ59" s="1183"/>
      <c r="AK59" s="1183"/>
      <c r="AL59" s="13"/>
      <c r="AM59" s="13"/>
      <c r="AN59" s="13"/>
      <c r="AO59" s="13"/>
      <c r="AP59" s="13"/>
      <c r="AQ59" s="13"/>
      <c r="AR59" s="13"/>
      <c r="AS59" s="227"/>
      <c r="AT59" s="1183"/>
      <c r="AU59" s="1183"/>
      <c r="AV59" s="13"/>
      <c r="AW59" s="13"/>
      <c r="AX59" s="13"/>
      <c r="AY59" s="13"/>
      <c r="AZ59" s="13"/>
      <c r="BA59" s="13"/>
      <c r="BB59" s="13"/>
      <c r="BC59" s="25"/>
      <c r="BF59" s="960" t="s">
        <v>1098</v>
      </c>
    </row>
    <row r="60" spans="5:58" ht="14.65" hidden="1" customHeight="1" x14ac:dyDescent="0.15">
      <c r="E60" s="668">
        <v>15</v>
      </c>
      <c r="F60" s="769" cm="1">
        <f t="array" ref="F60">F59</f>
        <v>0</v>
      </c>
      <c r="T60" s="690" t="b" cm="1">
        <f t="array" ref="T60">T59</f>
        <v>0</v>
      </c>
      <c r="X60" s="1428"/>
      <c r="Z60" s="1428"/>
      <c r="AB60" s="412" t="str">
        <f>AB56&amp;".4"</f>
        <v>3.4</v>
      </c>
      <c r="AC60" s="413" t="s">
        <v>1050</v>
      </c>
      <c r="AD60" s="412" t="s">
        <v>1044</v>
      </c>
      <c r="AE60" s="37">
        <f t="shared" ref="AE60:BB60" si="6">SUM(AE61:AE65)</f>
        <v>0</v>
      </c>
      <c r="AF60" s="37">
        <f t="shared" si="6"/>
        <v>0</v>
      </c>
      <c r="AG60" s="37">
        <f t="shared" si="6"/>
        <v>0</v>
      </c>
      <c r="AH60" s="37">
        <f t="shared" si="6"/>
        <v>0</v>
      </c>
      <c r="AI60" s="407">
        <f t="shared" si="6"/>
        <v>0</v>
      </c>
      <c r="AJ60" s="1242">
        <f t="shared" si="6"/>
        <v>0</v>
      </c>
      <c r="AK60" s="1242">
        <f t="shared" si="6"/>
        <v>0</v>
      </c>
      <c r="AL60" s="37">
        <f t="shared" si="6"/>
        <v>0</v>
      </c>
      <c r="AM60" s="37">
        <f t="shared" si="6"/>
        <v>0</v>
      </c>
      <c r="AN60" s="37">
        <f t="shared" si="6"/>
        <v>0</v>
      </c>
      <c r="AO60" s="37">
        <f t="shared" si="6"/>
        <v>0</v>
      </c>
      <c r="AP60" s="37">
        <f t="shared" si="6"/>
        <v>0</v>
      </c>
      <c r="AQ60" s="37">
        <f t="shared" si="6"/>
        <v>0</v>
      </c>
      <c r="AR60" s="37">
        <f t="shared" si="6"/>
        <v>0</v>
      </c>
      <c r="AS60" s="407">
        <f t="shared" si="6"/>
        <v>0</v>
      </c>
      <c r="AT60" s="1242">
        <f t="shared" si="6"/>
        <v>0</v>
      </c>
      <c r="AU60" s="1242">
        <f t="shared" si="6"/>
        <v>0</v>
      </c>
      <c r="AV60" s="37">
        <f t="shared" si="6"/>
        <v>0</v>
      </c>
      <c r="AW60" s="37">
        <f t="shared" si="6"/>
        <v>0</v>
      </c>
      <c r="AX60" s="37">
        <f t="shared" si="6"/>
        <v>0</v>
      </c>
      <c r="AY60" s="37">
        <f t="shared" si="6"/>
        <v>0</v>
      </c>
      <c r="AZ60" s="37">
        <f t="shared" si="6"/>
        <v>0</v>
      </c>
      <c r="BA60" s="37">
        <f t="shared" si="6"/>
        <v>0</v>
      </c>
      <c r="BB60" s="37">
        <f t="shared" si="6"/>
        <v>0</v>
      </c>
      <c r="BC60" s="25"/>
      <c r="BF60" s="960" t="s">
        <v>1099</v>
      </c>
    </row>
    <row r="61" spans="5:58" ht="14.65" hidden="1" customHeight="1" x14ac:dyDescent="0.15">
      <c r="E61" s="668">
        <v>15</v>
      </c>
      <c r="F61" s="769" cm="1">
        <f t="array" ref="F61">F60</f>
        <v>0</v>
      </c>
      <c r="T61" s="690" t="b" cm="1">
        <f t="array" ref="T61">T60</f>
        <v>0</v>
      </c>
      <c r="X61" s="1428"/>
      <c r="Z61" s="1428"/>
      <c r="AB61" s="412" t="str">
        <f>AB60&amp;".1"</f>
        <v>3.4.1</v>
      </c>
      <c r="AC61" s="414" t="s">
        <v>1053</v>
      </c>
      <c r="AD61" s="412" t="s">
        <v>1044</v>
      </c>
      <c r="AE61" s="13"/>
      <c r="AF61" s="13"/>
      <c r="AG61" s="13"/>
      <c r="AH61" s="13"/>
      <c r="AI61" s="227"/>
      <c r="AJ61" s="1183"/>
      <c r="AK61" s="1183"/>
      <c r="AL61" s="13"/>
      <c r="AM61" s="13"/>
      <c r="AN61" s="13"/>
      <c r="AO61" s="13"/>
      <c r="AP61" s="13"/>
      <c r="AQ61" s="13"/>
      <c r="AR61" s="13"/>
      <c r="AS61" s="227"/>
      <c r="AT61" s="1183"/>
      <c r="AU61" s="1183"/>
      <c r="AV61" s="13"/>
      <c r="AW61" s="13"/>
      <c r="AX61" s="13"/>
      <c r="AY61" s="13"/>
      <c r="AZ61" s="13"/>
      <c r="BA61" s="13"/>
      <c r="BB61" s="13"/>
      <c r="BC61" s="25"/>
      <c r="BF61" s="960" t="s">
        <v>1100</v>
      </c>
    </row>
    <row r="62" spans="5:58" ht="14.65" hidden="1" customHeight="1" x14ac:dyDescent="0.15">
      <c r="E62" s="668">
        <v>15</v>
      </c>
      <c r="F62" s="769" cm="1">
        <f t="array" ref="F62">F61</f>
        <v>0</v>
      </c>
      <c r="T62" s="690" t="b" cm="1">
        <f t="array" ref="T62">T61</f>
        <v>0</v>
      </c>
      <c r="X62" s="1428"/>
      <c r="Z62" s="1428"/>
      <c r="AB62" s="412" t="str">
        <f>AB60&amp;".2"</f>
        <v>3.4.2</v>
      </c>
      <c r="AC62" s="414" t="s">
        <v>1056</v>
      </c>
      <c r="AD62" s="412" t="s">
        <v>1044</v>
      </c>
      <c r="AE62" s="13"/>
      <c r="AF62" s="13"/>
      <c r="AG62" s="13"/>
      <c r="AH62" s="13"/>
      <c r="AI62" s="227"/>
      <c r="AJ62" s="1183"/>
      <c r="AK62" s="1183"/>
      <c r="AL62" s="13"/>
      <c r="AM62" s="13"/>
      <c r="AN62" s="13"/>
      <c r="AO62" s="13"/>
      <c r="AP62" s="13"/>
      <c r="AQ62" s="13"/>
      <c r="AR62" s="13"/>
      <c r="AS62" s="227"/>
      <c r="AT62" s="1183"/>
      <c r="AU62" s="1183"/>
      <c r="AV62" s="13"/>
      <c r="AW62" s="13"/>
      <c r="AX62" s="13"/>
      <c r="AY62" s="13"/>
      <c r="AZ62" s="13"/>
      <c r="BA62" s="13"/>
      <c r="BB62" s="13"/>
      <c r="BC62" s="25"/>
      <c r="BF62" s="960" t="s">
        <v>1101</v>
      </c>
    </row>
    <row r="63" spans="5:58" ht="14.65" hidden="1" customHeight="1" x14ac:dyDescent="0.15">
      <c r="E63" s="668">
        <v>15</v>
      </c>
      <c r="F63" s="769" cm="1">
        <f t="array" ref="F63">F62</f>
        <v>0</v>
      </c>
      <c r="T63" s="690" t="b" cm="1">
        <f t="array" ref="T63">T62</f>
        <v>0</v>
      </c>
      <c r="X63" s="1428"/>
      <c r="Z63" s="1428"/>
      <c r="AB63" s="412" t="str">
        <f>AB60&amp;".3"</f>
        <v>3.4.3</v>
      </c>
      <c r="AC63" s="414" t="s">
        <v>1059</v>
      </c>
      <c r="AD63" s="412" t="s">
        <v>1044</v>
      </c>
      <c r="AE63" s="13"/>
      <c r="AF63" s="13"/>
      <c r="AG63" s="13"/>
      <c r="AH63" s="13"/>
      <c r="AI63" s="227"/>
      <c r="AJ63" s="1183"/>
      <c r="AK63" s="1183"/>
      <c r="AL63" s="13"/>
      <c r="AM63" s="13"/>
      <c r="AN63" s="13"/>
      <c r="AO63" s="13"/>
      <c r="AP63" s="13"/>
      <c r="AQ63" s="13"/>
      <c r="AR63" s="13"/>
      <c r="AS63" s="227"/>
      <c r="AT63" s="1183"/>
      <c r="AU63" s="1183"/>
      <c r="AV63" s="13"/>
      <c r="AW63" s="13"/>
      <c r="AX63" s="13"/>
      <c r="AY63" s="13"/>
      <c r="AZ63" s="13"/>
      <c r="BA63" s="13"/>
      <c r="BB63" s="13"/>
      <c r="BC63" s="25"/>
      <c r="BF63" s="960" t="s">
        <v>1102</v>
      </c>
    </row>
    <row r="64" spans="5:58" ht="14.65" hidden="1" customHeight="1" x14ac:dyDescent="0.15">
      <c r="E64" s="668">
        <v>15</v>
      </c>
      <c r="F64" s="769" cm="1">
        <f t="array" ref="F64">F63</f>
        <v>0</v>
      </c>
      <c r="T64" s="690" t="b" cm="1">
        <f t="array" ref="T64">T63</f>
        <v>0</v>
      </c>
      <c r="X64" s="1428"/>
      <c r="Z64" s="1428"/>
      <c r="AB64" s="412" t="str">
        <f>AB60&amp;".4"</f>
        <v>3.4.4</v>
      </c>
      <c r="AC64" s="414" t="s">
        <v>1062</v>
      </c>
      <c r="AD64" s="412" t="s">
        <v>1044</v>
      </c>
      <c r="AE64" s="13"/>
      <c r="AF64" s="13"/>
      <c r="AG64" s="13"/>
      <c r="AH64" s="13"/>
      <c r="AI64" s="227"/>
      <c r="AJ64" s="1183"/>
      <c r="AK64" s="1183"/>
      <c r="AL64" s="13"/>
      <c r="AM64" s="13"/>
      <c r="AN64" s="13"/>
      <c r="AO64" s="13"/>
      <c r="AP64" s="13"/>
      <c r="AQ64" s="13"/>
      <c r="AR64" s="13"/>
      <c r="AS64" s="227"/>
      <c r="AT64" s="1183"/>
      <c r="AU64" s="1183"/>
      <c r="AV64" s="13"/>
      <c r="AW64" s="13"/>
      <c r="AX64" s="13"/>
      <c r="AY64" s="13"/>
      <c r="AZ64" s="13"/>
      <c r="BA64" s="13"/>
      <c r="BB64" s="13"/>
      <c r="BC64" s="25"/>
      <c r="BF64" s="960" t="s">
        <v>1103</v>
      </c>
    </row>
    <row r="65" spans="5:58" ht="14.65" hidden="1" customHeight="1" x14ac:dyDescent="0.15">
      <c r="E65" s="668">
        <v>15</v>
      </c>
      <c r="F65" s="769" cm="1">
        <f t="array" ref="F65">F64</f>
        <v>0</v>
      </c>
      <c r="T65" s="690" t="b" cm="1">
        <f t="array" ref="T65">T64</f>
        <v>0</v>
      </c>
      <c r="X65" s="1428"/>
      <c r="Z65" s="1428"/>
      <c r="AB65" s="412" t="str">
        <f>AB60&amp;".5"</f>
        <v>3.4.5</v>
      </c>
      <c r="AC65" s="414" t="s">
        <v>1065</v>
      </c>
      <c r="AD65" s="412" t="s">
        <v>1044</v>
      </c>
      <c r="AE65" s="13"/>
      <c r="AF65" s="13"/>
      <c r="AG65" s="13"/>
      <c r="AH65" s="13"/>
      <c r="AI65" s="227"/>
      <c r="AJ65" s="1183"/>
      <c r="AK65" s="1183"/>
      <c r="AL65" s="13"/>
      <c r="AM65" s="13"/>
      <c r="AN65" s="13"/>
      <c r="AO65" s="13"/>
      <c r="AP65" s="13"/>
      <c r="AQ65" s="13"/>
      <c r="AR65" s="13"/>
      <c r="AS65" s="227"/>
      <c r="AT65" s="1183"/>
      <c r="AU65" s="1183"/>
      <c r="AV65" s="13"/>
      <c r="AW65" s="13"/>
      <c r="AX65" s="13"/>
      <c r="AY65" s="13"/>
      <c r="AZ65" s="13"/>
      <c r="BA65" s="13"/>
      <c r="BB65" s="13"/>
      <c r="BC65" s="25"/>
      <c r="BF65" s="960" t="s">
        <v>1104</v>
      </c>
    </row>
    <row r="66" spans="5:58" ht="14.65" hidden="1" customHeight="1" x14ac:dyDescent="0.15">
      <c r="E66" s="668">
        <v>15</v>
      </c>
      <c r="F66" s="769" cm="1">
        <f t="array" ref="F66">F65</f>
        <v>0</v>
      </c>
      <c r="T66" s="690" t="b" cm="1">
        <f t="array" ref="T66">T65</f>
        <v>0</v>
      </c>
      <c r="X66" s="1428"/>
      <c r="Z66" s="1428"/>
      <c r="AB66" s="412" t="str">
        <f>AB56&amp;".5"</f>
        <v>3.5</v>
      </c>
      <c r="AC66" s="413" t="s">
        <v>1068</v>
      </c>
      <c r="AD66" s="412" t="s">
        <v>1044</v>
      </c>
      <c r="AE66" s="13"/>
      <c r="AF66" s="13"/>
      <c r="AG66" s="13"/>
      <c r="AH66" s="13"/>
      <c r="AI66" s="227"/>
      <c r="AJ66" s="1183"/>
      <c r="AK66" s="1183"/>
      <c r="AL66" s="13"/>
      <c r="AM66" s="13"/>
      <c r="AN66" s="13"/>
      <c r="AO66" s="13"/>
      <c r="AP66" s="13"/>
      <c r="AQ66" s="13"/>
      <c r="AR66" s="13"/>
      <c r="AS66" s="227"/>
      <c r="AT66" s="1183"/>
      <c r="AU66" s="1183"/>
      <c r="AV66" s="13"/>
      <c r="AW66" s="13"/>
      <c r="AX66" s="13"/>
      <c r="AY66" s="13"/>
      <c r="AZ66" s="13"/>
      <c r="BA66" s="13"/>
      <c r="BB66" s="13"/>
      <c r="BC66" s="25"/>
      <c r="BF66" s="960" t="s">
        <v>1105</v>
      </c>
    </row>
    <row r="67" spans="5:58" ht="14.65" hidden="1" customHeight="1" x14ac:dyDescent="0.15">
      <c r="E67" s="668">
        <v>15</v>
      </c>
      <c r="F67" s="769" cm="1">
        <f t="array" ref="F67">F66</f>
        <v>0</v>
      </c>
      <c r="T67" s="690" t="b" cm="1">
        <f t="array" ref="T67">T66</f>
        <v>0</v>
      </c>
      <c r="X67" s="1428"/>
      <c r="Z67" s="1428"/>
      <c r="AB67" s="412" t="str">
        <f>AB56&amp;".6"</f>
        <v>3.6</v>
      </c>
      <c r="AC67" s="413" t="s">
        <v>1071</v>
      </c>
      <c r="AD67" s="412" t="s">
        <v>1044</v>
      </c>
      <c r="AE67" s="13"/>
      <c r="AF67" s="13"/>
      <c r="AG67" s="13"/>
      <c r="AH67" s="13"/>
      <c r="AI67" s="227"/>
      <c r="AJ67" s="1183"/>
      <c r="AK67" s="1183"/>
      <c r="AL67" s="13"/>
      <c r="AM67" s="13"/>
      <c r="AN67" s="13"/>
      <c r="AO67" s="13"/>
      <c r="AP67" s="13"/>
      <c r="AQ67" s="13"/>
      <c r="AR67" s="13"/>
      <c r="AS67" s="227"/>
      <c r="AT67" s="1183"/>
      <c r="AU67" s="1183"/>
      <c r="AV67" s="13"/>
      <c r="AW67" s="13"/>
      <c r="AX67" s="13"/>
      <c r="AY67" s="13"/>
      <c r="AZ67" s="13"/>
      <c r="BA67" s="13"/>
      <c r="BB67" s="13"/>
      <c r="BC67" s="25"/>
      <c r="BF67" s="960" t="s">
        <v>1106</v>
      </c>
    </row>
    <row r="68" spans="5:58" ht="14.65" hidden="1" customHeight="1" x14ac:dyDescent="0.15">
      <c r="E68" s="668">
        <v>15</v>
      </c>
      <c r="F68" s="769" cm="1">
        <f t="array" ref="F68">F67</f>
        <v>0</v>
      </c>
      <c r="T68" s="690" t="b" cm="1">
        <f t="array" ref="T68">T67</f>
        <v>0</v>
      </c>
      <c r="X68" s="1428"/>
      <c r="Z68" s="1428"/>
      <c r="AB68" s="412" t="str">
        <f>AB56&amp;".7"</f>
        <v>3.7</v>
      </c>
      <c r="AC68" s="413" t="s">
        <v>1074</v>
      </c>
      <c r="AD68" s="412" t="s">
        <v>1044</v>
      </c>
      <c r="AE68" s="13"/>
      <c r="AF68" s="13"/>
      <c r="AG68" s="13"/>
      <c r="AH68" s="13"/>
      <c r="AI68" s="227"/>
      <c r="AJ68" s="1183"/>
      <c r="AK68" s="1183"/>
      <c r="AL68" s="13"/>
      <c r="AM68" s="13"/>
      <c r="AN68" s="13"/>
      <c r="AO68" s="13"/>
      <c r="AP68" s="13"/>
      <c r="AQ68" s="13"/>
      <c r="AR68" s="13"/>
      <c r="AS68" s="227"/>
      <c r="AT68" s="1183"/>
      <c r="AU68" s="1183"/>
      <c r="AV68" s="13"/>
      <c r="AW68" s="13"/>
      <c r="AX68" s="13"/>
      <c r="AY68" s="13"/>
      <c r="AZ68" s="13"/>
      <c r="BA68" s="13"/>
      <c r="BB68" s="13"/>
      <c r="BC68" s="25"/>
      <c r="BF68" s="960" t="s">
        <v>1107</v>
      </c>
    </row>
    <row r="69" spans="5:58" ht="14.65" hidden="1" customHeight="1" x14ac:dyDescent="0.15">
      <c r="E69" s="668">
        <v>15</v>
      </c>
      <c r="F69" s="769" cm="1">
        <f t="array" ref="F69">F68</f>
        <v>0</v>
      </c>
      <c r="T69" s="690" t="b" cm="1">
        <f t="array" ref="T69">T68</f>
        <v>0</v>
      </c>
      <c r="X69" s="1428"/>
      <c r="Z69" s="1428"/>
      <c r="AB69" s="412" t="str">
        <f>AB56&amp;".8"</f>
        <v>3.8</v>
      </c>
      <c r="AC69" s="413" t="s">
        <v>1077</v>
      </c>
      <c r="AD69" s="412" t="s">
        <v>1044</v>
      </c>
      <c r="AE69" s="13"/>
      <c r="AF69" s="13"/>
      <c r="AG69" s="13"/>
      <c r="AH69" s="13"/>
      <c r="AI69" s="227"/>
      <c r="AJ69" s="1183"/>
      <c r="AK69" s="1183"/>
      <c r="AL69" s="13"/>
      <c r="AM69" s="13"/>
      <c r="AN69" s="13"/>
      <c r="AO69" s="13"/>
      <c r="AP69" s="13"/>
      <c r="AQ69" s="13"/>
      <c r="AR69" s="13"/>
      <c r="AS69" s="227"/>
      <c r="AT69" s="1183"/>
      <c r="AU69" s="1183"/>
      <c r="AV69" s="13"/>
      <c r="AW69" s="13"/>
      <c r="AX69" s="13"/>
      <c r="AY69" s="13"/>
      <c r="AZ69" s="13"/>
      <c r="BA69" s="13"/>
      <c r="BB69" s="13"/>
      <c r="BC69" s="25"/>
      <c r="BF69" s="960" t="s">
        <v>1108</v>
      </c>
    </row>
    <row r="70" spans="5:58" s="164" customFormat="1" ht="14.65" hidden="1" customHeight="1" x14ac:dyDescent="0.15">
      <c r="E70" s="668">
        <v>15</v>
      </c>
      <c r="F70" s="769" cm="1">
        <f t="array" ref="F70">F69</f>
        <v>0</v>
      </c>
      <c r="T70" s="690" t="b" cm="1">
        <f t="array" ref="T70">T69</f>
        <v>0</v>
      </c>
      <c r="X70" s="1572"/>
      <c r="Z70" s="1572"/>
      <c r="AB70" s="224">
        <v>4</v>
      </c>
      <c r="AC70" s="225" t="s">
        <v>1109</v>
      </c>
      <c r="AD70" s="104" t="s">
        <v>830</v>
      </c>
      <c r="AE70" s="54">
        <f t="shared" ref="AE70:BB70" si="7">SUM(AE71:AE74)+SUM(AE80:AE83)</f>
        <v>0</v>
      </c>
      <c r="AF70" s="54">
        <f t="shared" si="7"/>
        <v>0</v>
      </c>
      <c r="AG70" s="54">
        <f t="shared" si="7"/>
        <v>0</v>
      </c>
      <c r="AH70" s="54">
        <f t="shared" si="7"/>
        <v>0</v>
      </c>
      <c r="AI70" s="239">
        <f t="shared" si="7"/>
        <v>0</v>
      </c>
      <c r="AJ70" s="1263">
        <f t="shared" si="7"/>
        <v>0</v>
      </c>
      <c r="AK70" s="1263">
        <f t="shared" si="7"/>
        <v>0</v>
      </c>
      <c r="AL70" s="54">
        <f t="shared" si="7"/>
        <v>0</v>
      </c>
      <c r="AM70" s="54">
        <f t="shared" si="7"/>
        <v>0</v>
      </c>
      <c r="AN70" s="54">
        <f t="shared" si="7"/>
        <v>0</v>
      </c>
      <c r="AO70" s="54">
        <f t="shared" si="7"/>
        <v>0</v>
      </c>
      <c r="AP70" s="54">
        <f t="shared" si="7"/>
        <v>0</v>
      </c>
      <c r="AQ70" s="54">
        <f t="shared" si="7"/>
        <v>0</v>
      </c>
      <c r="AR70" s="54">
        <f t="shared" si="7"/>
        <v>0</v>
      </c>
      <c r="AS70" s="239">
        <f t="shared" si="7"/>
        <v>0</v>
      </c>
      <c r="AT70" s="1263">
        <f t="shared" si="7"/>
        <v>0</v>
      </c>
      <c r="AU70" s="1263">
        <f t="shared" si="7"/>
        <v>0</v>
      </c>
      <c r="AV70" s="54">
        <f t="shared" si="7"/>
        <v>0</v>
      </c>
      <c r="AW70" s="54">
        <f t="shared" si="7"/>
        <v>0</v>
      </c>
      <c r="AX70" s="54">
        <f t="shared" si="7"/>
        <v>0</v>
      </c>
      <c r="AY70" s="54">
        <f t="shared" si="7"/>
        <v>0</v>
      </c>
      <c r="AZ70" s="54">
        <f t="shared" si="7"/>
        <v>0</v>
      </c>
      <c r="BA70" s="54">
        <f t="shared" si="7"/>
        <v>0</v>
      </c>
      <c r="BB70" s="54">
        <f t="shared" si="7"/>
        <v>0</v>
      </c>
      <c r="BC70" s="25"/>
      <c r="BF70" s="960" t="s">
        <v>1110</v>
      </c>
    </row>
    <row r="71" spans="5:58" ht="14.65" hidden="1" customHeight="1" x14ac:dyDescent="0.15">
      <c r="E71" s="668">
        <v>15</v>
      </c>
      <c r="F71" s="769" cm="1">
        <f t="array" ref="F71">F70</f>
        <v>0</v>
      </c>
      <c r="T71" s="690" t="b" cm="1">
        <f t="array" ref="T71">T70</f>
        <v>0</v>
      </c>
      <c r="X71" s="1428"/>
      <c r="Z71" s="1428"/>
      <c r="AB71" s="412" t="str">
        <f>AB70&amp;".1"</f>
        <v>4.1</v>
      </c>
      <c r="AC71" s="413" t="s">
        <v>1043</v>
      </c>
      <c r="AD71" s="412" t="s">
        <v>1044</v>
      </c>
      <c r="AE71" s="13"/>
      <c r="AF71" s="13"/>
      <c r="AG71" s="13"/>
      <c r="AH71" s="13"/>
      <c r="AI71" s="227"/>
      <c r="AJ71" s="1183"/>
      <c r="AK71" s="1183"/>
      <c r="AL71" s="13"/>
      <c r="AM71" s="13"/>
      <c r="AN71" s="13"/>
      <c r="AO71" s="13"/>
      <c r="AP71" s="13"/>
      <c r="AQ71" s="13"/>
      <c r="AR71" s="13"/>
      <c r="AS71" s="227"/>
      <c r="AT71" s="1183"/>
      <c r="AU71" s="1183"/>
      <c r="AV71" s="13"/>
      <c r="AW71" s="13"/>
      <c r="AX71" s="13"/>
      <c r="AY71" s="13"/>
      <c r="AZ71" s="13"/>
      <c r="BA71" s="13"/>
      <c r="BB71" s="13"/>
      <c r="BC71" s="25"/>
      <c r="BF71" s="960" t="s">
        <v>1111</v>
      </c>
    </row>
    <row r="72" spans="5:58" ht="14.65" hidden="1" customHeight="1" x14ac:dyDescent="0.15">
      <c r="E72" s="668">
        <v>15</v>
      </c>
      <c r="F72" s="769" cm="1">
        <f t="array" ref="F72">F71</f>
        <v>0</v>
      </c>
      <c r="T72" s="690" t="b" cm="1">
        <f t="array" ref="T72">T71</f>
        <v>0</v>
      </c>
      <c r="X72" s="1428"/>
      <c r="Z72" s="1428"/>
      <c r="AB72" s="412" t="str">
        <f>AB70&amp;".2"</f>
        <v>4.2</v>
      </c>
      <c r="AC72" s="413" t="s">
        <v>1046</v>
      </c>
      <c r="AD72" s="412" t="s">
        <v>1044</v>
      </c>
      <c r="AE72" s="13"/>
      <c r="AF72" s="13"/>
      <c r="AG72" s="13"/>
      <c r="AH72" s="13"/>
      <c r="AI72" s="227"/>
      <c r="AJ72" s="1183"/>
      <c r="AK72" s="1183"/>
      <c r="AL72" s="13"/>
      <c r="AM72" s="13"/>
      <c r="AN72" s="13"/>
      <c r="AO72" s="13"/>
      <c r="AP72" s="13"/>
      <c r="AQ72" s="13"/>
      <c r="AR72" s="13"/>
      <c r="AS72" s="227"/>
      <c r="AT72" s="1183"/>
      <c r="AU72" s="1183"/>
      <c r="AV72" s="13"/>
      <c r="AW72" s="13"/>
      <c r="AX72" s="13"/>
      <c r="AY72" s="13"/>
      <c r="AZ72" s="13"/>
      <c r="BA72" s="13"/>
      <c r="BB72" s="13"/>
      <c r="BC72" s="25"/>
      <c r="BF72" s="960" t="s">
        <v>1112</v>
      </c>
    </row>
    <row r="73" spans="5:58" ht="14.65" hidden="1" customHeight="1" x14ac:dyDescent="0.15">
      <c r="E73" s="668">
        <v>15</v>
      </c>
      <c r="F73" s="769" cm="1">
        <f t="array" ref="F73">F72</f>
        <v>0</v>
      </c>
      <c r="T73" s="690" t="b" cm="1">
        <f t="array" ref="T73">T72</f>
        <v>0</v>
      </c>
      <c r="X73" s="1428"/>
      <c r="Z73" s="1428"/>
      <c r="AB73" s="412" t="str">
        <f>AB70&amp;".3"</f>
        <v>4.3</v>
      </c>
      <c r="AC73" s="413" t="s">
        <v>1048</v>
      </c>
      <c r="AD73" s="412" t="s">
        <v>1044</v>
      </c>
      <c r="AE73" s="13"/>
      <c r="AF73" s="13"/>
      <c r="AG73" s="13"/>
      <c r="AH73" s="13"/>
      <c r="AI73" s="227"/>
      <c r="AJ73" s="1183"/>
      <c r="AK73" s="1183"/>
      <c r="AL73" s="13"/>
      <c r="AM73" s="13"/>
      <c r="AN73" s="13"/>
      <c r="AO73" s="13"/>
      <c r="AP73" s="13"/>
      <c r="AQ73" s="13"/>
      <c r="AR73" s="13"/>
      <c r="AS73" s="227"/>
      <c r="AT73" s="1183"/>
      <c r="AU73" s="1183"/>
      <c r="AV73" s="13"/>
      <c r="AW73" s="13"/>
      <c r="AX73" s="13"/>
      <c r="AY73" s="13"/>
      <c r="AZ73" s="13"/>
      <c r="BA73" s="13"/>
      <c r="BB73" s="13"/>
      <c r="BC73" s="25"/>
      <c r="BF73" s="960" t="s">
        <v>1113</v>
      </c>
    </row>
    <row r="74" spans="5:58" ht="14.65" hidden="1" customHeight="1" x14ac:dyDescent="0.15">
      <c r="E74" s="668">
        <v>15</v>
      </c>
      <c r="F74" s="769" cm="1">
        <f t="array" ref="F74">F73</f>
        <v>0</v>
      </c>
      <c r="T74" s="690" t="b" cm="1">
        <f t="array" ref="T74">T73</f>
        <v>0</v>
      </c>
      <c r="X74" s="1428"/>
      <c r="Z74" s="1428"/>
      <c r="AB74" s="412" t="str">
        <f>AB70&amp;".4"</f>
        <v>4.4</v>
      </c>
      <c r="AC74" s="413" t="s">
        <v>1050</v>
      </c>
      <c r="AD74" s="412" t="s">
        <v>1044</v>
      </c>
      <c r="AE74" s="37">
        <f t="shared" ref="AE74:BB74" si="8">SUM(AE75:AE79)</f>
        <v>0</v>
      </c>
      <c r="AF74" s="37">
        <f t="shared" si="8"/>
        <v>0</v>
      </c>
      <c r="AG74" s="37">
        <f t="shared" si="8"/>
        <v>0</v>
      </c>
      <c r="AH74" s="37">
        <f t="shared" si="8"/>
        <v>0</v>
      </c>
      <c r="AI74" s="407">
        <f t="shared" si="8"/>
        <v>0</v>
      </c>
      <c r="AJ74" s="1242">
        <f t="shared" si="8"/>
        <v>0</v>
      </c>
      <c r="AK74" s="1242">
        <f t="shared" si="8"/>
        <v>0</v>
      </c>
      <c r="AL74" s="37">
        <f t="shared" si="8"/>
        <v>0</v>
      </c>
      <c r="AM74" s="37">
        <f t="shared" si="8"/>
        <v>0</v>
      </c>
      <c r="AN74" s="37">
        <f t="shared" si="8"/>
        <v>0</v>
      </c>
      <c r="AO74" s="37">
        <f t="shared" si="8"/>
        <v>0</v>
      </c>
      <c r="AP74" s="37">
        <f t="shared" si="8"/>
        <v>0</v>
      </c>
      <c r="AQ74" s="37">
        <f t="shared" si="8"/>
        <v>0</v>
      </c>
      <c r="AR74" s="37">
        <f t="shared" si="8"/>
        <v>0</v>
      </c>
      <c r="AS74" s="407">
        <f t="shared" si="8"/>
        <v>0</v>
      </c>
      <c r="AT74" s="1242">
        <f t="shared" si="8"/>
        <v>0</v>
      </c>
      <c r="AU74" s="1242">
        <f t="shared" si="8"/>
        <v>0</v>
      </c>
      <c r="AV74" s="37">
        <f t="shared" si="8"/>
        <v>0</v>
      </c>
      <c r="AW74" s="37">
        <f t="shared" si="8"/>
        <v>0</v>
      </c>
      <c r="AX74" s="37">
        <f t="shared" si="8"/>
        <v>0</v>
      </c>
      <c r="AY74" s="37">
        <f t="shared" si="8"/>
        <v>0</v>
      </c>
      <c r="AZ74" s="37">
        <f t="shared" si="8"/>
        <v>0</v>
      </c>
      <c r="BA74" s="37">
        <f t="shared" si="8"/>
        <v>0</v>
      </c>
      <c r="BB74" s="37">
        <f t="shared" si="8"/>
        <v>0</v>
      </c>
      <c r="BC74" s="25"/>
      <c r="BF74" s="960" t="s">
        <v>1114</v>
      </c>
    </row>
    <row r="75" spans="5:58" ht="14.65" hidden="1" customHeight="1" x14ac:dyDescent="0.15">
      <c r="E75" s="668">
        <v>15</v>
      </c>
      <c r="F75" s="769" cm="1">
        <f t="array" ref="F75">F74</f>
        <v>0</v>
      </c>
      <c r="T75" s="690" t="b" cm="1">
        <f t="array" ref="T75">T74</f>
        <v>0</v>
      </c>
      <c r="X75" s="1428"/>
      <c r="Z75" s="1428"/>
      <c r="AB75" s="412" t="str">
        <f>AB74&amp;".1"</f>
        <v>4.4.1</v>
      </c>
      <c r="AC75" s="414" t="s">
        <v>1053</v>
      </c>
      <c r="AD75" s="412" t="s">
        <v>1044</v>
      </c>
      <c r="AE75" s="13"/>
      <c r="AF75" s="13"/>
      <c r="AG75" s="13"/>
      <c r="AH75" s="13"/>
      <c r="AI75" s="227"/>
      <c r="AJ75" s="1183"/>
      <c r="AK75" s="1183"/>
      <c r="AL75" s="13"/>
      <c r="AM75" s="13"/>
      <c r="AN75" s="13"/>
      <c r="AO75" s="13"/>
      <c r="AP75" s="13"/>
      <c r="AQ75" s="13"/>
      <c r="AR75" s="13"/>
      <c r="AS75" s="227"/>
      <c r="AT75" s="1183"/>
      <c r="AU75" s="1183"/>
      <c r="AV75" s="13"/>
      <c r="AW75" s="13"/>
      <c r="AX75" s="13"/>
      <c r="AY75" s="13"/>
      <c r="AZ75" s="13"/>
      <c r="BA75" s="13"/>
      <c r="BB75" s="13"/>
      <c r="BC75" s="25"/>
      <c r="BF75" s="960" t="s">
        <v>1115</v>
      </c>
    </row>
    <row r="76" spans="5:58" ht="14.65" hidden="1" customHeight="1" x14ac:dyDescent="0.15">
      <c r="E76" s="668">
        <v>15</v>
      </c>
      <c r="F76" s="769" cm="1">
        <f t="array" ref="F76">F75</f>
        <v>0</v>
      </c>
      <c r="T76" s="690" t="b" cm="1">
        <f t="array" ref="T76">T75</f>
        <v>0</v>
      </c>
      <c r="X76" s="1428"/>
      <c r="Z76" s="1428"/>
      <c r="AB76" s="412" t="str">
        <f>AB74&amp;".2"</f>
        <v>4.4.2</v>
      </c>
      <c r="AC76" s="414" t="s">
        <v>1056</v>
      </c>
      <c r="AD76" s="412" t="s">
        <v>1044</v>
      </c>
      <c r="AE76" s="13"/>
      <c r="AF76" s="13"/>
      <c r="AG76" s="13"/>
      <c r="AH76" s="13"/>
      <c r="AI76" s="227"/>
      <c r="AJ76" s="1183"/>
      <c r="AK76" s="1183"/>
      <c r="AL76" s="13"/>
      <c r="AM76" s="13"/>
      <c r="AN76" s="13"/>
      <c r="AO76" s="13"/>
      <c r="AP76" s="13"/>
      <c r="AQ76" s="13"/>
      <c r="AR76" s="13"/>
      <c r="AS76" s="227"/>
      <c r="AT76" s="1183"/>
      <c r="AU76" s="1183"/>
      <c r="AV76" s="13"/>
      <c r="AW76" s="13"/>
      <c r="AX76" s="13"/>
      <c r="AY76" s="13"/>
      <c r="AZ76" s="13"/>
      <c r="BA76" s="13"/>
      <c r="BB76" s="13"/>
      <c r="BC76" s="25"/>
      <c r="BF76" s="960" t="s">
        <v>1116</v>
      </c>
    </row>
    <row r="77" spans="5:58" ht="14.65" hidden="1" customHeight="1" x14ac:dyDescent="0.15">
      <c r="E77" s="668">
        <v>15</v>
      </c>
      <c r="F77" s="769" cm="1">
        <f t="array" ref="F77">F76</f>
        <v>0</v>
      </c>
      <c r="T77" s="690" t="b" cm="1">
        <f t="array" ref="T77">T76</f>
        <v>0</v>
      </c>
      <c r="X77" s="1428"/>
      <c r="Z77" s="1428"/>
      <c r="AB77" s="412" t="str">
        <f>AB74&amp;".3"</f>
        <v>4.4.3</v>
      </c>
      <c r="AC77" s="414" t="s">
        <v>1059</v>
      </c>
      <c r="AD77" s="412" t="s">
        <v>1044</v>
      </c>
      <c r="AE77" s="13"/>
      <c r="AF77" s="13"/>
      <c r="AG77" s="13"/>
      <c r="AH77" s="13"/>
      <c r="AI77" s="227"/>
      <c r="AJ77" s="1183"/>
      <c r="AK77" s="1183"/>
      <c r="AL77" s="13"/>
      <c r="AM77" s="13"/>
      <c r="AN77" s="13"/>
      <c r="AO77" s="13"/>
      <c r="AP77" s="13"/>
      <c r="AQ77" s="13"/>
      <c r="AR77" s="13"/>
      <c r="AS77" s="227"/>
      <c r="AT77" s="1183"/>
      <c r="AU77" s="1183"/>
      <c r="AV77" s="13"/>
      <c r="AW77" s="13"/>
      <c r="AX77" s="13"/>
      <c r="AY77" s="13"/>
      <c r="AZ77" s="13"/>
      <c r="BA77" s="13"/>
      <c r="BB77" s="13"/>
      <c r="BC77" s="25"/>
      <c r="BF77" s="960" t="s">
        <v>1117</v>
      </c>
    </row>
    <row r="78" spans="5:58" ht="14.65" hidden="1" customHeight="1" x14ac:dyDescent="0.15">
      <c r="E78" s="668">
        <v>15</v>
      </c>
      <c r="F78" s="769" cm="1">
        <f t="array" ref="F78">F77</f>
        <v>0</v>
      </c>
      <c r="T78" s="690" t="b" cm="1">
        <f t="array" ref="T78">T77</f>
        <v>0</v>
      </c>
      <c r="X78" s="1428"/>
      <c r="Z78" s="1428"/>
      <c r="AB78" s="412" t="str">
        <f>AB74&amp;".4"</f>
        <v>4.4.4</v>
      </c>
      <c r="AC78" s="414" t="s">
        <v>1062</v>
      </c>
      <c r="AD78" s="412" t="s">
        <v>1044</v>
      </c>
      <c r="AE78" s="13"/>
      <c r="AF78" s="13"/>
      <c r="AG78" s="13"/>
      <c r="AH78" s="13"/>
      <c r="AI78" s="227"/>
      <c r="AJ78" s="1183"/>
      <c r="AK78" s="1183"/>
      <c r="AL78" s="13"/>
      <c r="AM78" s="13"/>
      <c r="AN78" s="13"/>
      <c r="AO78" s="13"/>
      <c r="AP78" s="13"/>
      <c r="AQ78" s="13"/>
      <c r="AR78" s="13"/>
      <c r="AS78" s="227"/>
      <c r="AT78" s="1183"/>
      <c r="AU78" s="1183"/>
      <c r="AV78" s="13"/>
      <c r="AW78" s="13"/>
      <c r="AX78" s="13"/>
      <c r="AY78" s="13"/>
      <c r="AZ78" s="13"/>
      <c r="BA78" s="13"/>
      <c r="BB78" s="13"/>
      <c r="BC78" s="25"/>
      <c r="BF78" s="960" t="s">
        <v>1118</v>
      </c>
    </row>
    <row r="79" spans="5:58" ht="14.65" hidden="1" customHeight="1" x14ac:dyDescent="0.15">
      <c r="E79" s="668">
        <v>15</v>
      </c>
      <c r="F79" s="769" cm="1">
        <f t="array" ref="F79">F78</f>
        <v>0</v>
      </c>
      <c r="T79" s="690" t="b" cm="1">
        <f t="array" ref="T79">T78</f>
        <v>0</v>
      </c>
      <c r="X79" s="1428"/>
      <c r="Z79" s="1428"/>
      <c r="AB79" s="412" t="str">
        <f>AB74&amp;".5"</f>
        <v>4.4.5</v>
      </c>
      <c r="AC79" s="414" t="s">
        <v>1065</v>
      </c>
      <c r="AD79" s="412" t="s">
        <v>1044</v>
      </c>
      <c r="AE79" s="13"/>
      <c r="AF79" s="13"/>
      <c r="AG79" s="13"/>
      <c r="AH79" s="13"/>
      <c r="AI79" s="227"/>
      <c r="AJ79" s="1183"/>
      <c r="AK79" s="1183"/>
      <c r="AL79" s="13"/>
      <c r="AM79" s="13"/>
      <c r="AN79" s="13"/>
      <c r="AO79" s="13"/>
      <c r="AP79" s="13"/>
      <c r="AQ79" s="13"/>
      <c r="AR79" s="13"/>
      <c r="AS79" s="227"/>
      <c r="AT79" s="1183"/>
      <c r="AU79" s="1183"/>
      <c r="AV79" s="13"/>
      <c r="AW79" s="13"/>
      <c r="AX79" s="13"/>
      <c r="AY79" s="13"/>
      <c r="AZ79" s="13"/>
      <c r="BA79" s="13"/>
      <c r="BB79" s="13"/>
      <c r="BC79" s="25"/>
      <c r="BF79" s="960" t="s">
        <v>1119</v>
      </c>
    </row>
    <row r="80" spans="5:58" ht="14.65" hidden="1" customHeight="1" x14ac:dyDescent="0.15">
      <c r="E80" s="668">
        <v>15</v>
      </c>
      <c r="F80" s="769" cm="1">
        <f t="array" ref="F80">F79</f>
        <v>0</v>
      </c>
      <c r="T80" s="690" t="b" cm="1">
        <f t="array" ref="T80">T79</f>
        <v>0</v>
      </c>
      <c r="X80" s="1428"/>
      <c r="Z80" s="1428"/>
      <c r="AB80" s="412" t="str">
        <f>AB70&amp;".5"</f>
        <v>4.5</v>
      </c>
      <c r="AC80" s="413" t="s">
        <v>1068</v>
      </c>
      <c r="AD80" s="412" t="s">
        <v>1044</v>
      </c>
      <c r="AE80" s="13"/>
      <c r="AF80" s="13"/>
      <c r="AG80" s="13"/>
      <c r="AH80" s="13"/>
      <c r="AI80" s="227"/>
      <c r="AJ80" s="1183"/>
      <c r="AK80" s="1183"/>
      <c r="AL80" s="13"/>
      <c r="AM80" s="13"/>
      <c r="AN80" s="13"/>
      <c r="AO80" s="13"/>
      <c r="AP80" s="13"/>
      <c r="AQ80" s="13"/>
      <c r="AR80" s="13"/>
      <c r="AS80" s="227"/>
      <c r="AT80" s="1183"/>
      <c r="AU80" s="1183"/>
      <c r="AV80" s="13"/>
      <c r="AW80" s="13"/>
      <c r="AX80" s="13"/>
      <c r="AY80" s="13"/>
      <c r="AZ80" s="13"/>
      <c r="BA80" s="13"/>
      <c r="BB80" s="13"/>
      <c r="BC80" s="25"/>
      <c r="BF80" s="960" t="s">
        <v>1120</v>
      </c>
    </row>
    <row r="81" spans="5:58" ht="14.65" hidden="1" customHeight="1" x14ac:dyDescent="0.15">
      <c r="E81" s="668">
        <v>15</v>
      </c>
      <c r="F81" s="769" cm="1">
        <f t="array" ref="F81">F80</f>
        <v>0</v>
      </c>
      <c r="T81" s="690" t="b" cm="1">
        <f t="array" ref="T81">T80</f>
        <v>0</v>
      </c>
      <c r="X81" s="1428"/>
      <c r="Z81" s="1428"/>
      <c r="AB81" s="412" t="str">
        <f>AB70&amp;".6"</f>
        <v>4.6</v>
      </c>
      <c r="AC81" s="413" t="s">
        <v>1071</v>
      </c>
      <c r="AD81" s="412" t="s">
        <v>1044</v>
      </c>
      <c r="AE81" s="13"/>
      <c r="AF81" s="13"/>
      <c r="AG81" s="13"/>
      <c r="AH81" s="13"/>
      <c r="AI81" s="227"/>
      <c r="AJ81" s="1183"/>
      <c r="AK81" s="1183"/>
      <c r="AL81" s="13"/>
      <c r="AM81" s="13"/>
      <c r="AN81" s="13"/>
      <c r="AO81" s="13"/>
      <c r="AP81" s="13"/>
      <c r="AQ81" s="13"/>
      <c r="AR81" s="13"/>
      <c r="AS81" s="227"/>
      <c r="AT81" s="1183"/>
      <c r="AU81" s="1183"/>
      <c r="AV81" s="13"/>
      <c r="AW81" s="13"/>
      <c r="AX81" s="13"/>
      <c r="AY81" s="13"/>
      <c r="AZ81" s="13"/>
      <c r="BA81" s="13"/>
      <c r="BB81" s="13"/>
      <c r="BC81" s="25"/>
      <c r="BF81" s="960" t="s">
        <v>1121</v>
      </c>
    </row>
    <row r="82" spans="5:58" ht="14.65" hidden="1" customHeight="1" x14ac:dyDescent="0.15">
      <c r="E82" s="668">
        <v>15</v>
      </c>
      <c r="F82" s="769" cm="1">
        <f t="array" ref="F82">F81</f>
        <v>0</v>
      </c>
      <c r="T82" s="690" t="b" cm="1">
        <f t="array" ref="T82">T81</f>
        <v>0</v>
      </c>
      <c r="X82" s="1428"/>
      <c r="Z82" s="1428"/>
      <c r="AB82" s="412" t="str">
        <f>AB70&amp;".7"</f>
        <v>4.7</v>
      </c>
      <c r="AC82" s="413" t="s">
        <v>1074</v>
      </c>
      <c r="AD82" s="412" t="s">
        <v>1044</v>
      </c>
      <c r="AE82" s="13"/>
      <c r="AF82" s="13"/>
      <c r="AG82" s="13"/>
      <c r="AH82" s="13"/>
      <c r="AI82" s="227"/>
      <c r="AJ82" s="1183"/>
      <c r="AK82" s="1183"/>
      <c r="AL82" s="13"/>
      <c r="AM82" s="13"/>
      <c r="AN82" s="13"/>
      <c r="AO82" s="13"/>
      <c r="AP82" s="13"/>
      <c r="AQ82" s="13"/>
      <c r="AR82" s="13"/>
      <c r="AS82" s="227"/>
      <c r="AT82" s="1183"/>
      <c r="AU82" s="1183"/>
      <c r="AV82" s="13"/>
      <c r="AW82" s="13"/>
      <c r="AX82" s="13"/>
      <c r="AY82" s="13"/>
      <c r="AZ82" s="13"/>
      <c r="BA82" s="13"/>
      <c r="BB82" s="13"/>
      <c r="BC82" s="25"/>
      <c r="BF82" s="960" t="s">
        <v>1122</v>
      </c>
    </row>
    <row r="83" spans="5:58" ht="14.65" hidden="1" customHeight="1" x14ac:dyDescent="0.15">
      <c r="E83" s="668">
        <v>15</v>
      </c>
      <c r="F83" s="769" cm="1">
        <f t="array" ref="F83">F82</f>
        <v>0</v>
      </c>
      <c r="T83" s="690" t="b" cm="1">
        <f t="array" ref="T83">T82</f>
        <v>0</v>
      </c>
      <c r="X83" s="1428"/>
      <c r="Z83" s="1428"/>
      <c r="AB83" s="412" t="str">
        <f>AB70&amp;".8"</f>
        <v>4.8</v>
      </c>
      <c r="AC83" s="413" t="s">
        <v>1077</v>
      </c>
      <c r="AD83" s="412" t="s">
        <v>1044</v>
      </c>
      <c r="AE83" s="13"/>
      <c r="AF83" s="13"/>
      <c r="AG83" s="13"/>
      <c r="AH83" s="13"/>
      <c r="AI83" s="227"/>
      <c r="AJ83" s="1183"/>
      <c r="AK83" s="1183"/>
      <c r="AL83" s="13"/>
      <c r="AM83" s="13"/>
      <c r="AN83" s="13"/>
      <c r="AO83" s="13"/>
      <c r="AP83" s="13"/>
      <c r="AQ83" s="13"/>
      <c r="AR83" s="13"/>
      <c r="AS83" s="227"/>
      <c r="AT83" s="1183"/>
      <c r="AU83" s="1183"/>
      <c r="AV83" s="13"/>
      <c r="AW83" s="13"/>
      <c r="AX83" s="13"/>
      <c r="AY83" s="13"/>
      <c r="AZ83" s="13"/>
      <c r="BA83" s="13"/>
      <c r="BB83" s="13"/>
      <c r="BC83" s="25"/>
      <c r="BF83" s="960" t="s">
        <v>1123</v>
      </c>
    </row>
    <row r="84" spans="5:58" s="164" customFormat="1" ht="22.15" hidden="1" customHeight="1" x14ac:dyDescent="0.15">
      <c r="E84" s="668">
        <v>22.8</v>
      </c>
      <c r="F84" s="769" cm="1">
        <f t="array" ref="F84">F83</f>
        <v>0</v>
      </c>
      <c r="T84" s="690" t="b" cm="1">
        <f t="array" ref="T84">T83</f>
        <v>0</v>
      </c>
      <c r="X84" s="1572"/>
      <c r="Z84" s="1572"/>
      <c r="AB84" s="224">
        <v>5</v>
      </c>
      <c r="AC84" s="225" t="s">
        <v>1124</v>
      </c>
      <c r="AD84" s="104" t="s">
        <v>830</v>
      </c>
      <c r="AE84" s="54">
        <f t="shared" ref="AE84:BB84" si="9">SUM(AE85:AE88)+SUM(AE94:AE97)</f>
        <v>0</v>
      </c>
      <c r="AF84" s="54">
        <f t="shared" si="9"/>
        <v>0</v>
      </c>
      <c r="AG84" s="54">
        <f t="shared" si="9"/>
        <v>0</v>
      </c>
      <c r="AH84" s="54">
        <f t="shared" si="9"/>
        <v>0</v>
      </c>
      <c r="AI84" s="239">
        <f t="shared" si="9"/>
        <v>0</v>
      </c>
      <c r="AJ84" s="1263">
        <f t="shared" si="9"/>
        <v>0</v>
      </c>
      <c r="AK84" s="1263">
        <f t="shared" si="9"/>
        <v>0</v>
      </c>
      <c r="AL84" s="54">
        <f t="shared" si="9"/>
        <v>0</v>
      </c>
      <c r="AM84" s="54">
        <f t="shared" si="9"/>
        <v>0</v>
      </c>
      <c r="AN84" s="54">
        <f t="shared" si="9"/>
        <v>0</v>
      </c>
      <c r="AO84" s="54">
        <f t="shared" si="9"/>
        <v>0</v>
      </c>
      <c r="AP84" s="54">
        <f t="shared" si="9"/>
        <v>0</v>
      </c>
      <c r="AQ84" s="54">
        <f t="shared" si="9"/>
        <v>0</v>
      </c>
      <c r="AR84" s="54">
        <f t="shared" si="9"/>
        <v>0</v>
      </c>
      <c r="AS84" s="239">
        <f t="shared" si="9"/>
        <v>0</v>
      </c>
      <c r="AT84" s="1263">
        <f t="shared" si="9"/>
        <v>0</v>
      </c>
      <c r="AU84" s="1263">
        <f t="shared" si="9"/>
        <v>0</v>
      </c>
      <c r="AV84" s="54">
        <f t="shared" si="9"/>
        <v>0</v>
      </c>
      <c r="AW84" s="54">
        <f t="shared" si="9"/>
        <v>0</v>
      </c>
      <c r="AX84" s="54">
        <f t="shared" si="9"/>
        <v>0</v>
      </c>
      <c r="AY84" s="54">
        <f t="shared" si="9"/>
        <v>0</v>
      </c>
      <c r="AZ84" s="54">
        <f t="shared" si="9"/>
        <v>0</v>
      </c>
      <c r="BA84" s="54">
        <f t="shared" si="9"/>
        <v>0</v>
      </c>
      <c r="BB84" s="54">
        <f t="shared" si="9"/>
        <v>0</v>
      </c>
      <c r="BC84" s="25"/>
      <c r="BF84" s="960" t="s">
        <v>1125</v>
      </c>
    </row>
    <row r="85" spans="5:58" ht="14.65" hidden="1" customHeight="1" x14ac:dyDescent="0.15">
      <c r="E85" s="668">
        <v>15</v>
      </c>
      <c r="F85" s="769" cm="1">
        <f t="array" ref="F85">F84</f>
        <v>0</v>
      </c>
      <c r="T85" s="690" t="b" cm="1">
        <f t="array" ref="T85">T84</f>
        <v>0</v>
      </c>
      <c r="X85" s="1428"/>
      <c r="Z85" s="1428"/>
      <c r="AB85" s="404" t="str">
        <f>AB84&amp;".1"</f>
        <v>5.1</v>
      </c>
      <c r="AC85" s="396" t="s">
        <v>1043</v>
      </c>
      <c r="AD85" s="404" t="s">
        <v>1044</v>
      </c>
      <c r="AE85" s="37">
        <f t="shared" ref="AE85:BB85" si="10">(AE29*2+AE43+AE57-AE71)/2</f>
        <v>0</v>
      </c>
      <c r="AF85" s="37">
        <f t="shared" si="10"/>
        <v>0</v>
      </c>
      <c r="AG85" s="37">
        <f t="shared" si="10"/>
        <v>0</v>
      </c>
      <c r="AH85" s="37">
        <f t="shared" si="10"/>
        <v>0</v>
      </c>
      <c r="AI85" s="407">
        <f t="shared" si="10"/>
        <v>0</v>
      </c>
      <c r="AJ85" s="1242">
        <f t="shared" si="10"/>
        <v>0</v>
      </c>
      <c r="AK85" s="1242">
        <f t="shared" si="10"/>
        <v>0</v>
      </c>
      <c r="AL85" s="37">
        <f t="shared" si="10"/>
        <v>0</v>
      </c>
      <c r="AM85" s="37">
        <f t="shared" si="10"/>
        <v>0</v>
      </c>
      <c r="AN85" s="37">
        <f t="shared" si="10"/>
        <v>0</v>
      </c>
      <c r="AO85" s="37">
        <f t="shared" si="10"/>
        <v>0</v>
      </c>
      <c r="AP85" s="37">
        <f t="shared" si="10"/>
        <v>0</v>
      </c>
      <c r="AQ85" s="37">
        <f t="shared" si="10"/>
        <v>0</v>
      </c>
      <c r="AR85" s="37">
        <f t="shared" si="10"/>
        <v>0</v>
      </c>
      <c r="AS85" s="407">
        <f t="shared" si="10"/>
        <v>0</v>
      </c>
      <c r="AT85" s="1242">
        <f t="shared" si="10"/>
        <v>0</v>
      </c>
      <c r="AU85" s="1242">
        <f t="shared" si="10"/>
        <v>0</v>
      </c>
      <c r="AV85" s="37">
        <f t="shared" si="10"/>
        <v>0</v>
      </c>
      <c r="AW85" s="37">
        <f t="shared" si="10"/>
        <v>0</v>
      </c>
      <c r="AX85" s="37">
        <f t="shared" si="10"/>
        <v>0</v>
      </c>
      <c r="AY85" s="37">
        <f t="shared" si="10"/>
        <v>0</v>
      </c>
      <c r="AZ85" s="37">
        <f t="shared" si="10"/>
        <v>0</v>
      </c>
      <c r="BA85" s="37">
        <f t="shared" si="10"/>
        <v>0</v>
      </c>
      <c r="BB85" s="37">
        <f t="shared" si="10"/>
        <v>0</v>
      </c>
      <c r="BC85" s="57"/>
      <c r="BF85" s="960" t="s">
        <v>1126</v>
      </c>
    </row>
    <row r="86" spans="5:58" ht="14.65" hidden="1" customHeight="1" x14ac:dyDescent="0.15">
      <c r="E86" s="668">
        <v>15</v>
      </c>
      <c r="F86" s="769" cm="1">
        <f t="array" ref="F86">F85</f>
        <v>0</v>
      </c>
      <c r="T86" s="690" t="b" cm="1">
        <f t="array" ref="T86">T85</f>
        <v>0</v>
      </c>
      <c r="X86" s="1428"/>
      <c r="Z86" s="1428"/>
      <c r="AB86" s="404" t="str">
        <f>AB84&amp;".2"</f>
        <v>5.2</v>
      </c>
      <c r="AC86" s="396" t="s">
        <v>1046</v>
      </c>
      <c r="AD86" s="404" t="s">
        <v>1044</v>
      </c>
      <c r="AE86" s="37">
        <f t="shared" ref="AE86:BB86" si="11">(AE30*2+AE44+AE58-AE72)/2</f>
        <v>0</v>
      </c>
      <c r="AF86" s="37">
        <f t="shared" si="11"/>
        <v>0</v>
      </c>
      <c r="AG86" s="37">
        <f t="shared" si="11"/>
        <v>0</v>
      </c>
      <c r="AH86" s="37">
        <f t="shared" si="11"/>
        <v>0</v>
      </c>
      <c r="AI86" s="407">
        <f t="shared" si="11"/>
        <v>0</v>
      </c>
      <c r="AJ86" s="1242">
        <f t="shared" si="11"/>
        <v>0</v>
      </c>
      <c r="AK86" s="1242">
        <f t="shared" si="11"/>
        <v>0</v>
      </c>
      <c r="AL86" s="37">
        <f t="shared" si="11"/>
        <v>0</v>
      </c>
      <c r="AM86" s="37">
        <f t="shared" si="11"/>
        <v>0</v>
      </c>
      <c r="AN86" s="37">
        <f t="shared" si="11"/>
        <v>0</v>
      </c>
      <c r="AO86" s="37">
        <f t="shared" si="11"/>
        <v>0</v>
      </c>
      <c r="AP86" s="37">
        <f t="shared" si="11"/>
        <v>0</v>
      </c>
      <c r="AQ86" s="37">
        <f t="shared" si="11"/>
        <v>0</v>
      </c>
      <c r="AR86" s="37">
        <f t="shared" si="11"/>
        <v>0</v>
      </c>
      <c r="AS86" s="407">
        <f t="shared" si="11"/>
        <v>0</v>
      </c>
      <c r="AT86" s="1242">
        <f t="shared" si="11"/>
        <v>0</v>
      </c>
      <c r="AU86" s="1242">
        <f t="shared" si="11"/>
        <v>0</v>
      </c>
      <c r="AV86" s="37">
        <f t="shared" si="11"/>
        <v>0</v>
      </c>
      <c r="AW86" s="37">
        <f t="shared" si="11"/>
        <v>0</v>
      </c>
      <c r="AX86" s="37">
        <f t="shared" si="11"/>
        <v>0</v>
      </c>
      <c r="AY86" s="37">
        <f t="shared" si="11"/>
        <v>0</v>
      </c>
      <c r="AZ86" s="37">
        <f t="shared" si="11"/>
        <v>0</v>
      </c>
      <c r="BA86" s="37">
        <f t="shared" si="11"/>
        <v>0</v>
      </c>
      <c r="BB86" s="37">
        <f t="shared" si="11"/>
        <v>0</v>
      </c>
      <c r="BC86" s="57"/>
      <c r="BF86" s="960" t="s">
        <v>1127</v>
      </c>
    </row>
    <row r="87" spans="5:58" ht="14.65" hidden="1" customHeight="1" x14ac:dyDescent="0.15">
      <c r="E87" s="668">
        <v>15</v>
      </c>
      <c r="F87" s="769" cm="1">
        <f t="array" ref="F87">F86</f>
        <v>0</v>
      </c>
      <c r="T87" s="690" t="b" cm="1">
        <f t="array" ref="T87">T86</f>
        <v>0</v>
      </c>
      <c r="X87" s="1428"/>
      <c r="Z87" s="1428"/>
      <c r="AB87" s="404" t="str">
        <f>AB84&amp;".3"</f>
        <v>5.3</v>
      </c>
      <c r="AC87" s="396" t="s">
        <v>1048</v>
      </c>
      <c r="AD87" s="404" t="s">
        <v>1044</v>
      </c>
      <c r="AE87" s="37">
        <f t="shared" ref="AE87:BB87" si="12">(AE31*2+AE45+AE59-AE73)/2</f>
        <v>0</v>
      </c>
      <c r="AF87" s="37">
        <f t="shared" si="12"/>
        <v>0</v>
      </c>
      <c r="AG87" s="37">
        <f t="shared" si="12"/>
        <v>0</v>
      </c>
      <c r="AH87" s="37">
        <f t="shared" si="12"/>
        <v>0</v>
      </c>
      <c r="AI87" s="407">
        <f t="shared" si="12"/>
        <v>0</v>
      </c>
      <c r="AJ87" s="1242">
        <f t="shared" si="12"/>
        <v>0</v>
      </c>
      <c r="AK87" s="1242">
        <f t="shared" si="12"/>
        <v>0</v>
      </c>
      <c r="AL87" s="37">
        <f t="shared" si="12"/>
        <v>0</v>
      </c>
      <c r="AM87" s="37">
        <f t="shared" si="12"/>
        <v>0</v>
      </c>
      <c r="AN87" s="37">
        <f t="shared" si="12"/>
        <v>0</v>
      </c>
      <c r="AO87" s="37">
        <f t="shared" si="12"/>
        <v>0</v>
      </c>
      <c r="AP87" s="37">
        <f t="shared" si="12"/>
        <v>0</v>
      </c>
      <c r="AQ87" s="37">
        <f t="shared" si="12"/>
        <v>0</v>
      </c>
      <c r="AR87" s="37">
        <f t="shared" si="12"/>
        <v>0</v>
      </c>
      <c r="AS87" s="407">
        <f t="shared" si="12"/>
        <v>0</v>
      </c>
      <c r="AT87" s="1242">
        <f t="shared" si="12"/>
        <v>0</v>
      </c>
      <c r="AU87" s="1242">
        <f t="shared" si="12"/>
        <v>0</v>
      </c>
      <c r="AV87" s="37">
        <f t="shared" si="12"/>
        <v>0</v>
      </c>
      <c r="AW87" s="37">
        <f t="shared" si="12"/>
        <v>0</v>
      </c>
      <c r="AX87" s="37">
        <f t="shared" si="12"/>
        <v>0</v>
      </c>
      <c r="AY87" s="37">
        <f t="shared" si="12"/>
        <v>0</v>
      </c>
      <c r="AZ87" s="37">
        <f t="shared" si="12"/>
        <v>0</v>
      </c>
      <c r="BA87" s="37">
        <f t="shared" si="12"/>
        <v>0</v>
      </c>
      <c r="BB87" s="37">
        <f t="shared" si="12"/>
        <v>0</v>
      </c>
      <c r="BC87" s="57"/>
      <c r="BF87" s="960" t="s">
        <v>1128</v>
      </c>
    </row>
    <row r="88" spans="5:58" ht="14.65" hidden="1" customHeight="1" x14ac:dyDescent="0.15">
      <c r="E88" s="668">
        <v>15</v>
      </c>
      <c r="F88" s="769" cm="1">
        <f t="array" ref="F88">F87</f>
        <v>0</v>
      </c>
      <c r="T88" s="690" t="b" cm="1">
        <f t="array" ref="T88">T87</f>
        <v>0</v>
      </c>
      <c r="X88" s="1428"/>
      <c r="Z88" s="1428"/>
      <c r="AB88" s="404" t="str">
        <f>AB84&amp;".4"</f>
        <v>5.4</v>
      </c>
      <c r="AC88" s="396" t="s">
        <v>1050</v>
      </c>
      <c r="AD88" s="404" t="s">
        <v>1044</v>
      </c>
      <c r="AE88" s="37">
        <f t="shared" ref="AE88:BB88" si="13">SUM(AE89:AE93)</f>
        <v>0</v>
      </c>
      <c r="AF88" s="37">
        <f t="shared" si="13"/>
        <v>0</v>
      </c>
      <c r="AG88" s="37">
        <f t="shared" si="13"/>
        <v>0</v>
      </c>
      <c r="AH88" s="37">
        <f t="shared" si="13"/>
        <v>0</v>
      </c>
      <c r="AI88" s="407">
        <f t="shared" si="13"/>
        <v>0</v>
      </c>
      <c r="AJ88" s="1242">
        <f t="shared" si="13"/>
        <v>0</v>
      </c>
      <c r="AK88" s="1242">
        <f t="shared" si="13"/>
        <v>0</v>
      </c>
      <c r="AL88" s="37">
        <f t="shared" si="13"/>
        <v>0</v>
      </c>
      <c r="AM88" s="37">
        <f t="shared" si="13"/>
        <v>0</v>
      </c>
      <c r="AN88" s="37">
        <f t="shared" si="13"/>
        <v>0</v>
      </c>
      <c r="AO88" s="37">
        <f t="shared" si="13"/>
        <v>0</v>
      </c>
      <c r="AP88" s="37">
        <f t="shared" si="13"/>
        <v>0</v>
      </c>
      <c r="AQ88" s="37">
        <f t="shared" si="13"/>
        <v>0</v>
      </c>
      <c r="AR88" s="37">
        <f t="shared" si="13"/>
        <v>0</v>
      </c>
      <c r="AS88" s="407">
        <f t="shared" si="13"/>
        <v>0</v>
      </c>
      <c r="AT88" s="1242">
        <f t="shared" si="13"/>
        <v>0</v>
      </c>
      <c r="AU88" s="1242">
        <f t="shared" si="13"/>
        <v>0</v>
      </c>
      <c r="AV88" s="37">
        <f t="shared" si="13"/>
        <v>0</v>
      </c>
      <c r="AW88" s="37">
        <f t="shared" si="13"/>
        <v>0</v>
      </c>
      <c r="AX88" s="37">
        <f t="shared" si="13"/>
        <v>0</v>
      </c>
      <c r="AY88" s="37">
        <f t="shared" si="13"/>
        <v>0</v>
      </c>
      <c r="AZ88" s="37">
        <f t="shared" si="13"/>
        <v>0</v>
      </c>
      <c r="BA88" s="37">
        <f t="shared" si="13"/>
        <v>0</v>
      </c>
      <c r="BB88" s="37">
        <f t="shared" si="13"/>
        <v>0</v>
      </c>
      <c r="BC88" s="57"/>
      <c r="BF88" s="960" t="s">
        <v>1129</v>
      </c>
    </row>
    <row r="89" spans="5:58" ht="14.65" hidden="1" customHeight="1" x14ac:dyDescent="0.15">
      <c r="E89" s="668">
        <v>15</v>
      </c>
      <c r="F89" s="769" cm="1">
        <f t="array" ref="F89">F88</f>
        <v>0</v>
      </c>
      <c r="T89" s="690" t="b" cm="1">
        <f t="array" ref="T89">T88</f>
        <v>0</v>
      </c>
      <c r="X89" s="1428"/>
      <c r="Z89" s="1428"/>
      <c r="AB89" s="404" t="str">
        <f>AB88&amp;".1"</f>
        <v>5.4.1</v>
      </c>
      <c r="AC89" s="442" t="s">
        <v>1053</v>
      </c>
      <c r="AD89" s="404" t="s">
        <v>1044</v>
      </c>
      <c r="AE89" s="37">
        <f t="shared" ref="AE89:BB89" si="14">(AE33*2+AE47+AE61-AE75)/2</f>
        <v>0</v>
      </c>
      <c r="AF89" s="37">
        <f t="shared" si="14"/>
        <v>0</v>
      </c>
      <c r="AG89" s="37">
        <f t="shared" si="14"/>
        <v>0</v>
      </c>
      <c r="AH89" s="37">
        <f t="shared" si="14"/>
        <v>0</v>
      </c>
      <c r="AI89" s="407">
        <f t="shared" si="14"/>
        <v>0</v>
      </c>
      <c r="AJ89" s="1242">
        <f t="shared" si="14"/>
        <v>0</v>
      </c>
      <c r="AK89" s="1242">
        <f t="shared" si="14"/>
        <v>0</v>
      </c>
      <c r="AL89" s="37">
        <f t="shared" si="14"/>
        <v>0</v>
      </c>
      <c r="AM89" s="37">
        <f t="shared" si="14"/>
        <v>0</v>
      </c>
      <c r="AN89" s="37">
        <f t="shared" si="14"/>
        <v>0</v>
      </c>
      <c r="AO89" s="37">
        <f t="shared" si="14"/>
        <v>0</v>
      </c>
      <c r="AP89" s="37">
        <f t="shared" si="14"/>
        <v>0</v>
      </c>
      <c r="AQ89" s="37">
        <f t="shared" si="14"/>
        <v>0</v>
      </c>
      <c r="AR89" s="37">
        <f t="shared" si="14"/>
        <v>0</v>
      </c>
      <c r="AS89" s="407">
        <f t="shared" si="14"/>
        <v>0</v>
      </c>
      <c r="AT89" s="1242">
        <f t="shared" si="14"/>
        <v>0</v>
      </c>
      <c r="AU89" s="1242">
        <f t="shared" si="14"/>
        <v>0</v>
      </c>
      <c r="AV89" s="37">
        <f t="shared" si="14"/>
        <v>0</v>
      </c>
      <c r="AW89" s="37">
        <f t="shared" si="14"/>
        <v>0</v>
      </c>
      <c r="AX89" s="37">
        <f t="shared" si="14"/>
        <v>0</v>
      </c>
      <c r="AY89" s="37">
        <f t="shared" si="14"/>
        <v>0</v>
      </c>
      <c r="AZ89" s="37">
        <f t="shared" si="14"/>
        <v>0</v>
      </c>
      <c r="BA89" s="37">
        <f t="shared" si="14"/>
        <v>0</v>
      </c>
      <c r="BB89" s="37">
        <f t="shared" si="14"/>
        <v>0</v>
      </c>
      <c r="BC89" s="57"/>
      <c r="BF89" s="960" t="s">
        <v>1130</v>
      </c>
    </row>
    <row r="90" spans="5:58" ht="14.65" hidden="1" customHeight="1" x14ac:dyDescent="0.15">
      <c r="E90" s="668">
        <v>15</v>
      </c>
      <c r="F90" s="769" cm="1">
        <f t="array" ref="F90">F89</f>
        <v>0</v>
      </c>
      <c r="T90" s="690" t="b" cm="1">
        <f t="array" ref="T90">T89</f>
        <v>0</v>
      </c>
      <c r="X90" s="1428"/>
      <c r="Z90" s="1428"/>
      <c r="AB90" s="404" t="str">
        <f>AB88&amp;".2"</f>
        <v>5.4.2</v>
      </c>
      <c r="AC90" s="442" t="s">
        <v>1056</v>
      </c>
      <c r="AD90" s="404" t="s">
        <v>1044</v>
      </c>
      <c r="AE90" s="37">
        <f t="shared" ref="AE90:BB90" si="15">(AE34*2+AE48+AE62-AE76)/2</f>
        <v>0</v>
      </c>
      <c r="AF90" s="37">
        <f t="shared" si="15"/>
        <v>0</v>
      </c>
      <c r="AG90" s="37">
        <f t="shared" si="15"/>
        <v>0</v>
      </c>
      <c r="AH90" s="37">
        <f t="shared" si="15"/>
        <v>0</v>
      </c>
      <c r="AI90" s="407">
        <f t="shared" si="15"/>
        <v>0</v>
      </c>
      <c r="AJ90" s="1242">
        <f t="shared" si="15"/>
        <v>0</v>
      </c>
      <c r="AK90" s="1242">
        <f t="shared" si="15"/>
        <v>0</v>
      </c>
      <c r="AL90" s="37">
        <f t="shared" si="15"/>
        <v>0</v>
      </c>
      <c r="AM90" s="37">
        <f t="shared" si="15"/>
        <v>0</v>
      </c>
      <c r="AN90" s="37">
        <f t="shared" si="15"/>
        <v>0</v>
      </c>
      <c r="AO90" s="37">
        <f t="shared" si="15"/>
        <v>0</v>
      </c>
      <c r="AP90" s="37">
        <f t="shared" si="15"/>
        <v>0</v>
      </c>
      <c r="AQ90" s="37">
        <f t="shared" si="15"/>
        <v>0</v>
      </c>
      <c r="AR90" s="37">
        <f t="shared" si="15"/>
        <v>0</v>
      </c>
      <c r="AS90" s="407">
        <f t="shared" si="15"/>
        <v>0</v>
      </c>
      <c r="AT90" s="1242">
        <f t="shared" si="15"/>
        <v>0</v>
      </c>
      <c r="AU90" s="1242">
        <f t="shared" si="15"/>
        <v>0</v>
      </c>
      <c r="AV90" s="37">
        <f t="shared" si="15"/>
        <v>0</v>
      </c>
      <c r="AW90" s="37">
        <f t="shared" si="15"/>
        <v>0</v>
      </c>
      <c r="AX90" s="37">
        <f t="shared" si="15"/>
        <v>0</v>
      </c>
      <c r="AY90" s="37">
        <f t="shared" si="15"/>
        <v>0</v>
      </c>
      <c r="AZ90" s="37">
        <f t="shared" si="15"/>
        <v>0</v>
      </c>
      <c r="BA90" s="37">
        <f t="shared" si="15"/>
        <v>0</v>
      </c>
      <c r="BB90" s="37">
        <f t="shared" si="15"/>
        <v>0</v>
      </c>
      <c r="BC90" s="57"/>
      <c r="BF90" s="960" t="s">
        <v>1131</v>
      </c>
    </row>
    <row r="91" spans="5:58" ht="14.65" hidden="1" customHeight="1" x14ac:dyDescent="0.15">
      <c r="E91" s="668">
        <v>15</v>
      </c>
      <c r="F91" s="769" cm="1">
        <f t="array" ref="F91">F90</f>
        <v>0</v>
      </c>
      <c r="T91" s="690" t="b" cm="1">
        <f t="array" ref="T91">T90</f>
        <v>0</v>
      </c>
      <c r="X91" s="1428"/>
      <c r="Z91" s="1428"/>
      <c r="AB91" s="404" t="str">
        <f>AB88&amp;".3"</f>
        <v>5.4.3</v>
      </c>
      <c r="AC91" s="442" t="s">
        <v>1059</v>
      </c>
      <c r="AD91" s="404" t="s">
        <v>1044</v>
      </c>
      <c r="AE91" s="37">
        <f t="shared" ref="AE91:BB91" si="16">(AE35*2+AE49+AE63-AE77)/2</f>
        <v>0</v>
      </c>
      <c r="AF91" s="37">
        <f t="shared" si="16"/>
        <v>0</v>
      </c>
      <c r="AG91" s="37">
        <f t="shared" si="16"/>
        <v>0</v>
      </c>
      <c r="AH91" s="37">
        <f t="shared" si="16"/>
        <v>0</v>
      </c>
      <c r="AI91" s="407">
        <f t="shared" si="16"/>
        <v>0</v>
      </c>
      <c r="AJ91" s="1242">
        <f t="shared" si="16"/>
        <v>0</v>
      </c>
      <c r="AK91" s="1242">
        <f t="shared" si="16"/>
        <v>0</v>
      </c>
      <c r="AL91" s="37">
        <f t="shared" si="16"/>
        <v>0</v>
      </c>
      <c r="AM91" s="37">
        <f t="shared" si="16"/>
        <v>0</v>
      </c>
      <c r="AN91" s="37">
        <f t="shared" si="16"/>
        <v>0</v>
      </c>
      <c r="AO91" s="37">
        <f t="shared" si="16"/>
        <v>0</v>
      </c>
      <c r="AP91" s="37">
        <f t="shared" si="16"/>
        <v>0</v>
      </c>
      <c r="AQ91" s="37">
        <f t="shared" si="16"/>
        <v>0</v>
      </c>
      <c r="AR91" s="37">
        <f t="shared" si="16"/>
        <v>0</v>
      </c>
      <c r="AS91" s="407">
        <f t="shared" si="16"/>
        <v>0</v>
      </c>
      <c r="AT91" s="1242">
        <f t="shared" si="16"/>
        <v>0</v>
      </c>
      <c r="AU91" s="1242">
        <f t="shared" si="16"/>
        <v>0</v>
      </c>
      <c r="AV91" s="37">
        <f t="shared" si="16"/>
        <v>0</v>
      </c>
      <c r="AW91" s="37">
        <f t="shared" si="16"/>
        <v>0</v>
      </c>
      <c r="AX91" s="37">
        <f t="shared" si="16"/>
        <v>0</v>
      </c>
      <c r="AY91" s="37">
        <f t="shared" si="16"/>
        <v>0</v>
      </c>
      <c r="AZ91" s="37">
        <f t="shared" si="16"/>
        <v>0</v>
      </c>
      <c r="BA91" s="37">
        <f t="shared" si="16"/>
        <v>0</v>
      </c>
      <c r="BB91" s="37">
        <f t="shared" si="16"/>
        <v>0</v>
      </c>
      <c r="BC91" s="57"/>
      <c r="BF91" s="960" t="s">
        <v>1132</v>
      </c>
    </row>
    <row r="92" spans="5:58" ht="14.65" hidden="1" customHeight="1" x14ac:dyDescent="0.15">
      <c r="E92" s="668">
        <v>15</v>
      </c>
      <c r="F92" s="769" cm="1">
        <f t="array" ref="F92">F91</f>
        <v>0</v>
      </c>
      <c r="T92" s="690" t="b" cm="1">
        <f t="array" ref="T92">T91</f>
        <v>0</v>
      </c>
      <c r="X92" s="1428"/>
      <c r="Z92" s="1428"/>
      <c r="AB92" s="404" t="str">
        <f>AB88&amp;".4"</f>
        <v>5.4.4</v>
      </c>
      <c r="AC92" s="442" t="s">
        <v>1062</v>
      </c>
      <c r="AD92" s="404" t="s">
        <v>1044</v>
      </c>
      <c r="AE92" s="37">
        <f t="shared" ref="AE92:BB92" si="17">(AE36*2+AE50+AE64-AE78)/2</f>
        <v>0</v>
      </c>
      <c r="AF92" s="37">
        <f t="shared" si="17"/>
        <v>0</v>
      </c>
      <c r="AG92" s="37">
        <f t="shared" si="17"/>
        <v>0</v>
      </c>
      <c r="AH92" s="37">
        <f t="shared" si="17"/>
        <v>0</v>
      </c>
      <c r="AI92" s="407">
        <f t="shared" si="17"/>
        <v>0</v>
      </c>
      <c r="AJ92" s="1242">
        <f t="shared" si="17"/>
        <v>0</v>
      </c>
      <c r="AK92" s="1242">
        <f t="shared" si="17"/>
        <v>0</v>
      </c>
      <c r="AL92" s="37">
        <f t="shared" si="17"/>
        <v>0</v>
      </c>
      <c r="AM92" s="37">
        <f t="shared" si="17"/>
        <v>0</v>
      </c>
      <c r="AN92" s="37">
        <f t="shared" si="17"/>
        <v>0</v>
      </c>
      <c r="AO92" s="37">
        <f t="shared" si="17"/>
        <v>0</v>
      </c>
      <c r="AP92" s="37">
        <f t="shared" si="17"/>
        <v>0</v>
      </c>
      <c r="AQ92" s="37">
        <f t="shared" si="17"/>
        <v>0</v>
      </c>
      <c r="AR92" s="37">
        <f t="shared" si="17"/>
        <v>0</v>
      </c>
      <c r="AS92" s="407">
        <f t="shared" si="17"/>
        <v>0</v>
      </c>
      <c r="AT92" s="1242">
        <f t="shared" si="17"/>
        <v>0</v>
      </c>
      <c r="AU92" s="1242">
        <f t="shared" si="17"/>
        <v>0</v>
      </c>
      <c r="AV92" s="37">
        <f t="shared" si="17"/>
        <v>0</v>
      </c>
      <c r="AW92" s="37">
        <f t="shared" si="17"/>
        <v>0</v>
      </c>
      <c r="AX92" s="37">
        <f t="shared" si="17"/>
        <v>0</v>
      </c>
      <c r="AY92" s="37">
        <f t="shared" si="17"/>
        <v>0</v>
      </c>
      <c r="AZ92" s="37">
        <f t="shared" si="17"/>
        <v>0</v>
      </c>
      <c r="BA92" s="37">
        <f t="shared" si="17"/>
        <v>0</v>
      </c>
      <c r="BB92" s="37">
        <f t="shared" si="17"/>
        <v>0</v>
      </c>
      <c r="BC92" s="57"/>
      <c r="BF92" s="960" t="s">
        <v>1133</v>
      </c>
    </row>
    <row r="93" spans="5:58" ht="14.65" hidden="1" customHeight="1" x14ac:dyDescent="0.15">
      <c r="E93" s="668">
        <v>15</v>
      </c>
      <c r="F93" s="769" cm="1">
        <f t="array" ref="F93">F92</f>
        <v>0</v>
      </c>
      <c r="T93" s="690" t="b" cm="1">
        <f t="array" ref="T93">T92</f>
        <v>0</v>
      </c>
      <c r="X93" s="1428"/>
      <c r="Z93" s="1428"/>
      <c r="AB93" s="404" t="str">
        <f>AB88&amp;".5"</f>
        <v>5.4.5</v>
      </c>
      <c r="AC93" s="442" t="s">
        <v>1065</v>
      </c>
      <c r="AD93" s="404" t="s">
        <v>1044</v>
      </c>
      <c r="AE93" s="37">
        <f t="shared" ref="AE93:BB93" si="18">(AE37*2+AE51+AE65-AE79)/2</f>
        <v>0</v>
      </c>
      <c r="AF93" s="37">
        <f t="shared" si="18"/>
        <v>0</v>
      </c>
      <c r="AG93" s="37">
        <f t="shared" si="18"/>
        <v>0</v>
      </c>
      <c r="AH93" s="37">
        <f t="shared" si="18"/>
        <v>0</v>
      </c>
      <c r="AI93" s="407">
        <f t="shared" si="18"/>
        <v>0</v>
      </c>
      <c r="AJ93" s="1242">
        <f t="shared" si="18"/>
        <v>0</v>
      </c>
      <c r="AK93" s="1242">
        <f t="shared" si="18"/>
        <v>0</v>
      </c>
      <c r="AL93" s="37">
        <f t="shared" si="18"/>
        <v>0</v>
      </c>
      <c r="AM93" s="37">
        <f t="shared" si="18"/>
        <v>0</v>
      </c>
      <c r="AN93" s="37">
        <f t="shared" si="18"/>
        <v>0</v>
      </c>
      <c r="AO93" s="37">
        <f t="shared" si="18"/>
        <v>0</v>
      </c>
      <c r="AP93" s="37">
        <f t="shared" si="18"/>
        <v>0</v>
      </c>
      <c r="AQ93" s="37">
        <f t="shared" si="18"/>
        <v>0</v>
      </c>
      <c r="AR93" s="37">
        <f t="shared" si="18"/>
        <v>0</v>
      </c>
      <c r="AS93" s="407">
        <f t="shared" si="18"/>
        <v>0</v>
      </c>
      <c r="AT93" s="1242">
        <f t="shared" si="18"/>
        <v>0</v>
      </c>
      <c r="AU93" s="1242">
        <f t="shared" si="18"/>
        <v>0</v>
      </c>
      <c r="AV93" s="37">
        <f t="shared" si="18"/>
        <v>0</v>
      </c>
      <c r="AW93" s="37">
        <f t="shared" si="18"/>
        <v>0</v>
      </c>
      <c r="AX93" s="37">
        <f t="shared" si="18"/>
        <v>0</v>
      </c>
      <c r="AY93" s="37">
        <f t="shared" si="18"/>
        <v>0</v>
      </c>
      <c r="AZ93" s="37">
        <f t="shared" si="18"/>
        <v>0</v>
      </c>
      <c r="BA93" s="37">
        <f t="shared" si="18"/>
        <v>0</v>
      </c>
      <c r="BB93" s="37">
        <f t="shared" si="18"/>
        <v>0</v>
      </c>
      <c r="BC93" s="57"/>
      <c r="BF93" s="960" t="s">
        <v>1134</v>
      </c>
    </row>
    <row r="94" spans="5:58" ht="14.65" hidden="1" customHeight="1" x14ac:dyDescent="0.15">
      <c r="E94" s="668">
        <v>15</v>
      </c>
      <c r="F94" s="769" cm="1">
        <f t="array" ref="F94">F93</f>
        <v>0</v>
      </c>
      <c r="T94" s="690" t="b" cm="1">
        <f t="array" ref="T94">T93</f>
        <v>0</v>
      </c>
      <c r="X94" s="1428"/>
      <c r="Z94" s="1428"/>
      <c r="AB94" s="404" t="str">
        <f>AB84&amp;".5"</f>
        <v>5.5</v>
      </c>
      <c r="AC94" s="396" t="s">
        <v>1068</v>
      </c>
      <c r="AD94" s="404" t="s">
        <v>1044</v>
      </c>
      <c r="AE94" s="37">
        <f t="shared" ref="AE94:BB94" si="19">(AE38*2+AE52+AE66-AE80)/2</f>
        <v>0</v>
      </c>
      <c r="AF94" s="37">
        <f t="shared" si="19"/>
        <v>0</v>
      </c>
      <c r="AG94" s="37">
        <f t="shared" si="19"/>
        <v>0</v>
      </c>
      <c r="AH94" s="37">
        <f t="shared" si="19"/>
        <v>0</v>
      </c>
      <c r="AI94" s="407">
        <f t="shared" si="19"/>
        <v>0</v>
      </c>
      <c r="AJ94" s="1242">
        <f t="shared" si="19"/>
        <v>0</v>
      </c>
      <c r="AK94" s="1242">
        <f t="shared" si="19"/>
        <v>0</v>
      </c>
      <c r="AL94" s="37">
        <f t="shared" si="19"/>
        <v>0</v>
      </c>
      <c r="AM94" s="37">
        <f t="shared" si="19"/>
        <v>0</v>
      </c>
      <c r="AN94" s="37">
        <f t="shared" si="19"/>
        <v>0</v>
      </c>
      <c r="AO94" s="37">
        <f t="shared" si="19"/>
        <v>0</v>
      </c>
      <c r="AP94" s="37">
        <f t="shared" si="19"/>
        <v>0</v>
      </c>
      <c r="AQ94" s="37">
        <f t="shared" si="19"/>
        <v>0</v>
      </c>
      <c r="AR94" s="37">
        <f t="shared" si="19"/>
        <v>0</v>
      </c>
      <c r="AS94" s="407">
        <f t="shared" si="19"/>
        <v>0</v>
      </c>
      <c r="AT94" s="1242">
        <f t="shared" si="19"/>
        <v>0</v>
      </c>
      <c r="AU94" s="1242">
        <f t="shared" si="19"/>
        <v>0</v>
      </c>
      <c r="AV94" s="37">
        <f t="shared" si="19"/>
        <v>0</v>
      </c>
      <c r="AW94" s="37">
        <f t="shared" si="19"/>
        <v>0</v>
      </c>
      <c r="AX94" s="37">
        <f t="shared" si="19"/>
        <v>0</v>
      </c>
      <c r="AY94" s="37">
        <f t="shared" si="19"/>
        <v>0</v>
      </c>
      <c r="AZ94" s="37">
        <f t="shared" si="19"/>
        <v>0</v>
      </c>
      <c r="BA94" s="37">
        <f t="shared" si="19"/>
        <v>0</v>
      </c>
      <c r="BB94" s="37">
        <f t="shared" si="19"/>
        <v>0</v>
      </c>
      <c r="BC94" s="57"/>
      <c r="BF94" s="960" t="s">
        <v>1135</v>
      </c>
    </row>
    <row r="95" spans="5:58" ht="14.65" hidden="1" customHeight="1" x14ac:dyDescent="0.15">
      <c r="E95" s="668">
        <v>15</v>
      </c>
      <c r="F95" s="769" cm="1">
        <f t="array" ref="F95">F94</f>
        <v>0</v>
      </c>
      <c r="T95" s="690" t="b" cm="1">
        <f t="array" ref="T95">T94</f>
        <v>0</v>
      </c>
      <c r="X95" s="1428"/>
      <c r="Z95" s="1428"/>
      <c r="AB95" s="404" t="str">
        <f>AB84&amp;".6"</f>
        <v>5.6</v>
      </c>
      <c r="AC95" s="396" t="s">
        <v>1071</v>
      </c>
      <c r="AD95" s="404" t="s">
        <v>1044</v>
      </c>
      <c r="AE95" s="37">
        <f t="shared" ref="AE95:BB95" si="20">(AE39*2+AE53+AE67-AE81)/2</f>
        <v>0</v>
      </c>
      <c r="AF95" s="37">
        <f t="shared" si="20"/>
        <v>0</v>
      </c>
      <c r="AG95" s="37">
        <f t="shared" si="20"/>
        <v>0</v>
      </c>
      <c r="AH95" s="37">
        <f t="shared" si="20"/>
        <v>0</v>
      </c>
      <c r="AI95" s="407">
        <f t="shared" si="20"/>
        <v>0</v>
      </c>
      <c r="AJ95" s="1242">
        <f t="shared" si="20"/>
        <v>0</v>
      </c>
      <c r="AK95" s="1242">
        <f t="shared" si="20"/>
        <v>0</v>
      </c>
      <c r="AL95" s="37">
        <f t="shared" si="20"/>
        <v>0</v>
      </c>
      <c r="AM95" s="37">
        <f t="shared" si="20"/>
        <v>0</v>
      </c>
      <c r="AN95" s="37">
        <f t="shared" si="20"/>
        <v>0</v>
      </c>
      <c r="AO95" s="37">
        <f t="shared" si="20"/>
        <v>0</v>
      </c>
      <c r="AP95" s="37">
        <f t="shared" si="20"/>
        <v>0</v>
      </c>
      <c r="AQ95" s="37">
        <f t="shared" si="20"/>
        <v>0</v>
      </c>
      <c r="AR95" s="37">
        <f t="shared" si="20"/>
        <v>0</v>
      </c>
      <c r="AS95" s="407">
        <f t="shared" si="20"/>
        <v>0</v>
      </c>
      <c r="AT95" s="1242">
        <f t="shared" si="20"/>
        <v>0</v>
      </c>
      <c r="AU95" s="1242">
        <f t="shared" si="20"/>
        <v>0</v>
      </c>
      <c r="AV95" s="37">
        <f t="shared" si="20"/>
        <v>0</v>
      </c>
      <c r="AW95" s="37">
        <f t="shared" si="20"/>
        <v>0</v>
      </c>
      <c r="AX95" s="37">
        <f t="shared" si="20"/>
        <v>0</v>
      </c>
      <c r="AY95" s="37">
        <f t="shared" si="20"/>
        <v>0</v>
      </c>
      <c r="AZ95" s="37">
        <f t="shared" si="20"/>
        <v>0</v>
      </c>
      <c r="BA95" s="37">
        <f t="shared" si="20"/>
        <v>0</v>
      </c>
      <c r="BB95" s="37">
        <f t="shared" si="20"/>
        <v>0</v>
      </c>
      <c r="BC95" s="57"/>
      <c r="BF95" s="960" t="s">
        <v>1136</v>
      </c>
    </row>
    <row r="96" spans="5:58" ht="14.65" hidden="1" customHeight="1" x14ac:dyDescent="0.15">
      <c r="E96" s="668">
        <v>15</v>
      </c>
      <c r="F96" s="769" cm="1">
        <f t="array" ref="F96">F95</f>
        <v>0</v>
      </c>
      <c r="T96" s="690" t="b" cm="1">
        <f t="array" ref="T96">T95</f>
        <v>0</v>
      </c>
      <c r="X96" s="1428"/>
      <c r="Z96" s="1428"/>
      <c r="AB96" s="404" t="str">
        <f>AB84&amp;".7"</f>
        <v>5.7</v>
      </c>
      <c r="AC96" s="396" t="s">
        <v>1074</v>
      </c>
      <c r="AD96" s="404" t="s">
        <v>1044</v>
      </c>
      <c r="AE96" s="37">
        <f t="shared" ref="AE96:BB96" si="21">(AE40*2+AE54+AE68-AE82)/2</f>
        <v>0</v>
      </c>
      <c r="AF96" s="37">
        <f t="shared" si="21"/>
        <v>0</v>
      </c>
      <c r="AG96" s="37">
        <f t="shared" si="21"/>
        <v>0</v>
      </c>
      <c r="AH96" s="37">
        <f t="shared" si="21"/>
        <v>0</v>
      </c>
      <c r="AI96" s="407">
        <f t="shared" si="21"/>
        <v>0</v>
      </c>
      <c r="AJ96" s="1242">
        <f t="shared" si="21"/>
        <v>0</v>
      </c>
      <c r="AK96" s="1242">
        <f t="shared" si="21"/>
        <v>0</v>
      </c>
      <c r="AL96" s="37">
        <f t="shared" si="21"/>
        <v>0</v>
      </c>
      <c r="AM96" s="37">
        <f t="shared" si="21"/>
        <v>0</v>
      </c>
      <c r="AN96" s="37">
        <f t="shared" si="21"/>
        <v>0</v>
      </c>
      <c r="AO96" s="37">
        <f t="shared" si="21"/>
        <v>0</v>
      </c>
      <c r="AP96" s="37">
        <f t="shared" si="21"/>
        <v>0</v>
      </c>
      <c r="AQ96" s="37">
        <f t="shared" si="21"/>
        <v>0</v>
      </c>
      <c r="AR96" s="37">
        <f t="shared" si="21"/>
        <v>0</v>
      </c>
      <c r="AS96" s="407">
        <f t="shared" si="21"/>
        <v>0</v>
      </c>
      <c r="AT96" s="1242">
        <f t="shared" si="21"/>
        <v>0</v>
      </c>
      <c r="AU96" s="1242">
        <f t="shared" si="21"/>
        <v>0</v>
      </c>
      <c r="AV96" s="37">
        <f t="shared" si="21"/>
        <v>0</v>
      </c>
      <c r="AW96" s="37">
        <f t="shared" si="21"/>
        <v>0</v>
      </c>
      <c r="AX96" s="37">
        <f t="shared" si="21"/>
        <v>0</v>
      </c>
      <c r="AY96" s="37">
        <f t="shared" si="21"/>
        <v>0</v>
      </c>
      <c r="AZ96" s="37">
        <f t="shared" si="21"/>
        <v>0</v>
      </c>
      <c r="BA96" s="37">
        <f t="shared" si="21"/>
        <v>0</v>
      </c>
      <c r="BB96" s="37">
        <f t="shared" si="21"/>
        <v>0</v>
      </c>
      <c r="BC96" s="57"/>
      <c r="BF96" s="960" t="s">
        <v>1137</v>
      </c>
    </row>
    <row r="97" spans="5:58" ht="14.65" hidden="1" customHeight="1" x14ac:dyDescent="0.15">
      <c r="E97" s="668">
        <v>15</v>
      </c>
      <c r="F97" s="769" cm="1">
        <f t="array" ref="F97">F96</f>
        <v>0</v>
      </c>
      <c r="T97" s="690" t="b" cm="1">
        <f t="array" ref="T97">T96</f>
        <v>0</v>
      </c>
      <c r="X97" s="1428"/>
      <c r="Z97" s="1428"/>
      <c r="AB97" s="404" t="str">
        <f>AB84&amp;".8"</f>
        <v>5.8</v>
      </c>
      <c r="AC97" s="396" t="s">
        <v>1077</v>
      </c>
      <c r="AD97" s="404" t="s">
        <v>1044</v>
      </c>
      <c r="AE97" s="37">
        <f t="shared" ref="AE97:BB97" si="22">(AE41*2+AE55+AE69-AE83)/2</f>
        <v>0</v>
      </c>
      <c r="AF97" s="37">
        <f t="shared" si="22"/>
        <v>0</v>
      </c>
      <c r="AG97" s="37">
        <f t="shared" si="22"/>
        <v>0</v>
      </c>
      <c r="AH97" s="37">
        <f t="shared" si="22"/>
        <v>0</v>
      </c>
      <c r="AI97" s="407">
        <f t="shared" si="22"/>
        <v>0</v>
      </c>
      <c r="AJ97" s="1242">
        <f t="shared" si="22"/>
        <v>0</v>
      </c>
      <c r="AK97" s="1242">
        <f t="shared" si="22"/>
        <v>0</v>
      </c>
      <c r="AL97" s="37">
        <f t="shared" si="22"/>
        <v>0</v>
      </c>
      <c r="AM97" s="37">
        <f t="shared" si="22"/>
        <v>0</v>
      </c>
      <c r="AN97" s="37">
        <f t="shared" si="22"/>
        <v>0</v>
      </c>
      <c r="AO97" s="37">
        <f t="shared" si="22"/>
        <v>0</v>
      </c>
      <c r="AP97" s="37">
        <f t="shared" si="22"/>
        <v>0</v>
      </c>
      <c r="AQ97" s="37">
        <f t="shared" si="22"/>
        <v>0</v>
      </c>
      <c r="AR97" s="37">
        <f t="shared" si="22"/>
        <v>0</v>
      </c>
      <c r="AS97" s="407">
        <f t="shared" si="22"/>
        <v>0</v>
      </c>
      <c r="AT97" s="1242">
        <f t="shared" si="22"/>
        <v>0</v>
      </c>
      <c r="AU97" s="1242">
        <f t="shared" si="22"/>
        <v>0</v>
      </c>
      <c r="AV97" s="37">
        <f t="shared" si="22"/>
        <v>0</v>
      </c>
      <c r="AW97" s="37">
        <f t="shared" si="22"/>
        <v>0</v>
      </c>
      <c r="AX97" s="37">
        <f t="shared" si="22"/>
        <v>0</v>
      </c>
      <c r="AY97" s="37">
        <f t="shared" si="22"/>
        <v>0</v>
      </c>
      <c r="AZ97" s="37">
        <f t="shared" si="22"/>
        <v>0</v>
      </c>
      <c r="BA97" s="37">
        <f t="shared" si="22"/>
        <v>0</v>
      </c>
      <c r="BB97" s="37">
        <f t="shared" si="22"/>
        <v>0</v>
      </c>
      <c r="BC97" s="57"/>
      <c r="BF97" s="960" t="s">
        <v>1138</v>
      </c>
    </row>
    <row r="98" spans="5:58" s="164" customFormat="1" ht="22.15" hidden="1" customHeight="1" x14ac:dyDescent="0.15">
      <c r="E98" s="668">
        <v>22.8</v>
      </c>
      <c r="F98" s="769" cm="1">
        <f t="array" ref="F98">F97</f>
        <v>0</v>
      </c>
      <c r="T98" s="690" t="b" cm="1">
        <f t="array" ref="T98">T97</f>
        <v>0</v>
      </c>
      <c r="X98" s="1572"/>
      <c r="Z98" s="1572"/>
      <c r="AB98" s="224">
        <v>6</v>
      </c>
      <c r="AC98" s="225" t="s">
        <v>1139</v>
      </c>
      <c r="AD98" s="412" t="s">
        <v>521</v>
      </c>
      <c r="AE98" s="54"/>
      <c r="AF98" s="54"/>
      <c r="AG98" s="54"/>
      <c r="AH98" s="54"/>
      <c r="AI98" s="239"/>
      <c r="AJ98" s="1263"/>
      <c r="AK98" s="1263"/>
      <c r="AL98" s="54"/>
      <c r="AM98" s="54"/>
      <c r="AN98" s="54"/>
      <c r="AO98" s="54"/>
      <c r="AP98" s="54"/>
      <c r="AQ98" s="54"/>
      <c r="AR98" s="54"/>
      <c r="AS98" s="239"/>
      <c r="AT98" s="1263"/>
      <c r="AU98" s="1263"/>
      <c r="AV98" s="54"/>
      <c r="AW98" s="54"/>
      <c r="AX98" s="54"/>
      <c r="AY98" s="54"/>
      <c r="AZ98" s="54"/>
      <c r="BA98" s="54"/>
      <c r="BB98" s="54"/>
      <c r="BC98" s="25"/>
      <c r="BF98" s="960" t="s">
        <v>1140</v>
      </c>
    </row>
    <row r="99" spans="5:58" ht="14.65" hidden="1" customHeight="1" x14ac:dyDescent="0.15">
      <c r="E99" s="668">
        <v>15</v>
      </c>
      <c r="F99" s="769" cm="1">
        <f t="array" ref="F99">F98</f>
        <v>0</v>
      </c>
      <c r="T99" s="690" t="b" cm="1">
        <f t="array" ref="T99">T98</f>
        <v>0</v>
      </c>
      <c r="X99" s="1428"/>
      <c r="Z99" s="1428"/>
      <c r="AB99" s="412" t="str">
        <f>AB98&amp;".1"</f>
        <v>6.1</v>
      </c>
      <c r="AC99" s="413" t="s">
        <v>1043</v>
      </c>
      <c r="AD99" s="412" t="s">
        <v>521</v>
      </c>
      <c r="AE99" s="13">
        <f t="shared" ref="AE99:BB99" si="23">IF(AE85=0,0,AE113/AE85*100)</f>
        <v>0</v>
      </c>
      <c r="AF99" s="13">
        <f t="shared" si="23"/>
        <v>0</v>
      </c>
      <c r="AG99" s="13">
        <f t="shared" si="23"/>
        <v>0</v>
      </c>
      <c r="AH99" s="13">
        <f t="shared" si="23"/>
        <v>0</v>
      </c>
      <c r="AI99" s="227">
        <f t="shared" si="23"/>
        <v>0</v>
      </c>
      <c r="AJ99" s="1183">
        <f t="shared" si="23"/>
        <v>0</v>
      </c>
      <c r="AK99" s="1183">
        <f t="shared" si="23"/>
        <v>0</v>
      </c>
      <c r="AL99" s="13">
        <f t="shared" si="23"/>
        <v>0</v>
      </c>
      <c r="AM99" s="13">
        <f t="shared" si="23"/>
        <v>0</v>
      </c>
      <c r="AN99" s="13">
        <f t="shared" si="23"/>
        <v>0</v>
      </c>
      <c r="AO99" s="13">
        <f t="shared" si="23"/>
        <v>0</v>
      </c>
      <c r="AP99" s="13">
        <f t="shared" si="23"/>
        <v>0</v>
      </c>
      <c r="AQ99" s="13">
        <f t="shared" si="23"/>
        <v>0</v>
      </c>
      <c r="AR99" s="13">
        <f t="shared" si="23"/>
        <v>0</v>
      </c>
      <c r="AS99" s="227">
        <f t="shared" si="23"/>
        <v>0</v>
      </c>
      <c r="AT99" s="1183">
        <f t="shared" si="23"/>
        <v>0</v>
      </c>
      <c r="AU99" s="1183">
        <f t="shared" si="23"/>
        <v>0</v>
      </c>
      <c r="AV99" s="13">
        <f t="shared" si="23"/>
        <v>0</v>
      </c>
      <c r="AW99" s="13">
        <f t="shared" si="23"/>
        <v>0</v>
      </c>
      <c r="AX99" s="13">
        <f t="shared" si="23"/>
        <v>0</v>
      </c>
      <c r="AY99" s="13">
        <f t="shared" si="23"/>
        <v>0</v>
      </c>
      <c r="AZ99" s="13">
        <f t="shared" si="23"/>
        <v>0</v>
      </c>
      <c r="BA99" s="13">
        <f t="shared" si="23"/>
        <v>0</v>
      </c>
      <c r="BB99" s="13">
        <f t="shared" si="23"/>
        <v>0</v>
      </c>
      <c r="BC99" s="25"/>
      <c r="BF99" s="960" t="s">
        <v>1141</v>
      </c>
    </row>
    <row r="100" spans="5:58" ht="14.65" hidden="1" customHeight="1" x14ac:dyDescent="0.15">
      <c r="E100" s="668">
        <v>15</v>
      </c>
      <c r="F100" s="769" cm="1">
        <f t="array" ref="F100">F99</f>
        <v>0</v>
      </c>
      <c r="T100" s="690" t="b" cm="1">
        <f t="array" ref="T100">T99</f>
        <v>0</v>
      </c>
      <c r="X100" s="1428"/>
      <c r="Z100" s="1428"/>
      <c r="AB100" s="412" t="str">
        <f>AB98&amp;".2"</f>
        <v>6.2</v>
      </c>
      <c r="AC100" s="413" t="s">
        <v>1046</v>
      </c>
      <c r="AD100" s="412" t="s">
        <v>521</v>
      </c>
      <c r="AE100" s="13">
        <f t="shared" ref="AE100:BB100" si="24">IF(AE86=0,0,AE114/AE86*100)</f>
        <v>0</v>
      </c>
      <c r="AF100" s="13">
        <f t="shared" si="24"/>
        <v>0</v>
      </c>
      <c r="AG100" s="13">
        <f t="shared" si="24"/>
        <v>0</v>
      </c>
      <c r="AH100" s="13">
        <f t="shared" si="24"/>
        <v>0</v>
      </c>
      <c r="AI100" s="227">
        <f t="shared" si="24"/>
        <v>0</v>
      </c>
      <c r="AJ100" s="1183">
        <f t="shared" si="24"/>
        <v>0</v>
      </c>
      <c r="AK100" s="1183">
        <f t="shared" si="24"/>
        <v>0</v>
      </c>
      <c r="AL100" s="13">
        <f t="shared" si="24"/>
        <v>0</v>
      </c>
      <c r="AM100" s="13">
        <f t="shared" si="24"/>
        <v>0</v>
      </c>
      <c r="AN100" s="13">
        <f t="shared" si="24"/>
        <v>0</v>
      </c>
      <c r="AO100" s="13">
        <f t="shared" si="24"/>
        <v>0</v>
      </c>
      <c r="AP100" s="13">
        <f t="shared" si="24"/>
        <v>0</v>
      </c>
      <c r="AQ100" s="13">
        <f t="shared" si="24"/>
        <v>0</v>
      </c>
      <c r="AR100" s="13">
        <f t="shared" si="24"/>
        <v>0</v>
      </c>
      <c r="AS100" s="227">
        <f t="shared" si="24"/>
        <v>0</v>
      </c>
      <c r="AT100" s="1183">
        <f t="shared" si="24"/>
        <v>0</v>
      </c>
      <c r="AU100" s="1183">
        <f t="shared" si="24"/>
        <v>0</v>
      </c>
      <c r="AV100" s="13">
        <f t="shared" si="24"/>
        <v>0</v>
      </c>
      <c r="AW100" s="13">
        <f t="shared" si="24"/>
        <v>0</v>
      </c>
      <c r="AX100" s="13">
        <f t="shared" si="24"/>
        <v>0</v>
      </c>
      <c r="AY100" s="13">
        <f t="shared" si="24"/>
        <v>0</v>
      </c>
      <c r="AZ100" s="13">
        <f t="shared" si="24"/>
        <v>0</v>
      </c>
      <c r="BA100" s="13">
        <f t="shared" si="24"/>
        <v>0</v>
      </c>
      <c r="BB100" s="13">
        <f t="shared" si="24"/>
        <v>0</v>
      </c>
      <c r="BC100" s="25"/>
      <c r="BF100" s="960" t="s">
        <v>1142</v>
      </c>
    </row>
    <row r="101" spans="5:58" ht="14.65" hidden="1" customHeight="1" x14ac:dyDescent="0.15">
      <c r="E101" s="668">
        <v>15</v>
      </c>
      <c r="F101" s="769" cm="1">
        <f t="array" ref="F101">F100</f>
        <v>0</v>
      </c>
      <c r="T101" s="690" t="b" cm="1">
        <f t="array" ref="T101">T100</f>
        <v>0</v>
      </c>
      <c r="X101" s="1428"/>
      <c r="Z101" s="1428"/>
      <c r="AB101" s="412" t="str">
        <f>AB98&amp;".3"</f>
        <v>6.3</v>
      </c>
      <c r="AC101" s="413" t="s">
        <v>1048</v>
      </c>
      <c r="AD101" s="412" t="s">
        <v>521</v>
      </c>
      <c r="AE101" s="13">
        <f t="shared" ref="AE101:BB101" si="25">IF(AE87=0,0,AE115/AE87*100)</f>
        <v>0</v>
      </c>
      <c r="AF101" s="13">
        <f t="shared" si="25"/>
        <v>0</v>
      </c>
      <c r="AG101" s="13">
        <f t="shared" si="25"/>
        <v>0</v>
      </c>
      <c r="AH101" s="13">
        <f t="shared" si="25"/>
        <v>0</v>
      </c>
      <c r="AI101" s="227">
        <f t="shared" si="25"/>
        <v>0</v>
      </c>
      <c r="AJ101" s="1183">
        <f t="shared" si="25"/>
        <v>0</v>
      </c>
      <c r="AK101" s="1183">
        <f t="shared" si="25"/>
        <v>0</v>
      </c>
      <c r="AL101" s="13">
        <f t="shared" si="25"/>
        <v>0</v>
      </c>
      <c r="AM101" s="13">
        <f t="shared" si="25"/>
        <v>0</v>
      </c>
      <c r="AN101" s="13">
        <f t="shared" si="25"/>
        <v>0</v>
      </c>
      <c r="AO101" s="13">
        <f t="shared" si="25"/>
        <v>0</v>
      </c>
      <c r="AP101" s="13">
        <f t="shared" si="25"/>
        <v>0</v>
      </c>
      <c r="AQ101" s="13">
        <f t="shared" si="25"/>
        <v>0</v>
      </c>
      <c r="AR101" s="13">
        <f t="shared" si="25"/>
        <v>0</v>
      </c>
      <c r="AS101" s="227">
        <f t="shared" si="25"/>
        <v>0</v>
      </c>
      <c r="AT101" s="1183">
        <f t="shared" si="25"/>
        <v>0</v>
      </c>
      <c r="AU101" s="1183">
        <f t="shared" si="25"/>
        <v>0</v>
      </c>
      <c r="AV101" s="13">
        <f t="shared" si="25"/>
        <v>0</v>
      </c>
      <c r="AW101" s="13">
        <f t="shared" si="25"/>
        <v>0</v>
      </c>
      <c r="AX101" s="13">
        <f t="shared" si="25"/>
        <v>0</v>
      </c>
      <c r="AY101" s="13">
        <f t="shared" si="25"/>
        <v>0</v>
      </c>
      <c r="AZ101" s="13">
        <f t="shared" si="25"/>
        <v>0</v>
      </c>
      <c r="BA101" s="13">
        <f t="shared" si="25"/>
        <v>0</v>
      </c>
      <c r="BB101" s="13">
        <f t="shared" si="25"/>
        <v>0</v>
      </c>
      <c r="BC101" s="25"/>
      <c r="BF101" s="960" t="s">
        <v>1143</v>
      </c>
    </row>
    <row r="102" spans="5:58" ht="14.65" hidden="1" customHeight="1" x14ac:dyDescent="0.15">
      <c r="E102" s="668">
        <v>15</v>
      </c>
      <c r="F102" s="769" cm="1">
        <f t="array" ref="F102">F101</f>
        <v>0</v>
      </c>
      <c r="T102" s="690" t="b" cm="1">
        <f t="array" ref="T102">T101</f>
        <v>0</v>
      </c>
      <c r="X102" s="1428"/>
      <c r="Z102" s="1428"/>
      <c r="AB102" s="412" t="str">
        <f>AB98&amp;".4"</f>
        <v>6.4</v>
      </c>
      <c r="AC102" s="413" t="s">
        <v>1050</v>
      </c>
      <c r="AD102" s="412" t="s">
        <v>521</v>
      </c>
      <c r="AE102" s="13">
        <f t="shared" ref="AE102:BB102" si="26">IF(AE88=0,0,AE116/AE88*100)</f>
        <v>0</v>
      </c>
      <c r="AF102" s="13">
        <f t="shared" si="26"/>
        <v>0</v>
      </c>
      <c r="AG102" s="13">
        <f t="shared" si="26"/>
        <v>0</v>
      </c>
      <c r="AH102" s="13">
        <f t="shared" si="26"/>
        <v>0</v>
      </c>
      <c r="AI102" s="227">
        <f t="shared" si="26"/>
        <v>0</v>
      </c>
      <c r="AJ102" s="1183">
        <f t="shared" si="26"/>
        <v>0</v>
      </c>
      <c r="AK102" s="1183">
        <f t="shared" si="26"/>
        <v>0</v>
      </c>
      <c r="AL102" s="13">
        <f t="shared" si="26"/>
        <v>0</v>
      </c>
      <c r="AM102" s="13">
        <f t="shared" si="26"/>
        <v>0</v>
      </c>
      <c r="AN102" s="13">
        <f t="shared" si="26"/>
        <v>0</v>
      </c>
      <c r="AO102" s="13">
        <f t="shared" si="26"/>
        <v>0</v>
      </c>
      <c r="AP102" s="13">
        <f t="shared" si="26"/>
        <v>0</v>
      </c>
      <c r="AQ102" s="13">
        <f t="shared" si="26"/>
        <v>0</v>
      </c>
      <c r="AR102" s="13">
        <f t="shared" si="26"/>
        <v>0</v>
      </c>
      <c r="AS102" s="227">
        <f t="shared" si="26"/>
        <v>0</v>
      </c>
      <c r="AT102" s="1183">
        <f t="shared" si="26"/>
        <v>0</v>
      </c>
      <c r="AU102" s="1183">
        <f t="shared" si="26"/>
        <v>0</v>
      </c>
      <c r="AV102" s="13">
        <f t="shared" si="26"/>
        <v>0</v>
      </c>
      <c r="AW102" s="13">
        <f t="shared" si="26"/>
        <v>0</v>
      </c>
      <c r="AX102" s="13">
        <f t="shared" si="26"/>
        <v>0</v>
      </c>
      <c r="AY102" s="13">
        <f t="shared" si="26"/>
        <v>0</v>
      </c>
      <c r="AZ102" s="13">
        <f t="shared" si="26"/>
        <v>0</v>
      </c>
      <c r="BA102" s="13">
        <f t="shared" si="26"/>
        <v>0</v>
      </c>
      <c r="BB102" s="13">
        <f t="shared" si="26"/>
        <v>0</v>
      </c>
      <c r="BC102" s="25"/>
      <c r="BF102" s="960" t="s">
        <v>1144</v>
      </c>
    </row>
    <row r="103" spans="5:58" ht="14.65" hidden="1" customHeight="1" x14ac:dyDescent="0.15">
      <c r="E103" s="668">
        <v>15</v>
      </c>
      <c r="F103" s="769" cm="1">
        <f t="array" ref="F103">F102</f>
        <v>0</v>
      </c>
      <c r="T103" s="690" t="b" cm="1">
        <f t="array" ref="T103">T102</f>
        <v>0</v>
      </c>
      <c r="X103" s="1428"/>
      <c r="Z103" s="1428"/>
      <c r="AB103" s="412" t="str">
        <f>AB102&amp;".1"</f>
        <v>6.4.1</v>
      </c>
      <c r="AC103" s="414" t="s">
        <v>1053</v>
      </c>
      <c r="AD103" s="412" t="s">
        <v>521</v>
      </c>
      <c r="AE103" s="13">
        <f t="shared" ref="AE103:BB103" si="27">IF(AE89=0,0,AE117/AE89*100)</f>
        <v>0</v>
      </c>
      <c r="AF103" s="13">
        <f t="shared" si="27"/>
        <v>0</v>
      </c>
      <c r="AG103" s="13">
        <f t="shared" si="27"/>
        <v>0</v>
      </c>
      <c r="AH103" s="13">
        <f t="shared" si="27"/>
        <v>0</v>
      </c>
      <c r="AI103" s="227">
        <f t="shared" si="27"/>
        <v>0</v>
      </c>
      <c r="AJ103" s="1183">
        <f t="shared" si="27"/>
        <v>0</v>
      </c>
      <c r="AK103" s="1183">
        <f t="shared" si="27"/>
        <v>0</v>
      </c>
      <c r="AL103" s="13">
        <f t="shared" si="27"/>
        <v>0</v>
      </c>
      <c r="AM103" s="13">
        <f t="shared" si="27"/>
        <v>0</v>
      </c>
      <c r="AN103" s="13">
        <f t="shared" si="27"/>
        <v>0</v>
      </c>
      <c r="AO103" s="13">
        <f t="shared" si="27"/>
        <v>0</v>
      </c>
      <c r="AP103" s="13">
        <f t="shared" si="27"/>
        <v>0</v>
      </c>
      <c r="AQ103" s="13">
        <f t="shared" si="27"/>
        <v>0</v>
      </c>
      <c r="AR103" s="13">
        <f t="shared" si="27"/>
        <v>0</v>
      </c>
      <c r="AS103" s="227">
        <f t="shared" si="27"/>
        <v>0</v>
      </c>
      <c r="AT103" s="1183">
        <f t="shared" si="27"/>
        <v>0</v>
      </c>
      <c r="AU103" s="1183">
        <f t="shared" si="27"/>
        <v>0</v>
      </c>
      <c r="AV103" s="13">
        <f t="shared" si="27"/>
        <v>0</v>
      </c>
      <c r="AW103" s="13">
        <f t="shared" si="27"/>
        <v>0</v>
      </c>
      <c r="AX103" s="13">
        <f t="shared" si="27"/>
        <v>0</v>
      </c>
      <c r="AY103" s="13">
        <f t="shared" si="27"/>
        <v>0</v>
      </c>
      <c r="AZ103" s="13">
        <f t="shared" si="27"/>
        <v>0</v>
      </c>
      <c r="BA103" s="13">
        <f t="shared" si="27"/>
        <v>0</v>
      </c>
      <c r="BB103" s="13">
        <f t="shared" si="27"/>
        <v>0</v>
      </c>
      <c r="BC103" s="25"/>
      <c r="BF103" s="960" t="s">
        <v>1145</v>
      </c>
    </row>
    <row r="104" spans="5:58" ht="14.65" hidden="1" customHeight="1" x14ac:dyDescent="0.15">
      <c r="E104" s="668">
        <v>15</v>
      </c>
      <c r="F104" s="769" cm="1">
        <f t="array" ref="F104">F103</f>
        <v>0</v>
      </c>
      <c r="T104" s="690" t="b" cm="1">
        <f t="array" ref="T104">T103</f>
        <v>0</v>
      </c>
      <c r="X104" s="1428"/>
      <c r="Z104" s="1428"/>
      <c r="AB104" s="412" t="str">
        <f>AB102&amp;".2"</f>
        <v>6.4.2</v>
      </c>
      <c r="AC104" s="414" t="s">
        <v>1056</v>
      </c>
      <c r="AD104" s="412" t="s">
        <v>521</v>
      </c>
      <c r="AE104" s="13">
        <f t="shared" ref="AE104:BB104" si="28">IF(AE90=0,0,AE118/AE90*100)</f>
        <v>0</v>
      </c>
      <c r="AF104" s="13">
        <f t="shared" si="28"/>
        <v>0</v>
      </c>
      <c r="AG104" s="13">
        <f t="shared" si="28"/>
        <v>0</v>
      </c>
      <c r="AH104" s="13">
        <f t="shared" si="28"/>
        <v>0</v>
      </c>
      <c r="AI104" s="227">
        <f t="shared" si="28"/>
        <v>0</v>
      </c>
      <c r="AJ104" s="1183">
        <f t="shared" si="28"/>
        <v>0</v>
      </c>
      <c r="AK104" s="1183">
        <f t="shared" si="28"/>
        <v>0</v>
      </c>
      <c r="AL104" s="13">
        <f t="shared" si="28"/>
        <v>0</v>
      </c>
      <c r="AM104" s="13">
        <f t="shared" si="28"/>
        <v>0</v>
      </c>
      <c r="AN104" s="13">
        <f t="shared" si="28"/>
        <v>0</v>
      </c>
      <c r="AO104" s="13">
        <f t="shared" si="28"/>
        <v>0</v>
      </c>
      <c r="AP104" s="13">
        <f t="shared" si="28"/>
        <v>0</v>
      </c>
      <c r="AQ104" s="13">
        <f t="shared" si="28"/>
        <v>0</v>
      </c>
      <c r="AR104" s="13">
        <f t="shared" si="28"/>
        <v>0</v>
      </c>
      <c r="AS104" s="227">
        <f t="shared" si="28"/>
        <v>0</v>
      </c>
      <c r="AT104" s="1183">
        <f t="shared" si="28"/>
        <v>0</v>
      </c>
      <c r="AU104" s="1183">
        <f t="shared" si="28"/>
        <v>0</v>
      </c>
      <c r="AV104" s="13">
        <f t="shared" si="28"/>
        <v>0</v>
      </c>
      <c r="AW104" s="13">
        <f t="shared" si="28"/>
        <v>0</v>
      </c>
      <c r="AX104" s="13">
        <f t="shared" si="28"/>
        <v>0</v>
      </c>
      <c r="AY104" s="13">
        <f t="shared" si="28"/>
        <v>0</v>
      </c>
      <c r="AZ104" s="13">
        <f t="shared" si="28"/>
        <v>0</v>
      </c>
      <c r="BA104" s="13">
        <f t="shared" si="28"/>
        <v>0</v>
      </c>
      <c r="BB104" s="13">
        <f t="shared" si="28"/>
        <v>0</v>
      </c>
      <c r="BC104" s="25"/>
      <c r="BF104" s="960" t="s">
        <v>1146</v>
      </c>
    </row>
    <row r="105" spans="5:58" ht="14.65" hidden="1" customHeight="1" x14ac:dyDescent="0.15">
      <c r="E105" s="668">
        <v>15</v>
      </c>
      <c r="F105" s="769" cm="1">
        <f t="array" ref="F105">F104</f>
        <v>0</v>
      </c>
      <c r="T105" s="690" t="b" cm="1">
        <f t="array" ref="T105">T104</f>
        <v>0</v>
      </c>
      <c r="X105" s="1428"/>
      <c r="Z105" s="1428"/>
      <c r="AB105" s="412" t="str">
        <f>AB102&amp;".3"</f>
        <v>6.4.3</v>
      </c>
      <c r="AC105" s="414" t="s">
        <v>1059</v>
      </c>
      <c r="AD105" s="412" t="s">
        <v>521</v>
      </c>
      <c r="AE105" s="13">
        <f t="shared" ref="AE105:BB105" si="29">IF(AE91=0,0,AE119/AE91*100)</f>
        <v>0</v>
      </c>
      <c r="AF105" s="13">
        <f t="shared" si="29"/>
        <v>0</v>
      </c>
      <c r="AG105" s="13">
        <f t="shared" si="29"/>
        <v>0</v>
      </c>
      <c r="AH105" s="13">
        <f t="shared" si="29"/>
        <v>0</v>
      </c>
      <c r="AI105" s="227">
        <f t="shared" si="29"/>
        <v>0</v>
      </c>
      <c r="AJ105" s="1183">
        <f t="shared" si="29"/>
        <v>0</v>
      </c>
      <c r="AK105" s="1183">
        <f t="shared" si="29"/>
        <v>0</v>
      </c>
      <c r="AL105" s="13">
        <f t="shared" si="29"/>
        <v>0</v>
      </c>
      <c r="AM105" s="13">
        <f t="shared" si="29"/>
        <v>0</v>
      </c>
      <c r="AN105" s="13">
        <f t="shared" si="29"/>
        <v>0</v>
      </c>
      <c r="AO105" s="13">
        <f t="shared" si="29"/>
        <v>0</v>
      </c>
      <c r="AP105" s="13">
        <f t="shared" si="29"/>
        <v>0</v>
      </c>
      <c r="AQ105" s="13">
        <f t="shared" si="29"/>
        <v>0</v>
      </c>
      <c r="AR105" s="13">
        <f t="shared" si="29"/>
        <v>0</v>
      </c>
      <c r="AS105" s="227">
        <f t="shared" si="29"/>
        <v>0</v>
      </c>
      <c r="AT105" s="1183">
        <f t="shared" si="29"/>
        <v>0</v>
      </c>
      <c r="AU105" s="1183">
        <f t="shared" si="29"/>
        <v>0</v>
      </c>
      <c r="AV105" s="13">
        <f t="shared" si="29"/>
        <v>0</v>
      </c>
      <c r="AW105" s="13">
        <f t="shared" si="29"/>
        <v>0</v>
      </c>
      <c r="AX105" s="13">
        <f t="shared" si="29"/>
        <v>0</v>
      </c>
      <c r="AY105" s="13">
        <f t="shared" si="29"/>
        <v>0</v>
      </c>
      <c r="AZ105" s="13">
        <f t="shared" si="29"/>
        <v>0</v>
      </c>
      <c r="BA105" s="13">
        <f t="shared" si="29"/>
        <v>0</v>
      </c>
      <c r="BB105" s="13">
        <f t="shared" si="29"/>
        <v>0</v>
      </c>
      <c r="BC105" s="25"/>
      <c r="BF105" s="960" t="s">
        <v>1147</v>
      </c>
    </row>
    <row r="106" spans="5:58" ht="14.65" hidden="1" customHeight="1" x14ac:dyDescent="0.15">
      <c r="E106" s="668">
        <v>15</v>
      </c>
      <c r="F106" s="769" cm="1">
        <f t="array" ref="F106">F105</f>
        <v>0</v>
      </c>
      <c r="T106" s="690" t="b" cm="1">
        <f t="array" ref="T106">T105</f>
        <v>0</v>
      </c>
      <c r="X106" s="1428"/>
      <c r="Z106" s="1428"/>
      <c r="AB106" s="412" t="str">
        <f>AB102&amp;".4"</f>
        <v>6.4.4</v>
      </c>
      <c r="AC106" s="414" t="s">
        <v>1062</v>
      </c>
      <c r="AD106" s="412" t="s">
        <v>521</v>
      </c>
      <c r="AE106" s="13">
        <f t="shared" ref="AE106:BB106" si="30">IF(AE92=0,0,AE120/AE92*100)</f>
        <v>0</v>
      </c>
      <c r="AF106" s="13">
        <f t="shared" si="30"/>
        <v>0</v>
      </c>
      <c r="AG106" s="13">
        <f t="shared" si="30"/>
        <v>0</v>
      </c>
      <c r="AH106" s="13">
        <f t="shared" si="30"/>
        <v>0</v>
      </c>
      <c r="AI106" s="227">
        <f t="shared" si="30"/>
        <v>0</v>
      </c>
      <c r="AJ106" s="1183">
        <f t="shared" si="30"/>
        <v>0</v>
      </c>
      <c r="AK106" s="1183">
        <f t="shared" si="30"/>
        <v>0</v>
      </c>
      <c r="AL106" s="13">
        <f t="shared" si="30"/>
        <v>0</v>
      </c>
      <c r="AM106" s="13">
        <f t="shared" si="30"/>
        <v>0</v>
      </c>
      <c r="AN106" s="13">
        <f t="shared" si="30"/>
        <v>0</v>
      </c>
      <c r="AO106" s="13">
        <f t="shared" si="30"/>
        <v>0</v>
      </c>
      <c r="AP106" s="13">
        <f t="shared" si="30"/>
        <v>0</v>
      </c>
      <c r="AQ106" s="13">
        <f t="shared" si="30"/>
        <v>0</v>
      </c>
      <c r="AR106" s="13">
        <f t="shared" si="30"/>
        <v>0</v>
      </c>
      <c r="AS106" s="227">
        <f t="shared" si="30"/>
        <v>0</v>
      </c>
      <c r="AT106" s="1183">
        <f t="shared" si="30"/>
        <v>0</v>
      </c>
      <c r="AU106" s="1183">
        <f t="shared" si="30"/>
        <v>0</v>
      </c>
      <c r="AV106" s="13">
        <f t="shared" si="30"/>
        <v>0</v>
      </c>
      <c r="AW106" s="13">
        <f t="shared" si="30"/>
        <v>0</v>
      </c>
      <c r="AX106" s="13">
        <f t="shared" si="30"/>
        <v>0</v>
      </c>
      <c r="AY106" s="13">
        <f t="shared" si="30"/>
        <v>0</v>
      </c>
      <c r="AZ106" s="13">
        <f t="shared" si="30"/>
        <v>0</v>
      </c>
      <c r="BA106" s="13">
        <f t="shared" si="30"/>
        <v>0</v>
      </c>
      <c r="BB106" s="13">
        <f t="shared" si="30"/>
        <v>0</v>
      </c>
      <c r="BC106" s="25"/>
      <c r="BF106" s="960" t="s">
        <v>1148</v>
      </c>
    </row>
    <row r="107" spans="5:58" ht="14.65" hidden="1" customHeight="1" x14ac:dyDescent="0.15">
      <c r="E107" s="668">
        <v>15</v>
      </c>
      <c r="F107" s="769" cm="1">
        <f t="array" ref="F107">F106</f>
        <v>0</v>
      </c>
      <c r="T107" s="690" t="b" cm="1">
        <f t="array" ref="T107">T106</f>
        <v>0</v>
      </c>
      <c r="X107" s="1428"/>
      <c r="Z107" s="1428"/>
      <c r="AB107" s="412" t="str">
        <f>AB102&amp;".5"</f>
        <v>6.4.5</v>
      </c>
      <c r="AC107" s="414" t="s">
        <v>1065</v>
      </c>
      <c r="AD107" s="412" t="s">
        <v>521</v>
      </c>
      <c r="AE107" s="13">
        <f t="shared" ref="AE107:BB107" si="31">IF(AE93=0,0,AE121/AE93*100)</f>
        <v>0</v>
      </c>
      <c r="AF107" s="13">
        <f t="shared" si="31"/>
        <v>0</v>
      </c>
      <c r="AG107" s="13">
        <f t="shared" si="31"/>
        <v>0</v>
      </c>
      <c r="AH107" s="13">
        <f t="shared" si="31"/>
        <v>0</v>
      </c>
      <c r="AI107" s="227">
        <f t="shared" si="31"/>
        <v>0</v>
      </c>
      <c r="AJ107" s="1183">
        <f t="shared" si="31"/>
        <v>0</v>
      </c>
      <c r="AK107" s="1183">
        <f t="shared" si="31"/>
        <v>0</v>
      </c>
      <c r="AL107" s="13">
        <f t="shared" si="31"/>
        <v>0</v>
      </c>
      <c r="AM107" s="13">
        <f t="shared" si="31"/>
        <v>0</v>
      </c>
      <c r="AN107" s="13">
        <f t="shared" si="31"/>
        <v>0</v>
      </c>
      <c r="AO107" s="13">
        <f t="shared" si="31"/>
        <v>0</v>
      </c>
      <c r="AP107" s="13">
        <f t="shared" si="31"/>
        <v>0</v>
      </c>
      <c r="AQ107" s="13">
        <f t="shared" si="31"/>
        <v>0</v>
      </c>
      <c r="AR107" s="13">
        <f t="shared" si="31"/>
        <v>0</v>
      </c>
      <c r="AS107" s="227">
        <f t="shared" si="31"/>
        <v>0</v>
      </c>
      <c r="AT107" s="1183">
        <f t="shared" si="31"/>
        <v>0</v>
      </c>
      <c r="AU107" s="1183">
        <f t="shared" si="31"/>
        <v>0</v>
      </c>
      <c r="AV107" s="13">
        <f t="shared" si="31"/>
        <v>0</v>
      </c>
      <c r="AW107" s="13">
        <f t="shared" si="31"/>
        <v>0</v>
      </c>
      <c r="AX107" s="13">
        <f t="shared" si="31"/>
        <v>0</v>
      </c>
      <c r="AY107" s="13">
        <f t="shared" si="31"/>
        <v>0</v>
      </c>
      <c r="AZ107" s="13">
        <f t="shared" si="31"/>
        <v>0</v>
      </c>
      <c r="BA107" s="13">
        <f t="shared" si="31"/>
        <v>0</v>
      </c>
      <c r="BB107" s="13">
        <f t="shared" si="31"/>
        <v>0</v>
      </c>
      <c r="BC107" s="25"/>
      <c r="BF107" s="960" t="s">
        <v>1149</v>
      </c>
    </row>
    <row r="108" spans="5:58" ht="14.65" hidden="1" customHeight="1" x14ac:dyDescent="0.15">
      <c r="E108" s="668">
        <v>15</v>
      </c>
      <c r="F108" s="769" cm="1">
        <f t="array" ref="F108">F107</f>
        <v>0</v>
      </c>
      <c r="T108" s="690" t="b" cm="1">
        <f t="array" ref="T108">T107</f>
        <v>0</v>
      </c>
      <c r="X108" s="1428"/>
      <c r="Z108" s="1428"/>
      <c r="AB108" s="412" t="str">
        <f>AB98&amp;".5"</f>
        <v>6.5</v>
      </c>
      <c r="AC108" s="413" t="s">
        <v>1068</v>
      </c>
      <c r="AD108" s="412" t="s">
        <v>521</v>
      </c>
      <c r="AE108" s="13">
        <f t="shared" ref="AE108:BB108" si="32">IF(AE94=0,0,AE122/AE94*100)</f>
        <v>0</v>
      </c>
      <c r="AF108" s="13">
        <f t="shared" si="32"/>
        <v>0</v>
      </c>
      <c r="AG108" s="13">
        <f t="shared" si="32"/>
        <v>0</v>
      </c>
      <c r="AH108" s="13">
        <f t="shared" si="32"/>
        <v>0</v>
      </c>
      <c r="AI108" s="227">
        <f t="shared" si="32"/>
        <v>0</v>
      </c>
      <c r="AJ108" s="1183">
        <f t="shared" si="32"/>
        <v>0</v>
      </c>
      <c r="AK108" s="1183">
        <f t="shared" si="32"/>
        <v>0</v>
      </c>
      <c r="AL108" s="13">
        <f t="shared" si="32"/>
        <v>0</v>
      </c>
      <c r="AM108" s="13">
        <f t="shared" si="32"/>
        <v>0</v>
      </c>
      <c r="AN108" s="13">
        <f t="shared" si="32"/>
        <v>0</v>
      </c>
      <c r="AO108" s="13">
        <f t="shared" si="32"/>
        <v>0</v>
      </c>
      <c r="AP108" s="13">
        <f t="shared" si="32"/>
        <v>0</v>
      </c>
      <c r="AQ108" s="13">
        <f t="shared" si="32"/>
        <v>0</v>
      </c>
      <c r="AR108" s="13">
        <f t="shared" si="32"/>
        <v>0</v>
      </c>
      <c r="AS108" s="227">
        <f t="shared" si="32"/>
        <v>0</v>
      </c>
      <c r="AT108" s="1183">
        <f t="shared" si="32"/>
        <v>0</v>
      </c>
      <c r="AU108" s="1183">
        <f t="shared" si="32"/>
        <v>0</v>
      </c>
      <c r="AV108" s="13">
        <f t="shared" si="32"/>
        <v>0</v>
      </c>
      <c r="AW108" s="13">
        <f t="shared" si="32"/>
        <v>0</v>
      </c>
      <c r="AX108" s="13">
        <f t="shared" si="32"/>
        <v>0</v>
      </c>
      <c r="AY108" s="13">
        <f t="shared" si="32"/>
        <v>0</v>
      </c>
      <c r="AZ108" s="13">
        <f t="shared" si="32"/>
        <v>0</v>
      </c>
      <c r="BA108" s="13">
        <f t="shared" si="32"/>
        <v>0</v>
      </c>
      <c r="BB108" s="13">
        <f t="shared" si="32"/>
        <v>0</v>
      </c>
      <c r="BC108" s="25"/>
      <c r="BF108" s="960" t="s">
        <v>1150</v>
      </c>
    </row>
    <row r="109" spans="5:58" ht="14.65" hidden="1" customHeight="1" x14ac:dyDescent="0.15">
      <c r="E109" s="668">
        <v>15</v>
      </c>
      <c r="F109" s="769" cm="1">
        <f t="array" ref="F109">F108</f>
        <v>0</v>
      </c>
      <c r="T109" s="690" t="b" cm="1">
        <f t="array" ref="T109">T108</f>
        <v>0</v>
      </c>
      <c r="X109" s="1428"/>
      <c r="Z109" s="1428"/>
      <c r="AB109" s="412" t="str">
        <f>AB98&amp;".6"</f>
        <v>6.6</v>
      </c>
      <c r="AC109" s="413" t="s">
        <v>1071</v>
      </c>
      <c r="AD109" s="412" t="s">
        <v>521</v>
      </c>
      <c r="AE109" s="13">
        <f t="shared" ref="AE109:BB109" si="33">IF(AE95=0,0,AE123/AE95*100)</f>
        <v>0</v>
      </c>
      <c r="AF109" s="13">
        <f t="shared" si="33"/>
        <v>0</v>
      </c>
      <c r="AG109" s="13">
        <f t="shared" si="33"/>
        <v>0</v>
      </c>
      <c r="AH109" s="13">
        <f t="shared" si="33"/>
        <v>0</v>
      </c>
      <c r="AI109" s="227">
        <f t="shared" si="33"/>
        <v>0</v>
      </c>
      <c r="AJ109" s="1183">
        <f t="shared" si="33"/>
        <v>0</v>
      </c>
      <c r="AK109" s="1183">
        <f t="shared" si="33"/>
        <v>0</v>
      </c>
      <c r="AL109" s="13">
        <f t="shared" si="33"/>
        <v>0</v>
      </c>
      <c r="AM109" s="13">
        <f t="shared" si="33"/>
        <v>0</v>
      </c>
      <c r="AN109" s="13">
        <f t="shared" si="33"/>
        <v>0</v>
      </c>
      <c r="AO109" s="13">
        <f t="shared" si="33"/>
        <v>0</v>
      </c>
      <c r="AP109" s="13">
        <f t="shared" si="33"/>
        <v>0</v>
      </c>
      <c r="AQ109" s="13">
        <f t="shared" si="33"/>
        <v>0</v>
      </c>
      <c r="AR109" s="13">
        <f t="shared" si="33"/>
        <v>0</v>
      </c>
      <c r="AS109" s="227">
        <f t="shared" si="33"/>
        <v>0</v>
      </c>
      <c r="AT109" s="1183">
        <f t="shared" si="33"/>
        <v>0</v>
      </c>
      <c r="AU109" s="1183">
        <f t="shared" si="33"/>
        <v>0</v>
      </c>
      <c r="AV109" s="13">
        <f t="shared" si="33"/>
        <v>0</v>
      </c>
      <c r="AW109" s="13">
        <f t="shared" si="33"/>
        <v>0</v>
      </c>
      <c r="AX109" s="13">
        <f t="shared" si="33"/>
        <v>0</v>
      </c>
      <c r="AY109" s="13">
        <f t="shared" si="33"/>
        <v>0</v>
      </c>
      <c r="AZ109" s="13">
        <f t="shared" si="33"/>
        <v>0</v>
      </c>
      <c r="BA109" s="13">
        <f t="shared" si="33"/>
        <v>0</v>
      </c>
      <c r="BB109" s="13">
        <f t="shared" si="33"/>
        <v>0</v>
      </c>
      <c r="BC109" s="25"/>
      <c r="BF109" s="960" t="s">
        <v>1151</v>
      </c>
    </row>
    <row r="110" spans="5:58" ht="14.65" hidden="1" customHeight="1" x14ac:dyDescent="0.15">
      <c r="E110" s="668">
        <v>15</v>
      </c>
      <c r="F110" s="769" cm="1">
        <f t="array" ref="F110">F109</f>
        <v>0</v>
      </c>
      <c r="T110" s="690" t="b" cm="1">
        <f t="array" ref="T110">T109</f>
        <v>0</v>
      </c>
      <c r="X110" s="1428"/>
      <c r="Z110" s="1428"/>
      <c r="AB110" s="412" t="str">
        <f>AB98&amp;".7"</f>
        <v>6.7</v>
      </c>
      <c r="AC110" s="413" t="s">
        <v>1074</v>
      </c>
      <c r="AD110" s="412" t="s">
        <v>521</v>
      </c>
      <c r="AE110" s="13">
        <f t="shared" ref="AE110:BB110" si="34">IF(AE96=0,0,AE124/AE96*100)</f>
        <v>0</v>
      </c>
      <c r="AF110" s="13">
        <f t="shared" si="34"/>
        <v>0</v>
      </c>
      <c r="AG110" s="13">
        <f t="shared" si="34"/>
        <v>0</v>
      </c>
      <c r="AH110" s="13">
        <f t="shared" si="34"/>
        <v>0</v>
      </c>
      <c r="AI110" s="227">
        <f t="shared" si="34"/>
        <v>0</v>
      </c>
      <c r="AJ110" s="1183">
        <f t="shared" si="34"/>
        <v>0</v>
      </c>
      <c r="AK110" s="1183">
        <f t="shared" si="34"/>
        <v>0</v>
      </c>
      <c r="AL110" s="13">
        <f t="shared" si="34"/>
        <v>0</v>
      </c>
      <c r="AM110" s="13">
        <f t="shared" si="34"/>
        <v>0</v>
      </c>
      <c r="AN110" s="13">
        <f t="shared" si="34"/>
        <v>0</v>
      </c>
      <c r="AO110" s="13">
        <f t="shared" si="34"/>
        <v>0</v>
      </c>
      <c r="AP110" s="13">
        <f t="shared" si="34"/>
        <v>0</v>
      </c>
      <c r="AQ110" s="13">
        <f t="shared" si="34"/>
        <v>0</v>
      </c>
      <c r="AR110" s="13">
        <f t="shared" si="34"/>
        <v>0</v>
      </c>
      <c r="AS110" s="227">
        <f t="shared" si="34"/>
        <v>0</v>
      </c>
      <c r="AT110" s="1183">
        <f t="shared" si="34"/>
        <v>0</v>
      </c>
      <c r="AU110" s="1183">
        <f t="shared" si="34"/>
        <v>0</v>
      </c>
      <c r="AV110" s="13">
        <f t="shared" si="34"/>
        <v>0</v>
      </c>
      <c r="AW110" s="13">
        <f t="shared" si="34"/>
        <v>0</v>
      </c>
      <c r="AX110" s="13">
        <f t="shared" si="34"/>
        <v>0</v>
      </c>
      <c r="AY110" s="13">
        <f t="shared" si="34"/>
        <v>0</v>
      </c>
      <c r="AZ110" s="13">
        <f t="shared" si="34"/>
        <v>0</v>
      </c>
      <c r="BA110" s="13">
        <f t="shared" si="34"/>
        <v>0</v>
      </c>
      <c r="BB110" s="13">
        <f t="shared" si="34"/>
        <v>0</v>
      </c>
      <c r="BC110" s="25"/>
      <c r="BF110" s="960" t="s">
        <v>1152</v>
      </c>
    </row>
    <row r="111" spans="5:58" ht="14.65" hidden="1" customHeight="1" x14ac:dyDescent="0.15">
      <c r="E111" s="668">
        <v>15</v>
      </c>
      <c r="F111" s="769" cm="1">
        <f t="array" ref="F111">F110</f>
        <v>0</v>
      </c>
      <c r="T111" s="690" t="b" cm="1">
        <f t="array" ref="T111">T110</f>
        <v>0</v>
      </c>
      <c r="X111" s="1428"/>
      <c r="Z111" s="1428"/>
      <c r="AB111" s="412" t="str">
        <f>AB98&amp;".8"</f>
        <v>6.8</v>
      </c>
      <c r="AC111" s="413" t="s">
        <v>1077</v>
      </c>
      <c r="AD111" s="412" t="s">
        <v>521</v>
      </c>
      <c r="AE111" s="13">
        <f t="shared" ref="AE111:BB111" si="35">IF(AE97=0,0,AE125/AE97*100)</f>
        <v>0</v>
      </c>
      <c r="AF111" s="13">
        <f t="shared" si="35"/>
        <v>0</v>
      </c>
      <c r="AG111" s="13">
        <f t="shared" si="35"/>
        <v>0</v>
      </c>
      <c r="AH111" s="13">
        <f t="shared" si="35"/>
        <v>0</v>
      </c>
      <c r="AI111" s="227">
        <f t="shared" si="35"/>
        <v>0</v>
      </c>
      <c r="AJ111" s="1183">
        <f t="shared" si="35"/>
        <v>0</v>
      </c>
      <c r="AK111" s="1183">
        <f t="shared" si="35"/>
        <v>0</v>
      </c>
      <c r="AL111" s="13">
        <f t="shared" si="35"/>
        <v>0</v>
      </c>
      <c r="AM111" s="13">
        <f t="shared" si="35"/>
        <v>0</v>
      </c>
      <c r="AN111" s="13">
        <f t="shared" si="35"/>
        <v>0</v>
      </c>
      <c r="AO111" s="13">
        <f t="shared" si="35"/>
        <v>0</v>
      </c>
      <c r="AP111" s="13">
        <f t="shared" si="35"/>
        <v>0</v>
      </c>
      <c r="AQ111" s="13">
        <f t="shared" si="35"/>
        <v>0</v>
      </c>
      <c r="AR111" s="13">
        <f t="shared" si="35"/>
        <v>0</v>
      </c>
      <c r="AS111" s="227">
        <f t="shared" si="35"/>
        <v>0</v>
      </c>
      <c r="AT111" s="1183">
        <f t="shared" si="35"/>
        <v>0</v>
      </c>
      <c r="AU111" s="1183">
        <f t="shared" si="35"/>
        <v>0</v>
      </c>
      <c r="AV111" s="13">
        <f t="shared" si="35"/>
        <v>0</v>
      </c>
      <c r="AW111" s="13">
        <f t="shared" si="35"/>
        <v>0</v>
      </c>
      <c r="AX111" s="13">
        <f t="shared" si="35"/>
        <v>0</v>
      </c>
      <c r="AY111" s="13">
        <f t="shared" si="35"/>
        <v>0</v>
      </c>
      <c r="AZ111" s="13">
        <f t="shared" si="35"/>
        <v>0</v>
      </c>
      <c r="BA111" s="13">
        <f t="shared" si="35"/>
        <v>0</v>
      </c>
      <c r="BB111" s="13">
        <f t="shared" si="35"/>
        <v>0</v>
      </c>
      <c r="BC111" s="25"/>
      <c r="BF111" s="960" t="s">
        <v>1153</v>
      </c>
    </row>
    <row r="112" spans="5:58" s="164" customFormat="1" ht="14.65" hidden="1" customHeight="1" x14ac:dyDescent="0.15">
      <c r="E112" s="668">
        <v>15</v>
      </c>
      <c r="F112" s="769" cm="1">
        <f t="array" ref="F112">F111</f>
        <v>0</v>
      </c>
      <c r="G112" s="612" t="s">
        <v>1154</v>
      </c>
      <c r="T112" s="690" t="b" cm="1">
        <f t="array" ref="T112">T111</f>
        <v>0</v>
      </c>
      <c r="X112" s="1572"/>
      <c r="Z112" s="1572"/>
      <c r="AB112" s="224">
        <v>7</v>
      </c>
      <c r="AC112" s="225" t="s">
        <v>1155</v>
      </c>
      <c r="AD112" s="104" t="s">
        <v>830</v>
      </c>
      <c r="AE112" s="54">
        <f t="shared" ref="AE112:BB112" si="36">SUM(AE113:AE116)+SUM(AE122:AE125)</f>
        <v>0</v>
      </c>
      <c r="AF112" s="54">
        <f t="shared" si="36"/>
        <v>0</v>
      </c>
      <c r="AG112" s="54">
        <f t="shared" si="36"/>
        <v>0</v>
      </c>
      <c r="AH112" s="54">
        <f t="shared" si="36"/>
        <v>0</v>
      </c>
      <c r="AI112" s="239">
        <f t="shared" si="36"/>
        <v>0</v>
      </c>
      <c r="AJ112" s="1263">
        <f t="shared" si="36"/>
        <v>0</v>
      </c>
      <c r="AK112" s="1263">
        <f t="shared" si="36"/>
        <v>0</v>
      </c>
      <c r="AL112" s="54">
        <f t="shared" si="36"/>
        <v>0</v>
      </c>
      <c r="AM112" s="54">
        <f t="shared" si="36"/>
        <v>0</v>
      </c>
      <c r="AN112" s="54">
        <f t="shared" si="36"/>
        <v>0</v>
      </c>
      <c r="AO112" s="54">
        <f t="shared" si="36"/>
        <v>0</v>
      </c>
      <c r="AP112" s="54">
        <f t="shared" si="36"/>
        <v>0</v>
      </c>
      <c r="AQ112" s="54">
        <f t="shared" si="36"/>
        <v>0</v>
      </c>
      <c r="AR112" s="54">
        <f t="shared" si="36"/>
        <v>0</v>
      </c>
      <c r="AS112" s="239">
        <f t="shared" si="36"/>
        <v>0</v>
      </c>
      <c r="AT112" s="1263">
        <f t="shared" si="36"/>
        <v>0</v>
      </c>
      <c r="AU112" s="1263">
        <f t="shared" si="36"/>
        <v>0</v>
      </c>
      <c r="AV112" s="54">
        <f t="shared" si="36"/>
        <v>0</v>
      </c>
      <c r="AW112" s="54">
        <f t="shared" si="36"/>
        <v>0</v>
      </c>
      <c r="AX112" s="54">
        <f t="shared" si="36"/>
        <v>0</v>
      </c>
      <c r="AY112" s="54">
        <f t="shared" si="36"/>
        <v>0</v>
      </c>
      <c r="AZ112" s="54">
        <f t="shared" si="36"/>
        <v>0</v>
      </c>
      <c r="BA112" s="54">
        <f t="shared" si="36"/>
        <v>0</v>
      </c>
      <c r="BB112" s="54">
        <f t="shared" si="36"/>
        <v>0</v>
      </c>
      <c r="BC112" s="25"/>
      <c r="BF112" s="960" t="s">
        <v>1156</v>
      </c>
    </row>
    <row r="113" spans="1:58" ht="14.65" hidden="1" customHeight="1" x14ac:dyDescent="0.15">
      <c r="E113" s="668">
        <v>15</v>
      </c>
      <c r="F113" s="769" cm="1">
        <f t="array" ref="F113">F112</f>
        <v>0</v>
      </c>
      <c r="T113" s="690" t="b" cm="1">
        <f t="array" ref="T113">T112</f>
        <v>0</v>
      </c>
      <c r="X113" s="1428"/>
      <c r="Z113" s="1428"/>
      <c r="AB113" s="412" t="str">
        <f>AB112&amp;".1"</f>
        <v>7.1</v>
      </c>
      <c r="AC113" s="413" t="s">
        <v>1043</v>
      </c>
      <c r="AD113" s="412" t="s">
        <v>1044</v>
      </c>
      <c r="AE113" s="13"/>
      <c r="AF113" s="13"/>
      <c r="AG113" s="13"/>
      <c r="AH113" s="13"/>
      <c r="AI113" s="227"/>
      <c r="AJ113" s="1183"/>
      <c r="AK113" s="1183"/>
      <c r="AL113" s="13"/>
      <c r="AM113" s="13"/>
      <c r="AN113" s="13"/>
      <c r="AO113" s="13"/>
      <c r="AP113" s="13"/>
      <c r="AQ113" s="13"/>
      <c r="AR113" s="13"/>
      <c r="AS113" s="227"/>
      <c r="AT113" s="1183"/>
      <c r="AU113" s="1183"/>
      <c r="AV113" s="13"/>
      <c r="AW113" s="13"/>
      <c r="AX113" s="13"/>
      <c r="AY113" s="13"/>
      <c r="AZ113" s="13"/>
      <c r="BA113" s="13"/>
      <c r="BB113" s="13"/>
      <c r="BC113" s="25"/>
      <c r="BF113" s="960" t="s">
        <v>1157</v>
      </c>
    </row>
    <row r="114" spans="1:58" ht="14.65" hidden="1" customHeight="1" x14ac:dyDescent="0.15">
      <c r="E114" s="668">
        <v>15</v>
      </c>
      <c r="F114" s="769" cm="1">
        <f t="array" ref="F114">F113</f>
        <v>0</v>
      </c>
      <c r="T114" s="690" t="b" cm="1">
        <f t="array" ref="T114">T113</f>
        <v>0</v>
      </c>
      <c r="X114" s="1428"/>
      <c r="Z114" s="1428"/>
      <c r="AB114" s="412" t="str">
        <f>AB112&amp;".2"</f>
        <v>7.2</v>
      </c>
      <c r="AC114" s="413" t="s">
        <v>1046</v>
      </c>
      <c r="AD114" s="412" t="s">
        <v>1044</v>
      </c>
      <c r="AE114" s="13"/>
      <c r="AF114" s="13"/>
      <c r="AG114" s="13"/>
      <c r="AH114" s="13"/>
      <c r="AI114" s="227"/>
      <c r="AJ114" s="1183"/>
      <c r="AK114" s="1183"/>
      <c r="AL114" s="13"/>
      <c r="AM114" s="13"/>
      <c r="AN114" s="13"/>
      <c r="AO114" s="13"/>
      <c r="AP114" s="13"/>
      <c r="AQ114" s="13"/>
      <c r="AR114" s="13"/>
      <c r="AS114" s="227"/>
      <c r="AT114" s="1183"/>
      <c r="AU114" s="1183"/>
      <c r="AV114" s="13"/>
      <c r="AW114" s="13"/>
      <c r="AX114" s="13"/>
      <c r="AY114" s="13"/>
      <c r="AZ114" s="13"/>
      <c r="BA114" s="13"/>
      <c r="BB114" s="13"/>
      <c r="BC114" s="25"/>
      <c r="BF114" s="960" t="s">
        <v>1158</v>
      </c>
    </row>
    <row r="115" spans="1:58" ht="14.65" hidden="1" customHeight="1" x14ac:dyDescent="0.15">
      <c r="E115" s="668">
        <v>15</v>
      </c>
      <c r="F115" s="769" cm="1">
        <f t="array" ref="F115">F114</f>
        <v>0</v>
      </c>
      <c r="T115" s="690" t="b" cm="1">
        <f t="array" ref="T115">T114</f>
        <v>0</v>
      </c>
      <c r="X115" s="1428"/>
      <c r="Z115" s="1428"/>
      <c r="AB115" s="412" t="str">
        <f>AB112&amp;".3"</f>
        <v>7.3</v>
      </c>
      <c r="AC115" s="413" t="s">
        <v>1048</v>
      </c>
      <c r="AD115" s="412" t="s">
        <v>1044</v>
      </c>
      <c r="AE115" s="13"/>
      <c r="AF115" s="13"/>
      <c r="AG115" s="13"/>
      <c r="AH115" s="13"/>
      <c r="AI115" s="227"/>
      <c r="AJ115" s="1183"/>
      <c r="AK115" s="1183"/>
      <c r="AL115" s="13"/>
      <c r="AM115" s="13"/>
      <c r="AN115" s="13"/>
      <c r="AO115" s="13"/>
      <c r="AP115" s="13"/>
      <c r="AQ115" s="13"/>
      <c r="AR115" s="13"/>
      <c r="AS115" s="227"/>
      <c r="AT115" s="1183"/>
      <c r="AU115" s="1183"/>
      <c r="AV115" s="13"/>
      <c r="AW115" s="13"/>
      <c r="AX115" s="13"/>
      <c r="AY115" s="13"/>
      <c r="AZ115" s="13"/>
      <c r="BA115" s="13"/>
      <c r="BB115" s="13"/>
      <c r="BC115" s="25"/>
      <c r="BF115" s="960" t="s">
        <v>1159</v>
      </c>
    </row>
    <row r="116" spans="1:58" ht="14.65" hidden="1" customHeight="1" x14ac:dyDescent="0.15">
      <c r="E116" s="668">
        <v>15</v>
      </c>
      <c r="F116" s="769" cm="1">
        <f t="array" ref="F116">F115</f>
        <v>0</v>
      </c>
      <c r="T116" s="690" t="b" cm="1">
        <f t="array" ref="T116">T115</f>
        <v>0</v>
      </c>
      <c r="X116" s="1428"/>
      <c r="Z116" s="1428"/>
      <c r="AB116" s="412" t="str">
        <f>AB112&amp;".4"</f>
        <v>7.4</v>
      </c>
      <c r="AC116" s="413" t="s">
        <v>1050</v>
      </c>
      <c r="AD116" s="412" t="s">
        <v>1044</v>
      </c>
      <c r="AE116" s="37">
        <f t="shared" ref="AE116:BB116" si="37">SUM(AE117:AE121)</f>
        <v>0</v>
      </c>
      <c r="AF116" s="37">
        <f t="shared" si="37"/>
        <v>0</v>
      </c>
      <c r="AG116" s="37">
        <f t="shared" si="37"/>
        <v>0</v>
      </c>
      <c r="AH116" s="37">
        <f t="shared" si="37"/>
        <v>0</v>
      </c>
      <c r="AI116" s="407">
        <f t="shared" si="37"/>
        <v>0</v>
      </c>
      <c r="AJ116" s="1242">
        <f t="shared" si="37"/>
        <v>0</v>
      </c>
      <c r="AK116" s="1242">
        <f t="shared" si="37"/>
        <v>0</v>
      </c>
      <c r="AL116" s="37">
        <f t="shared" si="37"/>
        <v>0</v>
      </c>
      <c r="AM116" s="37">
        <f t="shared" si="37"/>
        <v>0</v>
      </c>
      <c r="AN116" s="37">
        <f t="shared" si="37"/>
        <v>0</v>
      </c>
      <c r="AO116" s="37">
        <f t="shared" si="37"/>
        <v>0</v>
      </c>
      <c r="AP116" s="37">
        <f t="shared" si="37"/>
        <v>0</v>
      </c>
      <c r="AQ116" s="37">
        <f t="shared" si="37"/>
        <v>0</v>
      </c>
      <c r="AR116" s="37">
        <f t="shared" si="37"/>
        <v>0</v>
      </c>
      <c r="AS116" s="407">
        <f t="shared" si="37"/>
        <v>0</v>
      </c>
      <c r="AT116" s="1242">
        <f t="shared" si="37"/>
        <v>0</v>
      </c>
      <c r="AU116" s="1242">
        <f t="shared" si="37"/>
        <v>0</v>
      </c>
      <c r="AV116" s="37">
        <f t="shared" si="37"/>
        <v>0</v>
      </c>
      <c r="AW116" s="37">
        <f t="shared" si="37"/>
        <v>0</v>
      </c>
      <c r="AX116" s="37">
        <f t="shared" si="37"/>
        <v>0</v>
      </c>
      <c r="AY116" s="37">
        <f t="shared" si="37"/>
        <v>0</v>
      </c>
      <c r="AZ116" s="37">
        <f t="shared" si="37"/>
        <v>0</v>
      </c>
      <c r="BA116" s="37">
        <f t="shared" si="37"/>
        <v>0</v>
      </c>
      <c r="BB116" s="37">
        <f t="shared" si="37"/>
        <v>0</v>
      </c>
      <c r="BC116" s="25"/>
      <c r="BF116" s="960" t="s">
        <v>1160</v>
      </c>
    </row>
    <row r="117" spans="1:58" ht="14.65" hidden="1" customHeight="1" x14ac:dyDescent="0.15">
      <c r="E117" s="668">
        <v>15</v>
      </c>
      <c r="F117" s="769" cm="1">
        <f t="array" ref="F117">F116</f>
        <v>0</v>
      </c>
      <c r="T117" s="690" t="b" cm="1">
        <f t="array" ref="T117">T116</f>
        <v>0</v>
      </c>
      <c r="X117" s="1428"/>
      <c r="Z117" s="1428"/>
      <c r="AB117" s="412" t="str">
        <f>AB116&amp;".1"</f>
        <v>7.4.1</v>
      </c>
      <c r="AC117" s="414" t="s">
        <v>1053</v>
      </c>
      <c r="AD117" s="412" t="s">
        <v>1044</v>
      </c>
      <c r="AE117" s="13"/>
      <c r="AF117" s="13"/>
      <c r="AG117" s="13"/>
      <c r="AH117" s="13"/>
      <c r="AI117" s="227"/>
      <c r="AJ117" s="1183"/>
      <c r="AK117" s="1183"/>
      <c r="AL117" s="13"/>
      <c r="AM117" s="13"/>
      <c r="AN117" s="13"/>
      <c r="AO117" s="13"/>
      <c r="AP117" s="13"/>
      <c r="AQ117" s="13"/>
      <c r="AR117" s="13"/>
      <c r="AS117" s="227"/>
      <c r="AT117" s="1183"/>
      <c r="AU117" s="1183"/>
      <c r="AV117" s="13"/>
      <c r="AW117" s="13"/>
      <c r="AX117" s="13"/>
      <c r="AY117" s="13"/>
      <c r="AZ117" s="13"/>
      <c r="BA117" s="13"/>
      <c r="BB117" s="13"/>
      <c r="BC117" s="25"/>
      <c r="BF117" s="960" t="s">
        <v>1161</v>
      </c>
    </row>
    <row r="118" spans="1:58" ht="14.65" hidden="1" customHeight="1" x14ac:dyDescent="0.15">
      <c r="E118" s="668">
        <v>15</v>
      </c>
      <c r="F118" s="769" cm="1">
        <f t="array" ref="F118">F117</f>
        <v>0</v>
      </c>
      <c r="T118" s="690" t="b" cm="1">
        <f t="array" ref="T118">T117</f>
        <v>0</v>
      </c>
      <c r="X118" s="1428"/>
      <c r="Z118" s="1428"/>
      <c r="AB118" s="412" t="str">
        <f>AB116&amp;".2"</f>
        <v>7.4.2</v>
      </c>
      <c r="AC118" s="414" t="s">
        <v>1056</v>
      </c>
      <c r="AD118" s="412" t="s">
        <v>1044</v>
      </c>
      <c r="AE118" s="13"/>
      <c r="AF118" s="13"/>
      <c r="AG118" s="13"/>
      <c r="AH118" s="13"/>
      <c r="AI118" s="227"/>
      <c r="AJ118" s="1183"/>
      <c r="AK118" s="1183"/>
      <c r="AL118" s="13"/>
      <c r="AM118" s="13"/>
      <c r="AN118" s="13"/>
      <c r="AO118" s="13"/>
      <c r="AP118" s="13"/>
      <c r="AQ118" s="13"/>
      <c r="AR118" s="13"/>
      <c r="AS118" s="227"/>
      <c r="AT118" s="1183"/>
      <c r="AU118" s="1183"/>
      <c r="AV118" s="13"/>
      <c r="AW118" s="13"/>
      <c r="AX118" s="13"/>
      <c r="AY118" s="13"/>
      <c r="AZ118" s="13"/>
      <c r="BA118" s="13"/>
      <c r="BB118" s="13"/>
      <c r="BC118" s="25"/>
      <c r="BF118" s="960" t="s">
        <v>1162</v>
      </c>
    </row>
    <row r="119" spans="1:58" ht="14.65" hidden="1" customHeight="1" x14ac:dyDescent="0.15">
      <c r="E119" s="668">
        <v>15</v>
      </c>
      <c r="F119" s="769" cm="1">
        <f t="array" ref="F119">F118</f>
        <v>0</v>
      </c>
      <c r="T119" s="690" t="b" cm="1">
        <f t="array" ref="T119">T118</f>
        <v>0</v>
      </c>
      <c r="X119" s="1428"/>
      <c r="Z119" s="1428"/>
      <c r="AB119" s="412" t="str">
        <f>AB116&amp;".3"</f>
        <v>7.4.3</v>
      </c>
      <c r="AC119" s="414" t="s">
        <v>1059</v>
      </c>
      <c r="AD119" s="412" t="s">
        <v>1044</v>
      </c>
      <c r="AE119" s="13"/>
      <c r="AF119" s="13"/>
      <c r="AG119" s="13"/>
      <c r="AH119" s="13"/>
      <c r="AI119" s="227"/>
      <c r="AJ119" s="1183"/>
      <c r="AK119" s="1183"/>
      <c r="AL119" s="13"/>
      <c r="AM119" s="13"/>
      <c r="AN119" s="13"/>
      <c r="AO119" s="13"/>
      <c r="AP119" s="13"/>
      <c r="AQ119" s="13"/>
      <c r="AR119" s="13"/>
      <c r="AS119" s="227"/>
      <c r="AT119" s="1183"/>
      <c r="AU119" s="1183"/>
      <c r="AV119" s="13"/>
      <c r="AW119" s="13"/>
      <c r="AX119" s="13"/>
      <c r="AY119" s="13"/>
      <c r="AZ119" s="13"/>
      <c r="BA119" s="13"/>
      <c r="BB119" s="13"/>
      <c r="BC119" s="25"/>
      <c r="BF119" s="960" t="s">
        <v>1163</v>
      </c>
    </row>
    <row r="120" spans="1:58" ht="14.65" hidden="1" customHeight="1" x14ac:dyDescent="0.15">
      <c r="E120" s="668">
        <v>15</v>
      </c>
      <c r="F120" s="769" cm="1">
        <f t="array" ref="F120">F119</f>
        <v>0</v>
      </c>
      <c r="T120" s="690" t="b" cm="1">
        <f t="array" ref="T120">T119</f>
        <v>0</v>
      </c>
      <c r="X120" s="1428"/>
      <c r="Z120" s="1428"/>
      <c r="AB120" s="412" t="str">
        <f>AB116&amp;".4"</f>
        <v>7.4.4</v>
      </c>
      <c r="AC120" s="414" t="s">
        <v>1062</v>
      </c>
      <c r="AD120" s="412" t="s">
        <v>1044</v>
      </c>
      <c r="AE120" s="13"/>
      <c r="AF120" s="13"/>
      <c r="AG120" s="13"/>
      <c r="AH120" s="13"/>
      <c r="AI120" s="227"/>
      <c r="AJ120" s="1183"/>
      <c r="AK120" s="1183"/>
      <c r="AL120" s="13"/>
      <c r="AM120" s="13"/>
      <c r="AN120" s="13"/>
      <c r="AO120" s="13"/>
      <c r="AP120" s="13"/>
      <c r="AQ120" s="13"/>
      <c r="AR120" s="13"/>
      <c r="AS120" s="227"/>
      <c r="AT120" s="1183"/>
      <c r="AU120" s="1183"/>
      <c r="AV120" s="13"/>
      <c r="AW120" s="13"/>
      <c r="AX120" s="13"/>
      <c r="AY120" s="13"/>
      <c r="AZ120" s="13"/>
      <c r="BA120" s="13"/>
      <c r="BB120" s="13"/>
      <c r="BC120" s="25"/>
      <c r="BF120" s="960" t="s">
        <v>1164</v>
      </c>
    </row>
    <row r="121" spans="1:58" ht="14.65" hidden="1" customHeight="1" x14ac:dyDescent="0.15">
      <c r="E121" s="668">
        <v>15</v>
      </c>
      <c r="F121" s="769" cm="1">
        <f t="array" ref="F121">F120</f>
        <v>0</v>
      </c>
      <c r="T121" s="690" t="b" cm="1">
        <f t="array" ref="T121">T120</f>
        <v>0</v>
      </c>
      <c r="X121" s="1428"/>
      <c r="Z121" s="1428"/>
      <c r="AB121" s="412" t="str">
        <f>AB116&amp;".5"</f>
        <v>7.4.5</v>
      </c>
      <c r="AC121" s="414" t="s">
        <v>1065</v>
      </c>
      <c r="AD121" s="412" t="s">
        <v>1044</v>
      </c>
      <c r="AE121" s="13"/>
      <c r="AF121" s="13"/>
      <c r="AG121" s="13"/>
      <c r="AH121" s="13"/>
      <c r="AI121" s="227"/>
      <c r="AJ121" s="1183"/>
      <c r="AK121" s="1183"/>
      <c r="AL121" s="13"/>
      <c r="AM121" s="13"/>
      <c r="AN121" s="13"/>
      <c r="AO121" s="13"/>
      <c r="AP121" s="13"/>
      <c r="AQ121" s="13"/>
      <c r="AR121" s="13"/>
      <c r="AS121" s="227"/>
      <c r="AT121" s="1183"/>
      <c r="AU121" s="1183"/>
      <c r="AV121" s="13"/>
      <c r="AW121" s="13"/>
      <c r="AX121" s="13"/>
      <c r="AY121" s="13"/>
      <c r="AZ121" s="13"/>
      <c r="BA121" s="13"/>
      <c r="BB121" s="13"/>
      <c r="BC121" s="25"/>
      <c r="BF121" s="960" t="s">
        <v>1165</v>
      </c>
    </row>
    <row r="122" spans="1:58" ht="14.65" hidden="1" customHeight="1" x14ac:dyDescent="0.15">
      <c r="E122" s="668">
        <v>15</v>
      </c>
      <c r="F122" s="769" cm="1">
        <f t="array" ref="F122">F121</f>
        <v>0</v>
      </c>
      <c r="T122" s="690" t="b" cm="1">
        <f t="array" ref="T122">T121</f>
        <v>0</v>
      </c>
      <c r="X122" s="1428"/>
      <c r="Z122" s="1428"/>
      <c r="AB122" s="412" t="str">
        <f>AB112&amp;".5"</f>
        <v>7.5</v>
      </c>
      <c r="AC122" s="413" t="s">
        <v>1068</v>
      </c>
      <c r="AD122" s="412" t="s">
        <v>1044</v>
      </c>
      <c r="AE122" s="13"/>
      <c r="AF122" s="13"/>
      <c r="AG122" s="13"/>
      <c r="AH122" s="13"/>
      <c r="AI122" s="227"/>
      <c r="AJ122" s="1183"/>
      <c r="AK122" s="1183"/>
      <c r="AL122" s="13"/>
      <c r="AM122" s="13"/>
      <c r="AN122" s="13"/>
      <c r="AO122" s="13"/>
      <c r="AP122" s="13"/>
      <c r="AQ122" s="13"/>
      <c r="AR122" s="13"/>
      <c r="AS122" s="227"/>
      <c r="AT122" s="1183"/>
      <c r="AU122" s="1183"/>
      <c r="AV122" s="13"/>
      <c r="AW122" s="13"/>
      <c r="AX122" s="13"/>
      <c r="AY122" s="13"/>
      <c r="AZ122" s="13"/>
      <c r="BA122" s="13"/>
      <c r="BB122" s="13"/>
      <c r="BC122" s="25"/>
      <c r="BF122" s="960" t="s">
        <v>1166</v>
      </c>
    </row>
    <row r="123" spans="1:58" ht="14.65" hidden="1" customHeight="1" x14ac:dyDescent="0.15">
      <c r="E123" s="668">
        <v>15</v>
      </c>
      <c r="F123" s="769" cm="1">
        <f t="array" ref="F123">F122</f>
        <v>0</v>
      </c>
      <c r="T123" s="690" t="b" cm="1">
        <f t="array" ref="T123">T122</f>
        <v>0</v>
      </c>
      <c r="X123" s="1428"/>
      <c r="Z123" s="1428"/>
      <c r="AB123" s="412" t="str">
        <f>AB112&amp;".6"</f>
        <v>7.6</v>
      </c>
      <c r="AC123" s="413" t="s">
        <v>1071</v>
      </c>
      <c r="AD123" s="412" t="s">
        <v>1044</v>
      </c>
      <c r="AE123" s="13"/>
      <c r="AF123" s="13"/>
      <c r="AG123" s="13"/>
      <c r="AH123" s="13"/>
      <c r="AI123" s="227"/>
      <c r="AJ123" s="1183"/>
      <c r="AK123" s="1183"/>
      <c r="AL123" s="13"/>
      <c r="AM123" s="13"/>
      <c r="AN123" s="13"/>
      <c r="AO123" s="13"/>
      <c r="AP123" s="13"/>
      <c r="AQ123" s="13"/>
      <c r="AR123" s="13"/>
      <c r="AS123" s="227"/>
      <c r="AT123" s="1183"/>
      <c r="AU123" s="1183"/>
      <c r="AV123" s="13"/>
      <c r="AW123" s="13"/>
      <c r="AX123" s="13"/>
      <c r="AY123" s="13"/>
      <c r="AZ123" s="13"/>
      <c r="BA123" s="13"/>
      <c r="BB123" s="13"/>
      <c r="BC123" s="25"/>
      <c r="BF123" s="960" t="s">
        <v>1167</v>
      </c>
    </row>
    <row r="124" spans="1:58" ht="14.65" hidden="1" customHeight="1" x14ac:dyDescent="0.15">
      <c r="E124" s="668">
        <v>15</v>
      </c>
      <c r="F124" s="769" cm="1">
        <f t="array" ref="F124">F123</f>
        <v>0</v>
      </c>
      <c r="T124" s="690" t="b" cm="1">
        <f t="array" ref="T124">T123</f>
        <v>0</v>
      </c>
      <c r="X124" s="1428"/>
      <c r="Z124" s="1428"/>
      <c r="AB124" s="412" t="str">
        <f>AB112&amp;".7"</f>
        <v>7.7</v>
      </c>
      <c r="AC124" s="413" t="s">
        <v>1074</v>
      </c>
      <c r="AD124" s="412" t="s">
        <v>1044</v>
      </c>
      <c r="AE124" s="13"/>
      <c r="AF124" s="13"/>
      <c r="AG124" s="13"/>
      <c r="AH124" s="13"/>
      <c r="AI124" s="227"/>
      <c r="AJ124" s="1183"/>
      <c r="AK124" s="1183"/>
      <c r="AL124" s="13"/>
      <c r="AM124" s="13"/>
      <c r="AN124" s="13"/>
      <c r="AO124" s="13"/>
      <c r="AP124" s="13"/>
      <c r="AQ124" s="13"/>
      <c r="AR124" s="13"/>
      <c r="AS124" s="227"/>
      <c r="AT124" s="1183"/>
      <c r="AU124" s="1183"/>
      <c r="AV124" s="13"/>
      <c r="AW124" s="13"/>
      <c r="AX124" s="13"/>
      <c r="AY124" s="13"/>
      <c r="AZ124" s="13"/>
      <c r="BA124" s="13"/>
      <c r="BB124" s="13"/>
      <c r="BC124" s="25"/>
      <c r="BF124" s="960" t="s">
        <v>1168</v>
      </c>
    </row>
    <row r="125" spans="1:58" ht="14.65" hidden="1" customHeight="1" x14ac:dyDescent="0.15">
      <c r="E125" s="668">
        <v>15</v>
      </c>
      <c r="F125" s="769" cm="1">
        <f t="array" ref="F125">F124</f>
        <v>0</v>
      </c>
      <c r="T125" s="690" t="b" cm="1">
        <f t="array" ref="T125">T124</f>
        <v>0</v>
      </c>
      <c r="X125" s="1428"/>
      <c r="Z125" s="1428"/>
      <c r="AB125" s="412" t="str">
        <f>AB112&amp;".8"</f>
        <v>7.8</v>
      </c>
      <c r="AC125" s="413" t="s">
        <v>1077</v>
      </c>
      <c r="AD125" s="412" t="s">
        <v>1044</v>
      </c>
      <c r="AE125" s="13"/>
      <c r="AF125" s="13"/>
      <c r="AG125" s="13"/>
      <c r="AH125" s="13"/>
      <c r="AI125" s="227"/>
      <c r="AJ125" s="1183"/>
      <c r="AK125" s="1183"/>
      <c r="AL125" s="13"/>
      <c r="AM125" s="13"/>
      <c r="AN125" s="13"/>
      <c r="AO125" s="13"/>
      <c r="AP125" s="13"/>
      <c r="AQ125" s="13"/>
      <c r="AR125" s="13"/>
      <c r="AS125" s="227"/>
      <c r="AT125" s="1183"/>
      <c r="AU125" s="1183"/>
      <c r="AV125" s="13"/>
      <c r="AW125" s="13"/>
      <c r="AX125" s="13"/>
      <c r="AY125" s="13"/>
      <c r="AZ125" s="13"/>
      <c r="BA125" s="13"/>
      <c r="BB125" s="13"/>
      <c r="BC125" s="25"/>
      <c r="BF125" s="960" t="s">
        <v>1169</v>
      </c>
    </row>
    <row r="126" spans="1:58" s="1167" customFormat="1" ht="10.5" customHeight="1" x14ac:dyDescent="0.15">
      <c r="A126" s="1150"/>
      <c r="B126" s="773"/>
      <c r="C126" s="1150"/>
      <c r="D126" s="1150"/>
      <c r="E126" s="668">
        <v>11.4</v>
      </c>
      <c r="F126" s="769" t="str" cm="1">
        <f t="array" ref="F126">X126</f>
        <v>1</v>
      </c>
      <c r="G126" s="804"/>
      <c r="H126" s="804"/>
      <c r="I126" s="804"/>
      <c r="J126" s="804"/>
      <c r="K126" s="804"/>
      <c r="L126" s="804"/>
      <c r="M126" s="804"/>
      <c r="N126" s="804"/>
      <c r="O126" s="804"/>
      <c r="P126" s="804"/>
      <c r="Q126" s="774"/>
      <c r="R126" s="774"/>
      <c r="S126" s="804"/>
      <c r="T126" s="690" t="b">
        <f>X126&gt;0</f>
        <v>1</v>
      </c>
      <c r="U126" s="1150"/>
      <c r="V126" s="123" t="str" cm="1">
        <f t="array" ref="V126">'ХВС, ТН'!$AB$40</f>
        <v>Тариф 1 (Теплоснабжение) - Тариф на тепловую энергию (мощность), поставляемую потребителям (Не определено)</v>
      </c>
      <c r="W126" s="1150"/>
      <c r="X126" s="1428" t="s">
        <v>339</v>
      </c>
      <c r="Y126" s="1150"/>
      <c r="Z126" s="1428"/>
      <c r="AA126" s="781"/>
      <c r="AB126" s="234" t="str" cm="1">
        <f t="array" ref="AB126">IF(ISBLANK('ХВС, ТН'!$AB$40),"",'ХВС, ТН'!$AB$40)</f>
        <v>Тариф 1 (Теплоснабжение) - Тариф на тепловую энергию (мощность), поставляемую потребителям (Не определено)</v>
      </c>
      <c r="AC126" s="207"/>
      <c r="AD126" s="201"/>
      <c r="AE126" s="201"/>
      <c r="AF126" s="201"/>
      <c r="AG126" s="201"/>
      <c r="AH126" s="201"/>
      <c r="AI126" s="201"/>
      <c r="AJ126" s="201"/>
      <c r="AK126" s="201"/>
      <c r="AL126" s="201"/>
      <c r="AM126" s="201"/>
      <c r="AN126" s="201"/>
      <c r="AO126" s="201"/>
      <c r="AP126" s="201"/>
      <c r="AQ126" s="201"/>
      <c r="AR126" s="201"/>
      <c r="AS126" s="201"/>
      <c r="AT126" s="201"/>
      <c r="AU126" s="201"/>
      <c r="AV126" s="201"/>
      <c r="AW126" s="201"/>
      <c r="AX126" s="201"/>
      <c r="AY126" s="201"/>
      <c r="AZ126" s="201"/>
      <c r="BA126" s="201"/>
      <c r="BB126" s="201"/>
      <c r="BC126" s="223"/>
      <c r="BD126" s="781"/>
      <c r="BE126" s="781"/>
      <c r="BF126" s="967"/>
    </row>
    <row r="127" spans="1:58" s="164" customFormat="1" ht="21.75" customHeight="1" x14ac:dyDescent="0.15">
      <c r="E127" s="668">
        <v>22.8</v>
      </c>
      <c r="F127" s="769" t="str" cm="1">
        <f t="array" ref="F127">F126</f>
        <v>1</v>
      </c>
      <c r="T127" s="690" t="b" cm="1">
        <f t="array" ref="T127">T126</f>
        <v>1</v>
      </c>
      <c r="X127" s="1572"/>
      <c r="Z127" s="1572"/>
      <c r="AB127" s="224">
        <v>1</v>
      </c>
      <c r="AC127" s="225" t="s">
        <v>1041</v>
      </c>
      <c r="AD127" s="104" t="s">
        <v>830</v>
      </c>
      <c r="AE127" s="1270">
        <f t="shared" ref="AE127:BB127" si="38">SUM(AE128:AE131)+SUM(AE137:AE140)</f>
        <v>0</v>
      </c>
      <c r="AF127" s="1270">
        <f t="shared" si="38"/>
        <v>0</v>
      </c>
      <c r="AG127" s="1270">
        <f t="shared" si="38"/>
        <v>0</v>
      </c>
      <c r="AH127" s="1270">
        <f t="shared" si="38"/>
        <v>0</v>
      </c>
      <c r="AI127" s="239">
        <f t="shared" si="38"/>
        <v>0</v>
      </c>
      <c r="AJ127" s="1263">
        <f t="shared" si="38"/>
        <v>0</v>
      </c>
      <c r="AK127" s="1263">
        <f t="shared" si="38"/>
        <v>0</v>
      </c>
      <c r="AL127" s="1270">
        <f t="shared" si="38"/>
        <v>0</v>
      </c>
      <c r="AM127" s="1270">
        <f t="shared" si="38"/>
        <v>0</v>
      </c>
      <c r="AN127" s="1270">
        <f t="shared" si="38"/>
        <v>0</v>
      </c>
      <c r="AO127" s="1270">
        <f t="shared" si="38"/>
        <v>0</v>
      </c>
      <c r="AP127" s="1270">
        <f t="shared" si="38"/>
        <v>0</v>
      </c>
      <c r="AQ127" s="1270">
        <f t="shared" si="38"/>
        <v>0</v>
      </c>
      <c r="AR127" s="1270">
        <f t="shared" si="38"/>
        <v>0</v>
      </c>
      <c r="AS127" s="239">
        <f t="shared" si="38"/>
        <v>0</v>
      </c>
      <c r="AT127" s="1263">
        <f t="shared" si="38"/>
        <v>0</v>
      </c>
      <c r="AU127" s="1263">
        <f t="shared" si="38"/>
        <v>0</v>
      </c>
      <c r="AV127" s="1270">
        <f t="shared" si="38"/>
        <v>0</v>
      </c>
      <c r="AW127" s="1270">
        <f t="shared" si="38"/>
        <v>0</v>
      </c>
      <c r="AX127" s="1270">
        <f t="shared" si="38"/>
        <v>0</v>
      </c>
      <c r="AY127" s="1270">
        <f t="shared" si="38"/>
        <v>0</v>
      </c>
      <c r="AZ127" s="1270">
        <f t="shared" si="38"/>
        <v>0</v>
      </c>
      <c r="BA127" s="1270">
        <f t="shared" si="38"/>
        <v>0</v>
      </c>
      <c r="BB127" s="1270">
        <f t="shared" si="38"/>
        <v>0</v>
      </c>
      <c r="BC127" s="1231"/>
      <c r="BF127" s="960" t="s">
        <v>1042</v>
      </c>
    </row>
    <row r="128" spans="1:58" s="1167" customFormat="1" ht="14.25" customHeight="1" x14ac:dyDescent="0.15">
      <c r="A128" s="1150"/>
      <c r="B128" s="773"/>
      <c r="C128" s="1150"/>
      <c r="D128" s="1150"/>
      <c r="E128" s="668">
        <v>15</v>
      </c>
      <c r="F128" s="769" t="str" cm="1">
        <f t="array" ref="F128">F127</f>
        <v>1</v>
      </c>
      <c r="G128" s="804"/>
      <c r="H128" s="804"/>
      <c r="I128" s="804"/>
      <c r="J128" s="804"/>
      <c r="K128" s="804"/>
      <c r="L128" s="804"/>
      <c r="M128" s="804"/>
      <c r="N128" s="804"/>
      <c r="O128" s="804"/>
      <c r="P128" s="804"/>
      <c r="Q128" s="774"/>
      <c r="R128" s="774"/>
      <c r="S128" s="804"/>
      <c r="T128" s="690" t="b" cm="1">
        <f t="array" ref="T128">T127</f>
        <v>1</v>
      </c>
      <c r="U128" s="1150"/>
      <c r="V128" s="1150"/>
      <c r="W128" s="1150"/>
      <c r="X128" s="1428"/>
      <c r="Y128" s="1150"/>
      <c r="Z128" s="1428"/>
      <c r="AA128" s="781"/>
      <c r="AB128" s="412" t="s">
        <v>473</v>
      </c>
      <c r="AC128" s="413" t="s">
        <v>1043</v>
      </c>
      <c r="AD128" s="412" t="s">
        <v>1044</v>
      </c>
      <c r="AE128" s="1197"/>
      <c r="AF128" s="1197"/>
      <c r="AG128" s="1197"/>
      <c r="AH128" s="1197"/>
      <c r="AI128" s="227"/>
      <c r="AJ128" s="1183"/>
      <c r="AK128" s="1183"/>
      <c r="AL128" s="1197"/>
      <c r="AM128" s="1197"/>
      <c r="AN128" s="1197"/>
      <c r="AO128" s="1197"/>
      <c r="AP128" s="1197"/>
      <c r="AQ128" s="1197"/>
      <c r="AR128" s="1197"/>
      <c r="AS128" s="227"/>
      <c r="AT128" s="1183"/>
      <c r="AU128" s="1183"/>
      <c r="AV128" s="1197"/>
      <c r="AW128" s="1197"/>
      <c r="AX128" s="1197"/>
      <c r="AY128" s="1197"/>
      <c r="AZ128" s="1197"/>
      <c r="BA128" s="1197"/>
      <c r="BB128" s="1197"/>
      <c r="BC128" s="1231"/>
      <c r="BD128" s="781"/>
      <c r="BE128" s="781"/>
      <c r="BF128" s="960" t="s">
        <v>1045</v>
      </c>
    </row>
    <row r="129" spans="1:58" s="1167" customFormat="1" ht="14.25" customHeight="1" x14ac:dyDescent="0.15">
      <c r="A129" s="1150"/>
      <c r="B129" s="773"/>
      <c r="C129" s="1150"/>
      <c r="D129" s="1150"/>
      <c r="E129" s="668">
        <v>15</v>
      </c>
      <c r="F129" s="769" t="str" cm="1">
        <f t="array" ref="F129">F128</f>
        <v>1</v>
      </c>
      <c r="G129" s="804"/>
      <c r="H129" s="804"/>
      <c r="I129" s="804"/>
      <c r="J129" s="804"/>
      <c r="K129" s="804"/>
      <c r="L129" s="804"/>
      <c r="M129" s="804"/>
      <c r="N129" s="804"/>
      <c r="O129" s="804"/>
      <c r="P129" s="804"/>
      <c r="Q129" s="774"/>
      <c r="R129" s="774"/>
      <c r="S129" s="804"/>
      <c r="T129" s="690" t="b" cm="1">
        <f t="array" ref="T129">T128</f>
        <v>1</v>
      </c>
      <c r="U129" s="1150"/>
      <c r="V129" s="1150"/>
      <c r="W129" s="1150"/>
      <c r="X129" s="1428"/>
      <c r="Y129" s="1150"/>
      <c r="Z129" s="1428"/>
      <c r="AA129" s="781"/>
      <c r="AB129" s="412" t="s">
        <v>955</v>
      </c>
      <c r="AC129" s="413" t="s">
        <v>1046</v>
      </c>
      <c r="AD129" s="412" t="s">
        <v>1044</v>
      </c>
      <c r="AE129" s="1197"/>
      <c r="AF129" s="1197"/>
      <c r="AG129" s="1197"/>
      <c r="AH129" s="1197"/>
      <c r="AI129" s="227"/>
      <c r="AJ129" s="1183"/>
      <c r="AK129" s="1183"/>
      <c r="AL129" s="1197"/>
      <c r="AM129" s="1197"/>
      <c r="AN129" s="1197"/>
      <c r="AO129" s="1197"/>
      <c r="AP129" s="1197"/>
      <c r="AQ129" s="1197"/>
      <c r="AR129" s="1197"/>
      <c r="AS129" s="227"/>
      <c r="AT129" s="1183"/>
      <c r="AU129" s="1183"/>
      <c r="AV129" s="1197"/>
      <c r="AW129" s="1197"/>
      <c r="AX129" s="1197"/>
      <c r="AY129" s="1197"/>
      <c r="AZ129" s="1197"/>
      <c r="BA129" s="1197"/>
      <c r="BB129" s="1197"/>
      <c r="BC129" s="1231"/>
      <c r="BD129" s="781"/>
      <c r="BE129" s="781"/>
      <c r="BF129" s="960" t="s">
        <v>1047</v>
      </c>
    </row>
    <row r="130" spans="1:58" s="1167" customFormat="1" ht="14.25" customHeight="1" x14ac:dyDescent="0.15">
      <c r="A130" s="1150"/>
      <c r="B130" s="773"/>
      <c r="C130" s="1150"/>
      <c r="D130" s="1150"/>
      <c r="E130" s="668">
        <v>15</v>
      </c>
      <c r="F130" s="769" t="str" cm="1">
        <f t="array" ref="F130">F129</f>
        <v>1</v>
      </c>
      <c r="G130" s="804"/>
      <c r="H130" s="804"/>
      <c r="I130" s="804"/>
      <c r="J130" s="804"/>
      <c r="K130" s="804"/>
      <c r="L130" s="804"/>
      <c r="M130" s="804"/>
      <c r="N130" s="804"/>
      <c r="O130" s="804"/>
      <c r="P130" s="804"/>
      <c r="Q130" s="774"/>
      <c r="R130" s="774"/>
      <c r="S130" s="804"/>
      <c r="T130" s="690" t="b" cm="1">
        <f t="array" ref="T130">T129</f>
        <v>1</v>
      </c>
      <c r="U130" s="1150"/>
      <c r="V130" s="1150"/>
      <c r="W130" s="1150"/>
      <c r="X130" s="1428"/>
      <c r="Y130" s="1150"/>
      <c r="Z130" s="1428"/>
      <c r="AA130" s="781"/>
      <c r="AB130" s="412" t="s">
        <v>957</v>
      </c>
      <c r="AC130" s="413" t="s">
        <v>1048</v>
      </c>
      <c r="AD130" s="412" t="s">
        <v>1044</v>
      </c>
      <c r="AE130" s="1197"/>
      <c r="AF130" s="1197"/>
      <c r="AG130" s="1197"/>
      <c r="AH130" s="1197"/>
      <c r="AI130" s="227"/>
      <c r="AJ130" s="1183"/>
      <c r="AK130" s="1183"/>
      <c r="AL130" s="1197"/>
      <c r="AM130" s="1197"/>
      <c r="AN130" s="1197"/>
      <c r="AO130" s="1197"/>
      <c r="AP130" s="1197"/>
      <c r="AQ130" s="1197"/>
      <c r="AR130" s="1197"/>
      <c r="AS130" s="227"/>
      <c r="AT130" s="1183"/>
      <c r="AU130" s="1183"/>
      <c r="AV130" s="1197"/>
      <c r="AW130" s="1197"/>
      <c r="AX130" s="1197"/>
      <c r="AY130" s="1197"/>
      <c r="AZ130" s="1197"/>
      <c r="BA130" s="1197"/>
      <c r="BB130" s="1197"/>
      <c r="BC130" s="1231"/>
      <c r="BD130" s="781"/>
      <c r="BE130" s="781"/>
      <c r="BF130" s="960" t="s">
        <v>1049</v>
      </c>
    </row>
    <row r="131" spans="1:58" s="1167" customFormat="1" ht="14.25" customHeight="1" x14ac:dyDescent="0.15">
      <c r="A131" s="1150"/>
      <c r="B131" s="773"/>
      <c r="C131" s="1150"/>
      <c r="D131" s="1150"/>
      <c r="E131" s="668">
        <v>15</v>
      </c>
      <c r="F131" s="769" t="str" cm="1">
        <f t="array" ref="F131">F130</f>
        <v>1</v>
      </c>
      <c r="G131" s="804"/>
      <c r="H131" s="804"/>
      <c r="I131" s="804"/>
      <c r="J131" s="804"/>
      <c r="K131" s="804"/>
      <c r="L131" s="804"/>
      <c r="M131" s="804"/>
      <c r="N131" s="804"/>
      <c r="O131" s="804"/>
      <c r="P131" s="804"/>
      <c r="Q131" s="774"/>
      <c r="R131" s="774"/>
      <c r="S131" s="804"/>
      <c r="T131" s="690" t="b" cm="1">
        <f t="array" ref="T131">T130</f>
        <v>1</v>
      </c>
      <c r="U131" s="1150"/>
      <c r="V131" s="1150"/>
      <c r="W131" s="1150"/>
      <c r="X131" s="1428"/>
      <c r="Y131" s="1150"/>
      <c r="Z131" s="1428"/>
      <c r="AA131" s="781"/>
      <c r="AB131" s="412" t="s">
        <v>961</v>
      </c>
      <c r="AC131" s="413" t="s">
        <v>1050</v>
      </c>
      <c r="AD131" s="412" t="s">
        <v>1044</v>
      </c>
      <c r="AE131" s="1271">
        <f t="shared" ref="AE131:BB131" si="39">SUM(AE132:AE136)</f>
        <v>0</v>
      </c>
      <c r="AF131" s="1271">
        <f t="shared" si="39"/>
        <v>0</v>
      </c>
      <c r="AG131" s="1271">
        <f t="shared" si="39"/>
        <v>0</v>
      </c>
      <c r="AH131" s="1271">
        <f t="shared" si="39"/>
        <v>0</v>
      </c>
      <c r="AI131" s="407">
        <f t="shared" si="39"/>
        <v>0</v>
      </c>
      <c r="AJ131" s="1242">
        <f t="shared" si="39"/>
        <v>0</v>
      </c>
      <c r="AK131" s="1242">
        <f t="shared" si="39"/>
        <v>0</v>
      </c>
      <c r="AL131" s="1271">
        <f t="shared" si="39"/>
        <v>0</v>
      </c>
      <c r="AM131" s="1271">
        <f t="shared" si="39"/>
        <v>0</v>
      </c>
      <c r="AN131" s="1271">
        <f t="shared" si="39"/>
        <v>0</v>
      </c>
      <c r="AO131" s="1271">
        <f t="shared" si="39"/>
        <v>0</v>
      </c>
      <c r="AP131" s="1271">
        <f t="shared" si="39"/>
        <v>0</v>
      </c>
      <c r="AQ131" s="1271">
        <f t="shared" si="39"/>
        <v>0</v>
      </c>
      <c r="AR131" s="1271">
        <f t="shared" si="39"/>
        <v>0</v>
      </c>
      <c r="AS131" s="407">
        <f t="shared" si="39"/>
        <v>0</v>
      </c>
      <c r="AT131" s="1242">
        <f t="shared" si="39"/>
        <v>0</v>
      </c>
      <c r="AU131" s="1242">
        <f t="shared" si="39"/>
        <v>0</v>
      </c>
      <c r="AV131" s="1271">
        <f t="shared" si="39"/>
        <v>0</v>
      </c>
      <c r="AW131" s="1271">
        <f t="shared" si="39"/>
        <v>0</v>
      </c>
      <c r="AX131" s="1271">
        <f t="shared" si="39"/>
        <v>0</v>
      </c>
      <c r="AY131" s="1271">
        <f t="shared" si="39"/>
        <v>0</v>
      </c>
      <c r="AZ131" s="1271">
        <f t="shared" si="39"/>
        <v>0</v>
      </c>
      <c r="BA131" s="1271">
        <f t="shared" si="39"/>
        <v>0</v>
      </c>
      <c r="BB131" s="1271">
        <f t="shared" si="39"/>
        <v>0</v>
      </c>
      <c r="BC131" s="1231"/>
      <c r="BD131" s="781"/>
      <c r="BE131" s="781"/>
      <c r="BF131" s="960" t="s">
        <v>1051</v>
      </c>
    </row>
    <row r="132" spans="1:58" s="1167" customFormat="1" ht="14.25" customHeight="1" x14ac:dyDescent="0.15">
      <c r="A132" s="1150"/>
      <c r="B132" s="773"/>
      <c r="C132" s="1150"/>
      <c r="D132" s="1150"/>
      <c r="E132" s="668">
        <v>15</v>
      </c>
      <c r="F132" s="769" t="str" cm="1">
        <f t="array" ref="F132">F131</f>
        <v>1</v>
      </c>
      <c r="G132" s="804"/>
      <c r="H132" s="804"/>
      <c r="I132" s="804"/>
      <c r="J132" s="804"/>
      <c r="K132" s="804"/>
      <c r="L132" s="804"/>
      <c r="M132" s="804"/>
      <c r="N132" s="804"/>
      <c r="O132" s="804"/>
      <c r="P132" s="804"/>
      <c r="Q132" s="774"/>
      <c r="R132" s="774"/>
      <c r="S132" s="804"/>
      <c r="T132" s="690" t="b" cm="1">
        <f t="array" ref="T132">T131</f>
        <v>1</v>
      </c>
      <c r="U132" s="1150"/>
      <c r="V132" s="1150"/>
      <c r="W132" s="1150"/>
      <c r="X132" s="1428"/>
      <c r="Y132" s="1150"/>
      <c r="Z132" s="1428"/>
      <c r="AA132" s="781"/>
      <c r="AB132" s="412" t="s">
        <v>1052</v>
      </c>
      <c r="AC132" s="414" t="s">
        <v>1053</v>
      </c>
      <c r="AD132" s="412" t="s">
        <v>1044</v>
      </c>
      <c r="AE132" s="1197"/>
      <c r="AF132" s="1197"/>
      <c r="AG132" s="1197"/>
      <c r="AH132" s="1197"/>
      <c r="AI132" s="227"/>
      <c r="AJ132" s="1183"/>
      <c r="AK132" s="1183"/>
      <c r="AL132" s="1197"/>
      <c r="AM132" s="1197"/>
      <c r="AN132" s="1197"/>
      <c r="AO132" s="1197"/>
      <c r="AP132" s="1197"/>
      <c r="AQ132" s="1197"/>
      <c r="AR132" s="1197"/>
      <c r="AS132" s="227"/>
      <c r="AT132" s="1183"/>
      <c r="AU132" s="1183"/>
      <c r="AV132" s="1197"/>
      <c r="AW132" s="1197"/>
      <c r="AX132" s="1197"/>
      <c r="AY132" s="1197"/>
      <c r="AZ132" s="1197"/>
      <c r="BA132" s="1197"/>
      <c r="BB132" s="1197"/>
      <c r="BC132" s="1231"/>
      <c r="BD132" s="781"/>
      <c r="BE132" s="781"/>
      <c r="BF132" s="960" t="s">
        <v>1054</v>
      </c>
    </row>
    <row r="133" spans="1:58" s="1167" customFormat="1" ht="14.25" customHeight="1" x14ac:dyDescent="0.15">
      <c r="A133" s="1150"/>
      <c r="B133" s="773"/>
      <c r="C133" s="1150"/>
      <c r="D133" s="1150"/>
      <c r="E133" s="668">
        <v>15</v>
      </c>
      <c r="F133" s="769" t="str" cm="1">
        <f t="array" ref="F133">F132</f>
        <v>1</v>
      </c>
      <c r="G133" s="804"/>
      <c r="H133" s="804"/>
      <c r="I133" s="804"/>
      <c r="J133" s="804"/>
      <c r="K133" s="804"/>
      <c r="L133" s="804"/>
      <c r="M133" s="804"/>
      <c r="N133" s="804"/>
      <c r="O133" s="804"/>
      <c r="P133" s="804"/>
      <c r="Q133" s="774"/>
      <c r="R133" s="774"/>
      <c r="S133" s="804"/>
      <c r="T133" s="690" t="b" cm="1">
        <f t="array" ref="T133">T132</f>
        <v>1</v>
      </c>
      <c r="U133" s="1150"/>
      <c r="V133" s="1150"/>
      <c r="W133" s="1150"/>
      <c r="X133" s="1428"/>
      <c r="Y133" s="1150"/>
      <c r="Z133" s="1428"/>
      <c r="AA133" s="781"/>
      <c r="AB133" s="412" t="s">
        <v>1055</v>
      </c>
      <c r="AC133" s="414" t="s">
        <v>1056</v>
      </c>
      <c r="AD133" s="412" t="s">
        <v>1044</v>
      </c>
      <c r="AE133" s="1197"/>
      <c r="AF133" s="1197"/>
      <c r="AG133" s="1197"/>
      <c r="AH133" s="1197"/>
      <c r="AI133" s="227"/>
      <c r="AJ133" s="1183"/>
      <c r="AK133" s="1183"/>
      <c r="AL133" s="1197"/>
      <c r="AM133" s="1197"/>
      <c r="AN133" s="1197"/>
      <c r="AO133" s="1197"/>
      <c r="AP133" s="1197"/>
      <c r="AQ133" s="1197"/>
      <c r="AR133" s="1197"/>
      <c r="AS133" s="227"/>
      <c r="AT133" s="1183"/>
      <c r="AU133" s="1183"/>
      <c r="AV133" s="1197"/>
      <c r="AW133" s="1197"/>
      <c r="AX133" s="1197"/>
      <c r="AY133" s="1197"/>
      <c r="AZ133" s="1197"/>
      <c r="BA133" s="1197"/>
      <c r="BB133" s="1197"/>
      <c r="BC133" s="1231"/>
      <c r="BD133" s="781"/>
      <c r="BE133" s="781"/>
      <c r="BF133" s="960" t="s">
        <v>1057</v>
      </c>
    </row>
    <row r="134" spans="1:58" s="1167" customFormat="1" ht="14.25" customHeight="1" x14ac:dyDescent="0.15">
      <c r="A134" s="1150"/>
      <c r="B134" s="773"/>
      <c r="C134" s="1150"/>
      <c r="D134" s="1150"/>
      <c r="E134" s="668">
        <v>15</v>
      </c>
      <c r="F134" s="769" t="str" cm="1">
        <f t="array" ref="F134">F133</f>
        <v>1</v>
      </c>
      <c r="G134" s="804"/>
      <c r="H134" s="804"/>
      <c r="I134" s="804"/>
      <c r="J134" s="804"/>
      <c r="K134" s="804"/>
      <c r="L134" s="804"/>
      <c r="M134" s="804"/>
      <c r="N134" s="804"/>
      <c r="O134" s="804"/>
      <c r="P134" s="804"/>
      <c r="Q134" s="774"/>
      <c r="R134" s="774"/>
      <c r="S134" s="804"/>
      <c r="T134" s="690" t="b" cm="1">
        <f t="array" ref="T134">T133</f>
        <v>1</v>
      </c>
      <c r="U134" s="1150"/>
      <c r="V134" s="1150"/>
      <c r="W134" s="1150"/>
      <c r="X134" s="1428"/>
      <c r="Y134" s="1150"/>
      <c r="Z134" s="1428"/>
      <c r="AA134" s="781"/>
      <c r="AB134" s="412" t="s">
        <v>1058</v>
      </c>
      <c r="AC134" s="414" t="s">
        <v>1059</v>
      </c>
      <c r="AD134" s="412" t="s">
        <v>1044</v>
      </c>
      <c r="AE134" s="1197"/>
      <c r="AF134" s="1197"/>
      <c r="AG134" s="1197"/>
      <c r="AH134" s="1197"/>
      <c r="AI134" s="227"/>
      <c r="AJ134" s="1183"/>
      <c r="AK134" s="1183"/>
      <c r="AL134" s="1197"/>
      <c r="AM134" s="1197"/>
      <c r="AN134" s="1197"/>
      <c r="AO134" s="1197"/>
      <c r="AP134" s="1197"/>
      <c r="AQ134" s="1197"/>
      <c r="AR134" s="1197"/>
      <c r="AS134" s="227"/>
      <c r="AT134" s="1183"/>
      <c r="AU134" s="1183"/>
      <c r="AV134" s="1197"/>
      <c r="AW134" s="1197"/>
      <c r="AX134" s="1197"/>
      <c r="AY134" s="1197"/>
      <c r="AZ134" s="1197"/>
      <c r="BA134" s="1197"/>
      <c r="BB134" s="1197"/>
      <c r="BC134" s="1231"/>
      <c r="BD134" s="781"/>
      <c r="BE134" s="781"/>
      <c r="BF134" s="960" t="s">
        <v>1060</v>
      </c>
    </row>
    <row r="135" spans="1:58" s="1167" customFormat="1" ht="14.25" customHeight="1" x14ac:dyDescent="0.15">
      <c r="A135" s="1150"/>
      <c r="B135" s="773"/>
      <c r="C135" s="1150"/>
      <c r="D135" s="1150"/>
      <c r="E135" s="668">
        <v>15</v>
      </c>
      <c r="F135" s="769" t="str" cm="1">
        <f t="array" ref="F135">F134</f>
        <v>1</v>
      </c>
      <c r="G135" s="804"/>
      <c r="H135" s="804"/>
      <c r="I135" s="804"/>
      <c r="J135" s="804"/>
      <c r="K135" s="804"/>
      <c r="L135" s="804"/>
      <c r="M135" s="804"/>
      <c r="N135" s="804"/>
      <c r="O135" s="804"/>
      <c r="P135" s="804"/>
      <c r="Q135" s="774"/>
      <c r="R135" s="774"/>
      <c r="S135" s="804"/>
      <c r="T135" s="690" t="b" cm="1">
        <f t="array" ref="T135">T134</f>
        <v>1</v>
      </c>
      <c r="U135" s="1150"/>
      <c r="V135" s="1150"/>
      <c r="W135" s="1150"/>
      <c r="X135" s="1428"/>
      <c r="Y135" s="1150"/>
      <c r="Z135" s="1428"/>
      <c r="AA135" s="781"/>
      <c r="AB135" s="412" t="s">
        <v>1061</v>
      </c>
      <c r="AC135" s="414" t="s">
        <v>1062</v>
      </c>
      <c r="AD135" s="412" t="s">
        <v>1044</v>
      </c>
      <c r="AE135" s="1197"/>
      <c r="AF135" s="1197"/>
      <c r="AG135" s="1197"/>
      <c r="AH135" s="1197"/>
      <c r="AI135" s="227"/>
      <c r="AJ135" s="1183"/>
      <c r="AK135" s="1183"/>
      <c r="AL135" s="1197"/>
      <c r="AM135" s="1197"/>
      <c r="AN135" s="1197"/>
      <c r="AO135" s="1197"/>
      <c r="AP135" s="1197"/>
      <c r="AQ135" s="1197"/>
      <c r="AR135" s="1197"/>
      <c r="AS135" s="227"/>
      <c r="AT135" s="1183"/>
      <c r="AU135" s="1183"/>
      <c r="AV135" s="1197"/>
      <c r="AW135" s="1197"/>
      <c r="AX135" s="1197"/>
      <c r="AY135" s="1197"/>
      <c r="AZ135" s="1197"/>
      <c r="BA135" s="1197"/>
      <c r="BB135" s="1197"/>
      <c r="BC135" s="1231"/>
      <c r="BD135" s="781"/>
      <c r="BE135" s="781"/>
      <c r="BF135" s="960" t="s">
        <v>1063</v>
      </c>
    </row>
    <row r="136" spans="1:58" s="1167" customFormat="1" ht="14.25" customHeight="1" x14ac:dyDescent="0.15">
      <c r="A136" s="1150"/>
      <c r="B136" s="773"/>
      <c r="C136" s="1150"/>
      <c r="D136" s="1150"/>
      <c r="E136" s="668">
        <v>15</v>
      </c>
      <c r="F136" s="769" t="str" cm="1">
        <f t="array" ref="F136">F135</f>
        <v>1</v>
      </c>
      <c r="G136" s="804"/>
      <c r="H136" s="804"/>
      <c r="I136" s="804"/>
      <c r="J136" s="804"/>
      <c r="K136" s="804"/>
      <c r="L136" s="804"/>
      <c r="M136" s="804"/>
      <c r="N136" s="804"/>
      <c r="O136" s="804"/>
      <c r="P136" s="804"/>
      <c r="Q136" s="774"/>
      <c r="R136" s="774"/>
      <c r="S136" s="804"/>
      <c r="T136" s="690" t="b" cm="1">
        <f t="array" ref="T136">T135</f>
        <v>1</v>
      </c>
      <c r="U136" s="1150"/>
      <c r="V136" s="1150"/>
      <c r="W136" s="1150"/>
      <c r="X136" s="1428"/>
      <c r="Y136" s="1150"/>
      <c r="Z136" s="1428"/>
      <c r="AA136" s="781"/>
      <c r="AB136" s="412" t="s">
        <v>1064</v>
      </c>
      <c r="AC136" s="414" t="s">
        <v>1065</v>
      </c>
      <c r="AD136" s="412" t="s">
        <v>1044</v>
      </c>
      <c r="AE136" s="1197"/>
      <c r="AF136" s="1197"/>
      <c r="AG136" s="1197"/>
      <c r="AH136" s="1197"/>
      <c r="AI136" s="227"/>
      <c r="AJ136" s="1183"/>
      <c r="AK136" s="1183"/>
      <c r="AL136" s="1197"/>
      <c r="AM136" s="1197"/>
      <c r="AN136" s="1197"/>
      <c r="AO136" s="1197"/>
      <c r="AP136" s="1197"/>
      <c r="AQ136" s="1197"/>
      <c r="AR136" s="1197"/>
      <c r="AS136" s="227"/>
      <c r="AT136" s="1183"/>
      <c r="AU136" s="1183"/>
      <c r="AV136" s="1197"/>
      <c r="AW136" s="1197"/>
      <c r="AX136" s="1197"/>
      <c r="AY136" s="1197"/>
      <c r="AZ136" s="1197"/>
      <c r="BA136" s="1197"/>
      <c r="BB136" s="1197"/>
      <c r="BC136" s="1231"/>
      <c r="BD136" s="781"/>
      <c r="BE136" s="781"/>
      <c r="BF136" s="960" t="s">
        <v>1066</v>
      </c>
    </row>
    <row r="137" spans="1:58" s="1167" customFormat="1" ht="14.25" customHeight="1" x14ac:dyDescent="0.15">
      <c r="A137" s="1150"/>
      <c r="B137" s="773"/>
      <c r="C137" s="1150"/>
      <c r="D137" s="1150"/>
      <c r="E137" s="668">
        <v>15</v>
      </c>
      <c r="F137" s="769" t="str" cm="1">
        <f t="array" ref="F137">F136</f>
        <v>1</v>
      </c>
      <c r="G137" s="804"/>
      <c r="H137" s="804"/>
      <c r="I137" s="804"/>
      <c r="J137" s="804"/>
      <c r="K137" s="804"/>
      <c r="L137" s="804"/>
      <c r="M137" s="804"/>
      <c r="N137" s="804"/>
      <c r="O137" s="804"/>
      <c r="P137" s="804"/>
      <c r="Q137" s="774"/>
      <c r="R137" s="774"/>
      <c r="S137" s="804"/>
      <c r="T137" s="690" t="b" cm="1">
        <f t="array" ref="T137">T136</f>
        <v>1</v>
      </c>
      <c r="U137" s="1150"/>
      <c r="V137" s="1150"/>
      <c r="W137" s="1150"/>
      <c r="X137" s="1428"/>
      <c r="Y137" s="1150"/>
      <c r="Z137" s="1428"/>
      <c r="AA137" s="781"/>
      <c r="AB137" s="412" t="s">
        <v>1067</v>
      </c>
      <c r="AC137" s="413" t="s">
        <v>1068</v>
      </c>
      <c r="AD137" s="412" t="s">
        <v>1044</v>
      </c>
      <c r="AE137" s="1197"/>
      <c r="AF137" s="1197"/>
      <c r="AG137" s="1197"/>
      <c r="AH137" s="1197"/>
      <c r="AI137" s="227"/>
      <c r="AJ137" s="1183"/>
      <c r="AK137" s="1183"/>
      <c r="AL137" s="1197"/>
      <c r="AM137" s="1197"/>
      <c r="AN137" s="1197"/>
      <c r="AO137" s="1197"/>
      <c r="AP137" s="1197"/>
      <c r="AQ137" s="1197"/>
      <c r="AR137" s="1197"/>
      <c r="AS137" s="227"/>
      <c r="AT137" s="1183"/>
      <c r="AU137" s="1183"/>
      <c r="AV137" s="1197"/>
      <c r="AW137" s="1197"/>
      <c r="AX137" s="1197"/>
      <c r="AY137" s="1197"/>
      <c r="AZ137" s="1197"/>
      <c r="BA137" s="1197"/>
      <c r="BB137" s="1197"/>
      <c r="BC137" s="1231"/>
      <c r="BD137" s="781"/>
      <c r="BE137" s="781"/>
      <c r="BF137" s="960" t="s">
        <v>1069</v>
      </c>
    </row>
    <row r="138" spans="1:58" s="1167" customFormat="1" ht="14.25" customHeight="1" x14ac:dyDescent="0.15">
      <c r="A138" s="1150"/>
      <c r="B138" s="773"/>
      <c r="C138" s="1150"/>
      <c r="D138" s="1150"/>
      <c r="E138" s="668">
        <v>15</v>
      </c>
      <c r="F138" s="769" t="str" cm="1">
        <f t="array" ref="F138">F137</f>
        <v>1</v>
      </c>
      <c r="G138" s="804"/>
      <c r="H138" s="804"/>
      <c r="I138" s="804"/>
      <c r="J138" s="804"/>
      <c r="K138" s="804"/>
      <c r="L138" s="804"/>
      <c r="M138" s="804"/>
      <c r="N138" s="804"/>
      <c r="O138" s="804"/>
      <c r="P138" s="804"/>
      <c r="Q138" s="774"/>
      <c r="R138" s="774"/>
      <c r="S138" s="804"/>
      <c r="T138" s="690" t="b" cm="1">
        <f t="array" ref="T138">T137</f>
        <v>1</v>
      </c>
      <c r="U138" s="1150"/>
      <c r="V138" s="1150"/>
      <c r="W138" s="1150"/>
      <c r="X138" s="1428"/>
      <c r="Y138" s="1150"/>
      <c r="Z138" s="1428"/>
      <c r="AA138" s="781"/>
      <c r="AB138" s="412" t="s">
        <v>1070</v>
      </c>
      <c r="AC138" s="413" t="s">
        <v>1071</v>
      </c>
      <c r="AD138" s="412" t="s">
        <v>1044</v>
      </c>
      <c r="AE138" s="1197"/>
      <c r="AF138" s="1197"/>
      <c r="AG138" s="1197"/>
      <c r="AH138" s="1197"/>
      <c r="AI138" s="227"/>
      <c r="AJ138" s="1183"/>
      <c r="AK138" s="1183"/>
      <c r="AL138" s="1197"/>
      <c r="AM138" s="1197"/>
      <c r="AN138" s="1197"/>
      <c r="AO138" s="1197"/>
      <c r="AP138" s="1197"/>
      <c r="AQ138" s="1197"/>
      <c r="AR138" s="1197"/>
      <c r="AS138" s="227"/>
      <c r="AT138" s="1183"/>
      <c r="AU138" s="1183"/>
      <c r="AV138" s="1197"/>
      <c r="AW138" s="1197"/>
      <c r="AX138" s="1197"/>
      <c r="AY138" s="1197"/>
      <c r="AZ138" s="1197"/>
      <c r="BA138" s="1197"/>
      <c r="BB138" s="1197"/>
      <c r="BC138" s="1231"/>
      <c r="BD138" s="781"/>
      <c r="BE138" s="781"/>
      <c r="BF138" s="960" t="s">
        <v>1072</v>
      </c>
    </row>
    <row r="139" spans="1:58" s="1167" customFormat="1" ht="14.25" customHeight="1" x14ac:dyDescent="0.15">
      <c r="A139" s="1150"/>
      <c r="B139" s="773"/>
      <c r="C139" s="1150"/>
      <c r="D139" s="1150"/>
      <c r="E139" s="668">
        <v>15</v>
      </c>
      <c r="F139" s="769" t="str" cm="1">
        <f t="array" ref="F139">F138</f>
        <v>1</v>
      </c>
      <c r="G139" s="804"/>
      <c r="H139" s="804"/>
      <c r="I139" s="804"/>
      <c r="J139" s="804"/>
      <c r="K139" s="804"/>
      <c r="L139" s="804"/>
      <c r="M139" s="804"/>
      <c r="N139" s="804"/>
      <c r="O139" s="804"/>
      <c r="P139" s="804"/>
      <c r="Q139" s="774"/>
      <c r="R139" s="774"/>
      <c r="S139" s="804"/>
      <c r="T139" s="690" t="b" cm="1">
        <f t="array" ref="T139">T138</f>
        <v>1</v>
      </c>
      <c r="U139" s="1150"/>
      <c r="V139" s="1150"/>
      <c r="W139" s="1150"/>
      <c r="X139" s="1428"/>
      <c r="Y139" s="1150"/>
      <c r="Z139" s="1428"/>
      <c r="AA139" s="781"/>
      <c r="AB139" s="412" t="s">
        <v>1073</v>
      </c>
      <c r="AC139" s="413" t="s">
        <v>1074</v>
      </c>
      <c r="AD139" s="412" t="s">
        <v>1044</v>
      </c>
      <c r="AE139" s="1197"/>
      <c r="AF139" s="1197"/>
      <c r="AG139" s="1197"/>
      <c r="AH139" s="1197"/>
      <c r="AI139" s="227"/>
      <c r="AJ139" s="1183"/>
      <c r="AK139" s="1183"/>
      <c r="AL139" s="1197"/>
      <c r="AM139" s="1197"/>
      <c r="AN139" s="1197"/>
      <c r="AO139" s="1197"/>
      <c r="AP139" s="1197"/>
      <c r="AQ139" s="1197"/>
      <c r="AR139" s="1197"/>
      <c r="AS139" s="227"/>
      <c r="AT139" s="1183"/>
      <c r="AU139" s="1183"/>
      <c r="AV139" s="1197"/>
      <c r="AW139" s="1197"/>
      <c r="AX139" s="1197"/>
      <c r="AY139" s="1197"/>
      <c r="AZ139" s="1197"/>
      <c r="BA139" s="1197"/>
      <c r="BB139" s="1197"/>
      <c r="BC139" s="1231"/>
      <c r="BD139" s="781"/>
      <c r="BE139" s="781"/>
      <c r="BF139" s="960" t="s">
        <v>1075</v>
      </c>
    </row>
    <row r="140" spans="1:58" s="1167" customFormat="1" ht="14.25" customHeight="1" x14ac:dyDescent="0.15">
      <c r="A140" s="1150"/>
      <c r="B140" s="773"/>
      <c r="C140" s="1150"/>
      <c r="D140" s="1150"/>
      <c r="E140" s="668">
        <v>15</v>
      </c>
      <c r="F140" s="769" t="str" cm="1">
        <f t="array" ref="F140">F139</f>
        <v>1</v>
      </c>
      <c r="G140" s="804"/>
      <c r="H140" s="804"/>
      <c r="I140" s="804"/>
      <c r="J140" s="804"/>
      <c r="K140" s="804"/>
      <c r="L140" s="804"/>
      <c r="M140" s="804"/>
      <c r="N140" s="804"/>
      <c r="O140" s="804"/>
      <c r="P140" s="804"/>
      <c r="Q140" s="774"/>
      <c r="R140" s="774"/>
      <c r="S140" s="804"/>
      <c r="T140" s="690" t="b" cm="1">
        <f t="array" ref="T140">T139</f>
        <v>1</v>
      </c>
      <c r="U140" s="1150"/>
      <c r="V140" s="1150"/>
      <c r="W140" s="1150"/>
      <c r="X140" s="1428"/>
      <c r="Y140" s="1150"/>
      <c r="Z140" s="1428"/>
      <c r="AA140" s="781"/>
      <c r="AB140" s="412" t="s">
        <v>1076</v>
      </c>
      <c r="AC140" s="413" t="s">
        <v>1077</v>
      </c>
      <c r="AD140" s="412" t="s">
        <v>1044</v>
      </c>
      <c r="AE140" s="1197"/>
      <c r="AF140" s="1197"/>
      <c r="AG140" s="1197"/>
      <c r="AH140" s="1197"/>
      <c r="AI140" s="227"/>
      <c r="AJ140" s="1183"/>
      <c r="AK140" s="1183"/>
      <c r="AL140" s="1197"/>
      <c r="AM140" s="1197"/>
      <c r="AN140" s="1197"/>
      <c r="AO140" s="1197"/>
      <c r="AP140" s="1197"/>
      <c r="AQ140" s="1197"/>
      <c r="AR140" s="1197"/>
      <c r="AS140" s="227"/>
      <c r="AT140" s="1183"/>
      <c r="AU140" s="1183"/>
      <c r="AV140" s="1197"/>
      <c r="AW140" s="1197"/>
      <c r="AX140" s="1197"/>
      <c r="AY140" s="1197"/>
      <c r="AZ140" s="1197"/>
      <c r="BA140" s="1197"/>
      <c r="BB140" s="1197"/>
      <c r="BC140" s="1231"/>
      <c r="BD140" s="781"/>
      <c r="BE140" s="781"/>
      <c r="BF140" s="960" t="s">
        <v>1078</v>
      </c>
    </row>
    <row r="141" spans="1:58" s="164" customFormat="1" ht="44.25" customHeight="1" x14ac:dyDescent="0.15">
      <c r="E141" s="668">
        <v>45.6</v>
      </c>
      <c r="F141" s="769" t="str" cm="1">
        <f t="array" ref="F141">F140</f>
        <v>1</v>
      </c>
      <c r="T141" s="690" t="b" cm="1">
        <f t="array" ref="T141">T140</f>
        <v>1</v>
      </c>
      <c r="X141" s="1572"/>
      <c r="Z141" s="1572"/>
      <c r="AB141" s="224">
        <v>2</v>
      </c>
      <c r="AC141" s="225" t="s">
        <v>1079</v>
      </c>
      <c r="AD141" s="104" t="s">
        <v>830</v>
      </c>
      <c r="AE141" s="1270">
        <f t="shared" ref="AE141:BB141" si="40">SUM(AE142:AE145)+SUM(AE151:AE154)</f>
        <v>0</v>
      </c>
      <c r="AF141" s="1270">
        <f t="shared" si="40"/>
        <v>0</v>
      </c>
      <c r="AG141" s="1270">
        <f t="shared" si="40"/>
        <v>0</v>
      </c>
      <c r="AH141" s="1270">
        <f t="shared" si="40"/>
        <v>0</v>
      </c>
      <c r="AI141" s="239">
        <f t="shared" si="40"/>
        <v>0</v>
      </c>
      <c r="AJ141" s="1263">
        <f t="shared" si="40"/>
        <v>0</v>
      </c>
      <c r="AK141" s="1263">
        <f t="shared" si="40"/>
        <v>0</v>
      </c>
      <c r="AL141" s="1270">
        <f t="shared" si="40"/>
        <v>0</v>
      </c>
      <c r="AM141" s="1270">
        <f t="shared" si="40"/>
        <v>0</v>
      </c>
      <c r="AN141" s="1270">
        <f t="shared" si="40"/>
        <v>0</v>
      </c>
      <c r="AO141" s="1270">
        <f t="shared" si="40"/>
        <v>0</v>
      </c>
      <c r="AP141" s="1270">
        <f t="shared" si="40"/>
        <v>0</v>
      </c>
      <c r="AQ141" s="1270">
        <f t="shared" si="40"/>
        <v>0</v>
      </c>
      <c r="AR141" s="1270">
        <f t="shared" si="40"/>
        <v>0</v>
      </c>
      <c r="AS141" s="239">
        <f t="shared" si="40"/>
        <v>0</v>
      </c>
      <c r="AT141" s="1263">
        <f t="shared" si="40"/>
        <v>0</v>
      </c>
      <c r="AU141" s="1263">
        <f t="shared" si="40"/>
        <v>0</v>
      </c>
      <c r="AV141" s="1270">
        <f t="shared" si="40"/>
        <v>0</v>
      </c>
      <c r="AW141" s="1270">
        <f t="shared" si="40"/>
        <v>0</v>
      </c>
      <c r="AX141" s="1270">
        <f t="shared" si="40"/>
        <v>0</v>
      </c>
      <c r="AY141" s="1270">
        <f t="shared" si="40"/>
        <v>0</v>
      </c>
      <c r="AZ141" s="1270">
        <f t="shared" si="40"/>
        <v>0</v>
      </c>
      <c r="BA141" s="1270">
        <f t="shared" si="40"/>
        <v>0</v>
      </c>
      <c r="BB141" s="1270">
        <f t="shared" si="40"/>
        <v>0</v>
      </c>
      <c r="BC141" s="1231"/>
      <c r="BF141" s="960" t="s">
        <v>1080</v>
      </c>
    </row>
    <row r="142" spans="1:58" s="1167" customFormat="1" ht="14.25" customHeight="1" x14ac:dyDescent="0.15">
      <c r="A142" s="1150"/>
      <c r="B142" s="773"/>
      <c r="C142" s="1150"/>
      <c r="D142" s="1150"/>
      <c r="E142" s="668">
        <v>15</v>
      </c>
      <c r="F142" s="769" t="str" cm="1">
        <f t="array" ref="F142">F141</f>
        <v>1</v>
      </c>
      <c r="G142" s="804"/>
      <c r="H142" s="804"/>
      <c r="I142" s="804"/>
      <c r="J142" s="804"/>
      <c r="K142" s="804"/>
      <c r="L142" s="804"/>
      <c r="M142" s="804"/>
      <c r="N142" s="804"/>
      <c r="O142" s="804"/>
      <c r="P142" s="804"/>
      <c r="Q142" s="774"/>
      <c r="R142" s="774"/>
      <c r="S142" s="804"/>
      <c r="T142" s="690" t="b" cm="1">
        <f t="array" ref="T142">T141</f>
        <v>1</v>
      </c>
      <c r="U142" s="1150"/>
      <c r="V142" s="1150"/>
      <c r="W142" s="1150"/>
      <c r="X142" s="1428"/>
      <c r="Y142" s="1150"/>
      <c r="Z142" s="1428"/>
      <c r="AA142" s="781"/>
      <c r="AB142" s="412" t="str">
        <f>AB141&amp;".1"</f>
        <v>2.1</v>
      </c>
      <c r="AC142" s="413" t="s">
        <v>1043</v>
      </c>
      <c r="AD142" s="412" t="s">
        <v>1044</v>
      </c>
      <c r="AE142" s="1197"/>
      <c r="AF142" s="1197"/>
      <c r="AG142" s="1197"/>
      <c r="AH142" s="1197"/>
      <c r="AI142" s="227"/>
      <c r="AJ142" s="1183"/>
      <c r="AK142" s="1183"/>
      <c r="AL142" s="1197"/>
      <c r="AM142" s="1197"/>
      <c r="AN142" s="1197"/>
      <c r="AO142" s="1197"/>
      <c r="AP142" s="1197"/>
      <c r="AQ142" s="1197"/>
      <c r="AR142" s="1197"/>
      <c r="AS142" s="227"/>
      <c r="AT142" s="1183"/>
      <c r="AU142" s="1183"/>
      <c r="AV142" s="1197"/>
      <c r="AW142" s="1197"/>
      <c r="AX142" s="1197"/>
      <c r="AY142" s="1197"/>
      <c r="AZ142" s="1197"/>
      <c r="BA142" s="1197"/>
      <c r="BB142" s="1197"/>
      <c r="BC142" s="1231"/>
      <c r="BD142" s="781"/>
      <c r="BE142" s="781"/>
      <c r="BF142" s="960" t="s">
        <v>1081</v>
      </c>
    </row>
    <row r="143" spans="1:58" s="1167" customFormat="1" ht="14.25" customHeight="1" x14ac:dyDescent="0.15">
      <c r="A143" s="1150"/>
      <c r="B143" s="773"/>
      <c r="C143" s="1150"/>
      <c r="D143" s="1150"/>
      <c r="E143" s="668">
        <v>15</v>
      </c>
      <c r="F143" s="769" t="str" cm="1">
        <f t="array" ref="F143">F142</f>
        <v>1</v>
      </c>
      <c r="G143" s="804"/>
      <c r="H143" s="804"/>
      <c r="I143" s="804"/>
      <c r="J143" s="804"/>
      <c r="K143" s="804"/>
      <c r="L143" s="804"/>
      <c r="M143" s="804"/>
      <c r="N143" s="804"/>
      <c r="O143" s="804"/>
      <c r="P143" s="804"/>
      <c r="Q143" s="774"/>
      <c r="R143" s="774"/>
      <c r="S143" s="804"/>
      <c r="T143" s="690" t="b" cm="1">
        <f t="array" ref="T143">T142</f>
        <v>1</v>
      </c>
      <c r="U143" s="1150"/>
      <c r="V143" s="1150"/>
      <c r="W143" s="1150"/>
      <c r="X143" s="1428"/>
      <c r="Y143" s="1150"/>
      <c r="Z143" s="1428"/>
      <c r="AA143" s="781"/>
      <c r="AB143" s="412" t="str">
        <f>AB141&amp;".2"</f>
        <v>2.2</v>
      </c>
      <c r="AC143" s="413" t="s">
        <v>1046</v>
      </c>
      <c r="AD143" s="412" t="s">
        <v>1044</v>
      </c>
      <c r="AE143" s="1197"/>
      <c r="AF143" s="1197"/>
      <c r="AG143" s="1197"/>
      <c r="AH143" s="1197"/>
      <c r="AI143" s="227"/>
      <c r="AJ143" s="1183"/>
      <c r="AK143" s="1183"/>
      <c r="AL143" s="1197"/>
      <c r="AM143" s="1197"/>
      <c r="AN143" s="1197"/>
      <c r="AO143" s="1197"/>
      <c r="AP143" s="1197"/>
      <c r="AQ143" s="1197"/>
      <c r="AR143" s="1197"/>
      <c r="AS143" s="227"/>
      <c r="AT143" s="1183"/>
      <c r="AU143" s="1183"/>
      <c r="AV143" s="1197"/>
      <c r="AW143" s="1197"/>
      <c r="AX143" s="1197"/>
      <c r="AY143" s="1197"/>
      <c r="AZ143" s="1197"/>
      <c r="BA143" s="1197"/>
      <c r="BB143" s="1197"/>
      <c r="BC143" s="1231"/>
      <c r="BD143" s="781"/>
      <c r="BE143" s="781"/>
      <c r="BF143" s="960" t="s">
        <v>1082</v>
      </c>
    </row>
    <row r="144" spans="1:58" s="1167" customFormat="1" ht="14.25" customHeight="1" x14ac:dyDescent="0.15">
      <c r="A144" s="1150"/>
      <c r="B144" s="773"/>
      <c r="C144" s="1150"/>
      <c r="D144" s="1150"/>
      <c r="E144" s="668">
        <v>15</v>
      </c>
      <c r="F144" s="769" t="str" cm="1">
        <f t="array" ref="F144">F143</f>
        <v>1</v>
      </c>
      <c r="G144" s="804"/>
      <c r="H144" s="804"/>
      <c r="I144" s="804"/>
      <c r="J144" s="804"/>
      <c r="K144" s="804"/>
      <c r="L144" s="804"/>
      <c r="M144" s="804"/>
      <c r="N144" s="804"/>
      <c r="O144" s="804"/>
      <c r="P144" s="804"/>
      <c r="Q144" s="774"/>
      <c r="R144" s="774"/>
      <c r="S144" s="804"/>
      <c r="T144" s="690" t="b" cm="1">
        <f t="array" ref="T144">T143</f>
        <v>1</v>
      </c>
      <c r="U144" s="1150"/>
      <c r="V144" s="1150"/>
      <c r="W144" s="1150"/>
      <c r="X144" s="1428"/>
      <c r="Y144" s="1150"/>
      <c r="Z144" s="1428"/>
      <c r="AA144" s="781"/>
      <c r="AB144" s="412" t="str">
        <f>AB141&amp;".3"</f>
        <v>2.3</v>
      </c>
      <c r="AC144" s="413" t="s">
        <v>1048</v>
      </c>
      <c r="AD144" s="412" t="s">
        <v>1044</v>
      </c>
      <c r="AE144" s="1197"/>
      <c r="AF144" s="1197"/>
      <c r="AG144" s="1197"/>
      <c r="AH144" s="1197"/>
      <c r="AI144" s="227"/>
      <c r="AJ144" s="1183"/>
      <c r="AK144" s="1183"/>
      <c r="AL144" s="1197"/>
      <c r="AM144" s="1197"/>
      <c r="AN144" s="1197"/>
      <c r="AO144" s="1197"/>
      <c r="AP144" s="1197"/>
      <c r="AQ144" s="1197"/>
      <c r="AR144" s="1197"/>
      <c r="AS144" s="227"/>
      <c r="AT144" s="1183"/>
      <c r="AU144" s="1183"/>
      <c r="AV144" s="1197"/>
      <c r="AW144" s="1197"/>
      <c r="AX144" s="1197"/>
      <c r="AY144" s="1197"/>
      <c r="AZ144" s="1197"/>
      <c r="BA144" s="1197"/>
      <c r="BB144" s="1197"/>
      <c r="BC144" s="1231"/>
      <c r="BD144" s="781"/>
      <c r="BE144" s="781"/>
      <c r="BF144" s="960" t="s">
        <v>1083</v>
      </c>
    </row>
    <row r="145" spans="1:58" s="1167" customFormat="1" ht="14.25" customHeight="1" x14ac:dyDescent="0.15">
      <c r="A145" s="1150"/>
      <c r="B145" s="773"/>
      <c r="C145" s="1150"/>
      <c r="D145" s="1150"/>
      <c r="E145" s="668">
        <v>15</v>
      </c>
      <c r="F145" s="769" t="str" cm="1">
        <f t="array" ref="F145">F144</f>
        <v>1</v>
      </c>
      <c r="G145" s="804"/>
      <c r="H145" s="804"/>
      <c r="I145" s="804"/>
      <c r="J145" s="804"/>
      <c r="K145" s="804"/>
      <c r="L145" s="804"/>
      <c r="M145" s="804"/>
      <c r="N145" s="804"/>
      <c r="O145" s="804"/>
      <c r="P145" s="804"/>
      <c r="Q145" s="774"/>
      <c r="R145" s="774"/>
      <c r="S145" s="804"/>
      <c r="T145" s="690" t="b" cm="1">
        <f t="array" ref="T145">T144</f>
        <v>1</v>
      </c>
      <c r="U145" s="1150"/>
      <c r="V145" s="1150"/>
      <c r="W145" s="1150"/>
      <c r="X145" s="1428"/>
      <c r="Y145" s="1150"/>
      <c r="Z145" s="1428"/>
      <c r="AA145" s="781"/>
      <c r="AB145" s="412" t="str">
        <f>AB141&amp;".4"</f>
        <v>2.4</v>
      </c>
      <c r="AC145" s="413" t="s">
        <v>1050</v>
      </c>
      <c r="AD145" s="412" t="s">
        <v>1044</v>
      </c>
      <c r="AE145" s="1271">
        <f t="shared" ref="AE145:BB145" si="41">SUM(AE146:AE150)</f>
        <v>0</v>
      </c>
      <c r="AF145" s="1271">
        <f t="shared" si="41"/>
        <v>0</v>
      </c>
      <c r="AG145" s="1271">
        <f t="shared" si="41"/>
        <v>0</v>
      </c>
      <c r="AH145" s="1271">
        <f t="shared" si="41"/>
        <v>0</v>
      </c>
      <c r="AI145" s="407">
        <f t="shared" si="41"/>
        <v>0</v>
      </c>
      <c r="AJ145" s="1242">
        <f t="shared" si="41"/>
        <v>0</v>
      </c>
      <c r="AK145" s="1242">
        <f t="shared" si="41"/>
        <v>0</v>
      </c>
      <c r="AL145" s="1271">
        <f t="shared" si="41"/>
        <v>0</v>
      </c>
      <c r="AM145" s="1271">
        <f t="shared" si="41"/>
        <v>0</v>
      </c>
      <c r="AN145" s="1271">
        <f t="shared" si="41"/>
        <v>0</v>
      </c>
      <c r="AO145" s="1271">
        <f t="shared" si="41"/>
        <v>0</v>
      </c>
      <c r="AP145" s="1271">
        <f t="shared" si="41"/>
        <v>0</v>
      </c>
      <c r="AQ145" s="1271">
        <f t="shared" si="41"/>
        <v>0</v>
      </c>
      <c r="AR145" s="1271">
        <f t="shared" si="41"/>
        <v>0</v>
      </c>
      <c r="AS145" s="407">
        <f t="shared" si="41"/>
        <v>0</v>
      </c>
      <c r="AT145" s="1242">
        <f t="shared" si="41"/>
        <v>0</v>
      </c>
      <c r="AU145" s="1242">
        <f t="shared" si="41"/>
        <v>0</v>
      </c>
      <c r="AV145" s="1271">
        <f t="shared" si="41"/>
        <v>0</v>
      </c>
      <c r="AW145" s="1271">
        <f t="shared" si="41"/>
        <v>0</v>
      </c>
      <c r="AX145" s="1271">
        <f t="shared" si="41"/>
        <v>0</v>
      </c>
      <c r="AY145" s="1271">
        <f t="shared" si="41"/>
        <v>0</v>
      </c>
      <c r="AZ145" s="1271">
        <f t="shared" si="41"/>
        <v>0</v>
      </c>
      <c r="BA145" s="1271">
        <f t="shared" si="41"/>
        <v>0</v>
      </c>
      <c r="BB145" s="1271">
        <f t="shared" si="41"/>
        <v>0</v>
      </c>
      <c r="BC145" s="1231"/>
      <c r="BD145" s="781"/>
      <c r="BE145" s="781"/>
      <c r="BF145" s="960" t="s">
        <v>1084</v>
      </c>
    </row>
    <row r="146" spans="1:58" s="1167" customFormat="1" ht="14.25" customHeight="1" x14ac:dyDescent="0.15">
      <c r="A146" s="1150"/>
      <c r="B146" s="773"/>
      <c r="C146" s="1150"/>
      <c r="D146" s="1150"/>
      <c r="E146" s="668">
        <v>15</v>
      </c>
      <c r="F146" s="769" t="str" cm="1">
        <f t="array" ref="F146">F145</f>
        <v>1</v>
      </c>
      <c r="G146" s="804"/>
      <c r="H146" s="804"/>
      <c r="I146" s="804"/>
      <c r="J146" s="804"/>
      <c r="K146" s="804"/>
      <c r="L146" s="804"/>
      <c r="M146" s="804"/>
      <c r="N146" s="804"/>
      <c r="O146" s="804"/>
      <c r="P146" s="804"/>
      <c r="Q146" s="774"/>
      <c r="R146" s="774"/>
      <c r="S146" s="804"/>
      <c r="T146" s="690" t="b" cm="1">
        <f t="array" ref="T146">T145</f>
        <v>1</v>
      </c>
      <c r="U146" s="1150"/>
      <c r="V146" s="1150"/>
      <c r="W146" s="1150"/>
      <c r="X146" s="1428"/>
      <c r="Y146" s="1150"/>
      <c r="Z146" s="1428"/>
      <c r="AA146" s="781"/>
      <c r="AB146" s="412" t="str">
        <f>AB145&amp;".1"</f>
        <v>2.4.1</v>
      </c>
      <c r="AC146" s="414" t="s">
        <v>1053</v>
      </c>
      <c r="AD146" s="412" t="s">
        <v>1044</v>
      </c>
      <c r="AE146" s="1197"/>
      <c r="AF146" s="1197"/>
      <c r="AG146" s="1197"/>
      <c r="AH146" s="1197"/>
      <c r="AI146" s="227"/>
      <c r="AJ146" s="1183"/>
      <c r="AK146" s="1183"/>
      <c r="AL146" s="1197"/>
      <c r="AM146" s="1197"/>
      <c r="AN146" s="1197"/>
      <c r="AO146" s="1197"/>
      <c r="AP146" s="1197"/>
      <c r="AQ146" s="1197"/>
      <c r="AR146" s="1197"/>
      <c r="AS146" s="227"/>
      <c r="AT146" s="1183"/>
      <c r="AU146" s="1183"/>
      <c r="AV146" s="1197"/>
      <c r="AW146" s="1197"/>
      <c r="AX146" s="1197"/>
      <c r="AY146" s="1197"/>
      <c r="AZ146" s="1197"/>
      <c r="BA146" s="1197"/>
      <c r="BB146" s="1197"/>
      <c r="BC146" s="1231"/>
      <c r="BD146" s="781"/>
      <c r="BE146" s="781"/>
      <c r="BF146" s="960" t="s">
        <v>1085</v>
      </c>
    </row>
    <row r="147" spans="1:58" s="1167" customFormat="1" ht="14.25" customHeight="1" x14ac:dyDescent="0.15">
      <c r="A147" s="1150"/>
      <c r="B147" s="773"/>
      <c r="C147" s="1150"/>
      <c r="D147" s="1150"/>
      <c r="E147" s="668">
        <v>15</v>
      </c>
      <c r="F147" s="769" t="str" cm="1">
        <f t="array" ref="F147">F146</f>
        <v>1</v>
      </c>
      <c r="G147" s="804"/>
      <c r="H147" s="804"/>
      <c r="I147" s="804"/>
      <c r="J147" s="804"/>
      <c r="K147" s="804"/>
      <c r="L147" s="804"/>
      <c r="M147" s="804"/>
      <c r="N147" s="804"/>
      <c r="O147" s="804"/>
      <c r="P147" s="804"/>
      <c r="Q147" s="774"/>
      <c r="R147" s="774"/>
      <c r="S147" s="804"/>
      <c r="T147" s="690" t="b" cm="1">
        <f t="array" ref="T147">T146</f>
        <v>1</v>
      </c>
      <c r="U147" s="1150"/>
      <c r="V147" s="1150"/>
      <c r="W147" s="1150"/>
      <c r="X147" s="1428"/>
      <c r="Y147" s="1150"/>
      <c r="Z147" s="1428"/>
      <c r="AA147" s="781"/>
      <c r="AB147" s="412" t="str">
        <f>AB145&amp;".2"</f>
        <v>2.4.2</v>
      </c>
      <c r="AC147" s="414" t="s">
        <v>1056</v>
      </c>
      <c r="AD147" s="412" t="s">
        <v>1044</v>
      </c>
      <c r="AE147" s="1197"/>
      <c r="AF147" s="1197"/>
      <c r="AG147" s="1197"/>
      <c r="AH147" s="1197"/>
      <c r="AI147" s="227"/>
      <c r="AJ147" s="1183"/>
      <c r="AK147" s="1183"/>
      <c r="AL147" s="1197"/>
      <c r="AM147" s="1197"/>
      <c r="AN147" s="1197"/>
      <c r="AO147" s="1197"/>
      <c r="AP147" s="1197"/>
      <c r="AQ147" s="1197"/>
      <c r="AR147" s="1197"/>
      <c r="AS147" s="227"/>
      <c r="AT147" s="1183"/>
      <c r="AU147" s="1183"/>
      <c r="AV147" s="1197"/>
      <c r="AW147" s="1197"/>
      <c r="AX147" s="1197"/>
      <c r="AY147" s="1197"/>
      <c r="AZ147" s="1197"/>
      <c r="BA147" s="1197"/>
      <c r="BB147" s="1197"/>
      <c r="BC147" s="1231"/>
      <c r="BD147" s="781"/>
      <c r="BE147" s="781"/>
      <c r="BF147" s="960" t="s">
        <v>1086</v>
      </c>
    </row>
    <row r="148" spans="1:58" s="1167" customFormat="1" ht="14.25" customHeight="1" x14ac:dyDescent="0.15">
      <c r="A148" s="1150"/>
      <c r="B148" s="773"/>
      <c r="C148" s="1150"/>
      <c r="D148" s="1150"/>
      <c r="E148" s="668">
        <v>15</v>
      </c>
      <c r="F148" s="769" t="str" cm="1">
        <f t="array" ref="F148">F147</f>
        <v>1</v>
      </c>
      <c r="G148" s="804"/>
      <c r="H148" s="804"/>
      <c r="I148" s="804"/>
      <c r="J148" s="804"/>
      <c r="K148" s="804"/>
      <c r="L148" s="804"/>
      <c r="M148" s="804"/>
      <c r="N148" s="804"/>
      <c r="O148" s="804"/>
      <c r="P148" s="804"/>
      <c r="Q148" s="774"/>
      <c r="R148" s="774"/>
      <c r="S148" s="804"/>
      <c r="T148" s="690" t="b" cm="1">
        <f t="array" ref="T148">T147</f>
        <v>1</v>
      </c>
      <c r="U148" s="1150"/>
      <c r="V148" s="1150"/>
      <c r="W148" s="1150"/>
      <c r="X148" s="1428"/>
      <c r="Y148" s="1150"/>
      <c r="Z148" s="1428"/>
      <c r="AA148" s="781"/>
      <c r="AB148" s="412" t="str">
        <f>AB145&amp;".3"</f>
        <v>2.4.3</v>
      </c>
      <c r="AC148" s="414" t="s">
        <v>1059</v>
      </c>
      <c r="AD148" s="412" t="s">
        <v>1044</v>
      </c>
      <c r="AE148" s="1197"/>
      <c r="AF148" s="1197"/>
      <c r="AG148" s="1197"/>
      <c r="AH148" s="1197"/>
      <c r="AI148" s="227"/>
      <c r="AJ148" s="1183"/>
      <c r="AK148" s="1183"/>
      <c r="AL148" s="1197"/>
      <c r="AM148" s="1197"/>
      <c r="AN148" s="1197"/>
      <c r="AO148" s="1197"/>
      <c r="AP148" s="1197"/>
      <c r="AQ148" s="1197"/>
      <c r="AR148" s="1197"/>
      <c r="AS148" s="227"/>
      <c r="AT148" s="1183"/>
      <c r="AU148" s="1183"/>
      <c r="AV148" s="1197"/>
      <c r="AW148" s="1197"/>
      <c r="AX148" s="1197"/>
      <c r="AY148" s="1197"/>
      <c r="AZ148" s="1197"/>
      <c r="BA148" s="1197"/>
      <c r="BB148" s="1197"/>
      <c r="BC148" s="1231"/>
      <c r="BD148" s="781"/>
      <c r="BE148" s="781"/>
      <c r="BF148" s="960" t="s">
        <v>1087</v>
      </c>
    </row>
    <row r="149" spans="1:58" s="1167" customFormat="1" ht="14.25" customHeight="1" x14ac:dyDescent="0.15">
      <c r="A149" s="1150"/>
      <c r="B149" s="773"/>
      <c r="C149" s="1150"/>
      <c r="D149" s="1150"/>
      <c r="E149" s="668">
        <v>15</v>
      </c>
      <c r="F149" s="769" t="str" cm="1">
        <f t="array" ref="F149">F148</f>
        <v>1</v>
      </c>
      <c r="G149" s="804"/>
      <c r="H149" s="804"/>
      <c r="I149" s="804"/>
      <c r="J149" s="804"/>
      <c r="K149" s="804"/>
      <c r="L149" s="804"/>
      <c r="M149" s="804"/>
      <c r="N149" s="804"/>
      <c r="O149" s="804"/>
      <c r="P149" s="804"/>
      <c r="Q149" s="774"/>
      <c r="R149" s="774"/>
      <c r="S149" s="804"/>
      <c r="T149" s="690" t="b" cm="1">
        <f t="array" ref="T149">T148</f>
        <v>1</v>
      </c>
      <c r="U149" s="1150"/>
      <c r="V149" s="1150"/>
      <c r="W149" s="1150"/>
      <c r="X149" s="1428"/>
      <c r="Y149" s="1150"/>
      <c r="Z149" s="1428"/>
      <c r="AA149" s="781"/>
      <c r="AB149" s="412" t="str">
        <f>AB145&amp;".4"</f>
        <v>2.4.4</v>
      </c>
      <c r="AC149" s="414" t="s">
        <v>1062</v>
      </c>
      <c r="AD149" s="412" t="s">
        <v>1044</v>
      </c>
      <c r="AE149" s="1197"/>
      <c r="AF149" s="1197"/>
      <c r="AG149" s="1197"/>
      <c r="AH149" s="1197"/>
      <c r="AI149" s="227"/>
      <c r="AJ149" s="1183"/>
      <c r="AK149" s="1183"/>
      <c r="AL149" s="1197"/>
      <c r="AM149" s="1197"/>
      <c r="AN149" s="1197"/>
      <c r="AO149" s="1197"/>
      <c r="AP149" s="1197"/>
      <c r="AQ149" s="1197"/>
      <c r="AR149" s="1197"/>
      <c r="AS149" s="227"/>
      <c r="AT149" s="1183"/>
      <c r="AU149" s="1183"/>
      <c r="AV149" s="1197"/>
      <c r="AW149" s="1197"/>
      <c r="AX149" s="1197"/>
      <c r="AY149" s="1197"/>
      <c r="AZ149" s="1197"/>
      <c r="BA149" s="1197"/>
      <c r="BB149" s="1197"/>
      <c r="BC149" s="1231"/>
      <c r="BD149" s="781"/>
      <c r="BE149" s="781"/>
      <c r="BF149" s="960" t="s">
        <v>1088</v>
      </c>
    </row>
    <row r="150" spans="1:58" s="1167" customFormat="1" ht="14.25" customHeight="1" x14ac:dyDescent="0.15">
      <c r="A150" s="1150"/>
      <c r="B150" s="773"/>
      <c r="C150" s="1150"/>
      <c r="D150" s="1150"/>
      <c r="E150" s="668">
        <v>15</v>
      </c>
      <c r="F150" s="769" t="str" cm="1">
        <f t="array" ref="F150">F149</f>
        <v>1</v>
      </c>
      <c r="G150" s="804"/>
      <c r="H150" s="804"/>
      <c r="I150" s="804"/>
      <c r="J150" s="804"/>
      <c r="K150" s="804"/>
      <c r="L150" s="804"/>
      <c r="M150" s="804"/>
      <c r="N150" s="804"/>
      <c r="O150" s="804"/>
      <c r="P150" s="804"/>
      <c r="Q150" s="774"/>
      <c r="R150" s="774"/>
      <c r="S150" s="804"/>
      <c r="T150" s="690" t="b" cm="1">
        <f t="array" ref="T150">T149</f>
        <v>1</v>
      </c>
      <c r="U150" s="1150"/>
      <c r="V150" s="1150"/>
      <c r="W150" s="1150"/>
      <c r="X150" s="1428"/>
      <c r="Y150" s="1150"/>
      <c r="Z150" s="1428"/>
      <c r="AA150" s="781"/>
      <c r="AB150" s="412" t="str">
        <f>AB145&amp;".5"</f>
        <v>2.4.5</v>
      </c>
      <c r="AC150" s="414" t="s">
        <v>1065</v>
      </c>
      <c r="AD150" s="412" t="s">
        <v>1044</v>
      </c>
      <c r="AE150" s="1197"/>
      <c r="AF150" s="1197"/>
      <c r="AG150" s="1197"/>
      <c r="AH150" s="1197"/>
      <c r="AI150" s="227"/>
      <c r="AJ150" s="1183"/>
      <c r="AK150" s="1183"/>
      <c r="AL150" s="1197"/>
      <c r="AM150" s="1197"/>
      <c r="AN150" s="1197"/>
      <c r="AO150" s="1197"/>
      <c r="AP150" s="1197"/>
      <c r="AQ150" s="1197"/>
      <c r="AR150" s="1197"/>
      <c r="AS150" s="227"/>
      <c r="AT150" s="1183"/>
      <c r="AU150" s="1183"/>
      <c r="AV150" s="1197"/>
      <c r="AW150" s="1197"/>
      <c r="AX150" s="1197"/>
      <c r="AY150" s="1197"/>
      <c r="AZ150" s="1197"/>
      <c r="BA150" s="1197"/>
      <c r="BB150" s="1197"/>
      <c r="BC150" s="1231"/>
      <c r="BD150" s="781"/>
      <c r="BE150" s="781"/>
      <c r="BF150" s="960" t="s">
        <v>1089</v>
      </c>
    </row>
    <row r="151" spans="1:58" s="1167" customFormat="1" ht="14.25" customHeight="1" x14ac:dyDescent="0.15">
      <c r="A151" s="1150"/>
      <c r="B151" s="773"/>
      <c r="C151" s="1150"/>
      <c r="D151" s="1150"/>
      <c r="E151" s="668">
        <v>15</v>
      </c>
      <c r="F151" s="769" t="str" cm="1">
        <f t="array" ref="F151">F150</f>
        <v>1</v>
      </c>
      <c r="G151" s="804"/>
      <c r="H151" s="804"/>
      <c r="I151" s="804"/>
      <c r="J151" s="804"/>
      <c r="K151" s="804"/>
      <c r="L151" s="804"/>
      <c r="M151" s="804"/>
      <c r="N151" s="804"/>
      <c r="O151" s="804"/>
      <c r="P151" s="804"/>
      <c r="Q151" s="774"/>
      <c r="R151" s="774"/>
      <c r="S151" s="804"/>
      <c r="T151" s="690" t="b" cm="1">
        <f t="array" ref="T151">T150</f>
        <v>1</v>
      </c>
      <c r="U151" s="1150"/>
      <c r="V151" s="1150"/>
      <c r="W151" s="1150"/>
      <c r="X151" s="1428"/>
      <c r="Y151" s="1150"/>
      <c r="Z151" s="1428"/>
      <c r="AA151" s="781"/>
      <c r="AB151" s="412" t="str">
        <f>AB141&amp;".5"</f>
        <v>2.5</v>
      </c>
      <c r="AC151" s="413" t="s">
        <v>1068</v>
      </c>
      <c r="AD151" s="412" t="s">
        <v>1044</v>
      </c>
      <c r="AE151" s="1197"/>
      <c r="AF151" s="1197"/>
      <c r="AG151" s="1197"/>
      <c r="AH151" s="1197"/>
      <c r="AI151" s="227"/>
      <c r="AJ151" s="1183"/>
      <c r="AK151" s="1183"/>
      <c r="AL151" s="1197"/>
      <c r="AM151" s="1197"/>
      <c r="AN151" s="1197"/>
      <c r="AO151" s="1197"/>
      <c r="AP151" s="1197"/>
      <c r="AQ151" s="1197"/>
      <c r="AR151" s="1197"/>
      <c r="AS151" s="227"/>
      <c r="AT151" s="1183"/>
      <c r="AU151" s="1183"/>
      <c r="AV151" s="1197"/>
      <c r="AW151" s="1197"/>
      <c r="AX151" s="1197"/>
      <c r="AY151" s="1197"/>
      <c r="AZ151" s="1197"/>
      <c r="BA151" s="1197"/>
      <c r="BB151" s="1197"/>
      <c r="BC151" s="1231"/>
      <c r="BD151" s="781"/>
      <c r="BE151" s="781"/>
      <c r="BF151" s="960" t="s">
        <v>1090</v>
      </c>
    </row>
    <row r="152" spans="1:58" s="1167" customFormat="1" ht="14.25" customHeight="1" x14ac:dyDescent="0.15">
      <c r="A152" s="1150"/>
      <c r="B152" s="773"/>
      <c r="C152" s="1150"/>
      <c r="D152" s="1150"/>
      <c r="E152" s="668">
        <v>15</v>
      </c>
      <c r="F152" s="769" t="str" cm="1">
        <f t="array" ref="F152">F151</f>
        <v>1</v>
      </c>
      <c r="G152" s="804"/>
      <c r="H152" s="804"/>
      <c r="I152" s="804"/>
      <c r="J152" s="804"/>
      <c r="K152" s="804"/>
      <c r="L152" s="804"/>
      <c r="M152" s="804"/>
      <c r="N152" s="804"/>
      <c r="O152" s="804"/>
      <c r="P152" s="804"/>
      <c r="Q152" s="774"/>
      <c r="R152" s="774"/>
      <c r="S152" s="804"/>
      <c r="T152" s="690" t="b" cm="1">
        <f t="array" ref="T152">T151</f>
        <v>1</v>
      </c>
      <c r="U152" s="1150"/>
      <c r="V152" s="1150"/>
      <c r="W152" s="1150"/>
      <c r="X152" s="1428"/>
      <c r="Y152" s="1150"/>
      <c r="Z152" s="1428"/>
      <c r="AA152" s="781"/>
      <c r="AB152" s="412" t="str">
        <f>AB141&amp;".6"</f>
        <v>2.6</v>
      </c>
      <c r="AC152" s="413" t="s">
        <v>1071</v>
      </c>
      <c r="AD152" s="412" t="s">
        <v>1044</v>
      </c>
      <c r="AE152" s="1197"/>
      <c r="AF152" s="1197"/>
      <c r="AG152" s="1197"/>
      <c r="AH152" s="1197"/>
      <c r="AI152" s="227"/>
      <c r="AJ152" s="1183"/>
      <c r="AK152" s="1183"/>
      <c r="AL152" s="1197"/>
      <c r="AM152" s="1197"/>
      <c r="AN152" s="1197"/>
      <c r="AO152" s="1197"/>
      <c r="AP152" s="1197"/>
      <c r="AQ152" s="1197"/>
      <c r="AR152" s="1197"/>
      <c r="AS152" s="227"/>
      <c r="AT152" s="1183"/>
      <c r="AU152" s="1183"/>
      <c r="AV152" s="1197"/>
      <c r="AW152" s="1197"/>
      <c r="AX152" s="1197"/>
      <c r="AY152" s="1197"/>
      <c r="AZ152" s="1197"/>
      <c r="BA152" s="1197"/>
      <c r="BB152" s="1197"/>
      <c r="BC152" s="1231"/>
      <c r="BD152" s="781"/>
      <c r="BE152" s="781"/>
      <c r="BF152" s="960" t="s">
        <v>1091</v>
      </c>
    </row>
    <row r="153" spans="1:58" s="1167" customFormat="1" ht="14.25" customHeight="1" x14ac:dyDescent="0.15">
      <c r="A153" s="1150"/>
      <c r="B153" s="773"/>
      <c r="C153" s="1150"/>
      <c r="D153" s="1150"/>
      <c r="E153" s="668">
        <v>15</v>
      </c>
      <c r="F153" s="769" t="str" cm="1">
        <f t="array" ref="F153">F152</f>
        <v>1</v>
      </c>
      <c r="G153" s="804"/>
      <c r="H153" s="804"/>
      <c r="I153" s="804"/>
      <c r="J153" s="804"/>
      <c r="K153" s="804"/>
      <c r="L153" s="804"/>
      <c r="M153" s="804"/>
      <c r="N153" s="804"/>
      <c r="O153" s="804"/>
      <c r="P153" s="804"/>
      <c r="Q153" s="774"/>
      <c r="R153" s="774"/>
      <c r="S153" s="804"/>
      <c r="T153" s="690" t="b" cm="1">
        <f t="array" ref="T153">T152</f>
        <v>1</v>
      </c>
      <c r="U153" s="1150"/>
      <c r="V153" s="1150"/>
      <c r="W153" s="1150"/>
      <c r="X153" s="1428"/>
      <c r="Y153" s="1150"/>
      <c r="Z153" s="1428"/>
      <c r="AA153" s="781"/>
      <c r="AB153" s="412" t="str">
        <f>AB141&amp;".7"</f>
        <v>2.7</v>
      </c>
      <c r="AC153" s="413" t="s">
        <v>1074</v>
      </c>
      <c r="AD153" s="412" t="s">
        <v>1044</v>
      </c>
      <c r="AE153" s="1197"/>
      <c r="AF153" s="1197"/>
      <c r="AG153" s="1197"/>
      <c r="AH153" s="1197"/>
      <c r="AI153" s="227"/>
      <c r="AJ153" s="1183"/>
      <c r="AK153" s="1183"/>
      <c r="AL153" s="1197"/>
      <c r="AM153" s="1197"/>
      <c r="AN153" s="1197"/>
      <c r="AO153" s="1197"/>
      <c r="AP153" s="1197"/>
      <c r="AQ153" s="1197"/>
      <c r="AR153" s="1197"/>
      <c r="AS153" s="227"/>
      <c r="AT153" s="1183"/>
      <c r="AU153" s="1183"/>
      <c r="AV153" s="1197"/>
      <c r="AW153" s="1197"/>
      <c r="AX153" s="1197"/>
      <c r="AY153" s="1197"/>
      <c r="AZ153" s="1197"/>
      <c r="BA153" s="1197"/>
      <c r="BB153" s="1197"/>
      <c r="BC153" s="1231"/>
      <c r="BD153" s="781"/>
      <c r="BE153" s="781"/>
      <c r="BF153" s="960" t="s">
        <v>1092</v>
      </c>
    </row>
    <row r="154" spans="1:58" s="1167" customFormat="1" ht="14.25" customHeight="1" x14ac:dyDescent="0.15">
      <c r="A154" s="1150"/>
      <c r="B154" s="773"/>
      <c r="C154" s="1150"/>
      <c r="D154" s="1150"/>
      <c r="E154" s="668">
        <v>15</v>
      </c>
      <c r="F154" s="769" t="str" cm="1">
        <f t="array" ref="F154">F153</f>
        <v>1</v>
      </c>
      <c r="G154" s="804"/>
      <c r="H154" s="804"/>
      <c r="I154" s="804"/>
      <c r="J154" s="804"/>
      <c r="K154" s="804"/>
      <c r="L154" s="804"/>
      <c r="M154" s="804"/>
      <c r="N154" s="804"/>
      <c r="O154" s="804"/>
      <c r="P154" s="804"/>
      <c r="Q154" s="774"/>
      <c r="R154" s="774"/>
      <c r="S154" s="804"/>
      <c r="T154" s="690" t="b" cm="1">
        <f t="array" ref="T154">T153</f>
        <v>1</v>
      </c>
      <c r="U154" s="1150"/>
      <c r="V154" s="1150"/>
      <c r="W154" s="1150"/>
      <c r="X154" s="1428"/>
      <c r="Y154" s="1150"/>
      <c r="Z154" s="1428"/>
      <c r="AA154" s="781"/>
      <c r="AB154" s="412" t="str">
        <f>AB141&amp;".8"</f>
        <v>2.8</v>
      </c>
      <c r="AC154" s="413" t="s">
        <v>1077</v>
      </c>
      <c r="AD154" s="412" t="s">
        <v>1044</v>
      </c>
      <c r="AE154" s="1197"/>
      <c r="AF154" s="1197"/>
      <c r="AG154" s="1197"/>
      <c r="AH154" s="1197"/>
      <c r="AI154" s="227"/>
      <c r="AJ154" s="1183"/>
      <c r="AK154" s="1183"/>
      <c r="AL154" s="1197"/>
      <c r="AM154" s="1197"/>
      <c r="AN154" s="1197"/>
      <c r="AO154" s="1197"/>
      <c r="AP154" s="1197"/>
      <c r="AQ154" s="1197"/>
      <c r="AR154" s="1197"/>
      <c r="AS154" s="227"/>
      <c r="AT154" s="1183"/>
      <c r="AU154" s="1183"/>
      <c r="AV154" s="1197"/>
      <c r="AW154" s="1197"/>
      <c r="AX154" s="1197"/>
      <c r="AY154" s="1197"/>
      <c r="AZ154" s="1197"/>
      <c r="BA154" s="1197"/>
      <c r="BB154" s="1197"/>
      <c r="BC154" s="1231"/>
      <c r="BD154" s="781"/>
      <c r="BE154" s="781"/>
      <c r="BF154" s="960" t="s">
        <v>1093</v>
      </c>
    </row>
    <row r="155" spans="1:58" s="164" customFormat="1" ht="14.25" customHeight="1" x14ac:dyDescent="0.15">
      <c r="E155" s="668">
        <v>15</v>
      </c>
      <c r="F155" s="769" t="str" cm="1">
        <f t="array" ref="F155">F154</f>
        <v>1</v>
      </c>
      <c r="T155" s="690" t="b" cm="1">
        <f t="array" ref="T155">T154</f>
        <v>1</v>
      </c>
      <c r="X155" s="1572"/>
      <c r="Z155" s="1572"/>
      <c r="AB155" s="224">
        <v>3</v>
      </c>
      <c r="AC155" s="225" t="s">
        <v>1094</v>
      </c>
      <c r="AD155" s="104" t="s">
        <v>830</v>
      </c>
      <c r="AE155" s="1270">
        <f t="shared" ref="AE155:BB155" si="42">SUM(AE156:AE159)+SUM(AE165:AE168)</f>
        <v>0</v>
      </c>
      <c r="AF155" s="1270">
        <f t="shared" si="42"/>
        <v>0</v>
      </c>
      <c r="AG155" s="1270">
        <f t="shared" si="42"/>
        <v>0</v>
      </c>
      <c r="AH155" s="1270">
        <f t="shared" si="42"/>
        <v>0</v>
      </c>
      <c r="AI155" s="239">
        <f t="shared" si="42"/>
        <v>0</v>
      </c>
      <c r="AJ155" s="1263">
        <f t="shared" si="42"/>
        <v>0</v>
      </c>
      <c r="AK155" s="1263">
        <f t="shared" si="42"/>
        <v>0</v>
      </c>
      <c r="AL155" s="1270">
        <f t="shared" si="42"/>
        <v>0</v>
      </c>
      <c r="AM155" s="1270">
        <f t="shared" si="42"/>
        <v>0</v>
      </c>
      <c r="AN155" s="1270">
        <f t="shared" si="42"/>
        <v>0</v>
      </c>
      <c r="AO155" s="1270">
        <f t="shared" si="42"/>
        <v>0</v>
      </c>
      <c r="AP155" s="1270">
        <f t="shared" si="42"/>
        <v>0</v>
      </c>
      <c r="AQ155" s="1270">
        <f t="shared" si="42"/>
        <v>0</v>
      </c>
      <c r="AR155" s="1270">
        <f t="shared" si="42"/>
        <v>0</v>
      </c>
      <c r="AS155" s="239">
        <f t="shared" si="42"/>
        <v>0</v>
      </c>
      <c r="AT155" s="1263">
        <f t="shared" si="42"/>
        <v>0</v>
      </c>
      <c r="AU155" s="1263">
        <f t="shared" si="42"/>
        <v>0</v>
      </c>
      <c r="AV155" s="1270">
        <f t="shared" si="42"/>
        <v>0</v>
      </c>
      <c r="AW155" s="1270">
        <f t="shared" si="42"/>
        <v>0</v>
      </c>
      <c r="AX155" s="1270">
        <f t="shared" si="42"/>
        <v>0</v>
      </c>
      <c r="AY155" s="1270">
        <f t="shared" si="42"/>
        <v>0</v>
      </c>
      <c r="AZ155" s="1270">
        <f t="shared" si="42"/>
        <v>0</v>
      </c>
      <c r="BA155" s="1270">
        <f t="shared" si="42"/>
        <v>0</v>
      </c>
      <c r="BB155" s="1270">
        <f t="shared" si="42"/>
        <v>0</v>
      </c>
      <c r="BC155" s="1231"/>
      <c r="BF155" s="960" t="s">
        <v>1095</v>
      </c>
    </row>
    <row r="156" spans="1:58" s="1167" customFormat="1" ht="14.25" customHeight="1" x14ac:dyDescent="0.15">
      <c r="A156" s="1150"/>
      <c r="B156" s="773"/>
      <c r="C156" s="1150"/>
      <c r="D156" s="1150"/>
      <c r="E156" s="668">
        <v>15</v>
      </c>
      <c r="F156" s="769" t="str" cm="1">
        <f t="array" ref="F156">F155</f>
        <v>1</v>
      </c>
      <c r="G156" s="804"/>
      <c r="H156" s="804"/>
      <c r="I156" s="804"/>
      <c r="J156" s="804"/>
      <c r="K156" s="804"/>
      <c r="L156" s="804"/>
      <c r="M156" s="804"/>
      <c r="N156" s="804"/>
      <c r="O156" s="804"/>
      <c r="P156" s="804"/>
      <c r="Q156" s="774"/>
      <c r="R156" s="774"/>
      <c r="S156" s="804"/>
      <c r="T156" s="690" t="b" cm="1">
        <f t="array" ref="T156">T155</f>
        <v>1</v>
      </c>
      <c r="U156" s="1150"/>
      <c r="V156" s="1150"/>
      <c r="W156" s="1150"/>
      <c r="X156" s="1428"/>
      <c r="Y156" s="1150"/>
      <c r="Z156" s="1428"/>
      <c r="AA156" s="781"/>
      <c r="AB156" s="412" t="str">
        <f>AB155&amp;".1"</f>
        <v>3.1</v>
      </c>
      <c r="AC156" s="413" t="s">
        <v>1043</v>
      </c>
      <c r="AD156" s="412" t="s">
        <v>1044</v>
      </c>
      <c r="AE156" s="1197"/>
      <c r="AF156" s="1197"/>
      <c r="AG156" s="1197"/>
      <c r="AH156" s="1197"/>
      <c r="AI156" s="227"/>
      <c r="AJ156" s="1183"/>
      <c r="AK156" s="1183"/>
      <c r="AL156" s="1197"/>
      <c r="AM156" s="1197"/>
      <c r="AN156" s="1197"/>
      <c r="AO156" s="1197"/>
      <c r="AP156" s="1197"/>
      <c r="AQ156" s="1197"/>
      <c r="AR156" s="1197"/>
      <c r="AS156" s="227"/>
      <c r="AT156" s="1183"/>
      <c r="AU156" s="1183"/>
      <c r="AV156" s="1197"/>
      <c r="AW156" s="1197"/>
      <c r="AX156" s="1197"/>
      <c r="AY156" s="1197"/>
      <c r="AZ156" s="1197"/>
      <c r="BA156" s="1197"/>
      <c r="BB156" s="1197"/>
      <c r="BC156" s="1231"/>
      <c r="BD156" s="781"/>
      <c r="BE156" s="781"/>
      <c r="BF156" s="960" t="s">
        <v>1096</v>
      </c>
    </row>
    <row r="157" spans="1:58" s="1167" customFormat="1" ht="14.25" customHeight="1" x14ac:dyDescent="0.15">
      <c r="A157" s="1150"/>
      <c r="B157" s="773"/>
      <c r="C157" s="1150"/>
      <c r="D157" s="1150"/>
      <c r="E157" s="668">
        <v>15</v>
      </c>
      <c r="F157" s="769" t="str" cm="1">
        <f t="array" ref="F157">F156</f>
        <v>1</v>
      </c>
      <c r="G157" s="804"/>
      <c r="H157" s="804"/>
      <c r="I157" s="804"/>
      <c r="J157" s="804"/>
      <c r="K157" s="804"/>
      <c r="L157" s="804"/>
      <c r="M157" s="804"/>
      <c r="N157" s="804"/>
      <c r="O157" s="804"/>
      <c r="P157" s="804"/>
      <c r="Q157" s="774"/>
      <c r="R157" s="774"/>
      <c r="S157" s="804"/>
      <c r="T157" s="690" t="b" cm="1">
        <f t="array" ref="T157">T156</f>
        <v>1</v>
      </c>
      <c r="U157" s="1150"/>
      <c r="V157" s="1150"/>
      <c r="W157" s="1150"/>
      <c r="X157" s="1428"/>
      <c r="Y157" s="1150"/>
      <c r="Z157" s="1428"/>
      <c r="AA157" s="781"/>
      <c r="AB157" s="412" t="str">
        <f>AB155&amp;".2"</f>
        <v>3.2</v>
      </c>
      <c r="AC157" s="413" t="s">
        <v>1046</v>
      </c>
      <c r="AD157" s="412" t="s">
        <v>1044</v>
      </c>
      <c r="AE157" s="1197"/>
      <c r="AF157" s="1197"/>
      <c r="AG157" s="1197"/>
      <c r="AH157" s="1197"/>
      <c r="AI157" s="227"/>
      <c r="AJ157" s="1183"/>
      <c r="AK157" s="1183"/>
      <c r="AL157" s="1197"/>
      <c r="AM157" s="1197"/>
      <c r="AN157" s="1197"/>
      <c r="AO157" s="1197"/>
      <c r="AP157" s="1197"/>
      <c r="AQ157" s="1197"/>
      <c r="AR157" s="1197"/>
      <c r="AS157" s="227"/>
      <c r="AT157" s="1183"/>
      <c r="AU157" s="1183"/>
      <c r="AV157" s="1197"/>
      <c r="AW157" s="1197"/>
      <c r="AX157" s="1197"/>
      <c r="AY157" s="1197"/>
      <c r="AZ157" s="1197"/>
      <c r="BA157" s="1197"/>
      <c r="BB157" s="1197"/>
      <c r="BC157" s="1231"/>
      <c r="BD157" s="781"/>
      <c r="BE157" s="781"/>
      <c r="BF157" s="960" t="s">
        <v>1097</v>
      </c>
    </row>
    <row r="158" spans="1:58" s="1167" customFormat="1" ht="14.25" customHeight="1" x14ac:dyDescent="0.15">
      <c r="A158" s="1150"/>
      <c r="B158" s="773"/>
      <c r="C158" s="1150"/>
      <c r="D158" s="1150"/>
      <c r="E158" s="668">
        <v>15</v>
      </c>
      <c r="F158" s="769" t="str" cm="1">
        <f t="array" ref="F158">F157</f>
        <v>1</v>
      </c>
      <c r="G158" s="804"/>
      <c r="H158" s="804"/>
      <c r="I158" s="804"/>
      <c r="J158" s="804"/>
      <c r="K158" s="804"/>
      <c r="L158" s="804"/>
      <c r="M158" s="804"/>
      <c r="N158" s="804"/>
      <c r="O158" s="804"/>
      <c r="P158" s="804"/>
      <c r="Q158" s="774"/>
      <c r="R158" s="774"/>
      <c r="S158" s="804"/>
      <c r="T158" s="690" t="b" cm="1">
        <f t="array" ref="T158">T157</f>
        <v>1</v>
      </c>
      <c r="U158" s="1150"/>
      <c r="V158" s="1150"/>
      <c r="W158" s="1150"/>
      <c r="X158" s="1428"/>
      <c r="Y158" s="1150"/>
      <c r="Z158" s="1428"/>
      <c r="AA158" s="781"/>
      <c r="AB158" s="412" t="str">
        <f>AB155&amp;".3"</f>
        <v>3.3</v>
      </c>
      <c r="AC158" s="413" t="s">
        <v>1048</v>
      </c>
      <c r="AD158" s="412" t="s">
        <v>1044</v>
      </c>
      <c r="AE158" s="1197"/>
      <c r="AF158" s="1197"/>
      <c r="AG158" s="1197"/>
      <c r="AH158" s="1197"/>
      <c r="AI158" s="227"/>
      <c r="AJ158" s="1183"/>
      <c r="AK158" s="1183"/>
      <c r="AL158" s="1197"/>
      <c r="AM158" s="1197"/>
      <c r="AN158" s="1197"/>
      <c r="AO158" s="1197"/>
      <c r="AP158" s="1197"/>
      <c r="AQ158" s="1197"/>
      <c r="AR158" s="1197"/>
      <c r="AS158" s="227"/>
      <c r="AT158" s="1183"/>
      <c r="AU158" s="1183"/>
      <c r="AV158" s="1197"/>
      <c r="AW158" s="1197"/>
      <c r="AX158" s="1197"/>
      <c r="AY158" s="1197"/>
      <c r="AZ158" s="1197"/>
      <c r="BA158" s="1197"/>
      <c r="BB158" s="1197"/>
      <c r="BC158" s="1231"/>
      <c r="BD158" s="781"/>
      <c r="BE158" s="781"/>
      <c r="BF158" s="960" t="s">
        <v>1098</v>
      </c>
    </row>
    <row r="159" spans="1:58" s="1167" customFormat="1" ht="14.25" customHeight="1" x14ac:dyDescent="0.15">
      <c r="A159" s="1150"/>
      <c r="B159" s="773"/>
      <c r="C159" s="1150"/>
      <c r="D159" s="1150"/>
      <c r="E159" s="668">
        <v>15</v>
      </c>
      <c r="F159" s="769" t="str" cm="1">
        <f t="array" ref="F159">F158</f>
        <v>1</v>
      </c>
      <c r="G159" s="804"/>
      <c r="H159" s="804"/>
      <c r="I159" s="804"/>
      <c r="J159" s="804"/>
      <c r="K159" s="804"/>
      <c r="L159" s="804"/>
      <c r="M159" s="804"/>
      <c r="N159" s="804"/>
      <c r="O159" s="804"/>
      <c r="P159" s="804"/>
      <c r="Q159" s="774"/>
      <c r="R159" s="774"/>
      <c r="S159" s="804"/>
      <c r="T159" s="690" t="b" cm="1">
        <f t="array" ref="T159">T158</f>
        <v>1</v>
      </c>
      <c r="U159" s="1150"/>
      <c r="V159" s="1150"/>
      <c r="W159" s="1150"/>
      <c r="X159" s="1428"/>
      <c r="Y159" s="1150"/>
      <c r="Z159" s="1428"/>
      <c r="AA159" s="781"/>
      <c r="AB159" s="412" t="str">
        <f>AB155&amp;".4"</f>
        <v>3.4</v>
      </c>
      <c r="AC159" s="413" t="s">
        <v>1050</v>
      </c>
      <c r="AD159" s="412" t="s">
        <v>1044</v>
      </c>
      <c r="AE159" s="1271">
        <f t="shared" ref="AE159:BB159" si="43">SUM(AE160:AE164)</f>
        <v>0</v>
      </c>
      <c r="AF159" s="1271">
        <f t="shared" si="43"/>
        <v>0</v>
      </c>
      <c r="AG159" s="1271">
        <f t="shared" si="43"/>
        <v>0</v>
      </c>
      <c r="AH159" s="1271">
        <f t="shared" si="43"/>
        <v>0</v>
      </c>
      <c r="AI159" s="407">
        <f t="shared" si="43"/>
        <v>0</v>
      </c>
      <c r="AJ159" s="1242">
        <f t="shared" si="43"/>
        <v>0</v>
      </c>
      <c r="AK159" s="1242">
        <f t="shared" si="43"/>
        <v>0</v>
      </c>
      <c r="AL159" s="1271">
        <f t="shared" si="43"/>
        <v>0</v>
      </c>
      <c r="AM159" s="1271">
        <f t="shared" si="43"/>
        <v>0</v>
      </c>
      <c r="AN159" s="1271">
        <f t="shared" si="43"/>
        <v>0</v>
      </c>
      <c r="AO159" s="1271">
        <f t="shared" si="43"/>
        <v>0</v>
      </c>
      <c r="AP159" s="1271">
        <f t="shared" si="43"/>
        <v>0</v>
      </c>
      <c r="AQ159" s="1271">
        <f t="shared" si="43"/>
        <v>0</v>
      </c>
      <c r="AR159" s="1271">
        <f t="shared" si="43"/>
        <v>0</v>
      </c>
      <c r="AS159" s="407">
        <f t="shared" si="43"/>
        <v>0</v>
      </c>
      <c r="AT159" s="1242">
        <f t="shared" si="43"/>
        <v>0</v>
      </c>
      <c r="AU159" s="1242">
        <f t="shared" si="43"/>
        <v>0</v>
      </c>
      <c r="AV159" s="1271">
        <f t="shared" si="43"/>
        <v>0</v>
      </c>
      <c r="AW159" s="1271">
        <f t="shared" si="43"/>
        <v>0</v>
      </c>
      <c r="AX159" s="1271">
        <f t="shared" si="43"/>
        <v>0</v>
      </c>
      <c r="AY159" s="1271">
        <f t="shared" si="43"/>
        <v>0</v>
      </c>
      <c r="AZ159" s="1271">
        <f t="shared" si="43"/>
        <v>0</v>
      </c>
      <c r="BA159" s="1271">
        <f t="shared" si="43"/>
        <v>0</v>
      </c>
      <c r="BB159" s="1271">
        <f t="shared" si="43"/>
        <v>0</v>
      </c>
      <c r="BC159" s="1231"/>
      <c r="BD159" s="781"/>
      <c r="BE159" s="781"/>
      <c r="BF159" s="960" t="s">
        <v>1099</v>
      </c>
    </row>
    <row r="160" spans="1:58" s="1167" customFormat="1" ht="14.25" customHeight="1" x14ac:dyDescent="0.15">
      <c r="A160" s="1150"/>
      <c r="B160" s="773"/>
      <c r="C160" s="1150"/>
      <c r="D160" s="1150"/>
      <c r="E160" s="668">
        <v>15</v>
      </c>
      <c r="F160" s="769" t="str" cm="1">
        <f t="array" ref="F160">F159</f>
        <v>1</v>
      </c>
      <c r="G160" s="804"/>
      <c r="H160" s="804"/>
      <c r="I160" s="804"/>
      <c r="J160" s="804"/>
      <c r="K160" s="804"/>
      <c r="L160" s="804"/>
      <c r="M160" s="804"/>
      <c r="N160" s="804"/>
      <c r="O160" s="804"/>
      <c r="P160" s="804"/>
      <c r="Q160" s="774"/>
      <c r="R160" s="774"/>
      <c r="S160" s="804"/>
      <c r="T160" s="690" t="b" cm="1">
        <f t="array" ref="T160">T159</f>
        <v>1</v>
      </c>
      <c r="U160" s="1150"/>
      <c r="V160" s="1150"/>
      <c r="W160" s="1150"/>
      <c r="X160" s="1428"/>
      <c r="Y160" s="1150"/>
      <c r="Z160" s="1428"/>
      <c r="AA160" s="781"/>
      <c r="AB160" s="412" t="str">
        <f>AB159&amp;".1"</f>
        <v>3.4.1</v>
      </c>
      <c r="AC160" s="414" t="s">
        <v>1053</v>
      </c>
      <c r="AD160" s="412" t="s">
        <v>1044</v>
      </c>
      <c r="AE160" s="1197"/>
      <c r="AF160" s="1197"/>
      <c r="AG160" s="1197"/>
      <c r="AH160" s="1197"/>
      <c r="AI160" s="227"/>
      <c r="AJ160" s="1183"/>
      <c r="AK160" s="1183"/>
      <c r="AL160" s="1197"/>
      <c r="AM160" s="1197"/>
      <c r="AN160" s="1197"/>
      <c r="AO160" s="1197"/>
      <c r="AP160" s="1197"/>
      <c r="AQ160" s="1197"/>
      <c r="AR160" s="1197"/>
      <c r="AS160" s="227"/>
      <c r="AT160" s="1183"/>
      <c r="AU160" s="1183"/>
      <c r="AV160" s="1197"/>
      <c r="AW160" s="1197"/>
      <c r="AX160" s="1197"/>
      <c r="AY160" s="1197"/>
      <c r="AZ160" s="1197"/>
      <c r="BA160" s="1197"/>
      <c r="BB160" s="1197"/>
      <c r="BC160" s="1231"/>
      <c r="BD160" s="781"/>
      <c r="BE160" s="781"/>
      <c r="BF160" s="960" t="s">
        <v>1100</v>
      </c>
    </row>
    <row r="161" spans="1:58" s="1167" customFormat="1" ht="14.25" customHeight="1" x14ac:dyDescent="0.15">
      <c r="A161" s="1150"/>
      <c r="B161" s="773"/>
      <c r="C161" s="1150"/>
      <c r="D161" s="1150"/>
      <c r="E161" s="668">
        <v>15</v>
      </c>
      <c r="F161" s="769" t="str" cm="1">
        <f t="array" ref="F161">F160</f>
        <v>1</v>
      </c>
      <c r="G161" s="804"/>
      <c r="H161" s="804"/>
      <c r="I161" s="804"/>
      <c r="J161" s="804"/>
      <c r="K161" s="804"/>
      <c r="L161" s="804"/>
      <c r="M161" s="804"/>
      <c r="N161" s="804"/>
      <c r="O161" s="804"/>
      <c r="P161" s="804"/>
      <c r="Q161" s="774"/>
      <c r="R161" s="774"/>
      <c r="S161" s="804"/>
      <c r="T161" s="690" t="b" cm="1">
        <f t="array" ref="T161">T160</f>
        <v>1</v>
      </c>
      <c r="U161" s="1150"/>
      <c r="V161" s="1150"/>
      <c r="W161" s="1150"/>
      <c r="X161" s="1428"/>
      <c r="Y161" s="1150"/>
      <c r="Z161" s="1428"/>
      <c r="AA161" s="781"/>
      <c r="AB161" s="412" t="str">
        <f>AB159&amp;".2"</f>
        <v>3.4.2</v>
      </c>
      <c r="AC161" s="414" t="s">
        <v>1056</v>
      </c>
      <c r="AD161" s="412" t="s">
        <v>1044</v>
      </c>
      <c r="AE161" s="1197"/>
      <c r="AF161" s="1197"/>
      <c r="AG161" s="1197"/>
      <c r="AH161" s="1197"/>
      <c r="AI161" s="227"/>
      <c r="AJ161" s="1183"/>
      <c r="AK161" s="1183"/>
      <c r="AL161" s="1197"/>
      <c r="AM161" s="1197"/>
      <c r="AN161" s="1197"/>
      <c r="AO161" s="1197"/>
      <c r="AP161" s="1197"/>
      <c r="AQ161" s="1197"/>
      <c r="AR161" s="1197"/>
      <c r="AS161" s="227"/>
      <c r="AT161" s="1183"/>
      <c r="AU161" s="1183"/>
      <c r="AV161" s="1197"/>
      <c r="AW161" s="1197"/>
      <c r="AX161" s="1197"/>
      <c r="AY161" s="1197"/>
      <c r="AZ161" s="1197"/>
      <c r="BA161" s="1197"/>
      <c r="BB161" s="1197"/>
      <c r="BC161" s="1231"/>
      <c r="BD161" s="781"/>
      <c r="BE161" s="781"/>
      <c r="BF161" s="960" t="s">
        <v>1101</v>
      </c>
    </row>
    <row r="162" spans="1:58" s="1167" customFormat="1" ht="14.25" customHeight="1" x14ac:dyDescent="0.15">
      <c r="A162" s="1150"/>
      <c r="B162" s="773"/>
      <c r="C162" s="1150"/>
      <c r="D162" s="1150"/>
      <c r="E162" s="668">
        <v>15</v>
      </c>
      <c r="F162" s="769" t="str" cm="1">
        <f t="array" ref="F162">F161</f>
        <v>1</v>
      </c>
      <c r="G162" s="804"/>
      <c r="H162" s="804"/>
      <c r="I162" s="804"/>
      <c r="J162" s="804"/>
      <c r="K162" s="804"/>
      <c r="L162" s="804"/>
      <c r="M162" s="804"/>
      <c r="N162" s="804"/>
      <c r="O162" s="804"/>
      <c r="P162" s="804"/>
      <c r="Q162" s="774"/>
      <c r="R162" s="774"/>
      <c r="S162" s="804"/>
      <c r="T162" s="690" t="b" cm="1">
        <f t="array" ref="T162">T161</f>
        <v>1</v>
      </c>
      <c r="U162" s="1150"/>
      <c r="V162" s="1150"/>
      <c r="W162" s="1150"/>
      <c r="X162" s="1428"/>
      <c r="Y162" s="1150"/>
      <c r="Z162" s="1428"/>
      <c r="AA162" s="781"/>
      <c r="AB162" s="412" t="str">
        <f>AB159&amp;".3"</f>
        <v>3.4.3</v>
      </c>
      <c r="AC162" s="414" t="s">
        <v>1059</v>
      </c>
      <c r="AD162" s="412" t="s">
        <v>1044</v>
      </c>
      <c r="AE162" s="1197"/>
      <c r="AF162" s="1197"/>
      <c r="AG162" s="1197"/>
      <c r="AH162" s="1197"/>
      <c r="AI162" s="227"/>
      <c r="AJ162" s="1183"/>
      <c r="AK162" s="1183"/>
      <c r="AL162" s="1197"/>
      <c r="AM162" s="1197"/>
      <c r="AN162" s="1197"/>
      <c r="AO162" s="1197"/>
      <c r="AP162" s="1197"/>
      <c r="AQ162" s="1197"/>
      <c r="AR162" s="1197"/>
      <c r="AS162" s="227"/>
      <c r="AT162" s="1183"/>
      <c r="AU162" s="1183"/>
      <c r="AV162" s="1197"/>
      <c r="AW162" s="1197"/>
      <c r="AX162" s="1197"/>
      <c r="AY162" s="1197"/>
      <c r="AZ162" s="1197"/>
      <c r="BA162" s="1197"/>
      <c r="BB162" s="1197"/>
      <c r="BC162" s="1231"/>
      <c r="BD162" s="781"/>
      <c r="BE162" s="781"/>
      <c r="BF162" s="960" t="s">
        <v>1102</v>
      </c>
    </row>
    <row r="163" spans="1:58" s="1167" customFormat="1" ht="14.25" customHeight="1" x14ac:dyDescent="0.15">
      <c r="A163" s="1150"/>
      <c r="B163" s="773"/>
      <c r="C163" s="1150"/>
      <c r="D163" s="1150"/>
      <c r="E163" s="668">
        <v>15</v>
      </c>
      <c r="F163" s="769" t="str" cm="1">
        <f t="array" ref="F163">F162</f>
        <v>1</v>
      </c>
      <c r="G163" s="804"/>
      <c r="H163" s="804"/>
      <c r="I163" s="804"/>
      <c r="J163" s="804"/>
      <c r="K163" s="804"/>
      <c r="L163" s="804"/>
      <c r="M163" s="804"/>
      <c r="N163" s="804"/>
      <c r="O163" s="804"/>
      <c r="P163" s="804"/>
      <c r="Q163" s="774"/>
      <c r="R163" s="774"/>
      <c r="S163" s="804"/>
      <c r="T163" s="690" t="b" cm="1">
        <f t="array" ref="T163">T162</f>
        <v>1</v>
      </c>
      <c r="U163" s="1150"/>
      <c r="V163" s="1150"/>
      <c r="W163" s="1150"/>
      <c r="X163" s="1428"/>
      <c r="Y163" s="1150"/>
      <c r="Z163" s="1428"/>
      <c r="AA163" s="781"/>
      <c r="AB163" s="412" t="str">
        <f>AB159&amp;".4"</f>
        <v>3.4.4</v>
      </c>
      <c r="AC163" s="414" t="s">
        <v>1062</v>
      </c>
      <c r="AD163" s="412" t="s">
        <v>1044</v>
      </c>
      <c r="AE163" s="1197"/>
      <c r="AF163" s="1197"/>
      <c r="AG163" s="1197"/>
      <c r="AH163" s="1197"/>
      <c r="AI163" s="227"/>
      <c r="AJ163" s="1183"/>
      <c r="AK163" s="1183"/>
      <c r="AL163" s="1197"/>
      <c r="AM163" s="1197"/>
      <c r="AN163" s="1197"/>
      <c r="AO163" s="1197"/>
      <c r="AP163" s="1197"/>
      <c r="AQ163" s="1197"/>
      <c r="AR163" s="1197"/>
      <c r="AS163" s="227"/>
      <c r="AT163" s="1183"/>
      <c r="AU163" s="1183"/>
      <c r="AV163" s="1197"/>
      <c r="AW163" s="1197"/>
      <c r="AX163" s="1197"/>
      <c r="AY163" s="1197"/>
      <c r="AZ163" s="1197"/>
      <c r="BA163" s="1197"/>
      <c r="BB163" s="1197"/>
      <c r="BC163" s="1231"/>
      <c r="BD163" s="781"/>
      <c r="BE163" s="781"/>
      <c r="BF163" s="960" t="s">
        <v>1103</v>
      </c>
    </row>
    <row r="164" spans="1:58" s="1167" customFormat="1" ht="14.25" customHeight="1" x14ac:dyDescent="0.15">
      <c r="A164" s="1150"/>
      <c r="B164" s="773"/>
      <c r="C164" s="1150"/>
      <c r="D164" s="1150"/>
      <c r="E164" s="668">
        <v>15</v>
      </c>
      <c r="F164" s="769" t="str" cm="1">
        <f t="array" ref="F164">F163</f>
        <v>1</v>
      </c>
      <c r="G164" s="804"/>
      <c r="H164" s="804"/>
      <c r="I164" s="804"/>
      <c r="J164" s="804"/>
      <c r="K164" s="804"/>
      <c r="L164" s="804"/>
      <c r="M164" s="804"/>
      <c r="N164" s="804"/>
      <c r="O164" s="804"/>
      <c r="P164" s="804"/>
      <c r="Q164" s="774"/>
      <c r="R164" s="774"/>
      <c r="S164" s="804"/>
      <c r="T164" s="690" t="b" cm="1">
        <f t="array" ref="T164">T163</f>
        <v>1</v>
      </c>
      <c r="U164" s="1150"/>
      <c r="V164" s="1150"/>
      <c r="W164" s="1150"/>
      <c r="X164" s="1428"/>
      <c r="Y164" s="1150"/>
      <c r="Z164" s="1428"/>
      <c r="AA164" s="781"/>
      <c r="AB164" s="412" t="str">
        <f>AB159&amp;".5"</f>
        <v>3.4.5</v>
      </c>
      <c r="AC164" s="414" t="s">
        <v>1065</v>
      </c>
      <c r="AD164" s="412" t="s">
        <v>1044</v>
      </c>
      <c r="AE164" s="1197"/>
      <c r="AF164" s="1197"/>
      <c r="AG164" s="1197"/>
      <c r="AH164" s="1197"/>
      <c r="AI164" s="227"/>
      <c r="AJ164" s="1183"/>
      <c r="AK164" s="1183"/>
      <c r="AL164" s="1197"/>
      <c r="AM164" s="1197"/>
      <c r="AN164" s="1197"/>
      <c r="AO164" s="1197"/>
      <c r="AP164" s="1197"/>
      <c r="AQ164" s="1197"/>
      <c r="AR164" s="1197"/>
      <c r="AS164" s="227"/>
      <c r="AT164" s="1183"/>
      <c r="AU164" s="1183"/>
      <c r="AV164" s="1197"/>
      <c r="AW164" s="1197"/>
      <c r="AX164" s="1197"/>
      <c r="AY164" s="1197"/>
      <c r="AZ164" s="1197"/>
      <c r="BA164" s="1197"/>
      <c r="BB164" s="1197"/>
      <c r="BC164" s="1231"/>
      <c r="BD164" s="781"/>
      <c r="BE164" s="781"/>
      <c r="BF164" s="960" t="s">
        <v>1104</v>
      </c>
    </row>
    <row r="165" spans="1:58" s="1167" customFormat="1" ht="14.25" customHeight="1" x14ac:dyDescent="0.15">
      <c r="A165" s="1150"/>
      <c r="B165" s="773"/>
      <c r="C165" s="1150"/>
      <c r="D165" s="1150"/>
      <c r="E165" s="668">
        <v>15</v>
      </c>
      <c r="F165" s="769" t="str" cm="1">
        <f t="array" ref="F165">F164</f>
        <v>1</v>
      </c>
      <c r="G165" s="804"/>
      <c r="H165" s="804"/>
      <c r="I165" s="804"/>
      <c r="J165" s="804"/>
      <c r="K165" s="804"/>
      <c r="L165" s="804"/>
      <c r="M165" s="804"/>
      <c r="N165" s="804"/>
      <c r="O165" s="804"/>
      <c r="P165" s="804"/>
      <c r="Q165" s="774"/>
      <c r="R165" s="774"/>
      <c r="S165" s="804"/>
      <c r="T165" s="690" t="b" cm="1">
        <f t="array" ref="T165">T164</f>
        <v>1</v>
      </c>
      <c r="U165" s="1150"/>
      <c r="V165" s="1150"/>
      <c r="W165" s="1150"/>
      <c r="X165" s="1428"/>
      <c r="Y165" s="1150"/>
      <c r="Z165" s="1428"/>
      <c r="AA165" s="781"/>
      <c r="AB165" s="412" t="str">
        <f>AB155&amp;".5"</f>
        <v>3.5</v>
      </c>
      <c r="AC165" s="413" t="s">
        <v>1068</v>
      </c>
      <c r="AD165" s="412" t="s">
        <v>1044</v>
      </c>
      <c r="AE165" s="1197"/>
      <c r="AF165" s="1197"/>
      <c r="AG165" s="1197"/>
      <c r="AH165" s="1197"/>
      <c r="AI165" s="227"/>
      <c r="AJ165" s="1183"/>
      <c r="AK165" s="1183"/>
      <c r="AL165" s="1197"/>
      <c r="AM165" s="1197"/>
      <c r="AN165" s="1197"/>
      <c r="AO165" s="1197"/>
      <c r="AP165" s="1197"/>
      <c r="AQ165" s="1197"/>
      <c r="AR165" s="1197"/>
      <c r="AS165" s="227"/>
      <c r="AT165" s="1183"/>
      <c r="AU165" s="1183"/>
      <c r="AV165" s="1197"/>
      <c r="AW165" s="1197"/>
      <c r="AX165" s="1197"/>
      <c r="AY165" s="1197"/>
      <c r="AZ165" s="1197"/>
      <c r="BA165" s="1197"/>
      <c r="BB165" s="1197"/>
      <c r="BC165" s="1231"/>
      <c r="BD165" s="781"/>
      <c r="BE165" s="781"/>
      <c r="BF165" s="960" t="s">
        <v>1105</v>
      </c>
    </row>
    <row r="166" spans="1:58" s="1167" customFormat="1" ht="14.25" customHeight="1" x14ac:dyDescent="0.15">
      <c r="A166" s="1150"/>
      <c r="B166" s="773"/>
      <c r="C166" s="1150"/>
      <c r="D166" s="1150"/>
      <c r="E166" s="668">
        <v>15</v>
      </c>
      <c r="F166" s="769" t="str" cm="1">
        <f t="array" ref="F166">F165</f>
        <v>1</v>
      </c>
      <c r="G166" s="804"/>
      <c r="H166" s="804"/>
      <c r="I166" s="804"/>
      <c r="J166" s="804"/>
      <c r="K166" s="804"/>
      <c r="L166" s="804"/>
      <c r="M166" s="804"/>
      <c r="N166" s="804"/>
      <c r="O166" s="804"/>
      <c r="P166" s="804"/>
      <c r="Q166" s="774"/>
      <c r="R166" s="774"/>
      <c r="S166" s="804"/>
      <c r="T166" s="690" t="b" cm="1">
        <f t="array" ref="T166">T165</f>
        <v>1</v>
      </c>
      <c r="U166" s="1150"/>
      <c r="V166" s="1150"/>
      <c r="W166" s="1150"/>
      <c r="X166" s="1428"/>
      <c r="Y166" s="1150"/>
      <c r="Z166" s="1428"/>
      <c r="AA166" s="781"/>
      <c r="AB166" s="412" t="str">
        <f>AB155&amp;".6"</f>
        <v>3.6</v>
      </c>
      <c r="AC166" s="413" t="s">
        <v>1071</v>
      </c>
      <c r="AD166" s="412" t="s">
        <v>1044</v>
      </c>
      <c r="AE166" s="1197"/>
      <c r="AF166" s="1197"/>
      <c r="AG166" s="1197"/>
      <c r="AH166" s="1197"/>
      <c r="AI166" s="227"/>
      <c r="AJ166" s="1183"/>
      <c r="AK166" s="1183"/>
      <c r="AL166" s="1197"/>
      <c r="AM166" s="1197"/>
      <c r="AN166" s="1197"/>
      <c r="AO166" s="1197"/>
      <c r="AP166" s="1197"/>
      <c r="AQ166" s="1197"/>
      <c r="AR166" s="1197"/>
      <c r="AS166" s="227"/>
      <c r="AT166" s="1183"/>
      <c r="AU166" s="1183"/>
      <c r="AV166" s="1197"/>
      <c r="AW166" s="1197"/>
      <c r="AX166" s="1197"/>
      <c r="AY166" s="1197"/>
      <c r="AZ166" s="1197"/>
      <c r="BA166" s="1197"/>
      <c r="BB166" s="1197"/>
      <c r="BC166" s="1231"/>
      <c r="BD166" s="781"/>
      <c r="BE166" s="781"/>
      <c r="BF166" s="960" t="s">
        <v>1106</v>
      </c>
    </row>
    <row r="167" spans="1:58" s="1167" customFormat="1" ht="14.25" customHeight="1" x14ac:dyDescent="0.15">
      <c r="A167" s="1150"/>
      <c r="B167" s="773"/>
      <c r="C167" s="1150"/>
      <c r="D167" s="1150"/>
      <c r="E167" s="668">
        <v>15</v>
      </c>
      <c r="F167" s="769" t="str" cm="1">
        <f t="array" ref="F167">F166</f>
        <v>1</v>
      </c>
      <c r="G167" s="804"/>
      <c r="H167" s="804"/>
      <c r="I167" s="804"/>
      <c r="J167" s="804"/>
      <c r="K167" s="804"/>
      <c r="L167" s="804"/>
      <c r="M167" s="804"/>
      <c r="N167" s="804"/>
      <c r="O167" s="804"/>
      <c r="P167" s="804"/>
      <c r="Q167" s="774"/>
      <c r="R167" s="774"/>
      <c r="S167" s="804"/>
      <c r="T167" s="690" t="b" cm="1">
        <f t="array" ref="T167">T166</f>
        <v>1</v>
      </c>
      <c r="U167" s="1150"/>
      <c r="V167" s="1150"/>
      <c r="W167" s="1150"/>
      <c r="X167" s="1428"/>
      <c r="Y167" s="1150"/>
      <c r="Z167" s="1428"/>
      <c r="AA167" s="781"/>
      <c r="AB167" s="412" t="str">
        <f>AB155&amp;".7"</f>
        <v>3.7</v>
      </c>
      <c r="AC167" s="413" t="s">
        <v>1074</v>
      </c>
      <c r="AD167" s="412" t="s">
        <v>1044</v>
      </c>
      <c r="AE167" s="1197"/>
      <c r="AF167" s="1197"/>
      <c r="AG167" s="1197"/>
      <c r="AH167" s="1197"/>
      <c r="AI167" s="227"/>
      <c r="AJ167" s="1183"/>
      <c r="AK167" s="1183"/>
      <c r="AL167" s="1197"/>
      <c r="AM167" s="1197"/>
      <c r="AN167" s="1197"/>
      <c r="AO167" s="1197"/>
      <c r="AP167" s="1197"/>
      <c r="AQ167" s="1197"/>
      <c r="AR167" s="1197"/>
      <c r="AS167" s="227"/>
      <c r="AT167" s="1183"/>
      <c r="AU167" s="1183"/>
      <c r="AV167" s="1197"/>
      <c r="AW167" s="1197"/>
      <c r="AX167" s="1197"/>
      <c r="AY167" s="1197"/>
      <c r="AZ167" s="1197"/>
      <c r="BA167" s="1197"/>
      <c r="BB167" s="1197"/>
      <c r="BC167" s="1231"/>
      <c r="BD167" s="781"/>
      <c r="BE167" s="781"/>
      <c r="BF167" s="960" t="s">
        <v>1107</v>
      </c>
    </row>
    <row r="168" spans="1:58" s="1167" customFormat="1" ht="14.25" customHeight="1" x14ac:dyDescent="0.15">
      <c r="A168" s="1150"/>
      <c r="B168" s="773"/>
      <c r="C168" s="1150"/>
      <c r="D168" s="1150"/>
      <c r="E168" s="668">
        <v>15</v>
      </c>
      <c r="F168" s="769" t="str" cm="1">
        <f t="array" ref="F168">F167</f>
        <v>1</v>
      </c>
      <c r="G168" s="804"/>
      <c r="H168" s="804"/>
      <c r="I168" s="804"/>
      <c r="J168" s="804"/>
      <c r="K168" s="804"/>
      <c r="L168" s="804"/>
      <c r="M168" s="804"/>
      <c r="N168" s="804"/>
      <c r="O168" s="804"/>
      <c r="P168" s="804"/>
      <c r="Q168" s="774"/>
      <c r="R168" s="774"/>
      <c r="S168" s="804"/>
      <c r="T168" s="690" t="b" cm="1">
        <f t="array" ref="T168">T167</f>
        <v>1</v>
      </c>
      <c r="U168" s="1150"/>
      <c r="V168" s="1150"/>
      <c r="W168" s="1150"/>
      <c r="X168" s="1428"/>
      <c r="Y168" s="1150"/>
      <c r="Z168" s="1428"/>
      <c r="AA168" s="781"/>
      <c r="AB168" s="412" t="str">
        <f>AB155&amp;".8"</f>
        <v>3.8</v>
      </c>
      <c r="AC168" s="413" t="s">
        <v>1077</v>
      </c>
      <c r="AD168" s="412" t="s">
        <v>1044</v>
      </c>
      <c r="AE168" s="1197"/>
      <c r="AF168" s="1197"/>
      <c r="AG168" s="1197"/>
      <c r="AH168" s="1197"/>
      <c r="AI168" s="227"/>
      <c r="AJ168" s="1183"/>
      <c r="AK168" s="1183"/>
      <c r="AL168" s="1197"/>
      <c r="AM168" s="1197"/>
      <c r="AN168" s="1197"/>
      <c r="AO168" s="1197"/>
      <c r="AP168" s="1197"/>
      <c r="AQ168" s="1197"/>
      <c r="AR168" s="1197"/>
      <c r="AS168" s="227"/>
      <c r="AT168" s="1183"/>
      <c r="AU168" s="1183"/>
      <c r="AV168" s="1197"/>
      <c r="AW168" s="1197"/>
      <c r="AX168" s="1197"/>
      <c r="AY168" s="1197"/>
      <c r="AZ168" s="1197"/>
      <c r="BA168" s="1197"/>
      <c r="BB168" s="1197"/>
      <c r="BC168" s="1231"/>
      <c r="BD168" s="781"/>
      <c r="BE168" s="781"/>
      <c r="BF168" s="960" t="s">
        <v>1108</v>
      </c>
    </row>
    <row r="169" spans="1:58" s="164" customFormat="1" ht="14.25" customHeight="1" x14ac:dyDescent="0.15">
      <c r="E169" s="668">
        <v>15</v>
      </c>
      <c r="F169" s="769" t="str" cm="1">
        <f t="array" ref="F169">F168</f>
        <v>1</v>
      </c>
      <c r="T169" s="690" t="b" cm="1">
        <f t="array" ref="T169">T168</f>
        <v>1</v>
      </c>
      <c r="X169" s="1572"/>
      <c r="Z169" s="1572"/>
      <c r="AB169" s="224">
        <v>4</v>
      </c>
      <c r="AC169" s="225" t="s">
        <v>1109</v>
      </c>
      <c r="AD169" s="104" t="s">
        <v>830</v>
      </c>
      <c r="AE169" s="1270">
        <f t="shared" ref="AE169:BB169" si="44">SUM(AE170:AE173)+SUM(AE179:AE182)</f>
        <v>0</v>
      </c>
      <c r="AF169" s="1270">
        <f t="shared" si="44"/>
        <v>0</v>
      </c>
      <c r="AG169" s="1270">
        <f t="shared" si="44"/>
        <v>0</v>
      </c>
      <c r="AH169" s="1270">
        <f t="shared" si="44"/>
        <v>0</v>
      </c>
      <c r="AI169" s="239">
        <f t="shared" si="44"/>
        <v>0</v>
      </c>
      <c r="AJ169" s="1263">
        <f t="shared" si="44"/>
        <v>0</v>
      </c>
      <c r="AK169" s="1263">
        <f t="shared" si="44"/>
        <v>0</v>
      </c>
      <c r="AL169" s="1270">
        <f t="shared" si="44"/>
        <v>0</v>
      </c>
      <c r="AM169" s="1270">
        <f t="shared" si="44"/>
        <v>0</v>
      </c>
      <c r="AN169" s="1270">
        <f t="shared" si="44"/>
        <v>0</v>
      </c>
      <c r="AO169" s="1270">
        <f t="shared" si="44"/>
        <v>0</v>
      </c>
      <c r="AP169" s="1270">
        <f t="shared" si="44"/>
        <v>0</v>
      </c>
      <c r="AQ169" s="1270">
        <f t="shared" si="44"/>
        <v>0</v>
      </c>
      <c r="AR169" s="1270">
        <f t="shared" si="44"/>
        <v>0</v>
      </c>
      <c r="AS169" s="239">
        <f t="shared" si="44"/>
        <v>0</v>
      </c>
      <c r="AT169" s="1263">
        <f t="shared" si="44"/>
        <v>0</v>
      </c>
      <c r="AU169" s="1263">
        <f t="shared" si="44"/>
        <v>0</v>
      </c>
      <c r="AV169" s="1270">
        <f t="shared" si="44"/>
        <v>0</v>
      </c>
      <c r="AW169" s="1270">
        <f t="shared" si="44"/>
        <v>0</v>
      </c>
      <c r="AX169" s="1270">
        <f t="shared" si="44"/>
        <v>0</v>
      </c>
      <c r="AY169" s="1270">
        <f t="shared" si="44"/>
        <v>0</v>
      </c>
      <c r="AZ169" s="1270">
        <f t="shared" si="44"/>
        <v>0</v>
      </c>
      <c r="BA169" s="1270">
        <f t="shared" si="44"/>
        <v>0</v>
      </c>
      <c r="BB169" s="1270">
        <f t="shared" si="44"/>
        <v>0</v>
      </c>
      <c r="BC169" s="1231"/>
      <c r="BF169" s="960" t="s">
        <v>1110</v>
      </c>
    </row>
    <row r="170" spans="1:58" s="1167" customFormat="1" ht="14.25" customHeight="1" x14ac:dyDescent="0.15">
      <c r="A170" s="1150"/>
      <c r="B170" s="773"/>
      <c r="C170" s="1150"/>
      <c r="D170" s="1150"/>
      <c r="E170" s="668">
        <v>15</v>
      </c>
      <c r="F170" s="769" t="str" cm="1">
        <f t="array" ref="F170">F169</f>
        <v>1</v>
      </c>
      <c r="G170" s="804"/>
      <c r="H170" s="804"/>
      <c r="I170" s="804"/>
      <c r="J170" s="804"/>
      <c r="K170" s="804"/>
      <c r="L170" s="804"/>
      <c r="M170" s="804"/>
      <c r="N170" s="804"/>
      <c r="O170" s="804"/>
      <c r="P170" s="804"/>
      <c r="Q170" s="774"/>
      <c r="R170" s="774"/>
      <c r="S170" s="804"/>
      <c r="T170" s="690" t="b" cm="1">
        <f t="array" ref="T170">T169</f>
        <v>1</v>
      </c>
      <c r="U170" s="1150"/>
      <c r="V170" s="1150"/>
      <c r="W170" s="1150"/>
      <c r="X170" s="1428"/>
      <c r="Y170" s="1150"/>
      <c r="Z170" s="1428"/>
      <c r="AA170" s="781"/>
      <c r="AB170" s="412" t="str">
        <f>AB169&amp;".1"</f>
        <v>4.1</v>
      </c>
      <c r="AC170" s="413" t="s">
        <v>1043</v>
      </c>
      <c r="AD170" s="412" t="s">
        <v>1044</v>
      </c>
      <c r="AE170" s="1197"/>
      <c r="AF170" s="1197"/>
      <c r="AG170" s="1197"/>
      <c r="AH170" s="1197"/>
      <c r="AI170" s="227"/>
      <c r="AJ170" s="1183"/>
      <c r="AK170" s="1183"/>
      <c r="AL170" s="1197"/>
      <c r="AM170" s="1197"/>
      <c r="AN170" s="1197"/>
      <c r="AO170" s="1197"/>
      <c r="AP170" s="1197"/>
      <c r="AQ170" s="1197"/>
      <c r="AR170" s="1197"/>
      <c r="AS170" s="227"/>
      <c r="AT170" s="1183"/>
      <c r="AU170" s="1183"/>
      <c r="AV170" s="1197"/>
      <c r="AW170" s="1197"/>
      <c r="AX170" s="1197"/>
      <c r="AY170" s="1197"/>
      <c r="AZ170" s="1197"/>
      <c r="BA170" s="1197"/>
      <c r="BB170" s="1197"/>
      <c r="BC170" s="1231"/>
      <c r="BD170" s="781"/>
      <c r="BE170" s="781"/>
      <c r="BF170" s="960" t="s">
        <v>1111</v>
      </c>
    </row>
    <row r="171" spans="1:58" s="1167" customFormat="1" ht="14.25" customHeight="1" x14ac:dyDescent="0.15">
      <c r="A171" s="1150"/>
      <c r="B171" s="773"/>
      <c r="C171" s="1150"/>
      <c r="D171" s="1150"/>
      <c r="E171" s="668">
        <v>15</v>
      </c>
      <c r="F171" s="769" t="str" cm="1">
        <f t="array" ref="F171">F170</f>
        <v>1</v>
      </c>
      <c r="G171" s="804"/>
      <c r="H171" s="804"/>
      <c r="I171" s="804"/>
      <c r="J171" s="804"/>
      <c r="K171" s="804"/>
      <c r="L171" s="804"/>
      <c r="M171" s="804"/>
      <c r="N171" s="804"/>
      <c r="O171" s="804"/>
      <c r="P171" s="804"/>
      <c r="Q171" s="774"/>
      <c r="R171" s="774"/>
      <c r="S171" s="804"/>
      <c r="T171" s="690" t="b" cm="1">
        <f t="array" ref="T171">T170</f>
        <v>1</v>
      </c>
      <c r="U171" s="1150"/>
      <c r="V171" s="1150"/>
      <c r="W171" s="1150"/>
      <c r="X171" s="1428"/>
      <c r="Y171" s="1150"/>
      <c r="Z171" s="1428"/>
      <c r="AA171" s="781"/>
      <c r="AB171" s="412" t="str">
        <f>AB169&amp;".2"</f>
        <v>4.2</v>
      </c>
      <c r="AC171" s="413" t="s">
        <v>1046</v>
      </c>
      <c r="AD171" s="412" t="s">
        <v>1044</v>
      </c>
      <c r="AE171" s="1197"/>
      <c r="AF171" s="1197"/>
      <c r="AG171" s="1197"/>
      <c r="AH171" s="1197"/>
      <c r="AI171" s="227"/>
      <c r="AJ171" s="1183"/>
      <c r="AK171" s="1183"/>
      <c r="AL171" s="1197"/>
      <c r="AM171" s="1197"/>
      <c r="AN171" s="1197"/>
      <c r="AO171" s="1197"/>
      <c r="AP171" s="1197"/>
      <c r="AQ171" s="1197"/>
      <c r="AR171" s="1197"/>
      <c r="AS171" s="227"/>
      <c r="AT171" s="1183"/>
      <c r="AU171" s="1183"/>
      <c r="AV171" s="1197"/>
      <c r="AW171" s="1197"/>
      <c r="AX171" s="1197"/>
      <c r="AY171" s="1197"/>
      <c r="AZ171" s="1197"/>
      <c r="BA171" s="1197"/>
      <c r="BB171" s="1197"/>
      <c r="BC171" s="1231"/>
      <c r="BD171" s="781"/>
      <c r="BE171" s="781"/>
      <c r="BF171" s="960" t="s">
        <v>1112</v>
      </c>
    </row>
    <row r="172" spans="1:58" s="1167" customFormat="1" ht="14.25" customHeight="1" x14ac:dyDescent="0.15">
      <c r="A172" s="1150"/>
      <c r="B172" s="773"/>
      <c r="C172" s="1150"/>
      <c r="D172" s="1150"/>
      <c r="E172" s="668">
        <v>15</v>
      </c>
      <c r="F172" s="769" t="str" cm="1">
        <f t="array" ref="F172">F171</f>
        <v>1</v>
      </c>
      <c r="G172" s="804"/>
      <c r="H172" s="804"/>
      <c r="I172" s="804"/>
      <c r="J172" s="804"/>
      <c r="K172" s="804"/>
      <c r="L172" s="804"/>
      <c r="M172" s="804"/>
      <c r="N172" s="804"/>
      <c r="O172" s="804"/>
      <c r="P172" s="804"/>
      <c r="Q172" s="774"/>
      <c r="R172" s="774"/>
      <c r="S172" s="804"/>
      <c r="T172" s="690" t="b" cm="1">
        <f t="array" ref="T172">T171</f>
        <v>1</v>
      </c>
      <c r="U172" s="1150"/>
      <c r="V172" s="1150"/>
      <c r="W172" s="1150"/>
      <c r="X172" s="1428"/>
      <c r="Y172" s="1150"/>
      <c r="Z172" s="1428"/>
      <c r="AA172" s="781"/>
      <c r="AB172" s="412" t="str">
        <f>AB169&amp;".3"</f>
        <v>4.3</v>
      </c>
      <c r="AC172" s="413" t="s">
        <v>1048</v>
      </c>
      <c r="AD172" s="412" t="s">
        <v>1044</v>
      </c>
      <c r="AE172" s="1197"/>
      <c r="AF172" s="1197"/>
      <c r="AG172" s="1197"/>
      <c r="AH172" s="1197"/>
      <c r="AI172" s="227"/>
      <c r="AJ172" s="1183"/>
      <c r="AK172" s="1183"/>
      <c r="AL172" s="1197"/>
      <c r="AM172" s="1197"/>
      <c r="AN172" s="1197"/>
      <c r="AO172" s="1197"/>
      <c r="AP172" s="1197"/>
      <c r="AQ172" s="1197"/>
      <c r="AR172" s="1197"/>
      <c r="AS172" s="227"/>
      <c r="AT172" s="1183"/>
      <c r="AU172" s="1183"/>
      <c r="AV172" s="1197"/>
      <c r="AW172" s="1197"/>
      <c r="AX172" s="1197"/>
      <c r="AY172" s="1197"/>
      <c r="AZ172" s="1197"/>
      <c r="BA172" s="1197"/>
      <c r="BB172" s="1197"/>
      <c r="BC172" s="1231"/>
      <c r="BD172" s="781"/>
      <c r="BE172" s="781"/>
      <c r="BF172" s="960" t="s">
        <v>1113</v>
      </c>
    </row>
    <row r="173" spans="1:58" s="1167" customFormat="1" ht="14.25" customHeight="1" x14ac:dyDescent="0.15">
      <c r="A173" s="1150"/>
      <c r="B173" s="773"/>
      <c r="C173" s="1150"/>
      <c r="D173" s="1150"/>
      <c r="E173" s="668">
        <v>15</v>
      </c>
      <c r="F173" s="769" t="str" cm="1">
        <f t="array" ref="F173">F172</f>
        <v>1</v>
      </c>
      <c r="G173" s="804"/>
      <c r="H173" s="804"/>
      <c r="I173" s="804"/>
      <c r="J173" s="804"/>
      <c r="K173" s="804"/>
      <c r="L173" s="804"/>
      <c r="M173" s="804"/>
      <c r="N173" s="804"/>
      <c r="O173" s="804"/>
      <c r="P173" s="804"/>
      <c r="Q173" s="774"/>
      <c r="R173" s="774"/>
      <c r="S173" s="804"/>
      <c r="T173" s="690" t="b" cm="1">
        <f t="array" ref="T173">T172</f>
        <v>1</v>
      </c>
      <c r="U173" s="1150"/>
      <c r="V173" s="1150"/>
      <c r="W173" s="1150"/>
      <c r="X173" s="1428"/>
      <c r="Y173" s="1150"/>
      <c r="Z173" s="1428"/>
      <c r="AA173" s="781"/>
      <c r="AB173" s="412" t="str">
        <f>AB169&amp;".4"</f>
        <v>4.4</v>
      </c>
      <c r="AC173" s="413" t="s">
        <v>1050</v>
      </c>
      <c r="AD173" s="412" t="s">
        <v>1044</v>
      </c>
      <c r="AE173" s="1271">
        <f t="shared" ref="AE173:BB173" si="45">SUM(AE174:AE178)</f>
        <v>0</v>
      </c>
      <c r="AF173" s="1271">
        <f t="shared" si="45"/>
        <v>0</v>
      </c>
      <c r="AG173" s="1271">
        <f t="shared" si="45"/>
        <v>0</v>
      </c>
      <c r="AH173" s="1271">
        <f t="shared" si="45"/>
        <v>0</v>
      </c>
      <c r="AI173" s="407">
        <f t="shared" si="45"/>
        <v>0</v>
      </c>
      <c r="AJ173" s="1242">
        <f t="shared" si="45"/>
        <v>0</v>
      </c>
      <c r="AK173" s="1242">
        <f t="shared" si="45"/>
        <v>0</v>
      </c>
      <c r="AL173" s="1271">
        <f t="shared" si="45"/>
        <v>0</v>
      </c>
      <c r="AM173" s="1271">
        <f t="shared" si="45"/>
        <v>0</v>
      </c>
      <c r="AN173" s="1271">
        <f t="shared" si="45"/>
        <v>0</v>
      </c>
      <c r="AO173" s="1271">
        <f t="shared" si="45"/>
        <v>0</v>
      </c>
      <c r="AP173" s="1271">
        <f t="shared" si="45"/>
        <v>0</v>
      </c>
      <c r="AQ173" s="1271">
        <f t="shared" si="45"/>
        <v>0</v>
      </c>
      <c r="AR173" s="1271">
        <f t="shared" si="45"/>
        <v>0</v>
      </c>
      <c r="AS173" s="407">
        <f t="shared" si="45"/>
        <v>0</v>
      </c>
      <c r="AT173" s="1242">
        <f t="shared" si="45"/>
        <v>0</v>
      </c>
      <c r="AU173" s="1242">
        <f t="shared" si="45"/>
        <v>0</v>
      </c>
      <c r="AV173" s="1271">
        <f t="shared" si="45"/>
        <v>0</v>
      </c>
      <c r="AW173" s="1271">
        <f t="shared" si="45"/>
        <v>0</v>
      </c>
      <c r="AX173" s="1271">
        <f t="shared" si="45"/>
        <v>0</v>
      </c>
      <c r="AY173" s="1271">
        <f t="shared" si="45"/>
        <v>0</v>
      </c>
      <c r="AZ173" s="1271">
        <f t="shared" si="45"/>
        <v>0</v>
      </c>
      <c r="BA173" s="1271">
        <f t="shared" si="45"/>
        <v>0</v>
      </c>
      <c r="BB173" s="1271">
        <f t="shared" si="45"/>
        <v>0</v>
      </c>
      <c r="BC173" s="1231"/>
      <c r="BD173" s="781"/>
      <c r="BE173" s="781"/>
      <c r="BF173" s="960" t="s">
        <v>1114</v>
      </c>
    </row>
    <row r="174" spans="1:58" s="1167" customFormat="1" ht="14.25" customHeight="1" x14ac:dyDescent="0.15">
      <c r="A174" s="1150"/>
      <c r="B174" s="773"/>
      <c r="C174" s="1150"/>
      <c r="D174" s="1150"/>
      <c r="E174" s="668">
        <v>15</v>
      </c>
      <c r="F174" s="769" t="str" cm="1">
        <f t="array" ref="F174">F173</f>
        <v>1</v>
      </c>
      <c r="G174" s="804"/>
      <c r="H174" s="804"/>
      <c r="I174" s="804"/>
      <c r="J174" s="804"/>
      <c r="K174" s="804"/>
      <c r="L174" s="804"/>
      <c r="M174" s="804"/>
      <c r="N174" s="804"/>
      <c r="O174" s="804"/>
      <c r="P174" s="804"/>
      <c r="Q174" s="774"/>
      <c r="R174" s="774"/>
      <c r="S174" s="804"/>
      <c r="T174" s="690" t="b" cm="1">
        <f t="array" ref="T174">T173</f>
        <v>1</v>
      </c>
      <c r="U174" s="1150"/>
      <c r="V174" s="1150"/>
      <c r="W174" s="1150"/>
      <c r="X174" s="1428"/>
      <c r="Y174" s="1150"/>
      <c r="Z174" s="1428"/>
      <c r="AA174" s="781"/>
      <c r="AB174" s="412" t="str">
        <f>AB173&amp;".1"</f>
        <v>4.4.1</v>
      </c>
      <c r="AC174" s="414" t="s">
        <v>1053</v>
      </c>
      <c r="AD174" s="412" t="s">
        <v>1044</v>
      </c>
      <c r="AE174" s="1197"/>
      <c r="AF174" s="1197"/>
      <c r="AG174" s="1197"/>
      <c r="AH174" s="1197"/>
      <c r="AI174" s="227"/>
      <c r="AJ174" s="1183"/>
      <c r="AK174" s="1183"/>
      <c r="AL174" s="1197"/>
      <c r="AM174" s="1197"/>
      <c r="AN174" s="1197"/>
      <c r="AO174" s="1197"/>
      <c r="AP174" s="1197"/>
      <c r="AQ174" s="1197"/>
      <c r="AR174" s="1197"/>
      <c r="AS174" s="227"/>
      <c r="AT174" s="1183"/>
      <c r="AU174" s="1183"/>
      <c r="AV174" s="1197"/>
      <c r="AW174" s="1197"/>
      <c r="AX174" s="1197"/>
      <c r="AY174" s="1197"/>
      <c r="AZ174" s="1197"/>
      <c r="BA174" s="1197"/>
      <c r="BB174" s="1197"/>
      <c r="BC174" s="1231"/>
      <c r="BD174" s="781"/>
      <c r="BE174" s="781"/>
      <c r="BF174" s="960" t="s">
        <v>1115</v>
      </c>
    </row>
    <row r="175" spans="1:58" s="1167" customFormat="1" ht="14.25" customHeight="1" x14ac:dyDescent="0.15">
      <c r="A175" s="1150"/>
      <c r="B175" s="773"/>
      <c r="C175" s="1150"/>
      <c r="D175" s="1150"/>
      <c r="E175" s="668">
        <v>15</v>
      </c>
      <c r="F175" s="769" t="str" cm="1">
        <f t="array" ref="F175">F174</f>
        <v>1</v>
      </c>
      <c r="G175" s="804"/>
      <c r="H175" s="804"/>
      <c r="I175" s="804"/>
      <c r="J175" s="804"/>
      <c r="K175" s="804"/>
      <c r="L175" s="804"/>
      <c r="M175" s="804"/>
      <c r="N175" s="804"/>
      <c r="O175" s="804"/>
      <c r="P175" s="804"/>
      <c r="Q175" s="774"/>
      <c r="R175" s="774"/>
      <c r="S175" s="804"/>
      <c r="T175" s="690" t="b" cm="1">
        <f t="array" ref="T175">T174</f>
        <v>1</v>
      </c>
      <c r="U175" s="1150"/>
      <c r="V175" s="1150"/>
      <c r="W175" s="1150"/>
      <c r="X175" s="1428"/>
      <c r="Y175" s="1150"/>
      <c r="Z175" s="1428"/>
      <c r="AA175" s="781"/>
      <c r="AB175" s="412" t="str">
        <f>AB173&amp;".2"</f>
        <v>4.4.2</v>
      </c>
      <c r="AC175" s="414" t="s">
        <v>1056</v>
      </c>
      <c r="AD175" s="412" t="s">
        <v>1044</v>
      </c>
      <c r="AE175" s="1197"/>
      <c r="AF175" s="1197"/>
      <c r="AG175" s="1197"/>
      <c r="AH175" s="1197"/>
      <c r="AI175" s="227"/>
      <c r="AJ175" s="1183"/>
      <c r="AK175" s="1183"/>
      <c r="AL175" s="1197"/>
      <c r="AM175" s="1197"/>
      <c r="AN175" s="1197"/>
      <c r="AO175" s="1197"/>
      <c r="AP175" s="1197"/>
      <c r="AQ175" s="1197"/>
      <c r="AR175" s="1197"/>
      <c r="AS175" s="227"/>
      <c r="AT175" s="1183"/>
      <c r="AU175" s="1183"/>
      <c r="AV175" s="1197"/>
      <c r="AW175" s="1197"/>
      <c r="AX175" s="1197"/>
      <c r="AY175" s="1197"/>
      <c r="AZ175" s="1197"/>
      <c r="BA175" s="1197"/>
      <c r="BB175" s="1197"/>
      <c r="BC175" s="1231"/>
      <c r="BD175" s="781"/>
      <c r="BE175" s="781"/>
      <c r="BF175" s="960" t="s">
        <v>1116</v>
      </c>
    </row>
    <row r="176" spans="1:58" s="1167" customFormat="1" ht="14.25" customHeight="1" x14ac:dyDescent="0.15">
      <c r="A176" s="1150"/>
      <c r="B176" s="773"/>
      <c r="C176" s="1150"/>
      <c r="D176" s="1150"/>
      <c r="E176" s="668">
        <v>15</v>
      </c>
      <c r="F176" s="769" t="str" cm="1">
        <f t="array" ref="F176">F175</f>
        <v>1</v>
      </c>
      <c r="G176" s="804"/>
      <c r="H176" s="804"/>
      <c r="I176" s="804"/>
      <c r="J176" s="804"/>
      <c r="K176" s="804"/>
      <c r="L176" s="804"/>
      <c r="M176" s="804"/>
      <c r="N176" s="804"/>
      <c r="O176" s="804"/>
      <c r="P176" s="804"/>
      <c r="Q176" s="774"/>
      <c r="R176" s="774"/>
      <c r="S176" s="804"/>
      <c r="T176" s="690" t="b" cm="1">
        <f t="array" ref="T176">T175</f>
        <v>1</v>
      </c>
      <c r="U176" s="1150"/>
      <c r="V176" s="1150"/>
      <c r="W176" s="1150"/>
      <c r="X176" s="1428"/>
      <c r="Y176" s="1150"/>
      <c r="Z176" s="1428"/>
      <c r="AA176" s="781"/>
      <c r="AB176" s="412" t="str">
        <f>AB173&amp;".3"</f>
        <v>4.4.3</v>
      </c>
      <c r="AC176" s="414" t="s">
        <v>1059</v>
      </c>
      <c r="AD176" s="412" t="s">
        <v>1044</v>
      </c>
      <c r="AE176" s="1197"/>
      <c r="AF176" s="1197"/>
      <c r="AG176" s="1197"/>
      <c r="AH176" s="1197"/>
      <c r="AI176" s="227"/>
      <c r="AJ176" s="1183"/>
      <c r="AK176" s="1183"/>
      <c r="AL176" s="1197"/>
      <c r="AM176" s="1197"/>
      <c r="AN176" s="1197"/>
      <c r="AO176" s="1197"/>
      <c r="AP176" s="1197"/>
      <c r="AQ176" s="1197"/>
      <c r="AR176" s="1197"/>
      <c r="AS176" s="227"/>
      <c r="AT176" s="1183"/>
      <c r="AU176" s="1183"/>
      <c r="AV176" s="1197"/>
      <c r="AW176" s="1197"/>
      <c r="AX176" s="1197"/>
      <c r="AY176" s="1197"/>
      <c r="AZ176" s="1197"/>
      <c r="BA176" s="1197"/>
      <c r="BB176" s="1197"/>
      <c r="BC176" s="1231"/>
      <c r="BD176" s="781"/>
      <c r="BE176" s="781"/>
      <c r="BF176" s="960" t="s">
        <v>1117</v>
      </c>
    </row>
    <row r="177" spans="1:58" s="1167" customFormat="1" ht="14.25" customHeight="1" x14ac:dyDescent="0.15">
      <c r="A177" s="1150"/>
      <c r="B177" s="773"/>
      <c r="C177" s="1150"/>
      <c r="D177" s="1150"/>
      <c r="E177" s="668">
        <v>15</v>
      </c>
      <c r="F177" s="769" t="str" cm="1">
        <f t="array" ref="F177">F176</f>
        <v>1</v>
      </c>
      <c r="G177" s="804"/>
      <c r="H177" s="804"/>
      <c r="I177" s="804"/>
      <c r="J177" s="804"/>
      <c r="K177" s="804"/>
      <c r="L177" s="804"/>
      <c r="M177" s="804"/>
      <c r="N177" s="804"/>
      <c r="O177" s="804"/>
      <c r="P177" s="804"/>
      <c r="Q177" s="774"/>
      <c r="R177" s="774"/>
      <c r="S177" s="804"/>
      <c r="T177" s="690" t="b" cm="1">
        <f t="array" ref="T177">T176</f>
        <v>1</v>
      </c>
      <c r="U177" s="1150"/>
      <c r="V177" s="1150"/>
      <c r="W177" s="1150"/>
      <c r="X177" s="1428"/>
      <c r="Y177" s="1150"/>
      <c r="Z177" s="1428"/>
      <c r="AA177" s="781"/>
      <c r="AB177" s="412" t="str">
        <f>AB173&amp;".4"</f>
        <v>4.4.4</v>
      </c>
      <c r="AC177" s="414" t="s">
        <v>1062</v>
      </c>
      <c r="AD177" s="412" t="s">
        <v>1044</v>
      </c>
      <c r="AE177" s="1197"/>
      <c r="AF177" s="1197"/>
      <c r="AG177" s="1197"/>
      <c r="AH177" s="1197"/>
      <c r="AI177" s="227"/>
      <c r="AJ177" s="1183"/>
      <c r="AK177" s="1183"/>
      <c r="AL177" s="1197"/>
      <c r="AM177" s="1197"/>
      <c r="AN177" s="1197"/>
      <c r="AO177" s="1197"/>
      <c r="AP177" s="1197"/>
      <c r="AQ177" s="1197"/>
      <c r="AR177" s="1197"/>
      <c r="AS177" s="227"/>
      <c r="AT177" s="1183"/>
      <c r="AU177" s="1183"/>
      <c r="AV177" s="1197"/>
      <c r="AW177" s="1197"/>
      <c r="AX177" s="1197"/>
      <c r="AY177" s="1197"/>
      <c r="AZ177" s="1197"/>
      <c r="BA177" s="1197"/>
      <c r="BB177" s="1197"/>
      <c r="BC177" s="1231"/>
      <c r="BD177" s="781"/>
      <c r="BE177" s="781"/>
      <c r="BF177" s="960" t="s">
        <v>1118</v>
      </c>
    </row>
    <row r="178" spans="1:58" s="1167" customFormat="1" ht="14.25" customHeight="1" x14ac:dyDescent="0.15">
      <c r="A178" s="1150"/>
      <c r="B178" s="773"/>
      <c r="C178" s="1150"/>
      <c r="D178" s="1150"/>
      <c r="E178" s="668">
        <v>15</v>
      </c>
      <c r="F178" s="769" t="str" cm="1">
        <f t="array" ref="F178">F177</f>
        <v>1</v>
      </c>
      <c r="G178" s="804"/>
      <c r="H178" s="804"/>
      <c r="I178" s="804"/>
      <c r="J178" s="804"/>
      <c r="K178" s="804"/>
      <c r="L178" s="804"/>
      <c r="M178" s="804"/>
      <c r="N178" s="804"/>
      <c r="O178" s="804"/>
      <c r="P178" s="804"/>
      <c r="Q178" s="774"/>
      <c r="R178" s="774"/>
      <c r="S178" s="804"/>
      <c r="T178" s="690" t="b" cm="1">
        <f t="array" ref="T178">T177</f>
        <v>1</v>
      </c>
      <c r="U178" s="1150"/>
      <c r="V178" s="1150"/>
      <c r="W178" s="1150"/>
      <c r="X178" s="1428"/>
      <c r="Y178" s="1150"/>
      <c r="Z178" s="1428"/>
      <c r="AA178" s="781"/>
      <c r="AB178" s="412" t="str">
        <f>AB173&amp;".5"</f>
        <v>4.4.5</v>
      </c>
      <c r="AC178" s="414" t="s">
        <v>1065</v>
      </c>
      <c r="AD178" s="412" t="s">
        <v>1044</v>
      </c>
      <c r="AE178" s="1197"/>
      <c r="AF178" s="1197"/>
      <c r="AG178" s="1197"/>
      <c r="AH178" s="1197"/>
      <c r="AI178" s="227"/>
      <c r="AJ178" s="1183"/>
      <c r="AK178" s="1183"/>
      <c r="AL178" s="1197"/>
      <c r="AM178" s="1197"/>
      <c r="AN178" s="1197"/>
      <c r="AO178" s="1197"/>
      <c r="AP178" s="1197"/>
      <c r="AQ178" s="1197"/>
      <c r="AR178" s="1197"/>
      <c r="AS178" s="227"/>
      <c r="AT178" s="1183"/>
      <c r="AU178" s="1183"/>
      <c r="AV178" s="1197"/>
      <c r="AW178" s="1197"/>
      <c r="AX178" s="1197"/>
      <c r="AY178" s="1197"/>
      <c r="AZ178" s="1197"/>
      <c r="BA178" s="1197"/>
      <c r="BB178" s="1197"/>
      <c r="BC178" s="1231"/>
      <c r="BD178" s="781"/>
      <c r="BE178" s="781"/>
      <c r="BF178" s="960" t="s">
        <v>1119</v>
      </c>
    </row>
    <row r="179" spans="1:58" s="1167" customFormat="1" ht="14.25" customHeight="1" x14ac:dyDescent="0.15">
      <c r="A179" s="1150"/>
      <c r="B179" s="773"/>
      <c r="C179" s="1150"/>
      <c r="D179" s="1150"/>
      <c r="E179" s="668">
        <v>15</v>
      </c>
      <c r="F179" s="769" t="str" cm="1">
        <f t="array" ref="F179">F178</f>
        <v>1</v>
      </c>
      <c r="G179" s="804"/>
      <c r="H179" s="804"/>
      <c r="I179" s="804"/>
      <c r="J179" s="804"/>
      <c r="K179" s="804"/>
      <c r="L179" s="804"/>
      <c r="M179" s="804"/>
      <c r="N179" s="804"/>
      <c r="O179" s="804"/>
      <c r="P179" s="804"/>
      <c r="Q179" s="774"/>
      <c r="R179" s="774"/>
      <c r="S179" s="804"/>
      <c r="T179" s="690" t="b" cm="1">
        <f t="array" ref="T179">T178</f>
        <v>1</v>
      </c>
      <c r="U179" s="1150"/>
      <c r="V179" s="1150"/>
      <c r="W179" s="1150"/>
      <c r="X179" s="1428"/>
      <c r="Y179" s="1150"/>
      <c r="Z179" s="1428"/>
      <c r="AA179" s="781"/>
      <c r="AB179" s="412" t="str">
        <f>AB169&amp;".5"</f>
        <v>4.5</v>
      </c>
      <c r="AC179" s="413" t="s">
        <v>1068</v>
      </c>
      <c r="AD179" s="412" t="s">
        <v>1044</v>
      </c>
      <c r="AE179" s="1197"/>
      <c r="AF179" s="1197"/>
      <c r="AG179" s="1197"/>
      <c r="AH179" s="1197"/>
      <c r="AI179" s="227"/>
      <c r="AJ179" s="1183"/>
      <c r="AK179" s="1183"/>
      <c r="AL179" s="1197"/>
      <c r="AM179" s="1197"/>
      <c r="AN179" s="1197"/>
      <c r="AO179" s="1197"/>
      <c r="AP179" s="1197"/>
      <c r="AQ179" s="1197"/>
      <c r="AR179" s="1197"/>
      <c r="AS179" s="227"/>
      <c r="AT179" s="1183"/>
      <c r="AU179" s="1183"/>
      <c r="AV179" s="1197"/>
      <c r="AW179" s="1197"/>
      <c r="AX179" s="1197"/>
      <c r="AY179" s="1197"/>
      <c r="AZ179" s="1197"/>
      <c r="BA179" s="1197"/>
      <c r="BB179" s="1197"/>
      <c r="BC179" s="1231"/>
      <c r="BD179" s="781"/>
      <c r="BE179" s="781"/>
      <c r="BF179" s="960" t="s">
        <v>1120</v>
      </c>
    </row>
    <row r="180" spans="1:58" s="1167" customFormat="1" ht="14.25" customHeight="1" x14ac:dyDescent="0.15">
      <c r="A180" s="1150"/>
      <c r="B180" s="773"/>
      <c r="C180" s="1150"/>
      <c r="D180" s="1150"/>
      <c r="E180" s="668">
        <v>15</v>
      </c>
      <c r="F180" s="769" t="str" cm="1">
        <f t="array" ref="F180">F179</f>
        <v>1</v>
      </c>
      <c r="G180" s="804"/>
      <c r="H180" s="804"/>
      <c r="I180" s="804"/>
      <c r="J180" s="804"/>
      <c r="K180" s="804"/>
      <c r="L180" s="804"/>
      <c r="M180" s="804"/>
      <c r="N180" s="804"/>
      <c r="O180" s="804"/>
      <c r="P180" s="804"/>
      <c r="Q180" s="774"/>
      <c r="R180" s="774"/>
      <c r="S180" s="804"/>
      <c r="T180" s="690" t="b" cm="1">
        <f t="array" ref="T180">T179</f>
        <v>1</v>
      </c>
      <c r="U180" s="1150"/>
      <c r="V180" s="1150"/>
      <c r="W180" s="1150"/>
      <c r="X180" s="1428"/>
      <c r="Y180" s="1150"/>
      <c r="Z180" s="1428"/>
      <c r="AA180" s="781"/>
      <c r="AB180" s="412" t="str">
        <f>AB169&amp;".6"</f>
        <v>4.6</v>
      </c>
      <c r="AC180" s="413" t="s">
        <v>1071</v>
      </c>
      <c r="AD180" s="412" t="s">
        <v>1044</v>
      </c>
      <c r="AE180" s="1197"/>
      <c r="AF180" s="1197"/>
      <c r="AG180" s="1197"/>
      <c r="AH180" s="1197"/>
      <c r="AI180" s="227"/>
      <c r="AJ180" s="1183"/>
      <c r="AK180" s="1183"/>
      <c r="AL180" s="1197"/>
      <c r="AM180" s="1197"/>
      <c r="AN180" s="1197"/>
      <c r="AO180" s="1197"/>
      <c r="AP180" s="1197"/>
      <c r="AQ180" s="1197"/>
      <c r="AR180" s="1197"/>
      <c r="AS180" s="227"/>
      <c r="AT180" s="1183"/>
      <c r="AU180" s="1183"/>
      <c r="AV180" s="1197"/>
      <c r="AW180" s="1197"/>
      <c r="AX180" s="1197"/>
      <c r="AY180" s="1197"/>
      <c r="AZ180" s="1197"/>
      <c r="BA180" s="1197"/>
      <c r="BB180" s="1197"/>
      <c r="BC180" s="1231"/>
      <c r="BD180" s="781"/>
      <c r="BE180" s="781"/>
      <c r="BF180" s="960" t="s">
        <v>1121</v>
      </c>
    </row>
    <row r="181" spans="1:58" s="1167" customFormat="1" ht="14.25" customHeight="1" x14ac:dyDescent="0.15">
      <c r="A181" s="1150"/>
      <c r="B181" s="773"/>
      <c r="C181" s="1150"/>
      <c r="D181" s="1150"/>
      <c r="E181" s="668">
        <v>15</v>
      </c>
      <c r="F181" s="769" t="str" cm="1">
        <f t="array" ref="F181">F180</f>
        <v>1</v>
      </c>
      <c r="G181" s="804"/>
      <c r="H181" s="804"/>
      <c r="I181" s="804"/>
      <c r="J181" s="804"/>
      <c r="K181" s="804"/>
      <c r="L181" s="804"/>
      <c r="M181" s="804"/>
      <c r="N181" s="804"/>
      <c r="O181" s="804"/>
      <c r="P181" s="804"/>
      <c r="Q181" s="774"/>
      <c r="R181" s="774"/>
      <c r="S181" s="804"/>
      <c r="T181" s="690" t="b" cm="1">
        <f t="array" ref="T181">T180</f>
        <v>1</v>
      </c>
      <c r="U181" s="1150"/>
      <c r="V181" s="1150"/>
      <c r="W181" s="1150"/>
      <c r="X181" s="1428"/>
      <c r="Y181" s="1150"/>
      <c r="Z181" s="1428"/>
      <c r="AA181" s="781"/>
      <c r="AB181" s="412" t="str">
        <f>AB169&amp;".7"</f>
        <v>4.7</v>
      </c>
      <c r="AC181" s="413" t="s">
        <v>1074</v>
      </c>
      <c r="AD181" s="412" t="s">
        <v>1044</v>
      </c>
      <c r="AE181" s="1197"/>
      <c r="AF181" s="1197"/>
      <c r="AG181" s="1197"/>
      <c r="AH181" s="1197"/>
      <c r="AI181" s="227"/>
      <c r="AJ181" s="1183"/>
      <c r="AK181" s="1183"/>
      <c r="AL181" s="1197"/>
      <c r="AM181" s="1197"/>
      <c r="AN181" s="1197"/>
      <c r="AO181" s="1197"/>
      <c r="AP181" s="1197"/>
      <c r="AQ181" s="1197"/>
      <c r="AR181" s="1197"/>
      <c r="AS181" s="227"/>
      <c r="AT181" s="1183"/>
      <c r="AU181" s="1183"/>
      <c r="AV181" s="1197"/>
      <c r="AW181" s="1197"/>
      <c r="AX181" s="1197"/>
      <c r="AY181" s="1197"/>
      <c r="AZ181" s="1197"/>
      <c r="BA181" s="1197"/>
      <c r="BB181" s="1197"/>
      <c r="BC181" s="1231"/>
      <c r="BD181" s="781"/>
      <c r="BE181" s="781"/>
      <c r="BF181" s="960" t="s">
        <v>1122</v>
      </c>
    </row>
    <row r="182" spans="1:58" s="1167" customFormat="1" ht="14.25" customHeight="1" x14ac:dyDescent="0.15">
      <c r="A182" s="1150"/>
      <c r="B182" s="773"/>
      <c r="C182" s="1150"/>
      <c r="D182" s="1150"/>
      <c r="E182" s="668">
        <v>15</v>
      </c>
      <c r="F182" s="769" t="str" cm="1">
        <f t="array" ref="F182">F181</f>
        <v>1</v>
      </c>
      <c r="G182" s="804"/>
      <c r="H182" s="804"/>
      <c r="I182" s="804"/>
      <c r="J182" s="804"/>
      <c r="K182" s="804"/>
      <c r="L182" s="804"/>
      <c r="M182" s="804"/>
      <c r="N182" s="804"/>
      <c r="O182" s="804"/>
      <c r="P182" s="804"/>
      <c r="Q182" s="774"/>
      <c r="R182" s="774"/>
      <c r="S182" s="804"/>
      <c r="T182" s="690" t="b" cm="1">
        <f t="array" ref="T182">T181</f>
        <v>1</v>
      </c>
      <c r="U182" s="1150"/>
      <c r="V182" s="1150"/>
      <c r="W182" s="1150"/>
      <c r="X182" s="1428"/>
      <c r="Y182" s="1150"/>
      <c r="Z182" s="1428"/>
      <c r="AA182" s="781"/>
      <c r="AB182" s="412" t="str">
        <f>AB169&amp;".8"</f>
        <v>4.8</v>
      </c>
      <c r="AC182" s="413" t="s">
        <v>1077</v>
      </c>
      <c r="AD182" s="412" t="s">
        <v>1044</v>
      </c>
      <c r="AE182" s="1197"/>
      <c r="AF182" s="1197"/>
      <c r="AG182" s="1197"/>
      <c r="AH182" s="1197"/>
      <c r="AI182" s="227"/>
      <c r="AJ182" s="1183"/>
      <c r="AK182" s="1183"/>
      <c r="AL182" s="1197"/>
      <c r="AM182" s="1197"/>
      <c r="AN182" s="1197"/>
      <c r="AO182" s="1197"/>
      <c r="AP182" s="1197"/>
      <c r="AQ182" s="1197"/>
      <c r="AR182" s="1197"/>
      <c r="AS182" s="227"/>
      <c r="AT182" s="1183"/>
      <c r="AU182" s="1183"/>
      <c r="AV182" s="1197"/>
      <c r="AW182" s="1197"/>
      <c r="AX182" s="1197"/>
      <c r="AY182" s="1197"/>
      <c r="AZ182" s="1197"/>
      <c r="BA182" s="1197"/>
      <c r="BB182" s="1197"/>
      <c r="BC182" s="1231"/>
      <c r="BD182" s="781"/>
      <c r="BE182" s="781"/>
      <c r="BF182" s="960" t="s">
        <v>1123</v>
      </c>
    </row>
    <row r="183" spans="1:58" s="164" customFormat="1" ht="21.75" customHeight="1" x14ac:dyDescent="0.15">
      <c r="E183" s="668">
        <v>22.8</v>
      </c>
      <c r="F183" s="769" t="str" cm="1">
        <f t="array" ref="F183">F182</f>
        <v>1</v>
      </c>
      <c r="T183" s="690" t="b" cm="1">
        <f t="array" ref="T183">T182</f>
        <v>1</v>
      </c>
      <c r="X183" s="1572"/>
      <c r="Z183" s="1572"/>
      <c r="AB183" s="224">
        <v>5</v>
      </c>
      <c r="AC183" s="225" t="s">
        <v>1124</v>
      </c>
      <c r="AD183" s="104" t="s">
        <v>830</v>
      </c>
      <c r="AE183" s="1270">
        <f t="shared" ref="AE183:BB183" si="46">SUM(AE184:AE187)+SUM(AE193:AE196)</f>
        <v>0</v>
      </c>
      <c r="AF183" s="1270">
        <f t="shared" si="46"/>
        <v>0</v>
      </c>
      <c r="AG183" s="1270">
        <f t="shared" si="46"/>
        <v>0</v>
      </c>
      <c r="AH183" s="1270">
        <f t="shared" si="46"/>
        <v>0</v>
      </c>
      <c r="AI183" s="239">
        <f t="shared" si="46"/>
        <v>0</v>
      </c>
      <c r="AJ183" s="1263">
        <f t="shared" si="46"/>
        <v>0</v>
      </c>
      <c r="AK183" s="1263">
        <f t="shared" si="46"/>
        <v>0</v>
      </c>
      <c r="AL183" s="1270">
        <f t="shared" si="46"/>
        <v>0</v>
      </c>
      <c r="AM183" s="1270">
        <f t="shared" si="46"/>
        <v>0</v>
      </c>
      <c r="AN183" s="1270">
        <f t="shared" si="46"/>
        <v>0</v>
      </c>
      <c r="AO183" s="1270">
        <f t="shared" si="46"/>
        <v>0</v>
      </c>
      <c r="AP183" s="1270">
        <f t="shared" si="46"/>
        <v>0</v>
      </c>
      <c r="AQ183" s="1270">
        <f t="shared" si="46"/>
        <v>0</v>
      </c>
      <c r="AR183" s="1270">
        <f t="shared" si="46"/>
        <v>0</v>
      </c>
      <c r="AS183" s="239">
        <f t="shared" si="46"/>
        <v>0</v>
      </c>
      <c r="AT183" s="1263">
        <f t="shared" si="46"/>
        <v>0</v>
      </c>
      <c r="AU183" s="1263">
        <f t="shared" si="46"/>
        <v>0</v>
      </c>
      <c r="AV183" s="1270">
        <f t="shared" si="46"/>
        <v>0</v>
      </c>
      <c r="AW183" s="1270">
        <f t="shared" si="46"/>
        <v>0</v>
      </c>
      <c r="AX183" s="1270">
        <f t="shared" si="46"/>
        <v>0</v>
      </c>
      <c r="AY183" s="1270">
        <f t="shared" si="46"/>
        <v>0</v>
      </c>
      <c r="AZ183" s="1270">
        <f t="shared" si="46"/>
        <v>0</v>
      </c>
      <c r="BA183" s="1270">
        <f t="shared" si="46"/>
        <v>0</v>
      </c>
      <c r="BB183" s="1270">
        <f t="shared" si="46"/>
        <v>0</v>
      </c>
      <c r="BC183" s="1231"/>
      <c r="BF183" s="960" t="s">
        <v>1125</v>
      </c>
    </row>
    <row r="184" spans="1:58" s="1167" customFormat="1" ht="14.25" customHeight="1" x14ac:dyDescent="0.15">
      <c r="A184" s="1150"/>
      <c r="B184" s="773"/>
      <c r="C184" s="1150"/>
      <c r="D184" s="1150"/>
      <c r="E184" s="668">
        <v>15</v>
      </c>
      <c r="F184" s="769" t="str" cm="1">
        <f t="array" ref="F184">F183</f>
        <v>1</v>
      </c>
      <c r="G184" s="804"/>
      <c r="H184" s="804"/>
      <c r="I184" s="804"/>
      <c r="J184" s="804"/>
      <c r="K184" s="804"/>
      <c r="L184" s="804"/>
      <c r="M184" s="804"/>
      <c r="N184" s="804"/>
      <c r="O184" s="804"/>
      <c r="P184" s="804"/>
      <c r="Q184" s="774"/>
      <c r="R184" s="774"/>
      <c r="S184" s="804"/>
      <c r="T184" s="690" t="b" cm="1">
        <f t="array" ref="T184">T183</f>
        <v>1</v>
      </c>
      <c r="U184" s="1150"/>
      <c r="V184" s="1150"/>
      <c r="W184" s="1150"/>
      <c r="X184" s="1428"/>
      <c r="Y184" s="1150"/>
      <c r="Z184" s="1428"/>
      <c r="AA184" s="781"/>
      <c r="AB184" s="404" t="str">
        <f>AB183&amp;".1"</f>
        <v>5.1</v>
      </c>
      <c r="AC184" s="396" t="s">
        <v>1043</v>
      </c>
      <c r="AD184" s="404" t="s">
        <v>1044</v>
      </c>
      <c r="AE184" s="1271">
        <f t="shared" ref="AE184:BB184" si="47">(AE128*2+AE142+AE156-AE170)/2</f>
        <v>0</v>
      </c>
      <c r="AF184" s="1271">
        <f t="shared" si="47"/>
        <v>0</v>
      </c>
      <c r="AG184" s="1271">
        <f t="shared" si="47"/>
        <v>0</v>
      </c>
      <c r="AH184" s="1271">
        <f t="shared" si="47"/>
        <v>0</v>
      </c>
      <c r="AI184" s="407">
        <f t="shared" si="47"/>
        <v>0</v>
      </c>
      <c r="AJ184" s="1242">
        <f t="shared" si="47"/>
        <v>0</v>
      </c>
      <c r="AK184" s="1242">
        <f t="shared" si="47"/>
        <v>0</v>
      </c>
      <c r="AL184" s="1271">
        <f t="shared" si="47"/>
        <v>0</v>
      </c>
      <c r="AM184" s="1271">
        <f t="shared" si="47"/>
        <v>0</v>
      </c>
      <c r="AN184" s="1271">
        <f t="shared" si="47"/>
        <v>0</v>
      </c>
      <c r="AO184" s="1271">
        <f t="shared" si="47"/>
        <v>0</v>
      </c>
      <c r="AP184" s="1271">
        <f t="shared" si="47"/>
        <v>0</v>
      </c>
      <c r="AQ184" s="1271">
        <f t="shared" si="47"/>
        <v>0</v>
      </c>
      <c r="AR184" s="1271">
        <f t="shared" si="47"/>
        <v>0</v>
      </c>
      <c r="AS184" s="407">
        <f t="shared" si="47"/>
        <v>0</v>
      </c>
      <c r="AT184" s="1242">
        <f t="shared" si="47"/>
        <v>0</v>
      </c>
      <c r="AU184" s="1242">
        <f t="shared" si="47"/>
        <v>0</v>
      </c>
      <c r="AV184" s="1271">
        <f t="shared" si="47"/>
        <v>0</v>
      </c>
      <c r="AW184" s="1271">
        <f t="shared" si="47"/>
        <v>0</v>
      </c>
      <c r="AX184" s="1271">
        <f t="shared" si="47"/>
        <v>0</v>
      </c>
      <c r="AY184" s="1271">
        <f t="shared" si="47"/>
        <v>0</v>
      </c>
      <c r="AZ184" s="1271">
        <f t="shared" si="47"/>
        <v>0</v>
      </c>
      <c r="BA184" s="1271">
        <f t="shared" si="47"/>
        <v>0</v>
      </c>
      <c r="BB184" s="1271">
        <f t="shared" si="47"/>
        <v>0</v>
      </c>
      <c r="BC184" s="1272"/>
      <c r="BD184" s="781"/>
      <c r="BE184" s="781"/>
      <c r="BF184" s="960" t="s">
        <v>1126</v>
      </c>
    </row>
    <row r="185" spans="1:58" s="1167" customFormat="1" ht="14.25" customHeight="1" x14ac:dyDescent="0.15">
      <c r="A185" s="1150"/>
      <c r="B185" s="773"/>
      <c r="C185" s="1150"/>
      <c r="D185" s="1150"/>
      <c r="E185" s="668">
        <v>15</v>
      </c>
      <c r="F185" s="769" t="str" cm="1">
        <f t="array" ref="F185">F184</f>
        <v>1</v>
      </c>
      <c r="G185" s="804"/>
      <c r="H185" s="804"/>
      <c r="I185" s="804"/>
      <c r="J185" s="804"/>
      <c r="K185" s="804"/>
      <c r="L185" s="804"/>
      <c r="M185" s="804"/>
      <c r="N185" s="804"/>
      <c r="O185" s="804"/>
      <c r="P185" s="804"/>
      <c r="Q185" s="774"/>
      <c r="R185" s="774"/>
      <c r="S185" s="804"/>
      <c r="T185" s="690" t="b" cm="1">
        <f t="array" ref="T185">T184</f>
        <v>1</v>
      </c>
      <c r="U185" s="1150"/>
      <c r="V185" s="1150"/>
      <c r="W185" s="1150"/>
      <c r="X185" s="1428"/>
      <c r="Y185" s="1150"/>
      <c r="Z185" s="1428"/>
      <c r="AA185" s="781"/>
      <c r="AB185" s="404" t="str">
        <f>AB183&amp;".2"</f>
        <v>5.2</v>
      </c>
      <c r="AC185" s="396" t="s">
        <v>1046</v>
      </c>
      <c r="AD185" s="404" t="s">
        <v>1044</v>
      </c>
      <c r="AE185" s="1271">
        <f t="shared" ref="AE185:BB185" si="48">(AE129*2+AE143+AE157-AE171)/2</f>
        <v>0</v>
      </c>
      <c r="AF185" s="1271">
        <f t="shared" si="48"/>
        <v>0</v>
      </c>
      <c r="AG185" s="1271">
        <f t="shared" si="48"/>
        <v>0</v>
      </c>
      <c r="AH185" s="1271">
        <f t="shared" si="48"/>
        <v>0</v>
      </c>
      <c r="AI185" s="407">
        <f t="shared" si="48"/>
        <v>0</v>
      </c>
      <c r="AJ185" s="1242">
        <f t="shared" si="48"/>
        <v>0</v>
      </c>
      <c r="AK185" s="1242">
        <f t="shared" si="48"/>
        <v>0</v>
      </c>
      <c r="AL185" s="1271">
        <f t="shared" si="48"/>
        <v>0</v>
      </c>
      <c r="AM185" s="1271">
        <f t="shared" si="48"/>
        <v>0</v>
      </c>
      <c r="AN185" s="1271">
        <f t="shared" si="48"/>
        <v>0</v>
      </c>
      <c r="AO185" s="1271">
        <f t="shared" si="48"/>
        <v>0</v>
      </c>
      <c r="AP185" s="1271">
        <f t="shared" si="48"/>
        <v>0</v>
      </c>
      <c r="AQ185" s="1271">
        <f t="shared" si="48"/>
        <v>0</v>
      </c>
      <c r="AR185" s="1271">
        <f t="shared" si="48"/>
        <v>0</v>
      </c>
      <c r="AS185" s="407">
        <f t="shared" si="48"/>
        <v>0</v>
      </c>
      <c r="AT185" s="1242">
        <f t="shared" si="48"/>
        <v>0</v>
      </c>
      <c r="AU185" s="1242">
        <f t="shared" si="48"/>
        <v>0</v>
      </c>
      <c r="AV185" s="1271">
        <f t="shared" si="48"/>
        <v>0</v>
      </c>
      <c r="AW185" s="1271">
        <f t="shared" si="48"/>
        <v>0</v>
      </c>
      <c r="AX185" s="1271">
        <f t="shared" si="48"/>
        <v>0</v>
      </c>
      <c r="AY185" s="1271">
        <f t="shared" si="48"/>
        <v>0</v>
      </c>
      <c r="AZ185" s="1271">
        <f t="shared" si="48"/>
        <v>0</v>
      </c>
      <c r="BA185" s="1271">
        <f t="shared" si="48"/>
        <v>0</v>
      </c>
      <c r="BB185" s="1271">
        <f t="shared" si="48"/>
        <v>0</v>
      </c>
      <c r="BC185" s="1272"/>
      <c r="BD185" s="781"/>
      <c r="BE185" s="781"/>
      <c r="BF185" s="960" t="s">
        <v>1127</v>
      </c>
    </row>
    <row r="186" spans="1:58" s="1167" customFormat="1" ht="14.25" customHeight="1" x14ac:dyDescent="0.15">
      <c r="A186" s="1150"/>
      <c r="B186" s="773"/>
      <c r="C186" s="1150"/>
      <c r="D186" s="1150"/>
      <c r="E186" s="668">
        <v>15</v>
      </c>
      <c r="F186" s="769" t="str" cm="1">
        <f t="array" ref="F186">F185</f>
        <v>1</v>
      </c>
      <c r="G186" s="804"/>
      <c r="H186" s="804"/>
      <c r="I186" s="804"/>
      <c r="J186" s="804"/>
      <c r="K186" s="804"/>
      <c r="L186" s="804"/>
      <c r="M186" s="804"/>
      <c r="N186" s="804"/>
      <c r="O186" s="804"/>
      <c r="P186" s="804"/>
      <c r="Q186" s="774"/>
      <c r="R186" s="774"/>
      <c r="S186" s="804"/>
      <c r="T186" s="690" t="b" cm="1">
        <f t="array" ref="T186">T185</f>
        <v>1</v>
      </c>
      <c r="U186" s="1150"/>
      <c r="V186" s="1150"/>
      <c r="W186" s="1150"/>
      <c r="X186" s="1428"/>
      <c r="Y186" s="1150"/>
      <c r="Z186" s="1428"/>
      <c r="AA186" s="781"/>
      <c r="AB186" s="404" t="str">
        <f>AB183&amp;".3"</f>
        <v>5.3</v>
      </c>
      <c r="AC186" s="396" t="s">
        <v>1048</v>
      </c>
      <c r="AD186" s="404" t="s">
        <v>1044</v>
      </c>
      <c r="AE186" s="1271">
        <f t="shared" ref="AE186:BB186" si="49">(AE130*2+AE144+AE158-AE172)/2</f>
        <v>0</v>
      </c>
      <c r="AF186" s="1271">
        <f t="shared" si="49"/>
        <v>0</v>
      </c>
      <c r="AG186" s="1271">
        <f t="shared" si="49"/>
        <v>0</v>
      </c>
      <c r="AH186" s="1271">
        <f t="shared" si="49"/>
        <v>0</v>
      </c>
      <c r="AI186" s="407">
        <f t="shared" si="49"/>
        <v>0</v>
      </c>
      <c r="AJ186" s="1242">
        <f t="shared" si="49"/>
        <v>0</v>
      </c>
      <c r="AK186" s="1242">
        <f t="shared" si="49"/>
        <v>0</v>
      </c>
      <c r="AL186" s="1271">
        <f t="shared" si="49"/>
        <v>0</v>
      </c>
      <c r="AM186" s="1271">
        <f t="shared" si="49"/>
        <v>0</v>
      </c>
      <c r="AN186" s="1271">
        <f t="shared" si="49"/>
        <v>0</v>
      </c>
      <c r="AO186" s="1271">
        <f t="shared" si="49"/>
        <v>0</v>
      </c>
      <c r="AP186" s="1271">
        <f t="shared" si="49"/>
        <v>0</v>
      </c>
      <c r="AQ186" s="1271">
        <f t="shared" si="49"/>
        <v>0</v>
      </c>
      <c r="AR186" s="1271">
        <f t="shared" si="49"/>
        <v>0</v>
      </c>
      <c r="AS186" s="407">
        <f t="shared" si="49"/>
        <v>0</v>
      </c>
      <c r="AT186" s="1242">
        <f t="shared" si="49"/>
        <v>0</v>
      </c>
      <c r="AU186" s="1242">
        <f t="shared" si="49"/>
        <v>0</v>
      </c>
      <c r="AV186" s="1271">
        <f t="shared" si="49"/>
        <v>0</v>
      </c>
      <c r="AW186" s="1271">
        <f t="shared" si="49"/>
        <v>0</v>
      </c>
      <c r="AX186" s="1271">
        <f t="shared" si="49"/>
        <v>0</v>
      </c>
      <c r="AY186" s="1271">
        <f t="shared" si="49"/>
        <v>0</v>
      </c>
      <c r="AZ186" s="1271">
        <f t="shared" si="49"/>
        <v>0</v>
      </c>
      <c r="BA186" s="1271">
        <f t="shared" si="49"/>
        <v>0</v>
      </c>
      <c r="BB186" s="1271">
        <f t="shared" si="49"/>
        <v>0</v>
      </c>
      <c r="BC186" s="1272"/>
      <c r="BD186" s="781"/>
      <c r="BE186" s="781"/>
      <c r="BF186" s="960" t="s">
        <v>1128</v>
      </c>
    </row>
    <row r="187" spans="1:58" s="1167" customFormat="1" ht="14.25" customHeight="1" x14ac:dyDescent="0.15">
      <c r="A187" s="1150"/>
      <c r="B187" s="773"/>
      <c r="C187" s="1150"/>
      <c r="D187" s="1150"/>
      <c r="E187" s="668">
        <v>15</v>
      </c>
      <c r="F187" s="769" t="str" cm="1">
        <f t="array" ref="F187">F186</f>
        <v>1</v>
      </c>
      <c r="G187" s="804"/>
      <c r="H187" s="804"/>
      <c r="I187" s="804"/>
      <c r="J187" s="804"/>
      <c r="K187" s="804"/>
      <c r="L187" s="804"/>
      <c r="M187" s="804"/>
      <c r="N187" s="804"/>
      <c r="O187" s="804"/>
      <c r="P187" s="804"/>
      <c r="Q187" s="774"/>
      <c r="R187" s="774"/>
      <c r="S187" s="804"/>
      <c r="T187" s="690" t="b" cm="1">
        <f t="array" ref="T187">T186</f>
        <v>1</v>
      </c>
      <c r="U187" s="1150"/>
      <c r="V187" s="1150"/>
      <c r="W187" s="1150"/>
      <c r="X187" s="1428"/>
      <c r="Y187" s="1150"/>
      <c r="Z187" s="1428"/>
      <c r="AA187" s="781"/>
      <c r="AB187" s="404" t="str">
        <f>AB183&amp;".4"</f>
        <v>5.4</v>
      </c>
      <c r="AC187" s="396" t="s">
        <v>1050</v>
      </c>
      <c r="AD187" s="404" t="s">
        <v>1044</v>
      </c>
      <c r="AE187" s="1271">
        <f t="shared" ref="AE187:BB187" si="50">SUM(AE188:AE192)</f>
        <v>0</v>
      </c>
      <c r="AF187" s="1271">
        <f t="shared" si="50"/>
        <v>0</v>
      </c>
      <c r="AG187" s="1271">
        <f t="shared" si="50"/>
        <v>0</v>
      </c>
      <c r="AH187" s="1271">
        <f t="shared" si="50"/>
        <v>0</v>
      </c>
      <c r="AI187" s="407">
        <f t="shared" si="50"/>
        <v>0</v>
      </c>
      <c r="AJ187" s="1242">
        <f t="shared" si="50"/>
        <v>0</v>
      </c>
      <c r="AK187" s="1242">
        <f t="shared" si="50"/>
        <v>0</v>
      </c>
      <c r="AL187" s="1271">
        <f t="shared" si="50"/>
        <v>0</v>
      </c>
      <c r="AM187" s="1271">
        <f t="shared" si="50"/>
        <v>0</v>
      </c>
      <c r="AN187" s="1271">
        <f t="shared" si="50"/>
        <v>0</v>
      </c>
      <c r="AO187" s="1271">
        <f t="shared" si="50"/>
        <v>0</v>
      </c>
      <c r="AP187" s="1271">
        <f t="shared" si="50"/>
        <v>0</v>
      </c>
      <c r="AQ187" s="1271">
        <f t="shared" si="50"/>
        <v>0</v>
      </c>
      <c r="AR187" s="1271">
        <f t="shared" si="50"/>
        <v>0</v>
      </c>
      <c r="AS187" s="407">
        <f t="shared" si="50"/>
        <v>0</v>
      </c>
      <c r="AT187" s="1242">
        <f t="shared" si="50"/>
        <v>0</v>
      </c>
      <c r="AU187" s="1242">
        <f t="shared" si="50"/>
        <v>0</v>
      </c>
      <c r="AV187" s="1271">
        <f t="shared" si="50"/>
        <v>0</v>
      </c>
      <c r="AW187" s="1271">
        <f t="shared" si="50"/>
        <v>0</v>
      </c>
      <c r="AX187" s="1271">
        <f t="shared" si="50"/>
        <v>0</v>
      </c>
      <c r="AY187" s="1271">
        <f t="shared" si="50"/>
        <v>0</v>
      </c>
      <c r="AZ187" s="1271">
        <f t="shared" si="50"/>
        <v>0</v>
      </c>
      <c r="BA187" s="1271">
        <f t="shared" si="50"/>
        <v>0</v>
      </c>
      <c r="BB187" s="1271">
        <f t="shared" si="50"/>
        <v>0</v>
      </c>
      <c r="BC187" s="1272"/>
      <c r="BD187" s="781"/>
      <c r="BE187" s="781"/>
      <c r="BF187" s="960" t="s">
        <v>1129</v>
      </c>
    </row>
    <row r="188" spans="1:58" s="1167" customFormat="1" ht="14.25" customHeight="1" x14ac:dyDescent="0.15">
      <c r="A188" s="1150"/>
      <c r="B188" s="773"/>
      <c r="C188" s="1150"/>
      <c r="D188" s="1150"/>
      <c r="E188" s="668">
        <v>15</v>
      </c>
      <c r="F188" s="769" t="str" cm="1">
        <f t="array" ref="F188">F187</f>
        <v>1</v>
      </c>
      <c r="G188" s="804"/>
      <c r="H188" s="804"/>
      <c r="I188" s="804"/>
      <c r="J188" s="804"/>
      <c r="K188" s="804"/>
      <c r="L188" s="804"/>
      <c r="M188" s="804"/>
      <c r="N188" s="804"/>
      <c r="O188" s="804"/>
      <c r="P188" s="804"/>
      <c r="Q188" s="774"/>
      <c r="R188" s="774"/>
      <c r="S188" s="804"/>
      <c r="T188" s="690" t="b" cm="1">
        <f t="array" ref="T188">T187</f>
        <v>1</v>
      </c>
      <c r="U188" s="1150"/>
      <c r="V188" s="1150"/>
      <c r="W188" s="1150"/>
      <c r="X188" s="1428"/>
      <c r="Y188" s="1150"/>
      <c r="Z188" s="1428"/>
      <c r="AA188" s="781"/>
      <c r="AB188" s="404" t="str">
        <f>AB187&amp;".1"</f>
        <v>5.4.1</v>
      </c>
      <c r="AC188" s="442" t="s">
        <v>1053</v>
      </c>
      <c r="AD188" s="404" t="s">
        <v>1044</v>
      </c>
      <c r="AE188" s="1271">
        <f t="shared" ref="AE188:BB188" si="51">(AE132*2+AE146+AE160-AE174)/2</f>
        <v>0</v>
      </c>
      <c r="AF188" s="1271">
        <f t="shared" si="51"/>
        <v>0</v>
      </c>
      <c r="AG188" s="1271">
        <f t="shared" si="51"/>
        <v>0</v>
      </c>
      <c r="AH188" s="1271">
        <f t="shared" si="51"/>
        <v>0</v>
      </c>
      <c r="AI188" s="407">
        <f t="shared" si="51"/>
        <v>0</v>
      </c>
      <c r="AJ188" s="1242">
        <f t="shared" si="51"/>
        <v>0</v>
      </c>
      <c r="AK188" s="1242">
        <f t="shared" si="51"/>
        <v>0</v>
      </c>
      <c r="AL188" s="1271">
        <f t="shared" si="51"/>
        <v>0</v>
      </c>
      <c r="AM188" s="1271">
        <f t="shared" si="51"/>
        <v>0</v>
      </c>
      <c r="AN188" s="1271">
        <f t="shared" si="51"/>
        <v>0</v>
      </c>
      <c r="AO188" s="1271">
        <f t="shared" si="51"/>
        <v>0</v>
      </c>
      <c r="AP188" s="1271">
        <f t="shared" si="51"/>
        <v>0</v>
      </c>
      <c r="AQ188" s="1271">
        <f t="shared" si="51"/>
        <v>0</v>
      </c>
      <c r="AR188" s="1271">
        <f t="shared" si="51"/>
        <v>0</v>
      </c>
      <c r="AS188" s="407">
        <f t="shared" si="51"/>
        <v>0</v>
      </c>
      <c r="AT188" s="1242">
        <f t="shared" si="51"/>
        <v>0</v>
      </c>
      <c r="AU188" s="1242">
        <f t="shared" si="51"/>
        <v>0</v>
      </c>
      <c r="AV188" s="1271">
        <f t="shared" si="51"/>
        <v>0</v>
      </c>
      <c r="AW188" s="1271">
        <f t="shared" si="51"/>
        <v>0</v>
      </c>
      <c r="AX188" s="1271">
        <f t="shared" si="51"/>
        <v>0</v>
      </c>
      <c r="AY188" s="1271">
        <f t="shared" si="51"/>
        <v>0</v>
      </c>
      <c r="AZ188" s="1271">
        <f t="shared" si="51"/>
        <v>0</v>
      </c>
      <c r="BA188" s="1271">
        <f t="shared" si="51"/>
        <v>0</v>
      </c>
      <c r="BB188" s="1271">
        <f t="shared" si="51"/>
        <v>0</v>
      </c>
      <c r="BC188" s="1272"/>
      <c r="BD188" s="781"/>
      <c r="BE188" s="781"/>
      <c r="BF188" s="960" t="s">
        <v>1130</v>
      </c>
    </row>
    <row r="189" spans="1:58" s="1167" customFormat="1" ht="14.25" customHeight="1" x14ac:dyDescent="0.15">
      <c r="A189" s="1150"/>
      <c r="B189" s="773"/>
      <c r="C189" s="1150"/>
      <c r="D189" s="1150"/>
      <c r="E189" s="668">
        <v>15</v>
      </c>
      <c r="F189" s="769" t="str" cm="1">
        <f t="array" ref="F189">F188</f>
        <v>1</v>
      </c>
      <c r="G189" s="804"/>
      <c r="H189" s="804"/>
      <c r="I189" s="804"/>
      <c r="J189" s="804"/>
      <c r="K189" s="804"/>
      <c r="L189" s="804"/>
      <c r="M189" s="804"/>
      <c r="N189" s="804"/>
      <c r="O189" s="804"/>
      <c r="P189" s="804"/>
      <c r="Q189" s="774"/>
      <c r="R189" s="774"/>
      <c r="S189" s="804"/>
      <c r="T189" s="690" t="b" cm="1">
        <f t="array" ref="T189">T188</f>
        <v>1</v>
      </c>
      <c r="U189" s="1150"/>
      <c r="V189" s="1150"/>
      <c r="W189" s="1150"/>
      <c r="X189" s="1428"/>
      <c r="Y189" s="1150"/>
      <c r="Z189" s="1428"/>
      <c r="AA189" s="781"/>
      <c r="AB189" s="404" t="str">
        <f>AB187&amp;".2"</f>
        <v>5.4.2</v>
      </c>
      <c r="AC189" s="442" t="s">
        <v>1056</v>
      </c>
      <c r="AD189" s="404" t="s">
        <v>1044</v>
      </c>
      <c r="AE189" s="1271">
        <f t="shared" ref="AE189:BB189" si="52">(AE133*2+AE147+AE161-AE175)/2</f>
        <v>0</v>
      </c>
      <c r="AF189" s="1271">
        <f t="shared" si="52"/>
        <v>0</v>
      </c>
      <c r="AG189" s="1271">
        <f t="shared" si="52"/>
        <v>0</v>
      </c>
      <c r="AH189" s="1271">
        <f t="shared" si="52"/>
        <v>0</v>
      </c>
      <c r="AI189" s="407">
        <f t="shared" si="52"/>
        <v>0</v>
      </c>
      <c r="AJ189" s="1242">
        <f t="shared" si="52"/>
        <v>0</v>
      </c>
      <c r="AK189" s="1242">
        <f t="shared" si="52"/>
        <v>0</v>
      </c>
      <c r="AL189" s="1271">
        <f t="shared" si="52"/>
        <v>0</v>
      </c>
      <c r="AM189" s="1271">
        <f t="shared" si="52"/>
        <v>0</v>
      </c>
      <c r="AN189" s="1271">
        <f t="shared" si="52"/>
        <v>0</v>
      </c>
      <c r="AO189" s="1271">
        <f t="shared" si="52"/>
        <v>0</v>
      </c>
      <c r="AP189" s="1271">
        <f t="shared" si="52"/>
        <v>0</v>
      </c>
      <c r="AQ189" s="1271">
        <f t="shared" si="52"/>
        <v>0</v>
      </c>
      <c r="AR189" s="1271">
        <f t="shared" si="52"/>
        <v>0</v>
      </c>
      <c r="AS189" s="407">
        <f t="shared" si="52"/>
        <v>0</v>
      </c>
      <c r="AT189" s="1242">
        <f t="shared" si="52"/>
        <v>0</v>
      </c>
      <c r="AU189" s="1242">
        <f t="shared" si="52"/>
        <v>0</v>
      </c>
      <c r="AV189" s="1271">
        <f t="shared" si="52"/>
        <v>0</v>
      </c>
      <c r="AW189" s="1271">
        <f t="shared" si="52"/>
        <v>0</v>
      </c>
      <c r="AX189" s="1271">
        <f t="shared" si="52"/>
        <v>0</v>
      </c>
      <c r="AY189" s="1271">
        <f t="shared" si="52"/>
        <v>0</v>
      </c>
      <c r="AZ189" s="1271">
        <f t="shared" si="52"/>
        <v>0</v>
      </c>
      <c r="BA189" s="1271">
        <f t="shared" si="52"/>
        <v>0</v>
      </c>
      <c r="BB189" s="1271">
        <f t="shared" si="52"/>
        <v>0</v>
      </c>
      <c r="BC189" s="1272"/>
      <c r="BD189" s="781"/>
      <c r="BE189" s="781"/>
      <c r="BF189" s="960" t="s">
        <v>1131</v>
      </c>
    </row>
    <row r="190" spans="1:58" s="1167" customFormat="1" ht="14.25" customHeight="1" x14ac:dyDescent="0.15">
      <c r="A190" s="1150"/>
      <c r="B190" s="773"/>
      <c r="C190" s="1150"/>
      <c r="D190" s="1150"/>
      <c r="E190" s="668">
        <v>15</v>
      </c>
      <c r="F190" s="769" t="str" cm="1">
        <f t="array" ref="F190">F189</f>
        <v>1</v>
      </c>
      <c r="G190" s="804"/>
      <c r="H190" s="804"/>
      <c r="I190" s="804"/>
      <c r="J190" s="804"/>
      <c r="K190" s="804"/>
      <c r="L190" s="804"/>
      <c r="M190" s="804"/>
      <c r="N190" s="804"/>
      <c r="O190" s="804"/>
      <c r="P190" s="804"/>
      <c r="Q190" s="774"/>
      <c r="R190" s="774"/>
      <c r="S190" s="804"/>
      <c r="T190" s="690" t="b" cm="1">
        <f t="array" ref="T190">T189</f>
        <v>1</v>
      </c>
      <c r="U190" s="1150"/>
      <c r="V190" s="1150"/>
      <c r="W190" s="1150"/>
      <c r="X190" s="1428"/>
      <c r="Y190" s="1150"/>
      <c r="Z190" s="1428"/>
      <c r="AA190" s="781"/>
      <c r="AB190" s="404" t="str">
        <f>AB187&amp;".3"</f>
        <v>5.4.3</v>
      </c>
      <c r="AC190" s="442" t="s">
        <v>1059</v>
      </c>
      <c r="AD190" s="404" t="s">
        <v>1044</v>
      </c>
      <c r="AE190" s="1271">
        <f t="shared" ref="AE190:BB190" si="53">(AE134*2+AE148+AE162-AE176)/2</f>
        <v>0</v>
      </c>
      <c r="AF190" s="1271">
        <f t="shared" si="53"/>
        <v>0</v>
      </c>
      <c r="AG190" s="1271">
        <f t="shared" si="53"/>
        <v>0</v>
      </c>
      <c r="AH190" s="1271">
        <f t="shared" si="53"/>
        <v>0</v>
      </c>
      <c r="AI190" s="407">
        <f t="shared" si="53"/>
        <v>0</v>
      </c>
      <c r="AJ190" s="1242">
        <f t="shared" si="53"/>
        <v>0</v>
      </c>
      <c r="AK190" s="1242">
        <f t="shared" si="53"/>
        <v>0</v>
      </c>
      <c r="AL190" s="1271">
        <f t="shared" si="53"/>
        <v>0</v>
      </c>
      <c r="AM190" s="1271">
        <f t="shared" si="53"/>
        <v>0</v>
      </c>
      <c r="AN190" s="1271">
        <f t="shared" si="53"/>
        <v>0</v>
      </c>
      <c r="AO190" s="1271">
        <f t="shared" si="53"/>
        <v>0</v>
      </c>
      <c r="AP190" s="1271">
        <f t="shared" si="53"/>
        <v>0</v>
      </c>
      <c r="AQ190" s="1271">
        <f t="shared" si="53"/>
        <v>0</v>
      </c>
      <c r="AR190" s="1271">
        <f t="shared" si="53"/>
        <v>0</v>
      </c>
      <c r="AS190" s="407">
        <f t="shared" si="53"/>
        <v>0</v>
      </c>
      <c r="AT190" s="1242">
        <f t="shared" si="53"/>
        <v>0</v>
      </c>
      <c r="AU190" s="1242">
        <f t="shared" si="53"/>
        <v>0</v>
      </c>
      <c r="AV190" s="1271">
        <f t="shared" si="53"/>
        <v>0</v>
      </c>
      <c r="AW190" s="1271">
        <f t="shared" si="53"/>
        <v>0</v>
      </c>
      <c r="AX190" s="1271">
        <f t="shared" si="53"/>
        <v>0</v>
      </c>
      <c r="AY190" s="1271">
        <f t="shared" si="53"/>
        <v>0</v>
      </c>
      <c r="AZ190" s="1271">
        <f t="shared" si="53"/>
        <v>0</v>
      </c>
      <c r="BA190" s="1271">
        <f t="shared" si="53"/>
        <v>0</v>
      </c>
      <c r="BB190" s="1271">
        <f t="shared" si="53"/>
        <v>0</v>
      </c>
      <c r="BC190" s="1272"/>
      <c r="BD190" s="781"/>
      <c r="BE190" s="781"/>
      <c r="BF190" s="960" t="s">
        <v>1132</v>
      </c>
    </row>
    <row r="191" spans="1:58" s="1167" customFormat="1" ht="14.25" customHeight="1" x14ac:dyDescent="0.15">
      <c r="A191" s="1150"/>
      <c r="B191" s="773"/>
      <c r="C191" s="1150"/>
      <c r="D191" s="1150"/>
      <c r="E191" s="668">
        <v>15</v>
      </c>
      <c r="F191" s="769" t="str" cm="1">
        <f t="array" ref="F191">F190</f>
        <v>1</v>
      </c>
      <c r="G191" s="804"/>
      <c r="H191" s="804"/>
      <c r="I191" s="804"/>
      <c r="J191" s="804"/>
      <c r="K191" s="804"/>
      <c r="L191" s="804"/>
      <c r="M191" s="804"/>
      <c r="N191" s="804"/>
      <c r="O191" s="804"/>
      <c r="P191" s="804"/>
      <c r="Q191" s="774"/>
      <c r="R191" s="774"/>
      <c r="S191" s="804"/>
      <c r="T191" s="690" t="b" cm="1">
        <f t="array" ref="T191">T190</f>
        <v>1</v>
      </c>
      <c r="U191" s="1150"/>
      <c r="V191" s="1150"/>
      <c r="W191" s="1150"/>
      <c r="X191" s="1428"/>
      <c r="Y191" s="1150"/>
      <c r="Z191" s="1428"/>
      <c r="AA191" s="781"/>
      <c r="AB191" s="404" t="str">
        <f>AB187&amp;".4"</f>
        <v>5.4.4</v>
      </c>
      <c r="AC191" s="442" t="s">
        <v>1062</v>
      </c>
      <c r="AD191" s="404" t="s">
        <v>1044</v>
      </c>
      <c r="AE191" s="1271">
        <f t="shared" ref="AE191:BB191" si="54">(AE135*2+AE149+AE163-AE177)/2</f>
        <v>0</v>
      </c>
      <c r="AF191" s="1271">
        <f t="shared" si="54"/>
        <v>0</v>
      </c>
      <c r="AG191" s="1271">
        <f t="shared" si="54"/>
        <v>0</v>
      </c>
      <c r="AH191" s="1271">
        <f t="shared" si="54"/>
        <v>0</v>
      </c>
      <c r="AI191" s="407">
        <f t="shared" si="54"/>
        <v>0</v>
      </c>
      <c r="AJ191" s="1242">
        <f t="shared" si="54"/>
        <v>0</v>
      </c>
      <c r="AK191" s="1242">
        <f t="shared" si="54"/>
        <v>0</v>
      </c>
      <c r="AL191" s="1271">
        <f t="shared" si="54"/>
        <v>0</v>
      </c>
      <c r="AM191" s="1271">
        <f t="shared" si="54"/>
        <v>0</v>
      </c>
      <c r="AN191" s="1271">
        <f t="shared" si="54"/>
        <v>0</v>
      </c>
      <c r="AO191" s="1271">
        <f t="shared" si="54"/>
        <v>0</v>
      </c>
      <c r="AP191" s="1271">
        <f t="shared" si="54"/>
        <v>0</v>
      </c>
      <c r="AQ191" s="1271">
        <f t="shared" si="54"/>
        <v>0</v>
      </c>
      <c r="AR191" s="1271">
        <f t="shared" si="54"/>
        <v>0</v>
      </c>
      <c r="AS191" s="407">
        <f t="shared" si="54"/>
        <v>0</v>
      </c>
      <c r="AT191" s="1242">
        <f t="shared" si="54"/>
        <v>0</v>
      </c>
      <c r="AU191" s="1242">
        <f t="shared" si="54"/>
        <v>0</v>
      </c>
      <c r="AV191" s="1271">
        <f t="shared" si="54"/>
        <v>0</v>
      </c>
      <c r="AW191" s="1271">
        <f t="shared" si="54"/>
        <v>0</v>
      </c>
      <c r="AX191" s="1271">
        <f t="shared" si="54"/>
        <v>0</v>
      </c>
      <c r="AY191" s="1271">
        <f t="shared" si="54"/>
        <v>0</v>
      </c>
      <c r="AZ191" s="1271">
        <f t="shared" si="54"/>
        <v>0</v>
      </c>
      <c r="BA191" s="1271">
        <f t="shared" si="54"/>
        <v>0</v>
      </c>
      <c r="BB191" s="1271">
        <f t="shared" si="54"/>
        <v>0</v>
      </c>
      <c r="BC191" s="1272"/>
      <c r="BD191" s="781"/>
      <c r="BE191" s="781"/>
      <c r="BF191" s="960" t="s">
        <v>1133</v>
      </c>
    </row>
    <row r="192" spans="1:58" s="1167" customFormat="1" ht="14.25" customHeight="1" x14ac:dyDescent="0.15">
      <c r="A192" s="1150"/>
      <c r="B192" s="773"/>
      <c r="C192" s="1150"/>
      <c r="D192" s="1150"/>
      <c r="E192" s="668">
        <v>15</v>
      </c>
      <c r="F192" s="769" t="str" cm="1">
        <f t="array" ref="F192">F191</f>
        <v>1</v>
      </c>
      <c r="G192" s="804"/>
      <c r="H192" s="804"/>
      <c r="I192" s="804"/>
      <c r="J192" s="804"/>
      <c r="K192" s="804"/>
      <c r="L192" s="804"/>
      <c r="M192" s="804"/>
      <c r="N192" s="804"/>
      <c r="O192" s="804"/>
      <c r="P192" s="804"/>
      <c r="Q192" s="774"/>
      <c r="R192" s="774"/>
      <c r="S192" s="804"/>
      <c r="T192" s="690" t="b" cm="1">
        <f t="array" ref="T192">T191</f>
        <v>1</v>
      </c>
      <c r="U192" s="1150"/>
      <c r="V192" s="1150"/>
      <c r="W192" s="1150"/>
      <c r="X192" s="1428"/>
      <c r="Y192" s="1150"/>
      <c r="Z192" s="1428"/>
      <c r="AA192" s="781"/>
      <c r="AB192" s="404" t="str">
        <f>AB187&amp;".5"</f>
        <v>5.4.5</v>
      </c>
      <c r="AC192" s="442" t="s">
        <v>1065</v>
      </c>
      <c r="AD192" s="404" t="s">
        <v>1044</v>
      </c>
      <c r="AE192" s="1271">
        <f t="shared" ref="AE192:BB192" si="55">(AE136*2+AE150+AE164-AE178)/2</f>
        <v>0</v>
      </c>
      <c r="AF192" s="1271">
        <f t="shared" si="55"/>
        <v>0</v>
      </c>
      <c r="AG192" s="1271">
        <f t="shared" si="55"/>
        <v>0</v>
      </c>
      <c r="AH192" s="1271">
        <f t="shared" si="55"/>
        <v>0</v>
      </c>
      <c r="AI192" s="407">
        <f t="shared" si="55"/>
        <v>0</v>
      </c>
      <c r="AJ192" s="1242">
        <f t="shared" si="55"/>
        <v>0</v>
      </c>
      <c r="AK192" s="1242">
        <f t="shared" si="55"/>
        <v>0</v>
      </c>
      <c r="AL192" s="1271">
        <f t="shared" si="55"/>
        <v>0</v>
      </c>
      <c r="AM192" s="1271">
        <f t="shared" si="55"/>
        <v>0</v>
      </c>
      <c r="AN192" s="1271">
        <f t="shared" si="55"/>
        <v>0</v>
      </c>
      <c r="AO192" s="1271">
        <f t="shared" si="55"/>
        <v>0</v>
      </c>
      <c r="AP192" s="1271">
        <f t="shared" si="55"/>
        <v>0</v>
      </c>
      <c r="AQ192" s="1271">
        <f t="shared" si="55"/>
        <v>0</v>
      </c>
      <c r="AR192" s="1271">
        <f t="shared" si="55"/>
        <v>0</v>
      </c>
      <c r="AS192" s="407">
        <f t="shared" si="55"/>
        <v>0</v>
      </c>
      <c r="AT192" s="1242">
        <f t="shared" si="55"/>
        <v>0</v>
      </c>
      <c r="AU192" s="1242">
        <f t="shared" si="55"/>
        <v>0</v>
      </c>
      <c r="AV192" s="1271">
        <f t="shared" si="55"/>
        <v>0</v>
      </c>
      <c r="AW192" s="1271">
        <f t="shared" si="55"/>
        <v>0</v>
      </c>
      <c r="AX192" s="1271">
        <f t="shared" si="55"/>
        <v>0</v>
      </c>
      <c r="AY192" s="1271">
        <f t="shared" si="55"/>
        <v>0</v>
      </c>
      <c r="AZ192" s="1271">
        <f t="shared" si="55"/>
        <v>0</v>
      </c>
      <c r="BA192" s="1271">
        <f t="shared" si="55"/>
        <v>0</v>
      </c>
      <c r="BB192" s="1271">
        <f t="shared" si="55"/>
        <v>0</v>
      </c>
      <c r="BC192" s="1272"/>
      <c r="BD192" s="781"/>
      <c r="BE192" s="781"/>
      <c r="BF192" s="960" t="s">
        <v>1134</v>
      </c>
    </row>
    <row r="193" spans="1:58" s="1167" customFormat="1" ht="14.25" customHeight="1" x14ac:dyDescent="0.15">
      <c r="A193" s="1150"/>
      <c r="B193" s="773"/>
      <c r="C193" s="1150"/>
      <c r="D193" s="1150"/>
      <c r="E193" s="668">
        <v>15</v>
      </c>
      <c r="F193" s="769" t="str" cm="1">
        <f t="array" ref="F193">F192</f>
        <v>1</v>
      </c>
      <c r="G193" s="804"/>
      <c r="H193" s="804"/>
      <c r="I193" s="804"/>
      <c r="J193" s="804"/>
      <c r="K193" s="804"/>
      <c r="L193" s="804"/>
      <c r="M193" s="804"/>
      <c r="N193" s="804"/>
      <c r="O193" s="804"/>
      <c r="P193" s="804"/>
      <c r="Q193" s="774"/>
      <c r="R193" s="774"/>
      <c r="S193" s="804"/>
      <c r="T193" s="690" t="b" cm="1">
        <f t="array" ref="T193">T192</f>
        <v>1</v>
      </c>
      <c r="U193" s="1150"/>
      <c r="V193" s="1150"/>
      <c r="W193" s="1150"/>
      <c r="X193" s="1428"/>
      <c r="Y193" s="1150"/>
      <c r="Z193" s="1428"/>
      <c r="AA193" s="781"/>
      <c r="AB193" s="404" t="str">
        <f>AB183&amp;".5"</f>
        <v>5.5</v>
      </c>
      <c r="AC193" s="396" t="s">
        <v>1068</v>
      </c>
      <c r="AD193" s="404" t="s">
        <v>1044</v>
      </c>
      <c r="AE193" s="1271">
        <f t="shared" ref="AE193:BB193" si="56">(AE137*2+AE151+AE165-AE179)/2</f>
        <v>0</v>
      </c>
      <c r="AF193" s="1271">
        <f t="shared" si="56"/>
        <v>0</v>
      </c>
      <c r="AG193" s="1271">
        <f t="shared" si="56"/>
        <v>0</v>
      </c>
      <c r="AH193" s="1271">
        <f t="shared" si="56"/>
        <v>0</v>
      </c>
      <c r="AI193" s="407">
        <f t="shared" si="56"/>
        <v>0</v>
      </c>
      <c r="AJ193" s="1242">
        <f t="shared" si="56"/>
        <v>0</v>
      </c>
      <c r="AK193" s="1242">
        <f t="shared" si="56"/>
        <v>0</v>
      </c>
      <c r="AL193" s="1271">
        <f t="shared" si="56"/>
        <v>0</v>
      </c>
      <c r="AM193" s="1271">
        <f t="shared" si="56"/>
        <v>0</v>
      </c>
      <c r="AN193" s="1271">
        <f t="shared" si="56"/>
        <v>0</v>
      </c>
      <c r="AO193" s="1271">
        <f t="shared" si="56"/>
        <v>0</v>
      </c>
      <c r="AP193" s="1271">
        <f t="shared" si="56"/>
        <v>0</v>
      </c>
      <c r="AQ193" s="1271">
        <f t="shared" si="56"/>
        <v>0</v>
      </c>
      <c r="AR193" s="1271">
        <f t="shared" si="56"/>
        <v>0</v>
      </c>
      <c r="AS193" s="407">
        <f t="shared" si="56"/>
        <v>0</v>
      </c>
      <c r="AT193" s="1242">
        <f t="shared" si="56"/>
        <v>0</v>
      </c>
      <c r="AU193" s="1242">
        <f t="shared" si="56"/>
        <v>0</v>
      </c>
      <c r="AV193" s="1271">
        <f t="shared" si="56"/>
        <v>0</v>
      </c>
      <c r="AW193" s="1271">
        <f t="shared" si="56"/>
        <v>0</v>
      </c>
      <c r="AX193" s="1271">
        <f t="shared" si="56"/>
        <v>0</v>
      </c>
      <c r="AY193" s="1271">
        <f t="shared" si="56"/>
        <v>0</v>
      </c>
      <c r="AZ193" s="1271">
        <f t="shared" si="56"/>
        <v>0</v>
      </c>
      <c r="BA193" s="1271">
        <f t="shared" si="56"/>
        <v>0</v>
      </c>
      <c r="BB193" s="1271">
        <f t="shared" si="56"/>
        <v>0</v>
      </c>
      <c r="BC193" s="1272"/>
      <c r="BD193" s="781"/>
      <c r="BE193" s="781"/>
      <c r="BF193" s="960" t="s">
        <v>1135</v>
      </c>
    </row>
    <row r="194" spans="1:58" s="1167" customFormat="1" ht="14.25" customHeight="1" x14ac:dyDescent="0.15">
      <c r="A194" s="1150"/>
      <c r="B194" s="773"/>
      <c r="C194" s="1150"/>
      <c r="D194" s="1150"/>
      <c r="E194" s="668">
        <v>15</v>
      </c>
      <c r="F194" s="769" t="str" cm="1">
        <f t="array" ref="F194">F193</f>
        <v>1</v>
      </c>
      <c r="G194" s="804"/>
      <c r="H194" s="804"/>
      <c r="I194" s="804"/>
      <c r="J194" s="804"/>
      <c r="K194" s="804"/>
      <c r="L194" s="804"/>
      <c r="M194" s="804"/>
      <c r="N194" s="804"/>
      <c r="O194" s="804"/>
      <c r="P194" s="804"/>
      <c r="Q194" s="774"/>
      <c r="R194" s="774"/>
      <c r="S194" s="804"/>
      <c r="T194" s="690" t="b" cm="1">
        <f t="array" ref="T194">T193</f>
        <v>1</v>
      </c>
      <c r="U194" s="1150"/>
      <c r="V194" s="1150"/>
      <c r="W194" s="1150"/>
      <c r="X194" s="1428"/>
      <c r="Y194" s="1150"/>
      <c r="Z194" s="1428"/>
      <c r="AA194" s="781"/>
      <c r="AB194" s="404" t="str">
        <f>AB183&amp;".6"</f>
        <v>5.6</v>
      </c>
      <c r="AC194" s="396" t="s">
        <v>1071</v>
      </c>
      <c r="AD194" s="404" t="s">
        <v>1044</v>
      </c>
      <c r="AE194" s="1271">
        <f t="shared" ref="AE194:BB194" si="57">(AE138*2+AE152+AE166-AE180)/2</f>
        <v>0</v>
      </c>
      <c r="AF194" s="1271">
        <f t="shared" si="57"/>
        <v>0</v>
      </c>
      <c r="AG194" s="1271">
        <f t="shared" si="57"/>
        <v>0</v>
      </c>
      <c r="AH194" s="1271">
        <f t="shared" si="57"/>
        <v>0</v>
      </c>
      <c r="AI194" s="407">
        <f t="shared" si="57"/>
        <v>0</v>
      </c>
      <c r="AJ194" s="1242">
        <f t="shared" si="57"/>
        <v>0</v>
      </c>
      <c r="AK194" s="1242">
        <f t="shared" si="57"/>
        <v>0</v>
      </c>
      <c r="AL194" s="1271">
        <f t="shared" si="57"/>
        <v>0</v>
      </c>
      <c r="AM194" s="1271">
        <f t="shared" si="57"/>
        <v>0</v>
      </c>
      <c r="AN194" s="1271">
        <f t="shared" si="57"/>
        <v>0</v>
      </c>
      <c r="AO194" s="1271">
        <f t="shared" si="57"/>
        <v>0</v>
      </c>
      <c r="AP194" s="1271">
        <f t="shared" si="57"/>
        <v>0</v>
      </c>
      <c r="AQ194" s="1271">
        <f t="shared" si="57"/>
        <v>0</v>
      </c>
      <c r="AR194" s="1271">
        <f t="shared" si="57"/>
        <v>0</v>
      </c>
      <c r="AS194" s="407">
        <f t="shared" si="57"/>
        <v>0</v>
      </c>
      <c r="AT194" s="1242">
        <f t="shared" si="57"/>
        <v>0</v>
      </c>
      <c r="AU194" s="1242">
        <f t="shared" si="57"/>
        <v>0</v>
      </c>
      <c r="AV194" s="1271">
        <f t="shared" si="57"/>
        <v>0</v>
      </c>
      <c r="AW194" s="1271">
        <f t="shared" si="57"/>
        <v>0</v>
      </c>
      <c r="AX194" s="1271">
        <f t="shared" si="57"/>
        <v>0</v>
      </c>
      <c r="AY194" s="1271">
        <f t="shared" si="57"/>
        <v>0</v>
      </c>
      <c r="AZ194" s="1271">
        <f t="shared" si="57"/>
        <v>0</v>
      </c>
      <c r="BA194" s="1271">
        <f t="shared" si="57"/>
        <v>0</v>
      </c>
      <c r="BB194" s="1271">
        <f t="shared" si="57"/>
        <v>0</v>
      </c>
      <c r="BC194" s="1272"/>
      <c r="BD194" s="781"/>
      <c r="BE194" s="781"/>
      <c r="BF194" s="960" t="s">
        <v>1136</v>
      </c>
    </row>
    <row r="195" spans="1:58" s="1167" customFormat="1" ht="14.25" customHeight="1" x14ac:dyDescent="0.15">
      <c r="A195" s="1150"/>
      <c r="B195" s="773"/>
      <c r="C195" s="1150"/>
      <c r="D195" s="1150"/>
      <c r="E195" s="668">
        <v>15</v>
      </c>
      <c r="F195" s="769" t="str" cm="1">
        <f t="array" ref="F195">F194</f>
        <v>1</v>
      </c>
      <c r="G195" s="804"/>
      <c r="H195" s="804"/>
      <c r="I195" s="804"/>
      <c r="J195" s="804"/>
      <c r="K195" s="804"/>
      <c r="L195" s="804"/>
      <c r="M195" s="804"/>
      <c r="N195" s="804"/>
      <c r="O195" s="804"/>
      <c r="P195" s="804"/>
      <c r="Q195" s="774"/>
      <c r="R195" s="774"/>
      <c r="S195" s="804"/>
      <c r="T195" s="690" t="b" cm="1">
        <f t="array" ref="T195">T194</f>
        <v>1</v>
      </c>
      <c r="U195" s="1150"/>
      <c r="V195" s="1150"/>
      <c r="W195" s="1150"/>
      <c r="X195" s="1428"/>
      <c r="Y195" s="1150"/>
      <c r="Z195" s="1428"/>
      <c r="AA195" s="781"/>
      <c r="AB195" s="404" t="str">
        <f>AB183&amp;".7"</f>
        <v>5.7</v>
      </c>
      <c r="AC195" s="396" t="s">
        <v>1074</v>
      </c>
      <c r="AD195" s="404" t="s">
        <v>1044</v>
      </c>
      <c r="AE195" s="1271">
        <f t="shared" ref="AE195:BB195" si="58">(AE139*2+AE153+AE167-AE181)/2</f>
        <v>0</v>
      </c>
      <c r="AF195" s="1271">
        <f t="shared" si="58"/>
        <v>0</v>
      </c>
      <c r="AG195" s="1271">
        <f t="shared" si="58"/>
        <v>0</v>
      </c>
      <c r="AH195" s="1271">
        <f t="shared" si="58"/>
        <v>0</v>
      </c>
      <c r="AI195" s="407">
        <f t="shared" si="58"/>
        <v>0</v>
      </c>
      <c r="AJ195" s="1242">
        <f t="shared" si="58"/>
        <v>0</v>
      </c>
      <c r="AK195" s="1242">
        <f t="shared" si="58"/>
        <v>0</v>
      </c>
      <c r="AL195" s="1271">
        <f t="shared" si="58"/>
        <v>0</v>
      </c>
      <c r="AM195" s="1271">
        <f t="shared" si="58"/>
        <v>0</v>
      </c>
      <c r="AN195" s="1271">
        <f t="shared" si="58"/>
        <v>0</v>
      </c>
      <c r="AO195" s="1271">
        <f t="shared" si="58"/>
        <v>0</v>
      </c>
      <c r="AP195" s="1271">
        <f t="shared" si="58"/>
        <v>0</v>
      </c>
      <c r="AQ195" s="1271">
        <f t="shared" si="58"/>
        <v>0</v>
      </c>
      <c r="AR195" s="1271">
        <f t="shared" si="58"/>
        <v>0</v>
      </c>
      <c r="AS195" s="407">
        <f t="shared" si="58"/>
        <v>0</v>
      </c>
      <c r="AT195" s="1242">
        <f t="shared" si="58"/>
        <v>0</v>
      </c>
      <c r="AU195" s="1242">
        <f t="shared" si="58"/>
        <v>0</v>
      </c>
      <c r="AV195" s="1271">
        <f t="shared" si="58"/>
        <v>0</v>
      </c>
      <c r="AW195" s="1271">
        <f t="shared" si="58"/>
        <v>0</v>
      </c>
      <c r="AX195" s="1271">
        <f t="shared" si="58"/>
        <v>0</v>
      </c>
      <c r="AY195" s="1271">
        <f t="shared" si="58"/>
        <v>0</v>
      </c>
      <c r="AZ195" s="1271">
        <f t="shared" si="58"/>
        <v>0</v>
      </c>
      <c r="BA195" s="1271">
        <f t="shared" si="58"/>
        <v>0</v>
      </c>
      <c r="BB195" s="1271">
        <f t="shared" si="58"/>
        <v>0</v>
      </c>
      <c r="BC195" s="1272"/>
      <c r="BD195" s="781"/>
      <c r="BE195" s="781"/>
      <c r="BF195" s="960" t="s">
        <v>1137</v>
      </c>
    </row>
    <row r="196" spans="1:58" s="1167" customFormat="1" ht="14.25" customHeight="1" x14ac:dyDescent="0.15">
      <c r="A196" s="1150"/>
      <c r="B196" s="773"/>
      <c r="C196" s="1150"/>
      <c r="D196" s="1150"/>
      <c r="E196" s="668">
        <v>15</v>
      </c>
      <c r="F196" s="769" t="str" cm="1">
        <f t="array" ref="F196">F195</f>
        <v>1</v>
      </c>
      <c r="G196" s="804"/>
      <c r="H196" s="804"/>
      <c r="I196" s="804"/>
      <c r="J196" s="804"/>
      <c r="K196" s="804"/>
      <c r="L196" s="804"/>
      <c r="M196" s="804"/>
      <c r="N196" s="804"/>
      <c r="O196" s="804"/>
      <c r="P196" s="804"/>
      <c r="Q196" s="774"/>
      <c r="R196" s="774"/>
      <c r="S196" s="804"/>
      <c r="T196" s="690" t="b" cm="1">
        <f t="array" ref="T196">T195</f>
        <v>1</v>
      </c>
      <c r="U196" s="1150"/>
      <c r="V196" s="1150"/>
      <c r="W196" s="1150"/>
      <c r="X196" s="1428"/>
      <c r="Y196" s="1150"/>
      <c r="Z196" s="1428"/>
      <c r="AA196" s="781"/>
      <c r="AB196" s="404" t="str">
        <f>AB183&amp;".8"</f>
        <v>5.8</v>
      </c>
      <c r="AC196" s="396" t="s">
        <v>1077</v>
      </c>
      <c r="AD196" s="404" t="s">
        <v>1044</v>
      </c>
      <c r="AE196" s="1271">
        <f t="shared" ref="AE196:BB196" si="59">(AE140*2+AE154+AE168-AE182)/2</f>
        <v>0</v>
      </c>
      <c r="AF196" s="1271">
        <f t="shared" si="59"/>
        <v>0</v>
      </c>
      <c r="AG196" s="1271">
        <f t="shared" si="59"/>
        <v>0</v>
      </c>
      <c r="AH196" s="1271">
        <f t="shared" si="59"/>
        <v>0</v>
      </c>
      <c r="AI196" s="407">
        <f t="shared" si="59"/>
        <v>0</v>
      </c>
      <c r="AJ196" s="1242">
        <f t="shared" si="59"/>
        <v>0</v>
      </c>
      <c r="AK196" s="1242">
        <f t="shared" si="59"/>
        <v>0</v>
      </c>
      <c r="AL196" s="1271">
        <f t="shared" si="59"/>
        <v>0</v>
      </c>
      <c r="AM196" s="1271">
        <f t="shared" si="59"/>
        <v>0</v>
      </c>
      <c r="AN196" s="1271">
        <f t="shared" si="59"/>
        <v>0</v>
      </c>
      <c r="AO196" s="1271">
        <f t="shared" si="59"/>
        <v>0</v>
      </c>
      <c r="AP196" s="1271">
        <f t="shared" si="59"/>
        <v>0</v>
      </c>
      <c r="AQ196" s="1271">
        <f t="shared" si="59"/>
        <v>0</v>
      </c>
      <c r="AR196" s="1271">
        <f t="shared" si="59"/>
        <v>0</v>
      </c>
      <c r="AS196" s="407">
        <f t="shared" si="59"/>
        <v>0</v>
      </c>
      <c r="AT196" s="1242">
        <f t="shared" si="59"/>
        <v>0</v>
      </c>
      <c r="AU196" s="1242">
        <f t="shared" si="59"/>
        <v>0</v>
      </c>
      <c r="AV196" s="1271">
        <f t="shared" si="59"/>
        <v>0</v>
      </c>
      <c r="AW196" s="1271">
        <f t="shared" si="59"/>
        <v>0</v>
      </c>
      <c r="AX196" s="1271">
        <f t="shared" si="59"/>
        <v>0</v>
      </c>
      <c r="AY196" s="1271">
        <f t="shared" si="59"/>
        <v>0</v>
      </c>
      <c r="AZ196" s="1271">
        <f t="shared" si="59"/>
        <v>0</v>
      </c>
      <c r="BA196" s="1271">
        <f t="shared" si="59"/>
        <v>0</v>
      </c>
      <c r="BB196" s="1271">
        <f t="shared" si="59"/>
        <v>0</v>
      </c>
      <c r="BC196" s="1272"/>
      <c r="BD196" s="781"/>
      <c r="BE196" s="781"/>
      <c r="BF196" s="960" t="s">
        <v>1138</v>
      </c>
    </row>
    <row r="197" spans="1:58" s="164" customFormat="1" ht="21.75" customHeight="1" x14ac:dyDescent="0.15">
      <c r="E197" s="668">
        <v>22.8</v>
      </c>
      <c r="F197" s="769" t="str" cm="1">
        <f t="array" ref="F197">F196</f>
        <v>1</v>
      </c>
      <c r="T197" s="690" t="b" cm="1">
        <f t="array" ref="T197">T196</f>
        <v>1</v>
      </c>
      <c r="X197" s="1572"/>
      <c r="Z197" s="1572"/>
      <c r="AB197" s="224">
        <v>6</v>
      </c>
      <c r="AC197" s="225" t="s">
        <v>1139</v>
      </c>
      <c r="AD197" s="412" t="s">
        <v>521</v>
      </c>
      <c r="AE197" s="1270"/>
      <c r="AF197" s="1270"/>
      <c r="AG197" s="1270"/>
      <c r="AH197" s="1270"/>
      <c r="AI197" s="239"/>
      <c r="AJ197" s="1263"/>
      <c r="AK197" s="1263"/>
      <c r="AL197" s="1270"/>
      <c r="AM197" s="1270"/>
      <c r="AN197" s="1270"/>
      <c r="AO197" s="1270"/>
      <c r="AP197" s="1270"/>
      <c r="AQ197" s="1270"/>
      <c r="AR197" s="1270"/>
      <c r="AS197" s="239"/>
      <c r="AT197" s="1263"/>
      <c r="AU197" s="1263"/>
      <c r="AV197" s="1270"/>
      <c r="AW197" s="1270"/>
      <c r="AX197" s="1270"/>
      <c r="AY197" s="1270"/>
      <c r="AZ197" s="1270"/>
      <c r="BA197" s="1270"/>
      <c r="BB197" s="1270"/>
      <c r="BC197" s="1231"/>
      <c r="BF197" s="960" t="s">
        <v>1140</v>
      </c>
    </row>
    <row r="198" spans="1:58" s="1167" customFormat="1" ht="14.25" customHeight="1" x14ac:dyDescent="0.15">
      <c r="A198" s="1150"/>
      <c r="B198" s="773"/>
      <c r="C198" s="1150"/>
      <c r="D198" s="1150"/>
      <c r="E198" s="668">
        <v>15</v>
      </c>
      <c r="F198" s="769" t="str" cm="1">
        <f t="array" ref="F198">F197</f>
        <v>1</v>
      </c>
      <c r="G198" s="804"/>
      <c r="H198" s="804"/>
      <c r="I198" s="804"/>
      <c r="J198" s="804"/>
      <c r="K198" s="804"/>
      <c r="L198" s="804"/>
      <c r="M198" s="804"/>
      <c r="N198" s="804"/>
      <c r="O198" s="804"/>
      <c r="P198" s="804"/>
      <c r="Q198" s="774"/>
      <c r="R198" s="774"/>
      <c r="S198" s="804"/>
      <c r="T198" s="690" t="b" cm="1">
        <f t="array" ref="T198">T197</f>
        <v>1</v>
      </c>
      <c r="U198" s="1150"/>
      <c r="V198" s="1150"/>
      <c r="W198" s="1150"/>
      <c r="X198" s="1428"/>
      <c r="Y198" s="1150"/>
      <c r="Z198" s="1428"/>
      <c r="AA198" s="781"/>
      <c r="AB198" s="412" t="str">
        <f>AB197&amp;".1"</f>
        <v>6.1</v>
      </c>
      <c r="AC198" s="413" t="s">
        <v>1043</v>
      </c>
      <c r="AD198" s="412" t="s">
        <v>521</v>
      </c>
      <c r="AE198" s="1197">
        <f t="shared" ref="AE198:BB198" si="60">IF(AE184=0,0,AE212/AE184*100)</f>
        <v>0</v>
      </c>
      <c r="AF198" s="1197">
        <f t="shared" si="60"/>
        <v>0</v>
      </c>
      <c r="AG198" s="1197">
        <f t="shared" si="60"/>
        <v>0</v>
      </c>
      <c r="AH198" s="1197">
        <f t="shared" si="60"/>
        <v>0</v>
      </c>
      <c r="AI198" s="227">
        <f t="shared" si="60"/>
        <v>0</v>
      </c>
      <c r="AJ198" s="1183">
        <f t="shared" si="60"/>
        <v>0</v>
      </c>
      <c r="AK198" s="1183">
        <f t="shared" si="60"/>
        <v>0</v>
      </c>
      <c r="AL198" s="1197">
        <f t="shared" si="60"/>
        <v>0</v>
      </c>
      <c r="AM198" s="1197">
        <f t="shared" si="60"/>
        <v>0</v>
      </c>
      <c r="AN198" s="1197">
        <f t="shared" si="60"/>
        <v>0</v>
      </c>
      <c r="AO198" s="1197">
        <f t="shared" si="60"/>
        <v>0</v>
      </c>
      <c r="AP198" s="1197">
        <f t="shared" si="60"/>
        <v>0</v>
      </c>
      <c r="AQ198" s="1197">
        <f t="shared" si="60"/>
        <v>0</v>
      </c>
      <c r="AR198" s="1197">
        <f t="shared" si="60"/>
        <v>0</v>
      </c>
      <c r="AS198" s="227">
        <f t="shared" si="60"/>
        <v>0</v>
      </c>
      <c r="AT198" s="1183">
        <f t="shared" si="60"/>
        <v>0</v>
      </c>
      <c r="AU198" s="1183">
        <f t="shared" si="60"/>
        <v>0</v>
      </c>
      <c r="AV198" s="1197">
        <f t="shared" si="60"/>
        <v>0</v>
      </c>
      <c r="AW198" s="1197">
        <f t="shared" si="60"/>
        <v>0</v>
      </c>
      <c r="AX198" s="1197">
        <f t="shared" si="60"/>
        <v>0</v>
      </c>
      <c r="AY198" s="1197">
        <f t="shared" si="60"/>
        <v>0</v>
      </c>
      <c r="AZ198" s="1197">
        <f t="shared" si="60"/>
        <v>0</v>
      </c>
      <c r="BA198" s="1197">
        <f t="shared" si="60"/>
        <v>0</v>
      </c>
      <c r="BB198" s="1197">
        <f t="shared" si="60"/>
        <v>0</v>
      </c>
      <c r="BC198" s="1231"/>
      <c r="BD198" s="781"/>
      <c r="BE198" s="781"/>
      <c r="BF198" s="960" t="s">
        <v>1141</v>
      </c>
    </row>
    <row r="199" spans="1:58" s="1167" customFormat="1" ht="14.25" customHeight="1" x14ac:dyDescent="0.15">
      <c r="A199" s="1150"/>
      <c r="B199" s="773"/>
      <c r="C199" s="1150"/>
      <c r="D199" s="1150"/>
      <c r="E199" s="668">
        <v>15</v>
      </c>
      <c r="F199" s="769" t="str" cm="1">
        <f t="array" ref="F199">F198</f>
        <v>1</v>
      </c>
      <c r="G199" s="804"/>
      <c r="H199" s="804"/>
      <c r="I199" s="804"/>
      <c r="J199" s="804"/>
      <c r="K199" s="804"/>
      <c r="L199" s="804"/>
      <c r="M199" s="804"/>
      <c r="N199" s="804"/>
      <c r="O199" s="804"/>
      <c r="P199" s="804"/>
      <c r="Q199" s="774"/>
      <c r="R199" s="774"/>
      <c r="S199" s="804"/>
      <c r="T199" s="690" t="b" cm="1">
        <f t="array" ref="T199">T198</f>
        <v>1</v>
      </c>
      <c r="U199" s="1150"/>
      <c r="V199" s="1150"/>
      <c r="W199" s="1150"/>
      <c r="X199" s="1428"/>
      <c r="Y199" s="1150"/>
      <c r="Z199" s="1428"/>
      <c r="AA199" s="781"/>
      <c r="AB199" s="412" t="str">
        <f>AB197&amp;".2"</f>
        <v>6.2</v>
      </c>
      <c r="AC199" s="413" t="s">
        <v>1046</v>
      </c>
      <c r="AD199" s="412" t="s">
        <v>521</v>
      </c>
      <c r="AE199" s="1197">
        <f t="shared" ref="AE199:BB199" si="61">IF(AE185=0,0,AE213/AE185*100)</f>
        <v>0</v>
      </c>
      <c r="AF199" s="1197">
        <f t="shared" si="61"/>
        <v>0</v>
      </c>
      <c r="AG199" s="1197">
        <f t="shared" si="61"/>
        <v>0</v>
      </c>
      <c r="AH199" s="1197">
        <f t="shared" si="61"/>
        <v>0</v>
      </c>
      <c r="AI199" s="227">
        <f t="shared" si="61"/>
        <v>0</v>
      </c>
      <c r="AJ199" s="1183">
        <f t="shared" si="61"/>
        <v>0</v>
      </c>
      <c r="AK199" s="1183">
        <f t="shared" si="61"/>
        <v>0</v>
      </c>
      <c r="AL199" s="1197">
        <f t="shared" si="61"/>
        <v>0</v>
      </c>
      <c r="AM199" s="1197">
        <f t="shared" si="61"/>
        <v>0</v>
      </c>
      <c r="AN199" s="1197">
        <f t="shared" si="61"/>
        <v>0</v>
      </c>
      <c r="AO199" s="1197">
        <f t="shared" si="61"/>
        <v>0</v>
      </c>
      <c r="AP199" s="1197">
        <f t="shared" si="61"/>
        <v>0</v>
      </c>
      <c r="AQ199" s="1197">
        <f t="shared" si="61"/>
        <v>0</v>
      </c>
      <c r="AR199" s="1197">
        <f t="shared" si="61"/>
        <v>0</v>
      </c>
      <c r="AS199" s="227">
        <f t="shared" si="61"/>
        <v>0</v>
      </c>
      <c r="AT199" s="1183">
        <f t="shared" si="61"/>
        <v>0</v>
      </c>
      <c r="AU199" s="1183">
        <f t="shared" si="61"/>
        <v>0</v>
      </c>
      <c r="AV199" s="1197">
        <f t="shared" si="61"/>
        <v>0</v>
      </c>
      <c r="AW199" s="1197">
        <f t="shared" si="61"/>
        <v>0</v>
      </c>
      <c r="AX199" s="1197">
        <f t="shared" si="61"/>
        <v>0</v>
      </c>
      <c r="AY199" s="1197">
        <f t="shared" si="61"/>
        <v>0</v>
      </c>
      <c r="AZ199" s="1197">
        <f t="shared" si="61"/>
        <v>0</v>
      </c>
      <c r="BA199" s="1197">
        <f t="shared" si="61"/>
        <v>0</v>
      </c>
      <c r="BB199" s="1197">
        <f t="shared" si="61"/>
        <v>0</v>
      </c>
      <c r="BC199" s="1231"/>
      <c r="BD199" s="781"/>
      <c r="BE199" s="781"/>
      <c r="BF199" s="960" t="s">
        <v>1142</v>
      </c>
    </row>
    <row r="200" spans="1:58" s="1167" customFormat="1" ht="14.25" customHeight="1" x14ac:dyDescent="0.15">
      <c r="A200" s="1150"/>
      <c r="B200" s="773"/>
      <c r="C200" s="1150"/>
      <c r="D200" s="1150"/>
      <c r="E200" s="668">
        <v>15</v>
      </c>
      <c r="F200" s="769" t="str" cm="1">
        <f t="array" ref="F200">F199</f>
        <v>1</v>
      </c>
      <c r="G200" s="804"/>
      <c r="H200" s="804"/>
      <c r="I200" s="804"/>
      <c r="J200" s="804"/>
      <c r="K200" s="804"/>
      <c r="L200" s="804"/>
      <c r="M200" s="804"/>
      <c r="N200" s="804"/>
      <c r="O200" s="804"/>
      <c r="P200" s="804"/>
      <c r="Q200" s="774"/>
      <c r="R200" s="774"/>
      <c r="S200" s="804"/>
      <c r="T200" s="690" t="b" cm="1">
        <f t="array" ref="T200">T199</f>
        <v>1</v>
      </c>
      <c r="U200" s="1150"/>
      <c r="V200" s="1150"/>
      <c r="W200" s="1150"/>
      <c r="X200" s="1428"/>
      <c r="Y200" s="1150"/>
      <c r="Z200" s="1428"/>
      <c r="AA200" s="781"/>
      <c r="AB200" s="412" t="str">
        <f>AB197&amp;".3"</f>
        <v>6.3</v>
      </c>
      <c r="AC200" s="413" t="s">
        <v>1048</v>
      </c>
      <c r="AD200" s="412" t="s">
        <v>521</v>
      </c>
      <c r="AE200" s="1197">
        <f t="shared" ref="AE200:BB200" si="62">IF(AE186=0,0,AE214/AE186*100)</f>
        <v>0</v>
      </c>
      <c r="AF200" s="1197">
        <f t="shared" si="62"/>
        <v>0</v>
      </c>
      <c r="AG200" s="1197">
        <f t="shared" si="62"/>
        <v>0</v>
      </c>
      <c r="AH200" s="1197">
        <f t="shared" si="62"/>
        <v>0</v>
      </c>
      <c r="AI200" s="227">
        <f t="shared" si="62"/>
        <v>0</v>
      </c>
      <c r="AJ200" s="1183">
        <f t="shared" si="62"/>
        <v>0</v>
      </c>
      <c r="AK200" s="1183">
        <f t="shared" si="62"/>
        <v>0</v>
      </c>
      <c r="AL200" s="1197">
        <f t="shared" si="62"/>
        <v>0</v>
      </c>
      <c r="AM200" s="1197">
        <f t="shared" si="62"/>
        <v>0</v>
      </c>
      <c r="AN200" s="1197">
        <f t="shared" si="62"/>
        <v>0</v>
      </c>
      <c r="AO200" s="1197">
        <f t="shared" si="62"/>
        <v>0</v>
      </c>
      <c r="AP200" s="1197">
        <f t="shared" si="62"/>
        <v>0</v>
      </c>
      <c r="AQ200" s="1197">
        <f t="shared" si="62"/>
        <v>0</v>
      </c>
      <c r="AR200" s="1197">
        <f t="shared" si="62"/>
        <v>0</v>
      </c>
      <c r="AS200" s="227">
        <f t="shared" si="62"/>
        <v>0</v>
      </c>
      <c r="AT200" s="1183">
        <f t="shared" si="62"/>
        <v>0</v>
      </c>
      <c r="AU200" s="1183">
        <f t="shared" si="62"/>
        <v>0</v>
      </c>
      <c r="AV200" s="1197">
        <f t="shared" si="62"/>
        <v>0</v>
      </c>
      <c r="AW200" s="1197">
        <f t="shared" si="62"/>
        <v>0</v>
      </c>
      <c r="AX200" s="1197">
        <f t="shared" si="62"/>
        <v>0</v>
      </c>
      <c r="AY200" s="1197">
        <f t="shared" si="62"/>
        <v>0</v>
      </c>
      <c r="AZ200" s="1197">
        <f t="shared" si="62"/>
        <v>0</v>
      </c>
      <c r="BA200" s="1197">
        <f t="shared" si="62"/>
        <v>0</v>
      </c>
      <c r="BB200" s="1197">
        <f t="shared" si="62"/>
        <v>0</v>
      </c>
      <c r="BC200" s="1231"/>
      <c r="BD200" s="781"/>
      <c r="BE200" s="781"/>
      <c r="BF200" s="960" t="s">
        <v>1143</v>
      </c>
    </row>
    <row r="201" spans="1:58" s="1167" customFormat="1" ht="14.25" customHeight="1" x14ac:dyDescent="0.15">
      <c r="A201" s="1150"/>
      <c r="B201" s="773"/>
      <c r="C201" s="1150"/>
      <c r="D201" s="1150"/>
      <c r="E201" s="668">
        <v>15</v>
      </c>
      <c r="F201" s="769" t="str" cm="1">
        <f t="array" ref="F201">F200</f>
        <v>1</v>
      </c>
      <c r="G201" s="804"/>
      <c r="H201" s="804"/>
      <c r="I201" s="804"/>
      <c r="J201" s="804"/>
      <c r="K201" s="804"/>
      <c r="L201" s="804"/>
      <c r="M201" s="804"/>
      <c r="N201" s="804"/>
      <c r="O201" s="804"/>
      <c r="P201" s="804"/>
      <c r="Q201" s="774"/>
      <c r="R201" s="774"/>
      <c r="S201" s="804"/>
      <c r="T201" s="690" t="b" cm="1">
        <f t="array" ref="T201">T200</f>
        <v>1</v>
      </c>
      <c r="U201" s="1150"/>
      <c r="V201" s="1150"/>
      <c r="W201" s="1150"/>
      <c r="X201" s="1428"/>
      <c r="Y201" s="1150"/>
      <c r="Z201" s="1428"/>
      <c r="AA201" s="781"/>
      <c r="AB201" s="412" t="str">
        <f>AB197&amp;".4"</f>
        <v>6.4</v>
      </c>
      <c r="AC201" s="413" t="s">
        <v>1050</v>
      </c>
      <c r="AD201" s="412" t="s">
        <v>521</v>
      </c>
      <c r="AE201" s="1197">
        <f t="shared" ref="AE201:BB201" si="63">IF(AE187=0,0,AE215/AE187*100)</f>
        <v>0</v>
      </c>
      <c r="AF201" s="1197">
        <f t="shared" si="63"/>
        <v>0</v>
      </c>
      <c r="AG201" s="1197">
        <f t="shared" si="63"/>
        <v>0</v>
      </c>
      <c r="AH201" s="1197">
        <f t="shared" si="63"/>
        <v>0</v>
      </c>
      <c r="AI201" s="227">
        <f t="shared" si="63"/>
        <v>0</v>
      </c>
      <c r="AJ201" s="1183">
        <f t="shared" si="63"/>
        <v>0</v>
      </c>
      <c r="AK201" s="1183">
        <f t="shared" si="63"/>
        <v>0</v>
      </c>
      <c r="AL201" s="1197">
        <f t="shared" si="63"/>
        <v>0</v>
      </c>
      <c r="AM201" s="1197">
        <f t="shared" si="63"/>
        <v>0</v>
      </c>
      <c r="AN201" s="1197">
        <f t="shared" si="63"/>
        <v>0</v>
      </c>
      <c r="AO201" s="1197">
        <f t="shared" si="63"/>
        <v>0</v>
      </c>
      <c r="AP201" s="1197">
        <f t="shared" si="63"/>
        <v>0</v>
      </c>
      <c r="AQ201" s="1197">
        <f t="shared" si="63"/>
        <v>0</v>
      </c>
      <c r="AR201" s="1197">
        <f t="shared" si="63"/>
        <v>0</v>
      </c>
      <c r="AS201" s="227">
        <f t="shared" si="63"/>
        <v>0</v>
      </c>
      <c r="AT201" s="1183">
        <f t="shared" si="63"/>
        <v>0</v>
      </c>
      <c r="AU201" s="1183">
        <f t="shared" si="63"/>
        <v>0</v>
      </c>
      <c r="AV201" s="1197">
        <f t="shared" si="63"/>
        <v>0</v>
      </c>
      <c r="AW201" s="1197">
        <f t="shared" si="63"/>
        <v>0</v>
      </c>
      <c r="AX201" s="1197">
        <f t="shared" si="63"/>
        <v>0</v>
      </c>
      <c r="AY201" s="1197">
        <f t="shared" si="63"/>
        <v>0</v>
      </c>
      <c r="AZ201" s="1197">
        <f t="shared" si="63"/>
        <v>0</v>
      </c>
      <c r="BA201" s="1197">
        <f t="shared" si="63"/>
        <v>0</v>
      </c>
      <c r="BB201" s="1197">
        <f t="shared" si="63"/>
        <v>0</v>
      </c>
      <c r="BC201" s="1231"/>
      <c r="BD201" s="781"/>
      <c r="BE201" s="781"/>
      <c r="BF201" s="960" t="s">
        <v>1144</v>
      </c>
    </row>
    <row r="202" spans="1:58" s="1167" customFormat="1" ht="14.25" customHeight="1" x14ac:dyDescent="0.15">
      <c r="A202" s="1150"/>
      <c r="B202" s="773"/>
      <c r="C202" s="1150"/>
      <c r="D202" s="1150"/>
      <c r="E202" s="668">
        <v>15</v>
      </c>
      <c r="F202" s="769" t="str" cm="1">
        <f t="array" ref="F202">F201</f>
        <v>1</v>
      </c>
      <c r="G202" s="804"/>
      <c r="H202" s="804"/>
      <c r="I202" s="804"/>
      <c r="J202" s="804"/>
      <c r="K202" s="804"/>
      <c r="L202" s="804"/>
      <c r="M202" s="804"/>
      <c r="N202" s="804"/>
      <c r="O202" s="804"/>
      <c r="P202" s="804"/>
      <c r="Q202" s="774"/>
      <c r="R202" s="774"/>
      <c r="S202" s="804"/>
      <c r="T202" s="690" t="b" cm="1">
        <f t="array" ref="T202">T201</f>
        <v>1</v>
      </c>
      <c r="U202" s="1150"/>
      <c r="V202" s="1150"/>
      <c r="W202" s="1150"/>
      <c r="X202" s="1428"/>
      <c r="Y202" s="1150"/>
      <c r="Z202" s="1428"/>
      <c r="AA202" s="781"/>
      <c r="AB202" s="412" t="str">
        <f>AB201&amp;".1"</f>
        <v>6.4.1</v>
      </c>
      <c r="AC202" s="414" t="s">
        <v>1053</v>
      </c>
      <c r="AD202" s="412" t="s">
        <v>521</v>
      </c>
      <c r="AE202" s="1197">
        <f t="shared" ref="AE202:BB202" si="64">IF(AE188=0,0,AE216/AE188*100)</f>
        <v>0</v>
      </c>
      <c r="AF202" s="1197">
        <f t="shared" si="64"/>
        <v>0</v>
      </c>
      <c r="AG202" s="1197">
        <f t="shared" si="64"/>
        <v>0</v>
      </c>
      <c r="AH202" s="1197">
        <f t="shared" si="64"/>
        <v>0</v>
      </c>
      <c r="AI202" s="227">
        <f t="shared" si="64"/>
        <v>0</v>
      </c>
      <c r="AJ202" s="1183">
        <f t="shared" si="64"/>
        <v>0</v>
      </c>
      <c r="AK202" s="1183">
        <f t="shared" si="64"/>
        <v>0</v>
      </c>
      <c r="AL202" s="1197">
        <f t="shared" si="64"/>
        <v>0</v>
      </c>
      <c r="AM202" s="1197">
        <f t="shared" si="64"/>
        <v>0</v>
      </c>
      <c r="AN202" s="1197">
        <f t="shared" si="64"/>
        <v>0</v>
      </c>
      <c r="AO202" s="1197">
        <f t="shared" si="64"/>
        <v>0</v>
      </c>
      <c r="AP202" s="1197">
        <f t="shared" si="64"/>
        <v>0</v>
      </c>
      <c r="AQ202" s="1197">
        <f t="shared" si="64"/>
        <v>0</v>
      </c>
      <c r="AR202" s="1197">
        <f t="shared" si="64"/>
        <v>0</v>
      </c>
      <c r="AS202" s="227">
        <f t="shared" si="64"/>
        <v>0</v>
      </c>
      <c r="AT202" s="1183">
        <f t="shared" si="64"/>
        <v>0</v>
      </c>
      <c r="AU202" s="1183">
        <f t="shared" si="64"/>
        <v>0</v>
      </c>
      <c r="AV202" s="1197">
        <f t="shared" si="64"/>
        <v>0</v>
      </c>
      <c r="AW202" s="1197">
        <f t="shared" si="64"/>
        <v>0</v>
      </c>
      <c r="AX202" s="1197">
        <f t="shared" si="64"/>
        <v>0</v>
      </c>
      <c r="AY202" s="1197">
        <f t="shared" si="64"/>
        <v>0</v>
      </c>
      <c r="AZ202" s="1197">
        <f t="shared" si="64"/>
        <v>0</v>
      </c>
      <c r="BA202" s="1197">
        <f t="shared" si="64"/>
        <v>0</v>
      </c>
      <c r="BB202" s="1197">
        <f t="shared" si="64"/>
        <v>0</v>
      </c>
      <c r="BC202" s="1231"/>
      <c r="BD202" s="781"/>
      <c r="BE202" s="781"/>
      <c r="BF202" s="960" t="s">
        <v>1145</v>
      </c>
    </row>
    <row r="203" spans="1:58" s="1167" customFormat="1" ht="14.25" customHeight="1" x14ac:dyDescent="0.15">
      <c r="A203" s="1150"/>
      <c r="B203" s="773"/>
      <c r="C203" s="1150"/>
      <c r="D203" s="1150"/>
      <c r="E203" s="668">
        <v>15</v>
      </c>
      <c r="F203" s="769" t="str" cm="1">
        <f t="array" ref="F203">F202</f>
        <v>1</v>
      </c>
      <c r="G203" s="804"/>
      <c r="H203" s="804"/>
      <c r="I203" s="804"/>
      <c r="J203" s="804"/>
      <c r="K203" s="804"/>
      <c r="L203" s="804"/>
      <c r="M203" s="804"/>
      <c r="N203" s="804"/>
      <c r="O203" s="804"/>
      <c r="P203" s="804"/>
      <c r="Q203" s="774"/>
      <c r="R203" s="774"/>
      <c r="S203" s="804"/>
      <c r="T203" s="690" t="b" cm="1">
        <f t="array" ref="T203">T202</f>
        <v>1</v>
      </c>
      <c r="U203" s="1150"/>
      <c r="V203" s="1150"/>
      <c r="W203" s="1150"/>
      <c r="X203" s="1428"/>
      <c r="Y203" s="1150"/>
      <c r="Z203" s="1428"/>
      <c r="AA203" s="781"/>
      <c r="AB203" s="412" t="str">
        <f>AB201&amp;".2"</f>
        <v>6.4.2</v>
      </c>
      <c r="AC203" s="414" t="s">
        <v>1056</v>
      </c>
      <c r="AD203" s="412" t="s">
        <v>521</v>
      </c>
      <c r="AE203" s="1197">
        <f t="shared" ref="AE203:BB203" si="65">IF(AE189=0,0,AE217/AE189*100)</f>
        <v>0</v>
      </c>
      <c r="AF203" s="1197">
        <f t="shared" si="65"/>
        <v>0</v>
      </c>
      <c r="AG203" s="1197">
        <f t="shared" si="65"/>
        <v>0</v>
      </c>
      <c r="AH203" s="1197">
        <f t="shared" si="65"/>
        <v>0</v>
      </c>
      <c r="AI203" s="227">
        <f t="shared" si="65"/>
        <v>0</v>
      </c>
      <c r="AJ203" s="1183">
        <f t="shared" si="65"/>
        <v>0</v>
      </c>
      <c r="AK203" s="1183">
        <f t="shared" si="65"/>
        <v>0</v>
      </c>
      <c r="AL203" s="1197">
        <f t="shared" si="65"/>
        <v>0</v>
      </c>
      <c r="AM203" s="1197">
        <f t="shared" si="65"/>
        <v>0</v>
      </c>
      <c r="AN203" s="1197">
        <f t="shared" si="65"/>
        <v>0</v>
      </c>
      <c r="AO203" s="1197">
        <f t="shared" si="65"/>
        <v>0</v>
      </c>
      <c r="AP203" s="1197">
        <f t="shared" si="65"/>
        <v>0</v>
      </c>
      <c r="AQ203" s="1197">
        <f t="shared" si="65"/>
        <v>0</v>
      </c>
      <c r="AR203" s="1197">
        <f t="shared" si="65"/>
        <v>0</v>
      </c>
      <c r="AS203" s="227">
        <f t="shared" si="65"/>
        <v>0</v>
      </c>
      <c r="AT203" s="1183">
        <f t="shared" si="65"/>
        <v>0</v>
      </c>
      <c r="AU203" s="1183">
        <f t="shared" si="65"/>
        <v>0</v>
      </c>
      <c r="AV203" s="1197">
        <f t="shared" si="65"/>
        <v>0</v>
      </c>
      <c r="AW203" s="1197">
        <f t="shared" si="65"/>
        <v>0</v>
      </c>
      <c r="AX203" s="1197">
        <f t="shared" si="65"/>
        <v>0</v>
      </c>
      <c r="AY203" s="1197">
        <f t="shared" si="65"/>
        <v>0</v>
      </c>
      <c r="AZ203" s="1197">
        <f t="shared" si="65"/>
        <v>0</v>
      </c>
      <c r="BA203" s="1197">
        <f t="shared" si="65"/>
        <v>0</v>
      </c>
      <c r="BB203" s="1197">
        <f t="shared" si="65"/>
        <v>0</v>
      </c>
      <c r="BC203" s="1231"/>
      <c r="BD203" s="781"/>
      <c r="BE203" s="781"/>
      <c r="BF203" s="960" t="s">
        <v>1146</v>
      </c>
    </row>
    <row r="204" spans="1:58" s="1167" customFormat="1" ht="14.25" customHeight="1" x14ac:dyDescent="0.15">
      <c r="A204" s="1150"/>
      <c r="B204" s="773"/>
      <c r="C204" s="1150"/>
      <c r="D204" s="1150"/>
      <c r="E204" s="668">
        <v>15</v>
      </c>
      <c r="F204" s="769" t="str" cm="1">
        <f t="array" ref="F204">F203</f>
        <v>1</v>
      </c>
      <c r="G204" s="804"/>
      <c r="H204" s="804"/>
      <c r="I204" s="804"/>
      <c r="J204" s="804"/>
      <c r="K204" s="804"/>
      <c r="L204" s="804"/>
      <c r="M204" s="804"/>
      <c r="N204" s="804"/>
      <c r="O204" s="804"/>
      <c r="P204" s="804"/>
      <c r="Q204" s="774"/>
      <c r="R204" s="774"/>
      <c r="S204" s="804"/>
      <c r="T204" s="690" t="b" cm="1">
        <f t="array" ref="T204">T203</f>
        <v>1</v>
      </c>
      <c r="U204" s="1150"/>
      <c r="V204" s="1150"/>
      <c r="W204" s="1150"/>
      <c r="X204" s="1428"/>
      <c r="Y204" s="1150"/>
      <c r="Z204" s="1428"/>
      <c r="AA204" s="781"/>
      <c r="AB204" s="412" t="str">
        <f>AB201&amp;".3"</f>
        <v>6.4.3</v>
      </c>
      <c r="AC204" s="414" t="s">
        <v>1059</v>
      </c>
      <c r="AD204" s="412" t="s">
        <v>521</v>
      </c>
      <c r="AE204" s="1197">
        <f t="shared" ref="AE204:BB204" si="66">IF(AE190=0,0,AE218/AE190*100)</f>
        <v>0</v>
      </c>
      <c r="AF204" s="1197">
        <f t="shared" si="66"/>
        <v>0</v>
      </c>
      <c r="AG204" s="1197">
        <f t="shared" si="66"/>
        <v>0</v>
      </c>
      <c r="AH204" s="1197">
        <f t="shared" si="66"/>
        <v>0</v>
      </c>
      <c r="AI204" s="227">
        <f t="shared" si="66"/>
        <v>0</v>
      </c>
      <c r="AJ204" s="1183">
        <f t="shared" si="66"/>
        <v>0</v>
      </c>
      <c r="AK204" s="1183">
        <f t="shared" si="66"/>
        <v>0</v>
      </c>
      <c r="AL204" s="1197">
        <f t="shared" si="66"/>
        <v>0</v>
      </c>
      <c r="AM204" s="1197">
        <f t="shared" si="66"/>
        <v>0</v>
      </c>
      <c r="AN204" s="1197">
        <f t="shared" si="66"/>
        <v>0</v>
      </c>
      <c r="AO204" s="1197">
        <f t="shared" si="66"/>
        <v>0</v>
      </c>
      <c r="AP204" s="1197">
        <f t="shared" si="66"/>
        <v>0</v>
      </c>
      <c r="AQ204" s="1197">
        <f t="shared" si="66"/>
        <v>0</v>
      </c>
      <c r="AR204" s="1197">
        <f t="shared" si="66"/>
        <v>0</v>
      </c>
      <c r="AS204" s="227">
        <f t="shared" si="66"/>
        <v>0</v>
      </c>
      <c r="AT204" s="1183">
        <f t="shared" si="66"/>
        <v>0</v>
      </c>
      <c r="AU204" s="1183">
        <f t="shared" si="66"/>
        <v>0</v>
      </c>
      <c r="AV204" s="1197">
        <f t="shared" si="66"/>
        <v>0</v>
      </c>
      <c r="AW204" s="1197">
        <f t="shared" si="66"/>
        <v>0</v>
      </c>
      <c r="AX204" s="1197">
        <f t="shared" si="66"/>
        <v>0</v>
      </c>
      <c r="AY204" s="1197">
        <f t="shared" si="66"/>
        <v>0</v>
      </c>
      <c r="AZ204" s="1197">
        <f t="shared" si="66"/>
        <v>0</v>
      </c>
      <c r="BA204" s="1197">
        <f t="shared" si="66"/>
        <v>0</v>
      </c>
      <c r="BB204" s="1197">
        <f t="shared" si="66"/>
        <v>0</v>
      </c>
      <c r="BC204" s="1231"/>
      <c r="BD204" s="781"/>
      <c r="BE204" s="781"/>
      <c r="BF204" s="960" t="s">
        <v>1147</v>
      </c>
    </row>
    <row r="205" spans="1:58" s="1167" customFormat="1" ht="14.25" customHeight="1" x14ac:dyDescent="0.15">
      <c r="A205" s="1150"/>
      <c r="B205" s="773"/>
      <c r="C205" s="1150"/>
      <c r="D205" s="1150"/>
      <c r="E205" s="668">
        <v>15</v>
      </c>
      <c r="F205" s="769" t="str" cm="1">
        <f t="array" ref="F205">F204</f>
        <v>1</v>
      </c>
      <c r="G205" s="804"/>
      <c r="H205" s="804"/>
      <c r="I205" s="804"/>
      <c r="J205" s="804"/>
      <c r="K205" s="804"/>
      <c r="L205" s="804"/>
      <c r="M205" s="804"/>
      <c r="N205" s="804"/>
      <c r="O205" s="804"/>
      <c r="P205" s="804"/>
      <c r="Q205" s="774"/>
      <c r="R205" s="774"/>
      <c r="S205" s="804"/>
      <c r="T205" s="690" t="b" cm="1">
        <f t="array" ref="T205">T204</f>
        <v>1</v>
      </c>
      <c r="U205" s="1150"/>
      <c r="V205" s="1150"/>
      <c r="W205" s="1150"/>
      <c r="X205" s="1428"/>
      <c r="Y205" s="1150"/>
      <c r="Z205" s="1428"/>
      <c r="AA205" s="781"/>
      <c r="AB205" s="412" t="str">
        <f>AB201&amp;".4"</f>
        <v>6.4.4</v>
      </c>
      <c r="AC205" s="414" t="s">
        <v>1062</v>
      </c>
      <c r="AD205" s="412" t="s">
        <v>521</v>
      </c>
      <c r="AE205" s="1197">
        <f t="shared" ref="AE205:BB205" si="67">IF(AE191=0,0,AE219/AE191*100)</f>
        <v>0</v>
      </c>
      <c r="AF205" s="1197">
        <f t="shared" si="67"/>
        <v>0</v>
      </c>
      <c r="AG205" s="1197">
        <f t="shared" si="67"/>
        <v>0</v>
      </c>
      <c r="AH205" s="1197">
        <f t="shared" si="67"/>
        <v>0</v>
      </c>
      <c r="AI205" s="227">
        <f t="shared" si="67"/>
        <v>0</v>
      </c>
      <c r="AJ205" s="1183">
        <f t="shared" si="67"/>
        <v>0</v>
      </c>
      <c r="AK205" s="1183">
        <f t="shared" si="67"/>
        <v>0</v>
      </c>
      <c r="AL205" s="1197">
        <f t="shared" si="67"/>
        <v>0</v>
      </c>
      <c r="AM205" s="1197">
        <f t="shared" si="67"/>
        <v>0</v>
      </c>
      <c r="AN205" s="1197">
        <f t="shared" si="67"/>
        <v>0</v>
      </c>
      <c r="AO205" s="1197">
        <f t="shared" si="67"/>
        <v>0</v>
      </c>
      <c r="AP205" s="1197">
        <f t="shared" si="67"/>
        <v>0</v>
      </c>
      <c r="AQ205" s="1197">
        <f t="shared" si="67"/>
        <v>0</v>
      </c>
      <c r="AR205" s="1197">
        <f t="shared" si="67"/>
        <v>0</v>
      </c>
      <c r="AS205" s="227">
        <f t="shared" si="67"/>
        <v>0</v>
      </c>
      <c r="AT205" s="1183">
        <f t="shared" si="67"/>
        <v>0</v>
      </c>
      <c r="AU205" s="1183">
        <f t="shared" si="67"/>
        <v>0</v>
      </c>
      <c r="AV205" s="1197">
        <f t="shared" si="67"/>
        <v>0</v>
      </c>
      <c r="AW205" s="1197">
        <f t="shared" si="67"/>
        <v>0</v>
      </c>
      <c r="AX205" s="1197">
        <f t="shared" si="67"/>
        <v>0</v>
      </c>
      <c r="AY205" s="1197">
        <f t="shared" si="67"/>
        <v>0</v>
      </c>
      <c r="AZ205" s="1197">
        <f t="shared" si="67"/>
        <v>0</v>
      </c>
      <c r="BA205" s="1197">
        <f t="shared" si="67"/>
        <v>0</v>
      </c>
      <c r="BB205" s="1197">
        <f t="shared" si="67"/>
        <v>0</v>
      </c>
      <c r="BC205" s="1231"/>
      <c r="BD205" s="781"/>
      <c r="BE205" s="781"/>
      <c r="BF205" s="960" t="s">
        <v>1148</v>
      </c>
    </row>
    <row r="206" spans="1:58" s="1167" customFormat="1" ht="14.25" customHeight="1" x14ac:dyDescent="0.15">
      <c r="A206" s="1150"/>
      <c r="B206" s="773"/>
      <c r="C206" s="1150"/>
      <c r="D206" s="1150"/>
      <c r="E206" s="668">
        <v>15</v>
      </c>
      <c r="F206" s="769" t="str" cm="1">
        <f t="array" ref="F206">F205</f>
        <v>1</v>
      </c>
      <c r="G206" s="804"/>
      <c r="H206" s="804"/>
      <c r="I206" s="804"/>
      <c r="J206" s="804"/>
      <c r="K206" s="804"/>
      <c r="L206" s="804"/>
      <c r="M206" s="804"/>
      <c r="N206" s="804"/>
      <c r="O206" s="804"/>
      <c r="P206" s="804"/>
      <c r="Q206" s="774"/>
      <c r="R206" s="774"/>
      <c r="S206" s="804"/>
      <c r="T206" s="690" t="b" cm="1">
        <f t="array" ref="T206">T205</f>
        <v>1</v>
      </c>
      <c r="U206" s="1150"/>
      <c r="V206" s="1150"/>
      <c r="W206" s="1150"/>
      <c r="X206" s="1428"/>
      <c r="Y206" s="1150"/>
      <c r="Z206" s="1428"/>
      <c r="AA206" s="781"/>
      <c r="AB206" s="412" t="str">
        <f>AB201&amp;".5"</f>
        <v>6.4.5</v>
      </c>
      <c r="AC206" s="414" t="s">
        <v>1065</v>
      </c>
      <c r="AD206" s="412" t="s">
        <v>521</v>
      </c>
      <c r="AE206" s="1197">
        <f t="shared" ref="AE206:BB206" si="68">IF(AE192=0,0,AE220/AE192*100)</f>
        <v>0</v>
      </c>
      <c r="AF206" s="1197">
        <f t="shared" si="68"/>
        <v>0</v>
      </c>
      <c r="AG206" s="1197">
        <f t="shared" si="68"/>
        <v>0</v>
      </c>
      <c r="AH206" s="1197">
        <f t="shared" si="68"/>
        <v>0</v>
      </c>
      <c r="AI206" s="227">
        <f t="shared" si="68"/>
        <v>0</v>
      </c>
      <c r="AJ206" s="1183">
        <f t="shared" si="68"/>
        <v>0</v>
      </c>
      <c r="AK206" s="1183">
        <f t="shared" si="68"/>
        <v>0</v>
      </c>
      <c r="AL206" s="1197">
        <f t="shared" si="68"/>
        <v>0</v>
      </c>
      <c r="AM206" s="1197">
        <f t="shared" si="68"/>
        <v>0</v>
      </c>
      <c r="AN206" s="1197">
        <f t="shared" si="68"/>
        <v>0</v>
      </c>
      <c r="AO206" s="1197">
        <f t="shared" si="68"/>
        <v>0</v>
      </c>
      <c r="AP206" s="1197">
        <f t="shared" si="68"/>
        <v>0</v>
      </c>
      <c r="AQ206" s="1197">
        <f t="shared" si="68"/>
        <v>0</v>
      </c>
      <c r="AR206" s="1197">
        <f t="shared" si="68"/>
        <v>0</v>
      </c>
      <c r="AS206" s="227">
        <f t="shared" si="68"/>
        <v>0</v>
      </c>
      <c r="AT206" s="1183">
        <f t="shared" si="68"/>
        <v>0</v>
      </c>
      <c r="AU206" s="1183">
        <f t="shared" si="68"/>
        <v>0</v>
      </c>
      <c r="AV206" s="1197">
        <f t="shared" si="68"/>
        <v>0</v>
      </c>
      <c r="AW206" s="1197">
        <f t="shared" si="68"/>
        <v>0</v>
      </c>
      <c r="AX206" s="1197">
        <f t="shared" si="68"/>
        <v>0</v>
      </c>
      <c r="AY206" s="1197">
        <f t="shared" si="68"/>
        <v>0</v>
      </c>
      <c r="AZ206" s="1197">
        <f t="shared" si="68"/>
        <v>0</v>
      </c>
      <c r="BA206" s="1197">
        <f t="shared" si="68"/>
        <v>0</v>
      </c>
      <c r="BB206" s="1197">
        <f t="shared" si="68"/>
        <v>0</v>
      </c>
      <c r="BC206" s="1231"/>
      <c r="BD206" s="781"/>
      <c r="BE206" s="781"/>
      <c r="BF206" s="960" t="s">
        <v>1149</v>
      </c>
    </row>
    <row r="207" spans="1:58" s="1167" customFormat="1" ht="14.25" customHeight="1" x14ac:dyDescent="0.15">
      <c r="A207" s="1150"/>
      <c r="B207" s="773"/>
      <c r="C207" s="1150"/>
      <c r="D207" s="1150"/>
      <c r="E207" s="668">
        <v>15</v>
      </c>
      <c r="F207" s="769" t="str" cm="1">
        <f t="array" ref="F207">F206</f>
        <v>1</v>
      </c>
      <c r="G207" s="804"/>
      <c r="H207" s="804"/>
      <c r="I207" s="804"/>
      <c r="J207" s="804"/>
      <c r="K207" s="804"/>
      <c r="L207" s="804"/>
      <c r="M207" s="804"/>
      <c r="N207" s="804"/>
      <c r="O207" s="804"/>
      <c r="P207" s="804"/>
      <c r="Q207" s="774"/>
      <c r="R207" s="774"/>
      <c r="S207" s="804"/>
      <c r="T207" s="690" t="b" cm="1">
        <f t="array" ref="T207">T206</f>
        <v>1</v>
      </c>
      <c r="U207" s="1150"/>
      <c r="V207" s="1150"/>
      <c r="W207" s="1150"/>
      <c r="X207" s="1428"/>
      <c r="Y207" s="1150"/>
      <c r="Z207" s="1428"/>
      <c r="AA207" s="781"/>
      <c r="AB207" s="412" t="str">
        <f>AB197&amp;".5"</f>
        <v>6.5</v>
      </c>
      <c r="AC207" s="413" t="s">
        <v>1068</v>
      </c>
      <c r="AD207" s="412" t="s">
        <v>521</v>
      </c>
      <c r="AE207" s="1197">
        <f t="shared" ref="AE207:BB207" si="69">IF(AE193=0,0,AE221/AE193*100)</f>
        <v>0</v>
      </c>
      <c r="AF207" s="1197">
        <f t="shared" si="69"/>
        <v>0</v>
      </c>
      <c r="AG207" s="1197">
        <f t="shared" si="69"/>
        <v>0</v>
      </c>
      <c r="AH207" s="1197">
        <f t="shared" si="69"/>
        <v>0</v>
      </c>
      <c r="AI207" s="227">
        <f t="shared" si="69"/>
        <v>0</v>
      </c>
      <c r="AJ207" s="1183">
        <f t="shared" si="69"/>
        <v>0</v>
      </c>
      <c r="AK207" s="1183">
        <f t="shared" si="69"/>
        <v>0</v>
      </c>
      <c r="AL207" s="1197">
        <f t="shared" si="69"/>
        <v>0</v>
      </c>
      <c r="AM207" s="1197">
        <f t="shared" si="69"/>
        <v>0</v>
      </c>
      <c r="AN207" s="1197">
        <f t="shared" si="69"/>
        <v>0</v>
      </c>
      <c r="AO207" s="1197">
        <f t="shared" si="69"/>
        <v>0</v>
      </c>
      <c r="AP207" s="1197">
        <f t="shared" si="69"/>
        <v>0</v>
      </c>
      <c r="AQ207" s="1197">
        <f t="shared" si="69"/>
        <v>0</v>
      </c>
      <c r="AR207" s="1197">
        <f t="shared" si="69"/>
        <v>0</v>
      </c>
      <c r="AS207" s="227">
        <f t="shared" si="69"/>
        <v>0</v>
      </c>
      <c r="AT207" s="1183">
        <f t="shared" si="69"/>
        <v>0</v>
      </c>
      <c r="AU207" s="1183">
        <f t="shared" si="69"/>
        <v>0</v>
      </c>
      <c r="AV207" s="1197">
        <f t="shared" si="69"/>
        <v>0</v>
      </c>
      <c r="AW207" s="1197">
        <f t="shared" si="69"/>
        <v>0</v>
      </c>
      <c r="AX207" s="1197">
        <f t="shared" si="69"/>
        <v>0</v>
      </c>
      <c r="AY207" s="1197">
        <f t="shared" si="69"/>
        <v>0</v>
      </c>
      <c r="AZ207" s="1197">
        <f t="shared" si="69"/>
        <v>0</v>
      </c>
      <c r="BA207" s="1197">
        <f t="shared" si="69"/>
        <v>0</v>
      </c>
      <c r="BB207" s="1197">
        <f t="shared" si="69"/>
        <v>0</v>
      </c>
      <c r="BC207" s="1231"/>
      <c r="BD207" s="781"/>
      <c r="BE207" s="781"/>
      <c r="BF207" s="960" t="s">
        <v>1150</v>
      </c>
    </row>
    <row r="208" spans="1:58" s="1167" customFormat="1" ht="14.25" customHeight="1" x14ac:dyDescent="0.15">
      <c r="A208" s="1150"/>
      <c r="B208" s="773"/>
      <c r="C208" s="1150"/>
      <c r="D208" s="1150"/>
      <c r="E208" s="668">
        <v>15</v>
      </c>
      <c r="F208" s="769" t="str" cm="1">
        <f t="array" ref="F208">F207</f>
        <v>1</v>
      </c>
      <c r="G208" s="804"/>
      <c r="H208" s="804"/>
      <c r="I208" s="804"/>
      <c r="J208" s="804"/>
      <c r="K208" s="804"/>
      <c r="L208" s="804"/>
      <c r="M208" s="804"/>
      <c r="N208" s="804"/>
      <c r="O208" s="804"/>
      <c r="P208" s="804"/>
      <c r="Q208" s="774"/>
      <c r="R208" s="774"/>
      <c r="S208" s="804"/>
      <c r="T208" s="690" t="b" cm="1">
        <f t="array" ref="T208">T207</f>
        <v>1</v>
      </c>
      <c r="U208" s="1150"/>
      <c r="V208" s="1150"/>
      <c r="W208" s="1150"/>
      <c r="X208" s="1428"/>
      <c r="Y208" s="1150"/>
      <c r="Z208" s="1428"/>
      <c r="AA208" s="781"/>
      <c r="AB208" s="412" t="str">
        <f>AB197&amp;".6"</f>
        <v>6.6</v>
      </c>
      <c r="AC208" s="413" t="s">
        <v>1071</v>
      </c>
      <c r="AD208" s="412" t="s">
        <v>521</v>
      </c>
      <c r="AE208" s="1197">
        <f t="shared" ref="AE208:BB208" si="70">IF(AE194=0,0,AE222/AE194*100)</f>
        <v>0</v>
      </c>
      <c r="AF208" s="1197">
        <f t="shared" si="70"/>
        <v>0</v>
      </c>
      <c r="AG208" s="1197">
        <f t="shared" si="70"/>
        <v>0</v>
      </c>
      <c r="AH208" s="1197">
        <f t="shared" si="70"/>
        <v>0</v>
      </c>
      <c r="AI208" s="227">
        <f t="shared" si="70"/>
        <v>0</v>
      </c>
      <c r="AJ208" s="1183">
        <f t="shared" si="70"/>
        <v>0</v>
      </c>
      <c r="AK208" s="1183">
        <f t="shared" si="70"/>
        <v>0</v>
      </c>
      <c r="AL208" s="1197">
        <f t="shared" si="70"/>
        <v>0</v>
      </c>
      <c r="AM208" s="1197">
        <f t="shared" si="70"/>
        <v>0</v>
      </c>
      <c r="AN208" s="1197">
        <f t="shared" si="70"/>
        <v>0</v>
      </c>
      <c r="AO208" s="1197">
        <f t="shared" si="70"/>
        <v>0</v>
      </c>
      <c r="AP208" s="1197">
        <f t="shared" si="70"/>
        <v>0</v>
      </c>
      <c r="AQ208" s="1197">
        <f t="shared" si="70"/>
        <v>0</v>
      </c>
      <c r="AR208" s="1197">
        <f t="shared" si="70"/>
        <v>0</v>
      </c>
      <c r="AS208" s="227">
        <f t="shared" si="70"/>
        <v>0</v>
      </c>
      <c r="AT208" s="1183">
        <f t="shared" si="70"/>
        <v>0</v>
      </c>
      <c r="AU208" s="1183">
        <f t="shared" si="70"/>
        <v>0</v>
      </c>
      <c r="AV208" s="1197">
        <f t="shared" si="70"/>
        <v>0</v>
      </c>
      <c r="AW208" s="1197">
        <f t="shared" si="70"/>
        <v>0</v>
      </c>
      <c r="AX208" s="1197">
        <f t="shared" si="70"/>
        <v>0</v>
      </c>
      <c r="AY208" s="1197">
        <f t="shared" si="70"/>
        <v>0</v>
      </c>
      <c r="AZ208" s="1197">
        <f t="shared" si="70"/>
        <v>0</v>
      </c>
      <c r="BA208" s="1197">
        <f t="shared" si="70"/>
        <v>0</v>
      </c>
      <c r="BB208" s="1197">
        <f t="shared" si="70"/>
        <v>0</v>
      </c>
      <c r="BC208" s="1231"/>
      <c r="BD208" s="781"/>
      <c r="BE208" s="781"/>
      <c r="BF208" s="960" t="s">
        <v>1151</v>
      </c>
    </row>
    <row r="209" spans="1:58" s="1167" customFormat="1" ht="14.25" customHeight="1" x14ac:dyDescent="0.15">
      <c r="A209" s="1150"/>
      <c r="B209" s="773"/>
      <c r="C209" s="1150"/>
      <c r="D209" s="1150"/>
      <c r="E209" s="668">
        <v>15</v>
      </c>
      <c r="F209" s="769" t="str" cm="1">
        <f t="array" ref="F209">F208</f>
        <v>1</v>
      </c>
      <c r="G209" s="804"/>
      <c r="H209" s="804"/>
      <c r="I209" s="804"/>
      <c r="J209" s="804"/>
      <c r="K209" s="804"/>
      <c r="L209" s="804"/>
      <c r="M209" s="804"/>
      <c r="N209" s="804"/>
      <c r="O209" s="804"/>
      <c r="P209" s="804"/>
      <c r="Q209" s="774"/>
      <c r="R209" s="774"/>
      <c r="S209" s="804"/>
      <c r="T209" s="690" t="b" cm="1">
        <f t="array" ref="T209">T208</f>
        <v>1</v>
      </c>
      <c r="U209" s="1150"/>
      <c r="V209" s="1150"/>
      <c r="W209" s="1150"/>
      <c r="X209" s="1428"/>
      <c r="Y209" s="1150"/>
      <c r="Z209" s="1428"/>
      <c r="AA209" s="781"/>
      <c r="AB209" s="412" t="str">
        <f>AB197&amp;".7"</f>
        <v>6.7</v>
      </c>
      <c r="AC209" s="413" t="s">
        <v>1074</v>
      </c>
      <c r="AD209" s="412" t="s">
        <v>521</v>
      </c>
      <c r="AE209" s="1197">
        <f t="shared" ref="AE209:BB209" si="71">IF(AE195=0,0,AE223/AE195*100)</f>
        <v>0</v>
      </c>
      <c r="AF209" s="1197">
        <f t="shared" si="71"/>
        <v>0</v>
      </c>
      <c r="AG209" s="1197">
        <f t="shared" si="71"/>
        <v>0</v>
      </c>
      <c r="AH209" s="1197">
        <f t="shared" si="71"/>
        <v>0</v>
      </c>
      <c r="AI209" s="227">
        <f t="shared" si="71"/>
        <v>0</v>
      </c>
      <c r="AJ209" s="1183">
        <f t="shared" si="71"/>
        <v>0</v>
      </c>
      <c r="AK209" s="1183">
        <f t="shared" si="71"/>
        <v>0</v>
      </c>
      <c r="AL209" s="1197">
        <f t="shared" si="71"/>
        <v>0</v>
      </c>
      <c r="AM209" s="1197">
        <f t="shared" si="71"/>
        <v>0</v>
      </c>
      <c r="AN209" s="1197">
        <f t="shared" si="71"/>
        <v>0</v>
      </c>
      <c r="AO209" s="1197">
        <f t="shared" si="71"/>
        <v>0</v>
      </c>
      <c r="AP209" s="1197">
        <f t="shared" si="71"/>
        <v>0</v>
      </c>
      <c r="AQ209" s="1197">
        <f t="shared" si="71"/>
        <v>0</v>
      </c>
      <c r="AR209" s="1197">
        <f t="shared" si="71"/>
        <v>0</v>
      </c>
      <c r="AS209" s="227">
        <f t="shared" si="71"/>
        <v>0</v>
      </c>
      <c r="AT209" s="1183">
        <f t="shared" si="71"/>
        <v>0</v>
      </c>
      <c r="AU209" s="1183">
        <f t="shared" si="71"/>
        <v>0</v>
      </c>
      <c r="AV209" s="1197">
        <f t="shared" si="71"/>
        <v>0</v>
      </c>
      <c r="AW209" s="1197">
        <f t="shared" si="71"/>
        <v>0</v>
      </c>
      <c r="AX209" s="1197">
        <f t="shared" si="71"/>
        <v>0</v>
      </c>
      <c r="AY209" s="1197">
        <f t="shared" si="71"/>
        <v>0</v>
      </c>
      <c r="AZ209" s="1197">
        <f t="shared" si="71"/>
        <v>0</v>
      </c>
      <c r="BA209" s="1197">
        <f t="shared" si="71"/>
        <v>0</v>
      </c>
      <c r="BB209" s="1197">
        <f t="shared" si="71"/>
        <v>0</v>
      </c>
      <c r="BC209" s="1231"/>
      <c r="BD209" s="781"/>
      <c r="BE209" s="781"/>
      <c r="BF209" s="960" t="s">
        <v>1152</v>
      </c>
    </row>
    <row r="210" spans="1:58" s="1167" customFormat="1" ht="14.25" customHeight="1" x14ac:dyDescent="0.15">
      <c r="A210" s="1150"/>
      <c r="B210" s="773"/>
      <c r="C210" s="1150"/>
      <c r="D210" s="1150"/>
      <c r="E210" s="668">
        <v>15</v>
      </c>
      <c r="F210" s="769" t="str" cm="1">
        <f t="array" ref="F210">F209</f>
        <v>1</v>
      </c>
      <c r="G210" s="804"/>
      <c r="H210" s="804"/>
      <c r="I210" s="804"/>
      <c r="J210" s="804"/>
      <c r="K210" s="804"/>
      <c r="L210" s="804"/>
      <c r="M210" s="804"/>
      <c r="N210" s="804"/>
      <c r="O210" s="804"/>
      <c r="P210" s="804"/>
      <c r="Q210" s="774"/>
      <c r="R210" s="774"/>
      <c r="S210" s="804"/>
      <c r="T210" s="690" t="b" cm="1">
        <f t="array" ref="T210">T209</f>
        <v>1</v>
      </c>
      <c r="U210" s="1150"/>
      <c r="V210" s="1150"/>
      <c r="W210" s="1150"/>
      <c r="X210" s="1428"/>
      <c r="Y210" s="1150"/>
      <c r="Z210" s="1428"/>
      <c r="AA210" s="781"/>
      <c r="AB210" s="412" t="str">
        <f>AB197&amp;".8"</f>
        <v>6.8</v>
      </c>
      <c r="AC210" s="413" t="s">
        <v>1077</v>
      </c>
      <c r="AD210" s="412" t="s">
        <v>521</v>
      </c>
      <c r="AE210" s="1197">
        <f t="shared" ref="AE210:BB210" si="72">IF(AE196=0,0,AE224/AE196*100)</f>
        <v>0</v>
      </c>
      <c r="AF210" s="1197">
        <f t="shared" si="72"/>
        <v>0</v>
      </c>
      <c r="AG210" s="1197">
        <f t="shared" si="72"/>
        <v>0</v>
      </c>
      <c r="AH210" s="1197">
        <f t="shared" si="72"/>
        <v>0</v>
      </c>
      <c r="AI210" s="227">
        <f t="shared" si="72"/>
        <v>0</v>
      </c>
      <c r="AJ210" s="1183">
        <f t="shared" si="72"/>
        <v>0</v>
      </c>
      <c r="AK210" s="1183">
        <f t="shared" si="72"/>
        <v>0</v>
      </c>
      <c r="AL210" s="1197">
        <f t="shared" si="72"/>
        <v>0</v>
      </c>
      <c r="AM210" s="1197">
        <f t="shared" si="72"/>
        <v>0</v>
      </c>
      <c r="AN210" s="1197">
        <f t="shared" si="72"/>
        <v>0</v>
      </c>
      <c r="AO210" s="1197">
        <f t="shared" si="72"/>
        <v>0</v>
      </c>
      <c r="AP210" s="1197">
        <f t="shared" si="72"/>
        <v>0</v>
      </c>
      <c r="AQ210" s="1197">
        <f t="shared" si="72"/>
        <v>0</v>
      </c>
      <c r="AR210" s="1197">
        <f t="shared" si="72"/>
        <v>0</v>
      </c>
      <c r="AS210" s="227">
        <f t="shared" si="72"/>
        <v>0</v>
      </c>
      <c r="AT210" s="1183">
        <f t="shared" si="72"/>
        <v>0</v>
      </c>
      <c r="AU210" s="1183">
        <f t="shared" si="72"/>
        <v>0</v>
      </c>
      <c r="AV210" s="1197">
        <f t="shared" si="72"/>
        <v>0</v>
      </c>
      <c r="AW210" s="1197">
        <f t="shared" si="72"/>
        <v>0</v>
      </c>
      <c r="AX210" s="1197">
        <f t="shared" si="72"/>
        <v>0</v>
      </c>
      <c r="AY210" s="1197">
        <f t="shared" si="72"/>
        <v>0</v>
      </c>
      <c r="AZ210" s="1197">
        <f t="shared" si="72"/>
        <v>0</v>
      </c>
      <c r="BA210" s="1197">
        <f t="shared" si="72"/>
        <v>0</v>
      </c>
      <c r="BB210" s="1197">
        <f t="shared" si="72"/>
        <v>0</v>
      </c>
      <c r="BC210" s="1231"/>
      <c r="BD210" s="781"/>
      <c r="BE210" s="781"/>
      <c r="BF210" s="960" t="s">
        <v>1153</v>
      </c>
    </row>
    <row r="211" spans="1:58" s="164" customFormat="1" ht="14.25" customHeight="1" x14ac:dyDescent="0.15">
      <c r="E211" s="668">
        <v>15</v>
      </c>
      <c r="F211" s="769" t="str" cm="1">
        <f t="array" ref="F211">F210</f>
        <v>1</v>
      </c>
      <c r="G211" s="612" t="s">
        <v>1154</v>
      </c>
      <c r="T211" s="690" t="b" cm="1">
        <f t="array" ref="T211">T210</f>
        <v>1</v>
      </c>
      <c r="X211" s="1572"/>
      <c r="Z211" s="1572"/>
      <c r="AB211" s="224">
        <v>7</v>
      </c>
      <c r="AC211" s="225" t="s">
        <v>1155</v>
      </c>
      <c r="AD211" s="104" t="s">
        <v>830</v>
      </c>
      <c r="AE211" s="1270">
        <v>14188.39</v>
      </c>
      <c r="AF211" s="1270">
        <v>14188.39</v>
      </c>
      <c r="AG211" s="1270">
        <v>14188.39</v>
      </c>
      <c r="AH211" s="1270">
        <v>11135.7</v>
      </c>
      <c r="AI211" s="239">
        <v>14975.45</v>
      </c>
      <c r="AJ211" s="1263">
        <f t="shared" ref="AJ211:AR211" si="73">SUM(AJ212:AJ215)+SUM(AJ221:AJ224)</f>
        <v>0</v>
      </c>
      <c r="AK211" s="1263">
        <f t="shared" si="73"/>
        <v>0</v>
      </c>
      <c r="AL211" s="1270">
        <f t="shared" si="73"/>
        <v>0</v>
      </c>
      <c r="AM211" s="1270">
        <f t="shared" si="73"/>
        <v>0</v>
      </c>
      <c r="AN211" s="1270">
        <f t="shared" si="73"/>
        <v>0</v>
      </c>
      <c r="AO211" s="1270">
        <f t="shared" si="73"/>
        <v>0</v>
      </c>
      <c r="AP211" s="1270">
        <f t="shared" si="73"/>
        <v>0</v>
      </c>
      <c r="AQ211" s="1270">
        <f t="shared" si="73"/>
        <v>0</v>
      </c>
      <c r="AR211" s="1270">
        <f t="shared" si="73"/>
        <v>0</v>
      </c>
      <c r="AS211" s="239">
        <v>11942.2</v>
      </c>
      <c r="AT211" s="1263">
        <f t="shared" ref="AT211:BB211" si="74">SUM(AT212:AT215)+SUM(AT221:AT224)</f>
        <v>0</v>
      </c>
      <c r="AU211" s="1263">
        <f t="shared" si="74"/>
        <v>0</v>
      </c>
      <c r="AV211" s="1270">
        <f t="shared" si="74"/>
        <v>0</v>
      </c>
      <c r="AW211" s="1270">
        <f t="shared" si="74"/>
        <v>0</v>
      </c>
      <c r="AX211" s="1270">
        <f t="shared" si="74"/>
        <v>0</v>
      </c>
      <c r="AY211" s="1270">
        <f t="shared" si="74"/>
        <v>0</v>
      </c>
      <c r="AZ211" s="1270">
        <f t="shared" si="74"/>
        <v>0</v>
      </c>
      <c r="BA211" s="1270">
        <f t="shared" si="74"/>
        <v>0</v>
      </c>
      <c r="BB211" s="1270">
        <f t="shared" si="74"/>
        <v>0</v>
      </c>
      <c r="BC211" s="1231"/>
      <c r="BF211" s="960" t="s">
        <v>1156</v>
      </c>
    </row>
    <row r="212" spans="1:58" s="1167" customFormat="1" ht="14.25" customHeight="1" x14ac:dyDescent="0.15">
      <c r="A212" s="1150"/>
      <c r="B212" s="773"/>
      <c r="C212" s="1150"/>
      <c r="D212" s="1150"/>
      <c r="E212" s="668">
        <v>15</v>
      </c>
      <c r="F212" s="769" t="str" cm="1">
        <f t="array" ref="F212">F211</f>
        <v>1</v>
      </c>
      <c r="G212" s="804"/>
      <c r="H212" s="804"/>
      <c r="I212" s="804"/>
      <c r="J212" s="804"/>
      <c r="K212" s="804"/>
      <c r="L212" s="804"/>
      <c r="M212" s="804"/>
      <c r="N212" s="804"/>
      <c r="O212" s="804"/>
      <c r="P212" s="804"/>
      <c r="Q212" s="774"/>
      <c r="R212" s="774"/>
      <c r="S212" s="804"/>
      <c r="T212" s="690" t="b" cm="1">
        <f t="array" ref="T212">T211</f>
        <v>1</v>
      </c>
      <c r="U212" s="1150"/>
      <c r="V212" s="1150"/>
      <c r="W212" s="1150"/>
      <c r="X212" s="1428"/>
      <c r="Y212" s="1150"/>
      <c r="Z212" s="1428"/>
      <c r="AA212" s="781"/>
      <c r="AB212" s="412" t="str">
        <f>AB211&amp;".1"</f>
        <v>7.1</v>
      </c>
      <c r="AC212" s="413" t="s">
        <v>1043</v>
      </c>
      <c r="AD212" s="412" t="s">
        <v>1044</v>
      </c>
      <c r="AE212" s="1197"/>
      <c r="AF212" s="1197"/>
      <c r="AG212" s="1197"/>
      <c r="AH212" s="1197"/>
      <c r="AI212" s="227"/>
      <c r="AJ212" s="1183"/>
      <c r="AK212" s="1183"/>
      <c r="AL212" s="1197"/>
      <c r="AM212" s="1197"/>
      <c r="AN212" s="1197"/>
      <c r="AO212" s="1197"/>
      <c r="AP212" s="1197"/>
      <c r="AQ212" s="1197"/>
      <c r="AR212" s="1197"/>
      <c r="AS212" s="227"/>
      <c r="AT212" s="1183"/>
      <c r="AU212" s="1183"/>
      <c r="AV212" s="1197"/>
      <c r="AW212" s="1197"/>
      <c r="AX212" s="1197"/>
      <c r="AY212" s="1197"/>
      <c r="AZ212" s="1197"/>
      <c r="BA212" s="1197"/>
      <c r="BB212" s="1197"/>
      <c r="BC212" s="1231"/>
      <c r="BD212" s="781"/>
      <c r="BE212" s="781"/>
      <c r="BF212" s="960" t="s">
        <v>1157</v>
      </c>
    </row>
    <row r="213" spans="1:58" s="1167" customFormat="1" ht="14.25" customHeight="1" x14ac:dyDescent="0.15">
      <c r="A213" s="1150"/>
      <c r="B213" s="773"/>
      <c r="C213" s="1150"/>
      <c r="D213" s="1150"/>
      <c r="E213" s="668">
        <v>15</v>
      </c>
      <c r="F213" s="769" t="str" cm="1">
        <f t="array" ref="F213">F212</f>
        <v>1</v>
      </c>
      <c r="G213" s="804"/>
      <c r="H213" s="804"/>
      <c r="I213" s="804"/>
      <c r="J213" s="804"/>
      <c r="K213" s="804"/>
      <c r="L213" s="804"/>
      <c r="M213" s="804"/>
      <c r="N213" s="804"/>
      <c r="O213" s="804"/>
      <c r="P213" s="804"/>
      <c r="Q213" s="774"/>
      <c r="R213" s="774"/>
      <c r="S213" s="804"/>
      <c r="T213" s="690" t="b" cm="1">
        <f t="array" ref="T213">T212</f>
        <v>1</v>
      </c>
      <c r="U213" s="1150"/>
      <c r="V213" s="1150"/>
      <c r="W213" s="1150"/>
      <c r="X213" s="1428"/>
      <c r="Y213" s="1150"/>
      <c r="Z213" s="1428"/>
      <c r="AA213" s="781"/>
      <c r="AB213" s="412" t="str">
        <f>AB211&amp;".2"</f>
        <v>7.2</v>
      </c>
      <c r="AC213" s="413" t="s">
        <v>1046</v>
      </c>
      <c r="AD213" s="412" t="s">
        <v>1044</v>
      </c>
      <c r="AE213" s="1197"/>
      <c r="AF213" s="1197"/>
      <c r="AG213" s="1197"/>
      <c r="AH213" s="1197"/>
      <c r="AI213" s="227"/>
      <c r="AJ213" s="1183"/>
      <c r="AK213" s="1183"/>
      <c r="AL213" s="1197"/>
      <c r="AM213" s="1197"/>
      <c r="AN213" s="1197"/>
      <c r="AO213" s="1197"/>
      <c r="AP213" s="1197"/>
      <c r="AQ213" s="1197"/>
      <c r="AR213" s="1197"/>
      <c r="AS213" s="227"/>
      <c r="AT213" s="1183"/>
      <c r="AU213" s="1183"/>
      <c r="AV213" s="1197"/>
      <c r="AW213" s="1197"/>
      <c r="AX213" s="1197"/>
      <c r="AY213" s="1197"/>
      <c r="AZ213" s="1197"/>
      <c r="BA213" s="1197"/>
      <c r="BB213" s="1197"/>
      <c r="BC213" s="1231"/>
      <c r="BD213" s="781"/>
      <c r="BE213" s="781"/>
      <c r="BF213" s="960" t="s">
        <v>1158</v>
      </c>
    </row>
    <row r="214" spans="1:58" s="1167" customFormat="1" ht="14.25" customHeight="1" x14ac:dyDescent="0.15">
      <c r="A214" s="1150"/>
      <c r="B214" s="773"/>
      <c r="C214" s="1150"/>
      <c r="D214" s="1150"/>
      <c r="E214" s="668">
        <v>15</v>
      </c>
      <c r="F214" s="769" t="str" cm="1">
        <f t="array" ref="F214">F213</f>
        <v>1</v>
      </c>
      <c r="G214" s="804"/>
      <c r="H214" s="804"/>
      <c r="I214" s="804"/>
      <c r="J214" s="804"/>
      <c r="K214" s="804"/>
      <c r="L214" s="804"/>
      <c r="M214" s="804"/>
      <c r="N214" s="804"/>
      <c r="O214" s="804"/>
      <c r="P214" s="804"/>
      <c r="Q214" s="774"/>
      <c r="R214" s="774"/>
      <c r="S214" s="804"/>
      <c r="T214" s="690" t="b" cm="1">
        <f t="array" ref="T214">T213</f>
        <v>1</v>
      </c>
      <c r="U214" s="1150"/>
      <c r="V214" s="1150"/>
      <c r="W214" s="1150"/>
      <c r="X214" s="1428"/>
      <c r="Y214" s="1150"/>
      <c r="Z214" s="1428"/>
      <c r="AA214" s="781"/>
      <c r="AB214" s="412" t="str">
        <f>AB211&amp;".3"</f>
        <v>7.3</v>
      </c>
      <c r="AC214" s="413" t="s">
        <v>1048</v>
      </c>
      <c r="AD214" s="412" t="s">
        <v>1044</v>
      </c>
      <c r="AE214" s="1197"/>
      <c r="AF214" s="1197"/>
      <c r="AG214" s="1197"/>
      <c r="AH214" s="1197"/>
      <c r="AI214" s="227"/>
      <c r="AJ214" s="1183"/>
      <c r="AK214" s="1183"/>
      <c r="AL214" s="1197"/>
      <c r="AM214" s="1197"/>
      <c r="AN214" s="1197"/>
      <c r="AO214" s="1197"/>
      <c r="AP214" s="1197"/>
      <c r="AQ214" s="1197"/>
      <c r="AR214" s="1197"/>
      <c r="AS214" s="227"/>
      <c r="AT214" s="1183"/>
      <c r="AU214" s="1183"/>
      <c r="AV214" s="1197"/>
      <c r="AW214" s="1197"/>
      <c r="AX214" s="1197"/>
      <c r="AY214" s="1197"/>
      <c r="AZ214" s="1197"/>
      <c r="BA214" s="1197"/>
      <c r="BB214" s="1197"/>
      <c r="BC214" s="1231"/>
      <c r="BD214" s="781"/>
      <c r="BE214" s="781"/>
      <c r="BF214" s="960" t="s">
        <v>1159</v>
      </c>
    </row>
    <row r="215" spans="1:58" s="1167" customFormat="1" ht="14.25" customHeight="1" x14ac:dyDescent="0.15">
      <c r="A215" s="1150"/>
      <c r="B215" s="773"/>
      <c r="C215" s="1150"/>
      <c r="D215" s="1150"/>
      <c r="E215" s="668">
        <v>15</v>
      </c>
      <c r="F215" s="769" t="str" cm="1">
        <f t="array" ref="F215">F214</f>
        <v>1</v>
      </c>
      <c r="G215" s="804"/>
      <c r="H215" s="804"/>
      <c r="I215" s="804"/>
      <c r="J215" s="804"/>
      <c r="K215" s="804"/>
      <c r="L215" s="804"/>
      <c r="M215" s="804"/>
      <c r="N215" s="804"/>
      <c r="O215" s="804"/>
      <c r="P215" s="804"/>
      <c r="Q215" s="774"/>
      <c r="R215" s="774"/>
      <c r="S215" s="804"/>
      <c r="T215" s="690" t="b" cm="1">
        <f t="array" ref="T215">T214</f>
        <v>1</v>
      </c>
      <c r="U215" s="1150"/>
      <c r="V215" s="1150"/>
      <c r="W215" s="1150"/>
      <c r="X215" s="1428"/>
      <c r="Y215" s="1150"/>
      <c r="Z215" s="1428"/>
      <c r="AA215" s="781"/>
      <c r="AB215" s="412" t="str">
        <f>AB211&amp;".4"</f>
        <v>7.4</v>
      </c>
      <c r="AC215" s="413" t="s">
        <v>1050</v>
      </c>
      <c r="AD215" s="412" t="s">
        <v>1044</v>
      </c>
      <c r="AE215" s="1271">
        <f t="shared" ref="AE215:BB215" si="75">SUM(AE216:AE220)</f>
        <v>0</v>
      </c>
      <c r="AF215" s="1271">
        <f t="shared" si="75"/>
        <v>0</v>
      </c>
      <c r="AG215" s="1271">
        <f t="shared" si="75"/>
        <v>0</v>
      </c>
      <c r="AH215" s="1271">
        <f t="shared" si="75"/>
        <v>0</v>
      </c>
      <c r="AI215" s="407">
        <f t="shared" si="75"/>
        <v>0</v>
      </c>
      <c r="AJ215" s="1242">
        <f t="shared" si="75"/>
        <v>0</v>
      </c>
      <c r="AK215" s="1242">
        <f t="shared" si="75"/>
        <v>0</v>
      </c>
      <c r="AL215" s="1271">
        <f t="shared" si="75"/>
        <v>0</v>
      </c>
      <c r="AM215" s="1271">
        <f t="shared" si="75"/>
        <v>0</v>
      </c>
      <c r="AN215" s="1271">
        <f t="shared" si="75"/>
        <v>0</v>
      </c>
      <c r="AO215" s="1271">
        <f t="shared" si="75"/>
        <v>0</v>
      </c>
      <c r="AP215" s="1271">
        <f t="shared" si="75"/>
        <v>0</v>
      </c>
      <c r="AQ215" s="1271">
        <f t="shared" si="75"/>
        <v>0</v>
      </c>
      <c r="AR215" s="1271">
        <f t="shared" si="75"/>
        <v>0</v>
      </c>
      <c r="AS215" s="407">
        <f t="shared" si="75"/>
        <v>0</v>
      </c>
      <c r="AT215" s="1242">
        <f t="shared" si="75"/>
        <v>0</v>
      </c>
      <c r="AU215" s="1242">
        <f t="shared" si="75"/>
        <v>0</v>
      </c>
      <c r="AV215" s="1271">
        <f t="shared" si="75"/>
        <v>0</v>
      </c>
      <c r="AW215" s="1271">
        <f t="shared" si="75"/>
        <v>0</v>
      </c>
      <c r="AX215" s="1271">
        <f t="shared" si="75"/>
        <v>0</v>
      </c>
      <c r="AY215" s="1271">
        <f t="shared" si="75"/>
        <v>0</v>
      </c>
      <c r="AZ215" s="1271">
        <f t="shared" si="75"/>
        <v>0</v>
      </c>
      <c r="BA215" s="1271">
        <f t="shared" si="75"/>
        <v>0</v>
      </c>
      <c r="BB215" s="1271">
        <f t="shared" si="75"/>
        <v>0</v>
      </c>
      <c r="BC215" s="1231"/>
      <c r="BD215" s="781"/>
      <c r="BE215" s="781"/>
      <c r="BF215" s="960" t="s">
        <v>1160</v>
      </c>
    </row>
    <row r="216" spans="1:58" s="1167" customFormat="1" ht="14.25" customHeight="1" x14ac:dyDescent="0.15">
      <c r="A216" s="1150"/>
      <c r="B216" s="773"/>
      <c r="C216" s="1150"/>
      <c r="D216" s="1150"/>
      <c r="E216" s="668">
        <v>15</v>
      </c>
      <c r="F216" s="769" t="str" cm="1">
        <f t="array" ref="F216">F215</f>
        <v>1</v>
      </c>
      <c r="G216" s="804"/>
      <c r="H216" s="804"/>
      <c r="I216" s="804"/>
      <c r="J216" s="804"/>
      <c r="K216" s="804"/>
      <c r="L216" s="804"/>
      <c r="M216" s="804"/>
      <c r="N216" s="804"/>
      <c r="O216" s="804"/>
      <c r="P216" s="804"/>
      <c r="Q216" s="774"/>
      <c r="R216" s="774"/>
      <c r="S216" s="804"/>
      <c r="T216" s="690" t="b" cm="1">
        <f t="array" ref="T216">T215</f>
        <v>1</v>
      </c>
      <c r="U216" s="1150"/>
      <c r="V216" s="1150"/>
      <c r="W216" s="1150"/>
      <c r="X216" s="1428"/>
      <c r="Y216" s="1150"/>
      <c r="Z216" s="1428"/>
      <c r="AA216" s="781"/>
      <c r="AB216" s="412" t="str">
        <f>AB215&amp;".1"</f>
        <v>7.4.1</v>
      </c>
      <c r="AC216" s="414" t="s">
        <v>1053</v>
      </c>
      <c r="AD216" s="412" t="s">
        <v>1044</v>
      </c>
      <c r="AE216" s="1197"/>
      <c r="AF216" s="1197"/>
      <c r="AG216" s="1197"/>
      <c r="AH216" s="1197"/>
      <c r="AI216" s="227"/>
      <c r="AJ216" s="1183"/>
      <c r="AK216" s="1183"/>
      <c r="AL216" s="1197"/>
      <c r="AM216" s="1197"/>
      <c r="AN216" s="1197"/>
      <c r="AO216" s="1197"/>
      <c r="AP216" s="1197"/>
      <c r="AQ216" s="1197"/>
      <c r="AR216" s="1197"/>
      <c r="AS216" s="227"/>
      <c r="AT216" s="1183"/>
      <c r="AU216" s="1183"/>
      <c r="AV216" s="1197"/>
      <c r="AW216" s="1197"/>
      <c r="AX216" s="1197"/>
      <c r="AY216" s="1197"/>
      <c r="AZ216" s="1197"/>
      <c r="BA216" s="1197"/>
      <c r="BB216" s="1197"/>
      <c r="BC216" s="1231"/>
      <c r="BD216" s="781"/>
      <c r="BE216" s="781"/>
      <c r="BF216" s="960" t="s">
        <v>1161</v>
      </c>
    </row>
    <row r="217" spans="1:58" s="1167" customFormat="1" ht="14.25" customHeight="1" x14ac:dyDescent="0.15">
      <c r="A217" s="1150"/>
      <c r="B217" s="773"/>
      <c r="C217" s="1150"/>
      <c r="D217" s="1150"/>
      <c r="E217" s="668">
        <v>15</v>
      </c>
      <c r="F217" s="769" t="str" cm="1">
        <f t="array" ref="F217">F216</f>
        <v>1</v>
      </c>
      <c r="G217" s="804"/>
      <c r="H217" s="804"/>
      <c r="I217" s="804"/>
      <c r="J217" s="804"/>
      <c r="K217" s="804"/>
      <c r="L217" s="804"/>
      <c r="M217" s="804"/>
      <c r="N217" s="804"/>
      <c r="O217" s="804"/>
      <c r="P217" s="804"/>
      <c r="Q217" s="774"/>
      <c r="R217" s="774"/>
      <c r="S217" s="804"/>
      <c r="T217" s="690" t="b" cm="1">
        <f t="array" ref="T217">T216</f>
        <v>1</v>
      </c>
      <c r="U217" s="1150"/>
      <c r="V217" s="1150"/>
      <c r="W217" s="1150"/>
      <c r="X217" s="1428"/>
      <c r="Y217" s="1150"/>
      <c r="Z217" s="1428"/>
      <c r="AA217" s="781"/>
      <c r="AB217" s="412" t="str">
        <f>AB215&amp;".2"</f>
        <v>7.4.2</v>
      </c>
      <c r="AC217" s="414" t="s">
        <v>1056</v>
      </c>
      <c r="AD217" s="412" t="s">
        <v>1044</v>
      </c>
      <c r="AE217" s="1197"/>
      <c r="AF217" s="1197"/>
      <c r="AG217" s="1197"/>
      <c r="AH217" s="1197"/>
      <c r="AI217" s="227"/>
      <c r="AJ217" s="1183"/>
      <c r="AK217" s="1183"/>
      <c r="AL217" s="1197"/>
      <c r="AM217" s="1197"/>
      <c r="AN217" s="1197"/>
      <c r="AO217" s="1197"/>
      <c r="AP217" s="1197"/>
      <c r="AQ217" s="1197"/>
      <c r="AR217" s="1197"/>
      <c r="AS217" s="227"/>
      <c r="AT217" s="1183"/>
      <c r="AU217" s="1183"/>
      <c r="AV217" s="1197"/>
      <c r="AW217" s="1197"/>
      <c r="AX217" s="1197"/>
      <c r="AY217" s="1197"/>
      <c r="AZ217" s="1197"/>
      <c r="BA217" s="1197"/>
      <c r="BB217" s="1197"/>
      <c r="BC217" s="1231"/>
      <c r="BD217" s="781"/>
      <c r="BE217" s="781"/>
      <c r="BF217" s="960" t="s">
        <v>1162</v>
      </c>
    </row>
    <row r="218" spans="1:58" s="1167" customFormat="1" ht="14.25" customHeight="1" x14ac:dyDescent="0.15">
      <c r="A218" s="1150"/>
      <c r="B218" s="773"/>
      <c r="C218" s="1150"/>
      <c r="D218" s="1150"/>
      <c r="E218" s="668">
        <v>15</v>
      </c>
      <c r="F218" s="769" t="str" cm="1">
        <f t="array" ref="F218">F217</f>
        <v>1</v>
      </c>
      <c r="G218" s="804"/>
      <c r="H218" s="804"/>
      <c r="I218" s="804"/>
      <c r="J218" s="804"/>
      <c r="K218" s="804"/>
      <c r="L218" s="804"/>
      <c r="M218" s="804"/>
      <c r="N218" s="804"/>
      <c r="O218" s="804"/>
      <c r="P218" s="804"/>
      <c r="Q218" s="774"/>
      <c r="R218" s="774"/>
      <c r="S218" s="804"/>
      <c r="T218" s="690" t="b" cm="1">
        <f t="array" ref="T218">T217</f>
        <v>1</v>
      </c>
      <c r="U218" s="1150"/>
      <c r="V218" s="1150"/>
      <c r="W218" s="1150"/>
      <c r="X218" s="1428"/>
      <c r="Y218" s="1150"/>
      <c r="Z218" s="1428"/>
      <c r="AA218" s="781"/>
      <c r="AB218" s="412" t="str">
        <f>AB215&amp;".3"</f>
        <v>7.4.3</v>
      </c>
      <c r="AC218" s="414" t="s">
        <v>1059</v>
      </c>
      <c r="AD218" s="412" t="s">
        <v>1044</v>
      </c>
      <c r="AE218" s="1197"/>
      <c r="AF218" s="1197"/>
      <c r="AG218" s="1197"/>
      <c r="AH218" s="1197"/>
      <c r="AI218" s="227"/>
      <c r="AJ218" s="1183"/>
      <c r="AK218" s="1183"/>
      <c r="AL218" s="1197"/>
      <c r="AM218" s="1197"/>
      <c r="AN218" s="1197"/>
      <c r="AO218" s="1197"/>
      <c r="AP218" s="1197"/>
      <c r="AQ218" s="1197"/>
      <c r="AR218" s="1197"/>
      <c r="AS218" s="227"/>
      <c r="AT218" s="1183"/>
      <c r="AU218" s="1183"/>
      <c r="AV218" s="1197"/>
      <c r="AW218" s="1197"/>
      <c r="AX218" s="1197"/>
      <c r="AY218" s="1197"/>
      <c r="AZ218" s="1197"/>
      <c r="BA218" s="1197"/>
      <c r="BB218" s="1197"/>
      <c r="BC218" s="1231"/>
      <c r="BD218" s="781"/>
      <c r="BE218" s="781"/>
      <c r="BF218" s="960" t="s">
        <v>1163</v>
      </c>
    </row>
    <row r="219" spans="1:58" s="1167" customFormat="1" ht="14.25" customHeight="1" x14ac:dyDescent="0.15">
      <c r="A219" s="1150"/>
      <c r="B219" s="773"/>
      <c r="C219" s="1150"/>
      <c r="D219" s="1150"/>
      <c r="E219" s="668">
        <v>15</v>
      </c>
      <c r="F219" s="769" t="str" cm="1">
        <f t="array" ref="F219">F218</f>
        <v>1</v>
      </c>
      <c r="G219" s="804"/>
      <c r="H219" s="804"/>
      <c r="I219" s="804"/>
      <c r="J219" s="804"/>
      <c r="K219" s="804"/>
      <c r="L219" s="804"/>
      <c r="M219" s="804"/>
      <c r="N219" s="804"/>
      <c r="O219" s="804"/>
      <c r="P219" s="804"/>
      <c r="Q219" s="774"/>
      <c r="R219" s="774"/>
      <c r="S219" s="804"/>
      <c r="T219" s="690" t="b" cm="1">
        <f t="array" ref="T219">T218</f>
        <v>1</v>
      </c>
      <c r="U219" s="1150"/>
      <c r="V219" s="1150"/>
      <c r="W219" s="1150"/>
      <c r="X219" s="1428"/>
      <c r="Y219" s="1150"/>
      <c r="Z219" s="1428"/>
      <c r="AA219" s="781"/>
      <c r="AB219" s="412" t="str">
        <f>AB215&amp;".4"</f>
        <v>7.4.4</v>
      </c>
      <c r="AC219" s="414" t="s">
        <v>1062</v>
      </c>
      <c r="AD219" s="412" t="s">
        <v>1044</v>
      </c>
      <c r="AE219" s="1197"/>
      <c r="AF219" s="1197"/>
      <c r="AG219" s="1197"/>
      <c r="AH219" s="1197"/>
      <c r="AI219" s="227"/>
      <c r="AJ219" s="1183"/>
      <c r="AK219" s="1183"/>
      <c r="AL219" s="1197"/>
      <c r="AM219" s="1197"/>
      <c r="AN219" s="1197"/>
      <c r="AO219" s="1197"/>
      <c r="AP219" s="1197"/>
      <c r="AQ219" s="1197"/>
      <c r="AR219" s="1197"/>
      <c r="AS219" s="227"/>
      <c r="AT219" s="1183"/>
      <c r="AU219" s="1183"/>
      <c r="AV219" s="1197"/>
      <c r="AW219" s="1197"/>
      <c r="AX219" s="1197"/>
      <c r="AY219" s="1197"/>
      <c r="AZ219" s="1197"/>
      <c r="BA219" s="1197"/>
      <c r="BB219" s="1197"/>
      <c r="BC219" s="1231"/>
      <c r="BD219" s="781"/>
      <c r="BE219" s="781"/>
      <c r="BF219" s="960" t="s">
        <v>1164</v>
      </c>
    </row>
    <row r="220" spans="1:58" s="1167" customFormat="1" ht="14.25" customHeight="1" x14ac:dyDescent="0.15">
      <c r="A220" s="1150"/>
      <c r="B220" s="773"/>
      <c r="C220" s="1150"/>
      <c r="D220" s="1150"/>
      <c r="E220" s="668">
        <v>15</v>
      </c>
      <c r="F220" s="769" t="str" cm="1">
        <f t="array" ref="F220">F219</f>
        <v>1</v>
      </c>
      <c r="G220" s="804"/>
      <c r="H220" s="804"/>
      <c r="I220" s="804"/>
      <c r="J220" s="804"/>
      <c r="K220" s="804"/>
      <c r="L220" s="804"/>
      <c r="M220" s="804"/>
      <c r="N220" s="804"/>
      <c r="O220" s="804"/>
      <c r="P220" s="804"/>
      <c r="Q220" s="774"/>
      <c r="R220" s="774"/>
      <c r="S220" s="804"/>
      <c r="T220" s="690" t="b" cm="1">
        <f t="array" ref="T220">T219</f>
        <v>1</v>
      </c>
      <c r="U220" s="1150"/>
      <c r="V220" s="1150"/>
      <c r="W220" s="1150"/>
      <c r="X220" s="1428"/>
      <c r="Y220" s="1150"/>
      <c r="Z220" s="1428"/>
      <c r="AA220" s="781"/>
      <c r="AB220" s="412" t="str">
        <f>AB215&amp;".5"</f>
        <v>7.4.5</v>
      </c>
      <c r="AC220" s="414" t="s">
        <v>1065</v>
      </c>
      <c r="AD220" s="412" t="s">
        <v>1044</v>
      </c>
      <c r="AE220" s="1197"/>
      <c r="AF220" s="1197"/>
      <c r="AG220" s="1197"/>
      <c r="AH220" s="1197"/>
      <c r="AI220" s="227"/>
      <c r="AJ220" s="1183"/>
      <c r="AK220" s="1183"/>
      <c r="AL220" s="1197"/>
      <c r="AM220" s="1197"/>
      <c r="AN220" s="1197"/>
      <c r="AO220" s="1197"/>
      <c r="AP220" s="1197"/>
      <c r="AQ220" s="1197"/>
      <c r="AR220" s="1197"/>
      <c r="AS220" s="227"/>
      <c r="AT220" s="1183"/>
      <c r="AU220" s="1183"/>
      <c r="AV220" s="1197"/>
      <c r="AW220" s="1197"/>
      <c r="AX220" s="1197"/>
      <c r="AY220" s="1197"/>
      <c r="AZ220" s="1197"/>
      <c r="BA220" s="1197"/>
      <c r="BB220" s="1197"/>
      <c r="BC220" s="1231"/>
      <c r="BD220" s="781"/>
      <c r="BE220" s="781"/>
      <c r="BF220" s="960" t="s">
        <v>1165</v>
      </c>
    </row>
    <row r="221" spans="1:58" s="1167" customFormat="1" ht="14.25" customHeight="1" x14ac:dyDescent="0.15">
      <c r="A221" s="1150"/>
      <c r="B221" s="773"/>
      <c r="C221" s="1150"/>
      <c r="D221" s="1150"/>
      <c r="E221" s="668">
        <v>15</v>
      </c>
      <c r="F221" s="769" t="str" cm="1">
        <f t="array" ref="F221">F220</f>
        <v>1</v>
      </c>
      <c r="G221" s="804"/>
      <c r="H221" s="804"/>
      <c r="I221" s="804"/>
      <c r="J221" s="804"/>
      <c r="K221" s="804"/>
      <c r="L221" s="804"/>
      <c r="M221" s="804"/>
      <c r="N221" s="804"/>
      <c r="O221" s="804"/>
      <c r="P221" s="804"/>
      <c r="Q221" s="774"/>
      <c r="R221" s="774"/>
      <c r="S221" s="804"/>
      <c r="T221" s="690" t="b" cm="1">
        <f t="array" ref="T221">T220</f>
        <v>1</v>
      </c>
      <c r="U221" s="1150"/>
      <c r="V221" s="1150"/>
      <c r="W221" s="1150"/>
      <c r="X221" s="1428"/>
      <c r="Y221" s="1150"/>
      <c r="Z221" s="1428"/>
      <c r="AA221" s="781"/>
      <c r="AB221" s="412" t="str">
        <f>AB211&amp;".5"</f>
        <v>7.5</v>
      </c>
      <c r="AC221" s="413" t="s">
        <v>1068</v>
      </c>
      <c r="AD221" s="412" t="s">
        <v>1044</v>
      </c>
      <c r="AE221" s="1197"/>
      <c r="AF221" s="1197"/>
      <c r="AG221" s="1197"/>
      <c r="AH221" s="1197"/>
      <c r="AI221" s="227"/>
      <c r="AJ221" s="1183"/>
      <c r="AK221" s="1183"/>
      <c r="AL221" s="1197"/>
      <c r="AM221" s="1197"/>
      <c r="AN221" s="1197"/>
      <c r="AO221" s="1197"/>
      <c r="AP221" s="1197"/>
      <c r="AQ221" s="1197"/>
      <c r="AR221" s="1197"/>
      <c r="AS221" s="227"/>
      <c r="AT221" s="1183"/>
      <c r="AU221" s="1183"/>
      <c r="AV221" s="1197"/>
      <c r="AW221" s="1197"/>
      <c r="AX221" s="1197"/>
      <c r="AY221" s="1197"/>
      <c r="AZ221" s="1197"/>
      <c r="BA221" s="1197"/>
      <c r="BB221" s="1197"/>
      <c r="BC221" s="1231"/>
      <c r="BD221" s="781"/>
      <c r="BE221" s="781"/>
      <c r="BF221" s="960" t="s">
        <v>1166</v>
      </c>
    </row>
    <row r="222" spans="1:58" s="1167" customFormat="1" ht="14.25" customHeight="1" x14ac:dyDescent="0.15">
      <c r="A222" s="1150"/>
      <c r="B222" s="773"/>
      <c r="C222" s="1150"/>
      <c r="D222" s="1150"/>
      <c r="E222" s="668">
        <v>15</v>
      </c>
      <c r="F222" s="769" t="str" cm="1">
        <f t="array" ref="F222">F221</f>
        <v>1</v>
      </c>
      <c r="G222" s="804"/>
      <c r="H222" s="804"/>
      <c r="I222" s="804"/>
      <c r="J222" s="804"/>
      <c r="K222" s="804"/>
      <c r="L222" s="804"/>
      <c r="M222" s="804"/>
      <c r="N222" s="804"/>
      <c r="O222" s="804"/>
      <c r="P222" s="804"/>
      <c r="Q222" s="774"/>
      <c r="R222" s="774"/>
      <c r="S222" s="804"/>
      <c r="T222" s="690" t="b" cm="1">
        <f t="array" ref="T222">T221</f>
        <v>1</v>
      </c>
      <c r="U222" s="1150"/>
      <c r="V222" s="1150"/>
      <c r="W222" s="1150"/>
      <c r="X222" s="1428"/>
      <c r="Y222" s="1150"/>
      <c r="Z222" s="1428"/>
      <c r="AA222" s="781"/>
      <c r="AB222" s="412" t="str">
        <f>AB211&amp;".6"</f>
        <v>7.6</v>
      </c>
      <c r="AC222" s="413" t="s">
        <v>1071</v>
      </c>
      <c r="AD222" s="412" t="s">
        <v>1044</v>
      </c>
      <c r="AE222" s="1197"/>
      <c r="AF222" s="1197"/>
      <c r="AG222" s="1197"/>
      <c r="AH222" s="1197"/>
      <c r="AI222" s="227"/>
      <c r="AJ222" s="1183"/>
      <c r="AK222" s="1183"/>
      <c r="AL222" s="1197"/>
      <c r="AM222" s="1197"/>
      <c r="AN222" s="1197"/>
      <c r="AO222" s="1197"/>
      <c r="AP222" s="1197"/>
      <c r="AQ222" s="1197"/>
      <c r="AR222" s="1197"/>
      <c r="AS222" s="227"/>
      <c r="AT222" s="1183"/>
      <c r="AU222" s="1183"/>
      <c r="AV222" s="1197"/>
      <c r="AW222" s="1197"/>
      <c r="AX222" s="1197"/>
      <c r="AY222" s="1197"/>
      <c r="AZ222" s="1197"/>
      <c r="BA222" s="1197"/>
      <c r="BB222" s="1197"/>
      <c r="BC222" s="1231"/>
      <c r="BD222" s="781"/>
      <c r="BE222" s="781"/>
      <c r="BF222" s="960" t="s">
        <v>1167</v>
      </c>
    </row>
    <row r="223" spans="1:58" s="1167" customFormat="1" ht="14.25" customHeight="1" x14ac:dyDescent="0.15">
      <c r="A223" s="1150"/>
      <c r="B223" s="773"/>
      <c r="C223" s="1150"/>
      <c r="D223" s="1150"/>
      <c r="E223" s="668">
        <v>15</v>
      </c>
      <c r="F223" s="769" t="str" cm="1">
        <f t="array" ref="F223">F222</f>
        <v>1</v>
      </c>
      <c r="G223" s="804"/>
      <c r="H223" s="804"/>
      <c r="I223" s="804"/>
      <c r="J223" s="804"/>
      <c r="K223" s="804"/>
      <c r="L223" s="804"/>
      <c r="M223" s="804"/>
      <c r="N223" s="804"/>
      <c r="O223" s="804"/>
      <c r="P223" s="804"/>
      <c r="Q223" s="774"/>
      <c r="R223" s="774"/>
      <c r="S223" s="804"/>
      <c r="T223" s="690" t="b" cm="1">
        <f t="array" ref="T223">T222</f>
        <v>1</v>
      </c>
      <c r="U223" s="1150"/>
      <c r="V223" s="1150"/>
      <c r="W223" s="1150"/>
      <c r="X223" s="1428"/>
      <c r="Y223" s="1150"/>
      <c r="Z223" s="1428"/>
      <c r="AA223" s="781"/>
      <c r="AB223" s="412" t="str">
        <f>AB211&amp;".7"</f>
        <v>7.7</v>
      </c>
      <c r="AC223" s="413" t="s">
        <v>1074</v>
      </c>
      <c r="AD223" s="412" t="s">
        <v>1044</v>
      </c>
      <c r="AE223" s="1197"/>
      <c r="AF223" s="1197"/>
      <c r="AG223" s="1197"/>
      <c r="AH223" s="1197"/>
      <c r="AI223" s="227"/>
      <c r="AJ223" s="1183"/>
      <c r="AK223" s="1183"/>
      <c r="AL223" s="1197"/>
      <c r="AM223" s="1197"/>
      <c r="AN223" s="1197"/>
      <c r="AO223" s="1197"/>
      <c r="AP223" s="1197"/>
      <c r="AQ223" s="1197"/>
      <c r="AR223" s="1197"/>
      <c r="AS223" s="227"/>
      <c r="AT223" s="1183"/>
      <c r="AU223" s="1183"/>
      <c r="AV223" s="1197"/>
      <c r="AW223" s="1197"/>
      <c r="AX223" s="1197"/>
      <c r="AY223" s="1197"/>
      <c r="AZ223" s="1197"/>
      <c r="BA223" s="1197"/>
      <c r="BB223" s="1197"/>
      <c r="BC223" s="1231"/>
      <c r="BD223" s="781"/>
      <c r="BE223" s="781"/>
      <c r="BF223" s="960" t="s">
        <v>1168</v>
      </c>
    </row>
    <row r="224" spans="1:58" s="1167" customFormat="1" ht="14.25" customHeight="1" x14ac:dyDescent="0.15">
      <c r="A224" s="1150"/>
      <c r="B224" s="773"/>
      <c r="C224" s="1150"/>
      <c r="D224" s="1150"/>
      <c r="E224" s="668">
        <v>15</v>
      </c>
      <c r="F224" s="769" t="str" cm="1">
        <f t="array" ref="F224">F223</f>
        <v>1</v>
      </c>
      <c r="G224" s="804"/>
      <c r="H224" s="804"/>
      <c r="I224" s="804"/>
      <c r="J224" s="804"/>
      <c r="K224" s="804"/>
      <c r="L224" s="804"/>
      <c r="M224" s="804"/>
      <c r="N224" s="804"/>
      <c r="O224" s="804"/>
      <c r="P224" s="804"/>
      <c r="Q224" s="774"/>
      <c r="R224" s="774"/>
      <c r="S224" s="804"/>
      <c r="T224" s="690" t="b" cm="1">
        <f t="array" ref="T224">T223</f>
        <v>1</v>
      </c>
      <c r="U224" s="1150"/>
      <c r="V224" s="1150"/>
      <c r="W224" s="1150"/>
      <c r="X224" s="1428"/>
      <c r="Y224" s="1150"/>
      <c r="Z224" s="1428"/>
      <c r="AA224" s="781"/>
      <c r="AB224" s="412" t="str">
        <f>AB211&amp;".8"</f>
        <v>7.8</v>
      </c>
      <c r="AC224" s="413" t="s">
        <v>1077</v>
      </c>
      <c r="AD224" s="412" t="s">
        <v>1044</v>
      </c>
      <c r="AE224" s="1197"/>
      <c r="AF224" s="1197"/>
      <c r="AG224" s="1197"/>
      <c r="AH224" s="1197"/>
      <c r="AI224" s="227"/>
      <c r="AJ224" s="1183"/>
      <c r="AK224" s="1183"/>
      <c r="AL224" s="1197"/>
      <c r="AM224" s="1197"/>
      <c r="AN224" s="1197"/>
      <c r="AO224" s="1197"/>
      <c r="AP224" s="1197"/>
      <c r="AQ224" s="1197"/>
      <c r="AR224" s="1197"/>
      <c r="AS224" s="227"/>
      <c r="AT224" s="1183"/>
      <c r="AU224" s="1183"/>
      <c r="AV224" s="1197"/>
      <c r="AW224" s="1197"/>
      <c r="AX224" s="1197"/>
      <c r="AY224" s="1197"/>
      <c r="AZ224" s="1197"/>
      <c r="BA224" s="1197"/>
      <c r="BB224" s="1197"/>
      <c r="BC224" s="1231"/>
      <c r="BD224" s="781"/>
      <c r="BE224" s="781"/>
      <c r="BF224" s="960" t="s">
        <v>1169</v>
      </c>
    </row>
    <row r="225" spans="1:58" ht="11.1" customHeight="1" x14ac:dyDescent="0.15">
      <c r="E225" s="668">
        <v>11.4</v>
      </c>
      <c r="U225" s="126" t="s">
        <v>239</v>
      </c>
      <c r="V225" s="119" t="s">
        <v>1170</v>
      </c>
      <c r="AD225" s="134"/>
      <c r="AE225" s="134"/>
      <c r="AF225" s="134"/>
      <c r="AG225" s="134"/>
      <c r="AH225" s="134"/>
      <c r="AI225" s="134"/>
      <c r="AJ225" s="134"/>
      <c r="AK225" s="134"/>
      <c r="AL225" s="134"/>
      <c r="AM225" s="134"/>
      <c r="AN225" s="134"/>
      <c r="AO225" s="134"/>
      <c r="AP225" s="134"/>
      <c r="AQ225" s="134"/>
      <c r="AR225" s="134"/>
      <c r="AS225" s="134"/>
      <c r="AT225" s="134"/>
      <c r="AU225" s="134"/>
      <c r="AV225" s="134"/>
      <c r="AW225" s="134"/>
      <c r="AX225" s="134"/>
      <c r="AY225" s="134"/>
      <c r="AZ225" s="134"/>
      <c r="BA225" s="134"/>
      <c r="BB225" s="134"/>
    </row>
    <row r="226" spans="1:58" ht="11.25" hidden="1" customHeight="1" x14ac:dyDescent="0.15">
      <c r="E226" s="668">
        <v>0</v>
      </c>
      <c r="AB226" s="126"/>
      <c r="AC226" s="165"/>
      <c r="AD226" s="126"/>
      <c r="AE226" s="166"/>
      <c r="AF226" s="166"/>
      <c r="AG226" s="166"/>
      <c r="AH226" s="166"/>
      <c r="AI226" s="166"/>
      <c r="AJ226" s="166"/>
      <c r="AK226" s="166"/>
      <c r="AL226" s="166"/>
      <c r="AM226" s="166"/>
      <c r="AN226" s="166"/>
      <c r="AO226" s="166"/>
      <c r="AP226" s="166"/>
      <c r="AQ226" s="166"/>
      <c r="AR226" s="166"/>
    </row>
    <row r="227" spans="1:58" s="417" customFormat="1" ht="14.65" customHeight="1" x14ac:dyDescent="0.15">
      <c r="A227" s="123"/>
      <c r="B227" s="659"/>
      <c r="C227" s="123"/>
      <c r="D227" s="123"/>
      <c r="E227" s="668">
        <v>15</v>
      </c>
      <c r="F227" s="123"/>
      <c r="Q227" s="612"/>
      <c r="R227" s="612"/>
      <c r="T227" s="123"/>
      <c r="U227" s="123"/>
      <c r="V227" s="123"/>
      <c r="W227" s="123"/>
      <c r="X227" s="123"/>
      <c r="Y227" s="123"/>
      <c r="Z227" s="123"/>
      <c r="AB227" s="1558" t="s">
        <v>725</v>
      </c>
      <c r="AC227" s="1558"/>
      <c r="AD227" s="1558"/>
      <c r="AE227" s="1558"/>
      <c r="AF227" s="1558"/>
      <c r="AG227" s="1558"/>
      <c r="AH227" s="1558"/>
      <c r="AI227" s="1559"/>
      <c r="AJ227" s="1559"/>
      <c r="AK227" s="1559"/>
      <c r="AL227" s="1559"/>
      <c r="AM227" s="1559"/>
      <c r="AN227" s="1559"/>
      <c r="AO227" s="1559"/>
      <c r="AP227" s="1559"/>
      <c r="AQ227" s="1559"/>
      <c r="AR227" s="1559"/>
      <c r="AS227" s="1559"/>
      <c r="AT227" s="1559"/>
      <c r="AU227" s="1559"/>
      <c r="AV227" s="1559"/>
      <c r="AW227" s="1559"/>
      <c r="AX227" s="1559"/>
      <c r="AY227" s="1559"/>
      <c r="AZ227" s="1559"/>
      <c r="BA227" s="1559"/>
      <c r="BB227" s="1559"/>
      <c r="BC227" s="1559"/>
      <c r="BF227" s="971"/>
    </row>
    <row r="228" spans="1:58" s="417" customFormat="1" ht="14.65" customHeight="1" x14ac:dyDescent="0.15">
      <c r="A228" s="123"/>
      <c r="B228" s="659"/>
      <c r="C228" s="123"/>
      <c r="D228" s="123"/>
      <c r="E228" s="668">
        <v>15</v>
      </c>
      <c r="F228" s="123"/>
      <c r="Q228" s="612"/>
      <c r="R228" s="612"/>
      <c r="T228" s="123"/>
      <c r="U228" s="123"/>
      <c r="V228" s="123"/>
      <c r="W228" s="123"/>
      <c r="X228" s="123"/>
      <c r="Y228" s="123"/>
      <c r="Z228" s="123"/>
      <c r="AA228" s="768"/>
      <c r="AB228" s="1560"/>
      <c r="AC228" s="1560"/>
      <c r="AD228" s="1560"/>
      <c r="AE228" s="1560"/>
      <c r="AF228" s="1560"/>
      <c r="AG228" s="1560"/>
      <c r="AH228" s="1560"/>
      <c r="AI228" s="1561"/>
      <c r="AJ228" s="1562"/>
      <c r="AK228" s="1562"/>
      <c r="AL228" s="1562"/>
      <c r="AM228" s="1562"/>
      <c r="AN228" s="1562"/>
      <c r="AO228" s="1562"/>
      <c r="AP228" s="1562"/>
      <c r="AQ228" s="1562"/>
      <c r="AR228" s="1562"/>
      <c r="AS228" s="1561"/>
      <c r="AT228" s="1562"/>
      <c r="AU228" s="1562"/>
      <c r="AV228" s="1562"/>
      <c r="AW228" s="1562"/>
      <c r="AX228" s="1562"/>
      <c r="AY228" s="1562"/>
      <c r="AZ228" s="1562"/>
      <c r="BA228" s="1562"/>
      <c r="BB228" s="1562"/>
      <c r="BC228" s="1561"/>
      <c r="BF228" s="971"/>
    </row>
    <row r="229" spans="1:58" s="417" customFormat="1" ht="14.65" hidden="1" customHeight="1" x14ac:dyDescent="0.15">
      <c r="A229" s="123"/>
      <c r="B229" s="659"/>
      <c r="C229" s="123"/>
      <c r="D229" s="123"/>
      <c r="E229" s="668">
        <v>15</v>
      </c>
      <c r="F229" s="123"/>
      <c r="Q229" s="612"/>
      <c r="R229" s="612"/>
      <c r="T229" s="679" t="b">
        <f>ROW(W229)&gt;ROW(W$229)</f>
        <v>0</v>
      </c>
      <c r="U229" s="123"/>
      <c r="V229" s="126"/>
      <c r="W229" s="123" t="s">
        <v>237</v>
      </c>
      <c r="X229" s="123"/>
      <c r="Y229" s="123"/>
      <c r="Z229" s="123"/>
      <c r="AA229" s="764" t="s">
        <v>218</v>
      </c>
      <c r="AB229" s="1565"/>
      <c r="AC229" s="1565"/>
      <c r="AD229" s="1565"/>
      <c r="AE229" s="1565"/>
      <c r="AF229" s="1565"/>
      <c r="AG229" s="1565"/>
      <c r="AH229" s="1565"/>
      <c r="AI229" s="1561"/>
      <c r="AJ229" s="1562"/>
      <c r="AK229" s="1562"/>
      <c r="AL229" s="1562"/>
      <c r="AM229" s="1562"/>
      <c r="AN229" s="1562"/>
      <c r="AO229" s="1562"/>
      <c r="AP229" s="1562"/>
      <c r="AQ229" s="1562"/>
      <c r="AR229" s="1562"/>
      <c r="AS229" s="1561"/>
      <c r="AT229" s="1562"/>
      <c r="AU229" s="1562"/>
      <c r="AV229" s="1562"/>
      <c r="AW229" s="1562"/>
      <c r="AX229" s="1562"/>
      <c r="AY229" s="1562"/>
      <c r="AZ229" s="1562"/>
      <c r="BA229" s="1562"/>
      <c r="BB229" s="1562"/>
      <c r="BC229" s="1562"/>
      <c r="BF229" s="971"/>
    </row>
    <row r="230" spans="1:58" s="417" customFormat="1" ht="14.65" customHeight="1" x14ac:dyDescent="0.15">
      <c r="A230" s="123"/>
      <c r="B230" s="659"/>
      <c r="C230" s="123"/>
      <c r="D230" s="123"/>
      <c r="E230" s="668">
        <v>15</v>
      </c>
      <c r="F230" s="123"/>
      <c r="Q230" s="612"/>
      <c r="R230" s="612"/>
      <c r="T230" s="123"/>
      <c r="U230" s="123"/>
      <c r="V230" s="123"/>
      <c r="W230" s="119" t="s">
        <v>238</v>
      </c>
      <c r="X230" s="123"/>
      <c r="Y230" s="123"/>
      <c r="Z230" s="123"/>
      <c r="AB230" s="1500" t="s">
        <v>726</v>
      </c>
      <c r="AC230" s="1501"/>
      <c r="AD230" s="317"/>
      <c r="AE230" s="317"/>
      <c r="AF230" s="318"/>
      <c r="AG230" s="318"/>
      <c r="AH230" s="318"/>
      <c r="AI230" s="318"/>
      <c r="AJ230" s="318"/>
      <c r="AK230" s="318"/>
      <c r="AL230" s="318"/>
      <c r="AM230" s="318"/>
      <c r="AN230" s="318"/>
      <c r="AO230" s="318"/>
      <c r="AP230" s="318"/>
      <c r="AQ230" s="318"/>
      <c r="AR230" s="318"/>
      <c r="AS230" s="318"/>
      <c r="AT230" s="318"/>
      <c r="AU230" s="318"/>
      <c r="AV230" s="318"/>
      <c r="AW230" s="318"/>
      <c r="AX230" s="318"/>
      <c r="AY230" s="318"/>
      <c r="AZ230" s="318"/>
      <c r="BA230" s="318"/>
      <c r="BB230" s="318"/>
      <c r="BC230" s="319"/>
      <c r="BF230" s="971"/>
    </row>
    <row r="231" spans="1:58" ht="11.25" customHeight="1" x14ac:dyDescent="0.15">
      <c r="BD231" s="134"/>
    </row>
  </sheetData>
  <sheetProtection formatColumns="0" formatRows="0" insertRows="0" deleteColumns="0" deleteRows="0" sort="0" autoFilter="0"/>
  <mergeCells count="13">
    <mergeCell ref="Z27:Z125"/>
    <mergeCell ref="X27:X125"/>
    <mergeCell ref="AB229:BC229"/>
    <mergeCell ref="AB230:AC230"/>
    <mergeCell ref="AB228:BC228"/>
    <mergeCell ref="AB227:BC227"/>
    <mergeCell ref="Z126:Z224"/>
    <mergeCell ref="X126:X2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F94C8-0918-D9E8-1623-7DB71FCA06AC}">
  <sheetPr>
    <tabColor rgb="FF002060"/>
    <outlinePr summaryBelow="0" summaryRight="0"/>
    <pageSetUpPr fitToPage="1"/>
  </sheetPr>
  <dimension ref="A1:BF56"/>
  <sheetViews>
    <sheetView showGridLines="0" workbookViewId="0">
      <pane xSplit="30" ySplit="26" topLeftCell="AF39" activePane="bottomRight" state="frozen"/>
      <selection pane="topRight" activeCell="AE1" sqref="AE1"/>
      <selection pane="bottomLeft" activeCell="A27" sqref="A27"/>
      <selection pane="bottomRight" activeCell="AI44" sqref="AI44"/>
    </sheetView>
  </sheetViews>
  <sheetFormatPr defaultColWidth="9.140625" defaultRowHeight="11.25" customHeight="1" x14ac:dyDescent="0.15"/>
  <cols>
    <col min="1" max="1" width="3.5703125" style="1152" hidden="1" customWidth="1"/>
    <col min="2" max="2" width="8.5703125" style="773" hidden="1" customWidth="1"/>
    <col min="3" max="4" width="3.5703125" style="1152" hidden="1" customWidth="1"/>
    <col min="5" max="5" width="8.42578125" style="772" hidden="1" customWidth="1"/>
    <col min="6" max="6" width="6.42578125" style="1152" hidden="1" customWidth="1"/>
    <col min="7" max="16" width="3.5703125" style="417" hidden="1" customWidth="1"/>
    <col min="17" max="18" width="3.5703125" style="774" hidden="1" customWidth="1"/>
    <col min="19" max="19" width="3.5703125" style="417" hidden="1" customWidth="1"/>
    <col min="20" max="20" width="9.42578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7" customWidth="1"/>
    <col min="28" max="28" width="5.28515625" style="167" customWidth="1"/>
    <col min="29" max="29" width="58" style="167" customWidth="1"/>
    <col min="30" max="30" width="12.140625" style="167" customWidth="1"/>
    <col min="31" max="31" width="13.140625" style="168" customWidth="1"/>
    <col min="32" max="35" width="13.140625" style="167" customWidth="1"/>
    <col min="36" max="44" width="13.140625" style="167" hidden="1" customWidth="1"/>
    <col min="45" max="45" width="13.140625" style="167" customWidth="1"/>
    <col min="46" max="54" width="13.140625" style="167" hidden="1" customWidth="1"/>
    <col min="55" max="55" width="20.140625" style="167" customWidth="1"/>
    <col min="56" max="56" width="3" style="167" customWidth="1"/>
    <col min="57" max="57" width="9.140625" style="167" hidden="1"/>
    <col min="58" max="58" width="9.140625" style="1005" hidden="1"/>
  </cols>
  <sheetData>
    <row r="1" spans="1:58" s="1152" customFormat="1" ht="12" hidden="1" customHeight="1" x14ac:dyDescent="0.15">
      <c r="B1" s="773"/>
      <c r="E1" s="773"/>
      <c r="F1" s="690" t="s">
        <v>83</v>
      </c>
      <c r="G1" s="417"/>
      <c r="H1" s="417"/>
      <c r="I1" s="417"/>
      <c r="J1" s="417"/>
      <c r="K1" s="417"/>
      <c r="L1" s="417"/>
      <c r="M1" s="417"/>
      <c r="N1" s="417"/>
      <c r="O1" s="417"/>
      <c r="P1" s="417"/>
      <c r="Q1" s="774"/>
      <c r="R1" s="774"/>
      <c r="S1" s="417"/>
      <c r="T1" s="679" t="s">
        <v>86</v>
      </c>
      <c r="U1" s="679" t="s">
        <v>91</v>
      </c>
      <c r="V1" s="679" t="s">
        <v>87</v>
      </c>
      <c r="W1" s="679" t="s">
        <v>88</v>
      </c>
      <c r="X1" s="679" t="s">
        <v>89</v>
      </c>
      <c r="Y1" s="690" t="s">
        <v>374</v>
      </c>
      <c r="Z1" s="679" t="s">
        <v>93</v>
      </c>
      <c r="AA1" s="690" t="s">
        <v>90</v>
      </c>
      <c r="AB1" s="690" t="s">
        <v>92</v>
      </c>
      <c r="BF1" s="1005" t="s">
        <v>375</v>
      </c>
    </row>
    <row r="2" spans="1:58" s="773" customFormat="1" ht="12" hidden="1" customHeight="1" x14ac:dyDescent="0.15">
      <c r="B2" s="775" t="s">
        <v>15</v>
      </c>
      <c r="G2" s="807"/>
      <c r="H2" s="807"/>
      <c r="I2" s="807"/>
      <c r="J2" s="807"/>
      <c r="K2" s="807"/>
      <c r="L2" s="807"/>
      <c r="M2" s="807"/>
      <c r="N2" s="807"/>
      <c r="O2" s="807"/>
      <c r="P2" s="807"/>
      <c r="Q2" s="807"/>
      <c r="R2" s="807"/>
      <c r="S2" s="807"/>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1008"/>
    </row>
    <row r="3" spans="1:58" s="1152" customFormat="1" ht="12" hidden="1" customHeight="1" x14ac:dyDescent="0.15">
      <c r="B3" s="773"/>
      <c r="E3" s="773"/>
      <c r="G3" s="417"/>
      <c r="H3" s="417"/>
      <c r="I3" s="417"/>
      <c r="J3" s="417"/>
      <c r="K3" s="417"/>
      <c r="L3" s="417"/>
      <c r="M3" s="417"/>
      <c r="N3" s="417"/>
      <c r="O3" s="417"/>
      <c r="P3" s="417"/>
      <c r="Q3" s="774"/>
      <c r="R3" s="774"/>
      <c r="S3" s="417"/>
      <c r="BF3" s="1005"/>
    </row>
    <row r="4" spans="1:58" s="1152" customFormat="1" ht="12" hidden="1" customHeight="1" x14ac:dyDescent="0.15">
      <c r="B4" s="773"/>
      <c r="E4" s="773"/>
      <c r="G4" s="417"/>
      <c r="H4" s="417"/>
      <c r="I4" s="417"/>
      <c r="J4" s="417"/>
      <c r="K4" s="417"/>
      <c r="L4" s="417"/>
      <c r="M4" s="417"/>
      <c r="N4" s="417"/>
      <c r="O4" s="417"/>
      <c r="P4" s="417"/>
      <c r="Q4" s="774"/>
      <c r="R4" s="774"/>
      <c r="S4" s="417"/>
      <c r="BF4" s="1005"/>
    </row>
    <row r="5" spans="1:58" s="772" customFormat="1" ht="12" hidden="1" customHeight="1" x14ac:dyDescent="0.15">
      <c r="A5" s="773"/>
      <c r="B5" s="773"/>
      <c r="C5" s="773"/>
      <c r="D5" s="773"/>
      <c r="E5" s="772" t="s">
        <v>16</v>
      </c>
      <c r="G5" s="808"/>
      <c r="H5" s="808"/>
      <c r="I5" s="808"/>
      <c r="J5" s="808"/>
      <c r="K5" s="808"/>
      <c r="L5" s="808"/>
      <c r="M5" s="808"/>
      <c r="N5" s="808"/>
      <c r="O5" s="808"/>
      <c r="P5" s="808"/>
      <c r="Q5" s="808"/>
      <c r="R5" s="808"/>
      <c r="S5" s="808"/>
      <c r="AA5" s="772">
        <v>3</v>
      </c>
      <c r="AB5" s="772">
        <v>5.25</v>
      </c>
      <c r="AC5" s="772">
        <v>58</v>
      </c>
      <c r="AD5" s="772">
        <v>12.13</v>
      </c>
      <c r="AE5" s="772">
        <v>13.13</v>
      </c>
      <c r="AF5" s="772">
        <v>13.13</v>
      </c>
      <c r="AG5" s="772">
        <v>13.13</v>
      </c>
      <c r="AH5" s="772">
        <v>13.13</v>
      </c>
      <c r="AI5" s="772">
        <v>13.13</v>
      </c>
      <c r="AJ5" s="772">
        <v>13.13</v>
      </c>
      <c r="AK5" s="772">
        <v>13.13</v>
      </c>
      <c r="AL5" s="772">
        <v>13.13</v>
      </c>
      <c r="AM5" s="772">
        <v>13.13</v>
      </c>
      <c r="AN5" s="772">
        <v>13.13</v>
      </c>
      <c r="AO5" s="772">
        <v>13.13</v>
      </c>
      <c r="AP5" s="772">
        <v>13.13</v>
      </c>
      <c r="AQ5" s="772">
        <v>13.13</v>
      </c>
      <c r="AR5" s="772">
        <v>13.13</v>
      </c>
      <c r="AS5" s="772">
        <v>13.13</v>
      </c>
      <c r="AT5" s="772">
        <v>13.13</v>
      </c>
      <c r="AU5" s="772">
        <v>13.13</v>
      </c>
      <c r="AV5" s="772">
        <v>13.13</v>
      </c>
      <c r="AW5" s="772">
        <v>13.13</v>
      </c>
      <c r="AX5" s="772">
        <v>13.13</v>
      </c>
      <c r="AY5" s="772">
        <v>13.13</v>
      </c>
      <c r="AZ5" s="772">
        <v>13.13</v>
      </c>
      <c r="BA5" s="772">
        <v>13.13</v>
      </c>
      <c r="BB5" s="772">
        <v>13.13</v>
      </c>
      <c r="BC5" s="772">
        <v>20.13</v>
      </c>
      <c r="BD5" s="772">
        <v>3</v>
      </c>
      <c r="BF5" s="1008"/>
    </row>
    <row r="6" spans="1:58" s="1152" customFormat="1" ht="12" hidden="1" customHeight="1" x14ac:dyDescent="0.15">
      <c r="B6" s="773"/>
      <c r="E6" s="772"/>
      <c r="G6" s="417"/>
      <c r="H6" s="417"/>
      <c r="I6" s="417"/>
      <c r="J6" s="417"/>
      <c r="K6" s="417"/>
      <c r="L6" s="417"/>
      <c r="M6" s="417"/>
      <c r="N6" s="417"/>
      <c r="O6" s="417"/>
      <c r="P6" s="417"/>
      <c r="Q6" s="774"/>
      <c r="R6" s="774"/>
      <c r="S6" s="417"/>
      <c r="AE6" s="802">
        <f>god-2</f>
        <v>2024</v>
      </c>
      <c r="AF6" s="802">
        <f>god-2</f>
        <v>2024</v>
      </c>
      <c r="AG6" s="802">
        <f>god-2</f>
        <v>2024</v>
      </c>
      <c r="AH6" s="802">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1005"/>
    </row>
    <row r="7" spans="1:58" s="417" customFormat="1" ht="12" hidden="1" customHeight="1" x14ac:dyDescent="0.15">
      <c r="A7" s="802"/>
      <c r="B7" s="773"/>
      <c r="C7" s="802"/>
      <c r="D7" s="802"/>
      <c r="E7" s="772"/>
      <c r="Q7" s="774"/>
      <c r="R7" s="774"/>
      <c r="AE7" s="417" t="str" cm="1">
        <f t="array" ref="AE7">AE25</f>
        <v>Принято органом регулирования</v>
      </c>
      <c r="AF7" s="417" t="str" cm="1">
        <f t="array" ref="AF7">AF25</f>
        <v>Факт по данным организации</v>
      </c>
      <c r="AG7" s="417" t="str" cm="1">
        <f t="array" ref="AG7">AG25</f>
        <v>Факт, принятый органом регулирования</v>
      </c>
      <c r="AH7" s="417" t="str" cm="1">
        <f t="array" ref="AH7">AH25</f>
        <v>Принято органом регулирования</v>
      </c>
      <c r="AI7" s="417" t="str" cm="1">
        <f t="array" ref="AI7">AI25</f>
        <v>Предложение организации</v>
      </c>
      <c r="AJ7" s="417" t="str" cm="1">
        <f t="array" ref="AJ7">AJ25</f>
        <v>Предложение организации</v>
      </c>
      <c r="AK7" s="417" t="str" cm="1">
        <f t="array" ref="AK7">AK25</f>
        <v>Предложение организации</v>
      </c>
      <c r="AL7" s="417" t="str" cm="1">
        <f t="array" ref="AL7">AL25</f>
        <v>Предложение организации</v>
      </c>
      <c r="AM7" s="417" t="str" cm="1">
        <f t="array" ref="AM7">AM25</f>
        <v>Предложение организации</v>
      </c>
      <c r="AN7" s="417" t="str" cm="1">
        <f t="array" ref="AN7">AN25</f>
        <v>Предложение организации</v>
      </c>
      <c r="AO7" s="417" t="str" cm="1">
        <f t="array" ref="AO7">AO25</f>
        <v>Предложение организации</v>
      </c>
      <c r="AP7" s="417" t="str" cm="1">
        <f t="array" ref="AP7">AP25</f>
        <v>Предложение организации</v>
      </c>
      <c r="AQ7" s="417" t="str" cm="1">
        <f t="array" ref="AQ7">AQ25</f>
        <v>Предложение организации</v>
      </c>
      <c r="AR7" s="417" t="str" cm="1">
        <f t="array" ref="AR7">AR25</f>
        <v>Предложение организации</v>
      </c>
      <c r="AS7" s="417" t="str" cm="1">
        <f t="array" ref="AS7">AS25</f>
        <v>Принято органом регулирования</v>
      </c>
      <c r="AT7" s="417" t="str" cm="1">
        <f t="array" ref="AT7">AT25</f>
        <v>Принято органом регулирования</v>
      </c>
      <c r="AU7" s="417" t="str" cm="1">
        <f t="array" ref="AU7">AU25</f>
        <v>Принято органом регулирования</v>
      </c>
      <c r="AV7" s="417" t="str" cm="1">
        <f t="array" ref="AV7">AV25</f>
        <v>Принято органом регулирования</v>
      </c>
      <c r="AW7" s="417" t="str" cm="1">
        <f t="array" ref="AW7">AW25</f>
        <v>Принято органом регулирования</v>
      </c>
      <c r="AX7" s="417" t="str" cm="1">
        <f t="array" ref="AX7">AX25</f>
        <v>Принято органом регулирования</v>
      </c>
      <c r="AY7" s="417" t="str" cm="1">
        <f t="array" ref="AY7">AY25</f>
        <v>Принято органом регулирования</v>
      </c>
      <c r="AZ7" s="417" t="str" cm="1">
        <f t="array" ref="AZ7">AZ25</f>
        <v>Принято органом регулирования</v>
      </c>
      <c r="BA7" s="417" t="str" cm="1">
        <f t="array" ref="BA7">BA25</f>
        <v>Принято органом регулирования</v>
      </c>
      <c r="BB7" s="417" t="str" cm="1">
        <f t="array" ref="BB7">BB25</f>
        <v>Принято органом регулирования</v>
      </c>
      <c r="BF7" s="1005"/>
    </row>
    <row r="8" spans="1:58" s="417" customFormat="1" ht="12" hidden="1" customHeight="1" x14ac:dyDescent="0.15">
      <c r="A8" s="802"/>
      <c r="B8" s="773"/>
      <c r="C8" s="802"/>
      <c r="D8" s="802"/>
      <c r="E8" s="772"/>
      <c r="Q8" s="774"/>
      <c r="R8" s="774"/>
      <c r="BF8" s="1005"/>
    </row>
    <row r="9" spans="1:58" s="1003" customFormat="1" ht="12" hidden="1" customHeight="1" x14ac:dyDescent="0.15">
      <c r="A9" s="1001" t="s">
        <v>461</v>
      </c>
      <c r="B9" s="1002"/>
      <c r="E9" s="1002"/>
      <c r="Q9" s="1004"/>
      <c r="R9" s="1004"/>
      <c r="AE9" s="1003">
        <f>god-2</f>
        <v>2024</v>
      </c>
      <c r="AF9" s="1003">
        <f>god-2</f>
        <v>2024</v>
      </c>
      <c r="AG9" s="1003">
        <f>god-2</f>
        <v>2024</v>
      </c>
      <c r="AH9" s="1003">
        <f>god-1</f>
        <v>2025</v>
      </c>
      <c r="AI9" s="1003" cm="1">
        <f t="array" ref="AI9">god</f>
        <v>2026</v>
      </c>
      <c r="AJ9" s="1003">
        <f>god+1</f>
        <v>2027</v>
      </c>
      <c r="AK9" s="1003">
        <f>god+2</f>
        <v>2028</v>
      </c>
      <c r="AL9" s="1003">
        <f>god+3</f>
        <v>2029</v>
      </c>
      <c r="AM9" s="1003">
        <f>god+4</f>
        <v>2030</v>
      </c>
      <c r="AN9" s="1003">
        <f>god+5</f>
        <v>2031</v>
      </c>
      <c r="AO9" s="1003">
        <f>god+6</f>
        <v>2032</v>
      </c>
      <c r="AP9" s="1003">
        <f>god+7</f>
        <v>2033</v>
      </c>
      <c r="AQ9" s="1003">
        <f>god+8</f>
        <v>2034</v>
      </c>
      <c r="AR9" s="1003">
        <f>god+9</f>
        <v>2035</v>
      </c>
      <c r="AS9" s="1003" cm="1">
        <f t="array" ref="AS9">god</f>
        <v>2026</v>
      </c>
      <c r="AT9" s="1003">
        <f>god+1</f>
        <v>2027</v>
      </c>
      <c r="AU9" s="1003">
        <f>god+2</f>
        <v>2028</v>
      </c>
      <c r="AV9" s="1003">
        <f>god+3</f>
        <v>2029</v>
      </c>
      <c r="AW9" s="1003">
        <f>god+4</f>
        <v>2030</v>
      </c>
      <c r="AX9" s="1003">
        <f>god+5</f>
        <v>2031</v>
      </c>
      <c r="AY9" s="1003">
        <f>god+6</f>
        <v>2032</v>
      </c>
      <c r="AZ9" s="1003">
        <f>god+7</f>
        <v>2033</v>
      </c>
      <c r="BA9" s="1003">
        <f>god+8</f>
        <v>2034</v>
      </c>
      <c r="BB9" s="1003">
        <f>god+9</f>
        <v>2035</v>
      </c>
      <c r="BF9" s="1005"/>
    </row>
    <row r="10" spans="1:58" s="1003" customFormat="1" ht="12" hidden="1" customHeight="1" x14ac:dyDescent="0.15">
      <c r="A10" s="1001" t="s">
        <v>462</v>
      </c>
      <c r="B10" s="1002"/>
      <c r="E10" s="1002"/>
      <c r="Q10" s="1004"/>
      <c r="R10" s="1004"/>
      <c r="AE10" s="1003" t="str" cm="1">
        <f t="array" ref="AE10">AE25</f>
        <v>Принято органом регулирования</v>
      </c>
      <c r="AF10" s="1003" t="str" cm="1">
        <f t="array" ref="AF10">AF25</f>
        <v>Факт по данным организации</v>
      </c>
      <c r="AG10" s="1003" t="str" cm="1">
        <f t="array" ref="AG10">AG25</f>
        <v>Факт, принятый органом регулирования</v>
      </c>
      <c r="AH10" s="1003" t="str" cm="1">
        <f t="array" ref="AH10">AH25</f>
        <v>Принято органом регулирования</v>
      </c>
      <c r="AI10" s="1003" t="str" cm="1">
        <f t="array" ref="AI10">AI25</f>
        <v>Предложение организации</v>
      </c>
      <c r="AJ10" s="1003" t="str" cm="1">
        <f t="array" ref="AJ10">AJ25</f>
        <v>Предложение организации</v>
      </c>
      <c r="AK10" s="1003" t="str" cm="1">
        <f t="array" ref="AK10">AK25</f>
        <v>Предложение организации</v>
      </c>
      <c r="AL10" s="1003" t="str" cm="1">
        <f t="array" ref="AL10">AL25</f>
        <v>Предложение организации</v>
      </c>
      <c r="AM10" s="1003" t="str" cm="1">
        <f t="array" ref="AM10">AM25</f>
        <v>Предложение организации</v>
      </c>
      <c r="AN10" s="1003" t="str" cm="1">
        <f t="array" ref="AN10">AN25</f>
        <v>Предложение организации</v>
      </c>
      <c r="AO10" s="1003" t="str" cm="1">
        <f t="array" ref="AO10">AO25</f>
        <v>Предложение организации</v>
      </c>
      <c r="AP10" s="1003" t="str" cm="1">
        <f t="array" ref="AP10">AP25</f>
        <v>Предложение организации</v>
      </c>
      <c r="AQ10" s="1003" t="str" cm="1">
        <f t="array" ref="AQ10">AQ25</f>
        <v>Предложение организации</v>
      </c>
      <c r="AR10" s="1003" t="str" cm="1">
        <f t="array" ref="AR10">AR25</f>
        <v>Предложение организации</v>
      </c>
      <c r="AS10" s="1003" t="str" cm="1">
        <f t="array" ref="AS10">AS25</f>
        <v>Принято органом регулирования</v>
      </c>
      <c r="AT10" s="1003" t="str" cm="1">
        <f t="array" ref="AT10">AT25</f>
        <v>Принято органом регулирования</v>
      </c>
      <c r="AU10" s="1003" t="str" cm="1">
        <f t="array" ref="AU10">AU25</f>
        <v>Принято органом регулирования</v>
      </c>
      <c r="AV10" s="1003" t="str" cm="1">
        <f t="array" ref="AV10">AV25</f>
        <v>Принято органом регулирования</v>
      </c>
      <c r="AW10" s="1003" t="str" cm="1">
        <f t="array" ref="AW10">AW25</f>
        <v>Принято органом регулирования</v>
      </c>
      <c r="AX10" s="1003" t="str" cm="1">
        <f t="array" ref="AX10">AX25</f>
        <v>Принято органом регулирования</v>
      </c>
      <c r="AY10" s="1003" t="str" cm="1">
        <f t="array" ref="AY10">AY25</f>
        <v>Принято органом регулирования</v>
      </c>
      <c r="AZ10" s="1003" t="str" cm="1">
        <f t="array" ref="AZ10">AZ25</f>
        <v>Принято органом регулирования</v>
      </c>
      <c r="BA10" s="1003" t="str" cm="1">
        <f t="array" ref="BA10">BA25</f>
        <v>Принято органом регулирования</v>
      </c>
      <c r="BB10" s="1003" t="str" cm="1">
        <f t="array" ref="BB10">BB25</f>
        <v>Принято органом регулирования</v>
      </c>
      <c r="BF10" s="1005"/>
    </row>
    <row r="11" spans="1:58" s="1003" customFormat="1" ht="12" hidden="1" customHeight="1" x14ac:dyDescent="0.15">
      <c r="A11" s="1001" t="s">
        <v>463</v>
      </c>
      <c r="B11" s="1002"/>
      <c r="E11" s="1002"/>
      <c r="G11" s="1006"/>
      <c r="H11" s="1006"/>
      <c r="I11" s="1006"/>
      <c r="J11" s="1006"/>
      <c r="K11" s="1006"/>
      <c r="L11" s="1006"/>
      <c r="M11" s="1006"/>
      <c r="N11" s="1006"/>
      <c r="O11" s="1006"/>
      <c r="P11" s="1006"/>
      <c r="Q11" s="1007"/>
      <c r="R11" s="1007"/>
      <c r="S11" s="1006"/>
      <c r="BC11" s="1003" t="str" cm="1">
        <f t="array" ref="BC11">BC24</f>
        <v>Ссылка на правовую норму (основание для принятия показателя в расчет тарифа)</v>
      </c>
      <c r="BF11" s="1005"/>
    </row>
    <row r="12" spans="1:58" s="1152" customFormat="1" ht="12" hidden="1" customHeight="1" x14ac:dyDescent="0.15">
      <c r="B12" s="773"/>
      <c r="E12" s="772"/>
      <c r="G12" s="417"/>
      <c r="H12" s="417"/>
      <c r="I12" s="417"/>
      <c r="J12" s="417"/>
      <c r="K12" s="417"/>
      <c r="L12" s="417"/>
      <c r="M12" s="417"/>
      <c r="N12" s="417"/>
      <c r="O12" s="417"/>
      <c r="P12" s="417"/>
      <c r="Q12" s="774"/>
      <c r="R12" s="774"/>
      <c r="S12" s="417"/>
      <c r="BF12" s="1005"/>
    </row>
    <row r="13" spans="1:58" s="1152" customFormat="1" ht="12" hidden="1" customHeight="1" x14ac:dyDescent="0.15">
      <c r="B13" s="773"/>
      <c r="E13" s="772"/>
      <c r="G13" s="417"/>
      <c r="H13" s="417"/>
      <c r="I13" s="417"/>
      <c r="J13" s="417"/>
      <c r="K13" s="417"/>
      <c r="L13" s="417"/>
      <c r="M13" s="417"/>
      <c r="N13" s="417"/>
      <c r="O13" s="417"/>
      <c r="P13" s="417"/>
      <c r="Q13" s="774"/>
      <c r="R13" s="774"/>
      <c r="S13" s="417"/>
      <c r="AI13" s="123"/>
      <c r="AJ13" s="123"/>
      <c r="AK13" s="123"/>
      <c r="AL13" s="123"/>
      <c r="AM13" s="123"/>
      <c r="AN13" s="123"/>
      <c r="AO13" s="123"/>
      <c r="AP13" s="123"/>
      <c r="AQ13" s="123"/>
      <c r="AR13" s="123"/>
      <c r="AS13" s="123"/>
      <c r="AT13" s="123"/>
      <c r="AU13" s="123"/>
      <c r="AV13" s="123"/>
      <c r="AW13" s="123"/>
      <c r="AX13" s="123"/>
      <c r="AY13" s="123"/>
      <c r="AZ13" s="123"/>
      <c r="BA13" s="123"/>
      <c r="BB13" s="123"/>
      <c r="BF13" s="1005"/>
    </row>
    <row r="14" spans="1:58" s="1152" customFormat="1" ht="12" hidden="1" customHeight="1" x14ac:dyDescent="0.15">
      <c r="B14" s="773"/>
      <c r="E14" s="772"/>
      <c r="G14" s="417"/>
      <c r="H14" s="417"/>
      <c r="I14" s="417"/>
      <c r="J14" s="417"/>
      <c r="K14" s="417"/>
      <c r="L14" s="417"/>
      <c r="M14" s="417"/>
      <c r="N14" s="417"/>
      <c r="O14" s="417"/>
      <c r="P14" s="417"/>
      <c r="Q14" s="774"/>
      <c r="R14" s="774"/>
      <c r="S14" s="417"/>
      <c r="AI14" s="123"/>
      <c r="AJ14" s="123"/>
      <c r="AK14" s="123"/>
      <c r="AL14" s="123"/>
      <c r="AM14" s="123"/>
      <c r="AN14" s="123"/>
      <c r="AO14" s="123"/>
      <c r="AP14" s="123"/>
      <c r="AQ14" s="123"/>
      <c r="AR14" s="123"/>
      <c r="AS14" s="123"/>
      <c r="AT14" s="123"/>
      <c r="AU14" s="123"/>
      <c r="AV14" s="123"/>
      <c r="AW14" s="123"/>
      <c r="AX14" s="123"/>
      <c r="AY14" s="123"/>
      <c r="AZ14" s="123"/>
      <c r="BA14" s="123"/>
      <c r="BB14" s="123"/>
      <c r="BF14" s="1005"/>
    </row>
    <row r="15" spans="1:58" s="1152" customFormat="1" ht="12" hidden="1" customHeight="1" x14ac:dyDescent="0.15">
      <c r="B15" s="773"/>
      <c r="E15" s="772"/>
      <c r="G15" s="417"/>
      <c r="H15" s="417"/>
      <c r="I15" s="417"/>
      <c r="J15" s="417"/>
      <c r="K15" s="417"/>
      <c r="L15" s="417"/>
      <c r="M15" s="417"/>
      <c r="N15" s="417"/>
      <c r="O15" s="417"/>
      <c r="P15" s="417"/>
      <c r="Q15" s="774"/>
      <c r="R15" s="774"/>
      <c r="S15" s="417"/>
      <c r="AI15" s="123"/>
      <c r="AJ15" s="123"/>
      <c r="AK15" s="123"/>
      <c r="AL15" s="123"/>
      <c r="AM15" s="123"/>
      <c r="AN15" s="123"/>
      <c r="AO15" s="123"/>
      <c r="AP15" s="123"/>
      <c r="AQ15" s="123"/>
      <c r="AR15" s="123"/>
      <c r="AS15" s="123"/>
      <c r="AT15" s="123"/>
      <c r="AU15" s="123"/>
      <c r="AV15" s="123"/>
      <c r="AW15" s="123"/>
      <c r="AX15" s="123"/>
      <c r="AY15" s="123"/>
      <c r="AZ15" s="123"/>
      <c r="BA15" s="123"/>
      <c r="BB15" s="123"/>
      <c r="BF15" s="1005"/>
    </row>
    <row r="16" spans="1:58" s="1152" customFormat="1" ht="12" hidden="1" customHeight="1" x14ac:dyDescent="0.15">
      <c r="B16" s="773"/>
      <c r="E16" s="772"/>
      <c r="G16" s="417"/>
      <c r="H16" s="417"/>
      <c r="I16" s="417"/>
      <c r="J16" s="417"/>
      <c r="K16" s="417"/>
      <c r="L16" s="417"/>
      <c r="M16" s="417"/>
      <c r="N16" s="417"/>
      <c r="O16" s="417"/>
      <c r="P16" s="417"/>
      <c r="Q16" s="774"/>
      <c r="R16" s="774"/>
      <c r="S16" s="417"/>
      <c r="AI16" s="123"/>
      <c r="AJ16" s="123"/>
      <c r="AK16" s="123"/>
      <c r="AL16" s="123"/>
      <c r="AM16" s="123"/>
      <c r="AN16" s="123"/>
      <c r="AO16" s="123"/>
      <c r="AP16" s="123"/>
      <c r="AQ16" s="123"/>
      <c r="AR16" s="123"/>
      <c r="AS16" s="123"/>
      <c r="AT16" s="123"/>
      <c r="AU16" s="123"/>
      <c r="AV16" s="123"/>
      <c r="AW16" s="123"/>
      <c r="AX16" s="123"/>
      <c r="AY16" s="123"/>
      <c r="AZ16" s="123"/>
      <c r="BA16" s="123"/>
      <c r="BB16" s="123"/>
      <c r="BF16" s="1005"/>
    </row>
    <row r="17" spans="1:58" s="1152" customFormat="1" ht="12" hidden="1" customHeight="1" x14ac:dyDescent="0.15">
      <c r="B17" s="773"/>
      <c r="E17" s="772"/>
      <c r="G17" s="417"/>
      <c r="H17" s="417"/>
      <c r="I17" s="417"/>
      <c r="J17" s="417"/>
      <c r="K17" s="417"/>
      <c r="L17" s="417"/>
      <c r="M17" s="417"/>
      <c r="N17" s="417"/>
      <c r="O17" s="417"/>
      <c r="P17" s="417"/>
      <c r="Q17" s="774"/>
      <c r="R17" s="774"/>
      <c r="S17" s="417"/>
      <c r="AX17" s="123"/>
      <c r="AY17" s="123"/>
      <c r="AZ17" s="123"/>
      <c r="BA17" s="123"/>
      <c r="BB17" s="123"/>
      <c r="BF17" s="1005"/>
    </row>
    <row r="18" spans="1:58" s="1152" customFormat="1" ht="12" hidden="1" customHeight="1" x14ac:dyDescent="0.15">
      <c r="B18" s="773"/>
      <c r="E18" s="772"/>
      <c r="G18" s="417"/>
      <c r="H18" s="417"/>
      <c r="I18" s="417"/>
      <c r="J18" s="417"/>
      <c r="K18" s="417"/>
      <c r="L18" s="417"/>
      <c r="M18" s="417"/>
      <c r="N18" s="417"/>
      <c r="O18" s="417"/>
      <c r="P18" s="417"/>
      <c r="Q18" s="774"/>
      <c r="R18" s="774"/>
      <c r="S18" s="417"/>
      <c r="BF18" s="1005"/>
    </row>
    <row r="19" spans="1:58" s="1152" customFormat="1" ht="12" hidden="1" customHeight="1" x14ac:dyDescent="0.15">
      <c r="B19" s="773"/>
      <c r="E19" s="772"/>
      <c r="G19" s="417"/>
      <c r="H19" s="417"/>
      <c r="I19" s="417"/>
      <c r="J19" s="417"/>
      <c r="K19" s="417"/>
      <c r="L19" s="417"/>
      <c r="M19" s="417"/>
      <c r="N19" s="417"/>
      <c r="O19" s="417"/>
      <c r="P19" s="417"/>
      <c r="Q19" s="774"/>
      <c r="R19" s="774"/>
      <c r="S19" s="417"/>
      <c r="BF19" s="1005"/>
    </row>
    <row r="20" spans="1:58" s="1152" customFormat="1" ht="12" hidden="1" customHeight="1" x14ac:dyDescent="0.15">
      <c r="B20" s="773"/>
      <c r="E20" s="772"/>
      <c r="G20" s="417"/>
      <c r="H20" s="417"/>
      <c r="I20" s="417"/>
      <c r="J20" s="417"/>
      <c r="K20" s="417"/>
      <c r="L20" s="417"/>
      <c r="M20" s="417"/>
      <c r="N20" s="417"/>
      <c r="O20" s="417"/>
      <c r="P20" s="417"/>
      <c r="Q20" s="774"/>
      <c r="R20" s="774"/>
      <c r="S20" s="417"/>
      <c r="BF20" s="1005"/>
    </row>
    <row r="21" spans="1:58" ht="14.65" customHeight="1" x14ac:dyDescent="0.15">
      <c r="E21" s="772">
        <v>15</v>
      </c>
      <c r="AA21" s="691"/>
      <c r="AC21" s="785" t="str" cm="1">
        <f t="array" ref="AC21">tpl_title</f>
        <v>Кемеровская область / 2026 / ООО ХК "СДС - Энерго" (ИНН:4250003450, КПП:420501001) / ДПР: 2024-2028</v>
      </c>
    </row>
    <row r="22" spans="1:58" s="167" customFormat="1" ht="19.5" customHeight="1" x14ac:dyDescent="0.15">
      <c r="A22" s="123"/>
      <c r="B22" s="659"/>
      <c r="C22" s="123"/>
      <c r="D22" s="123"/>
      <c r="E22" s="668">
        <v>20.100000000000001</v>
      </c>
      <c r="F22" s="123"/>
      <c r="G22" s="160"/>
      <c r="H22" s="160"/>
      <c r="I22" s="160"/>
      <c r="J22" s="160"/>
      <c r="K22" s="160"/>
      <c r="L22" s="160"/>
      <c r="M22" s="160"/>
      <c r="N22" s="160"/>
      <c r="O22" s="160"/>
      <c r="P22" s="160"/>
      <c r="Q22" s="612"/>
      <c r="R22" s="612"/>
      <c r="S22" s="160"/>
      <c r="T22" s="123"/>
      <c r="U22" s="123"/>
      <c r="V22" s="123"/>
      <c r="W22" s="123"/>
      <c r="X22" s="123"/>
      <c r="Y22" s="123"/>
      <c r="Z22" s="123"/>
      <c r="AB22" s="325" t="s">
        <v>45</v>
      </c>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F22" s="971"/>
    </row>
    <row r="23" spans="1:58" s="167" customFormat="1" ht="11.1" customHeight="1" x14ac:dyDescent="0.15">
      <c r="A23" s="123"/>
      <c r="B23" s="659"/>
      <c r="C23" s="123"/>
      <c r="D23" s="123"/>
      <c r="E23" s="668">
        <v>11.3</v>
      </c>
      <c r="F23" s="123"/>
      <c r="G23" s="160"/>
      <c r="H23" s="160"/>
      <c r="I23" s="160"/>
      <c r="J23" s="160"/>
      <c r="K23" s="160"/>
      <c r="L23" s="160"/>
      <c r="M23" s="160"/>
      <c r="N23" s="160"/>
      <c r="O23" s="160"/>
      <c r="P23" s="160"/>
      <c r="Q23" s="612"/>
      <c r="R23" s="612"/>
      <c r="S23" s="160"/>
      <c r="T23" s="123"/>
      <c r="U23" s="123"/>
      <c r="V23" s="123"/>
      <c r="W23" s="123"/>
      <c r="X23" s="123"/>
      <c r="Y23" s="123"/>
      <c r="Z23" s="123"/>
      <c r="AB23" s="169"/>
      <c r="AE23" s="152"/>
      <c r="BF23" s="971"/>
    </row>
    <row r="24" spans="1:58" s="167" customFormat="1" ht="14.65" customHeight="1" x14ac:dyDescent="0.15">
      <c r="A24" s="123"/>
      <c r="B24" s="659"/>
      <c r="C24" s="123"/>
      <c r="D24" s="123"/>
      <c r="E24" s="668">
        <v>15</v>
      </c>
      <c r="F24" s="123"/>
      <c r="G24" s="160"/>
      <c r="H24" s="160"/>
      <c r="I24" s="160"/>
      <c r="J24" s="160"/>
      <c r="K24" s="160"/>
      <c r="L24" s="160"/>
      <c r="M24" s="160"/>
      <c r="N24" s="160"/>
      <c r="O24" s="160"/>
      <c r="P24" s="160"/>
      <c r="Q24" s="612"/>
      <c r="R24" s="612"/>
      <c r="S24" s="160"/>
      <c r="T24" s="123"/>
      <c r="U24" s="123"/>
      <c r="V24" s="123"/>
      <c r="W24" s="123"/>
      <c r="X24" s="123"/>
      <c r="Y24" s="123"/>
      <c r="Z24" s="123"/>
      <c r="AB24" s="1558" t="s">
        <v>388</v>
      </c>
      <c r="AC24" s="1558" t="s">
        <v>464</v>
      </c>
      <c r="AD24" s="1558" t="s">
        <v>1171</v>
      </c>
      <c r="AE24" s="342" t="str">
        <f>god-2&amp;" год"</f>
        <v>2024 год</v>
      </c>
      <c r="AF24" s="1136" t="str">
        <f>god-2&amp;" год"</f>
        <v>2024 год</v>
      </c>
      <c r="AG24" s="342" t="str">
        <f>god-2&amp;" год"</f>
        <v>2024 год</v>
      </c>
      <c r="AH24" s="122"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497" t="s">
        <v>618</v>
      </c>
      <c r="BF24" s="971"/>
    </row>
    <row r="25" spans="1:58" s="167" customFormat="1" ht="48.75" customHeight="1" x14ac:dyDescent="0.15">
      <c r="A25" s="123"/>
      <c r="B25" s="659"/>
      <c r="C25" s="123"/>
      <c r="D25" s="123"/>
      <c r="E25" s="668">
        <v>50.1</v>
      </c>
      <c r="F25" s="123"/>
      <c r="G25" s="160"/>
      <c r="H25" s="160"/>
      <c r="I25" s="160"/>
      <c r="J25" s="160"/>
      <c r="K25" s="160"/>
      <c r="L25" s="160"/>
      <c r="M25" s="160"/>
      <c r="N25" s="160"/>
      <c r="O25" s="160"/>
      <c r="P25" s="160"/>
      <c r="Q25" s="612"/>
      <c r="R25" s="612"/>
      <c r="S25" s="160"/>
      <c r="T25" s="123"/>
      <c r="U25" s="123"/>
      <c r="V25" s="123"/>
      <c r="W25" s="123"/>
      <c r="X25" s="123"/>
      <c r="Y25" s="123"/>
      <c r="Z25" s="123"/>
      <c r="AB25" s="1558"/>
      <c r="AC25" s="1558"/>
      <c r="AD25" s="1558"/>
      <c r="AE25" s="118" t="s">
        <v>404</v>
      </c>
      <c r="AF25" s="1131" t="s">
        <v>619</v>
      </c>
      <c r="AG25" s="118" t="s">
        <v>620</v>
      </c>
      <c r="AH25" s="118" t="s">
        <v>404</v>
      </c>
      <c r="AI25" s="1132" t="s">
        <v>405</v>
      </c>
      <c r="AJ25" s="1132" t="s">
        <v>405</v>
      </c>
      <c r="AK25" s="1132" t="s">
        <v>405</v>
      </c>
      <c r="AL25" s="1132" t="s">
        <v>405</v>
      </c>
      <c r="AM25" s="1132" t="s">
        <v>405</v>
      </c>
      <c r="AN25" s="1132" t="s">
        <v>405</v>
      </c>
      <c r="AO25" s="1132" t="s">
        <v>405</v>
      </c>
      <c r="AP25" s="1132" t="s">
        <v>405</v>
      </c>
      <c r="AQ25" s="1132" t="s">
        <v>405</v>
      </c>
      <c r="AR25" s="1132" t="s">
        <v>405</v>
      </c>
      <c r="AS25" s="343" t="s">
        <v>404</v>
      </c>
      <c r="AT25" s="343" t="s">
        <v>404</v>
      </c>
      <c r="AU25" s="343" t="s">
        <v>404</v>
      </c>
      <c r="AV25" s="343" t="s">
        <v>404</v>
      </c>
      <c r="AW25" s="343" t="s">
        <v>404</v>
      </c>
      <c r="AX25" s="343" t="s">
        <v>404</v>
      </c>
      <c r="AY25" s="343" t="s">
        <v>404</v>
      </c>
      <c r="AZ25" s="343" t="s">
        <v>404</v>
      </c>
      <c r="BA25" s="343" t="s">
        <v>404</v>
      </c>
      <c r="BB25" s="343" t="s">
        <v>404</v>
      </c>
      <c r="BC25" s="1497"/>
      <c r="BF25" s="971"/>
    </row>
    <row r="26" spans="1:58" s="167" customFormat="1" ht="50.25" hidden="1" customHeight="1" x14ac:dyDescent="0.15">
      <c r="A26" s="123"/>
      <c r="B26" s="659"/>
      <c r="C26" s="123"/>
      <c r="D26" s="123"/>
      <c r="E26" s="668">
        <v>0</v>
      </c>
      <c r="F26" s="123"/>
      <c r="G26" s="160"/>
      <c r="H26" s="160"/>
      <c r="I26" s="160"/>
      <c r="J26" s="160"/>
      <c r="K26" s="160"/>
      <c r="L26" s="160"/>
      <c r="M26" s="160"/>
      <c r="N26" s="160"/>
      <c r="O26" s="160"/>
      <c r="P26" s="160"/>
      <c r="Q26" s="612"/>
      <c r="R26" s="612"/>
      <c r="S26" s="160"/>
      <c r="T26" s="123"/>
      <c r="U26" s="123"/>
      <c r="V26" s="123"/>
      <c r="W26" s="123"/>
      <c r="X26" s="123"/>
      <c r="Y26" s="123"/>
      <c r="Z26" s="123"/>
      <c r="AB26" s="427"/>
      <c r="AC26" s="428"/>
      <c r="AD26" s="428"/>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31"/>
      <c r="BF26" s="971"/>
    </row>
    <row r="27" spans="1:58" s="167" customFormat="1" ht="11.1" hidden="1" customHeight="1" x14ac:dyDescent="0.15">
      <c r="E27" s="668">
        <v>11.4</v>
      </c>
      <c r="F27" s="769" cm="1">
        <f t="array" ref="F27">X27</f>
        <v>0</v>
      </c>
      <c r="T27" s="690" t="b">
        <f>X27&gt;0</f>
        <v>0</v>
      </c>
      <c r="V27" s="123" t="s">
        <v>313</v>
      </c>
      <c r="X27" s="1485">
        <v>0</v>
      </c>
      <c r="Z27" s="1483"/>
      <c r="AB27" s="234" t="str" cm="1">
        <f t="array" ref="AB27">INDEX('Общие сведения'!$AG$169:$AG$202,MATCH($F27,'Общие сведения'!$Z$169:$Z$202,0))</f>
        <v xml:space="preserve">Тариф 0 (Теплоснабжение) - </v>
      </c>
      <c r="AC27" s="207"/>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23"/>
      <c r="BF27" s="971"/>
    </row>
    <row r="28" spans="1:58" s="781" customFormat="1" ht="27.75" hidden="1" customHeight="1" x14ac:dyDescent="0.15">
      <c r="E28" s="668">
        <v>28.5</v>
      </c>
      <c r="F28" s="769" cm="1">
        <f t="array" ref="F28">F27</f>
        <v>0</v>
      </c>
      <c r="G28" s="612" t="s">
        <v>1172</v>
      </c>
      <c r="T28" s="690" t="b" cm="1">
        <f t="array" ref="T28">T27</f>
        <v>0</v>
      </c>
      <c r="X28" s="1484"/>
      <c r="Z28" s="1484"/>
      <c r="AB28" s="544" t="s">
        <v>339</v>
      </c>
      <c r="AC28" s="871" t="s">
        <v>45</v>
      </c>
      <c r="AD28" s="872" t="s">
        <v>830</v>
      </c>
      <c r="AE28" s="275">
        <f t="shared" ref="AE28:BB28" si="1">AE29+AE32+AE33+AE36</f>
        <v>0</v>
      </c>
      <c r="AF28" s="275">
        <f t="shared" si="1"/>
        <v>0</v>
      </c>
      <c r="AG28" s="275">
        <f t="shared" si="1"/>
        <v>0</v>
      </c>
      <c r="AH28" s="275">
        <f t="shared" si="1"/>
        <v>0</v>
      </c>
      <c r="AI28" s="275">
        <f t="shared" si="1"/>
        <v>0</v>
      </c>
      <c r="AJ28" s="275">
        <f t="shared" si="1"/>
        <v>0</v>
      </c>
      <c r="AK28" s="275">
        <f t="shared" si="1"/>
        <v>0</v>
      </c>
      <c r="AL28" s="275">
        <f t="shared" si="1"/>
        <v>0</v>
      </c>
      <c r="AM28" s="275">
        <f t="shared" si="1"/>
        <v>0</v>
      </c>
      <c r="AN28" s="275">
        <f t="shared" si="1"/>
        <v>0</v>
      </c>
      <c r="AO28" s="275">
        <f t="shared" si="1"/>
        <v>0</v>
      </c>
      <c r="AP28" s="275">
        <f t="shared" si="1"/>
        <v>0</v>
      </c>
      <c r="AQ28" s="275">
        <f t="shared" si="1"/>
        <v>0</v>
      </c>
      <c r="AR28" s="275">
        <f t="shared" si="1"/>
        <v>0</v>
      </c>
      <c r="AS28" s="275">
        <f t="shared" si="1"/>
        <v>0</v>
      </c>
      <c r="AT28" s="275">
        <f t="shared" si="1"/>
        <v>0</v>
      </c>
      <c r="AU28" s="275">
        <f t="shared" si="1"/>
        <v>0</v>
      </c>
      <c r="AV28" s="275">
        <f t="shared" si="1"/>
        <v>0</v>
      </c>
      <c r="AW28" s="275">
        <f t="shared" si="1"/>
        <v>0</v>
      </c>
      <c r="AX28" s="275">
        <f t="shared" si="1"/>
        <v>0</v>
      </c>
      <c r="AY28" s="275">
        <f t="shared" si="1"/>
        <v>0</v>
      </c>
      <c r="AZ28" s="275">
        <f t="shared" si="1"/>
        <v>0</v>
      </c>
      <c r="BA28" s="275">
        <f t="shared" si="1"/>
        <v>0</v>
      </c>
      <c r="BB28" s="275">
        <f t="shared" si="1"/>
        <v>0</v>
      </c>
      <c r="BC28" s="57"/>
      <c r="BF28" s="960" t="s">
        <v>1173</v>
      </c>
    </row>
    <row r="29" spans="1:58" s="781" customFormat="1" ht="22.7" hidden="1" customHeight="1" x14ac:dyDescent="0.15">
      <c r="E29" s="668">
        <v>23.3</v>
      </c>
      <c r="F29" s="769" cm="1">
        <f t="array" ref="F29">F28</f>
        <v>0</v>
      </c>
      <c r="T29" s="690" t="b" cm="1">
        <f t="array" ref="T29">T28</f>
        <v>0</v>
      </c>
      <c r="X29" s="1484"/>
      <c r="Z29" s="1484"/>
      <c r="AB29" s="230" t="s">
        <v>473</v>
      </c>
      <c r="AC29" s="231" t="s">
        <v>1174</v>
      </c>
      <c r="AD29" s="873" t="s">
        <v>830</v>
      </c>
      <c r="AE29" s="489">
        <f t="shared" ref="AE29:BB29" si="2">AE30+AE31</f>
        <v>0</v>
      </c>
      <c r="AF29" s="275">
        <f t="shared" si="2"/>
        <v>0</v>
      </c>
      <c r="AG29" s="275">
        <f t="shared" si="2"/>
        <v>0</v>
      </c>
      <c r="AH29" s="275">
        <f t="shared" si="2"/>
        <v>0</v>
      </c>
      <c r="AI29" s="275">
        <f t="shared" si="2"/>
        <v>0</v>
      </c>
      <c r="AJ29" s="275">
        <f t="shared" si="2"/>
        <v>0</v>
      </c>
      <c r="AK29" s="275">
        <f t="shared" si="2"/>
        <v>0</v>
      </c>
      <c r="AL29" s="275">
        <f t="shared" si="2"/>
        <v>0</v>
      </c>
      <c r="AM29" s="275">
        <f t="shared" si="2"/>
        <v>0</v>
      </c>
      <c r="AN29" s="275">
        <f t="shared" si="2"/>
        <v>0</v>
      </c>
      <c r="AO29" s="275">
        <f t="shared" si="2"/>
        <v>0</v>
      </c>
      <c r="AP29" s="275">
        <f t="shared" si="2"/>
        <v>0</v>
      </c>
      <c r="AQ29" s="275">
        <f t="shared" si="2"/>
        <v>0</v>
      </c>
      <c r="AR29" s="275">
        <f t="shared" si="2"/>
        <v>0</v>
      </c>
      <c r="AS29" s="275">
        <f t="shared" si="2"/>
        <v>0</v>
      </c>
      <c r="AT29" s="275">
        <f t="shared" si="2"/>
        <v>0</v>
      </c>
      <c r="AU29" s="275">
        <f t="shared" si="2"/>
        <v>0</v>
      </c>
      <c r="AV29" s="275">
        <f t="shared" si="2"/>
        <v>0</v>
      </c>
      <c r="AW29" s="275">
        <f t="shared" si="2"/>
        <v>0</v>
      </c>
      <c r="AX29" s="275">
        <f t="shared" si="2"/>
        <v>0</v>
      </c>
      <c r="AY29" s="275">
        <f t="shared" si="2"/>
        <v>0</v>
      </c>
      <c r="AZ29" s="275">
        <f t="shared" si="2"/>
        <v>0</v>
      </c>
      <c r="BA29" s="275">
        <f t="shared" si="2"/>
        <v>0</v>
      </c>
      <c r="BB29" s="275">
        <f t="shared" si="2"/>
        <v>0</v>
      </c>
      <c r="BC29" s="57"/>
      <c r="BF29" s="960" t="s">
        <v>1175</v>
      </c>
    </row>
    <row r="30" spans="1:58" s="781" customFormat="1" ht="22.7" hidden="1" customHeight="1" x14ac:dyDescent="0.15">
      <c r="E30" s="668">
        <v>23.3</v>
      </c>
      <c r="F30" s="769" cm="1">
        <f t="array" ref="F30">F29</f>
        <v>0</v>
      </c>
      <c r="G30" s="612" t="s">
        <v>1176</v>
      </c>
      <c r="T30" s="690" t="b" cm="1">
        <f t="array" ref="T30">T29</f>
        <v>0</v>
      </c>
      <c r="X30" s="1484"/>
      <c r="Z30" s="1484"/>
      <c r="AB30" s="232" t="s">
        <v>1177</v>
      </c>
      <c r="AC30" s="233" t="s">
        <v>1178</v>
      </c>
      <c r="AD30" s="867" t="s">
        <v>830</v>
      </c>
      <c r="AE30" s="16"/>
      <c r="AF30" s="13"/>
      <c r="AG30" s="13"/>
      <c r="AH30" s="13"/>
      <c r="AI30" s="227"/>
      <c r="AJ30" s="1183"/>
      <c r="AK30" s="1183"/>
      <c r="AL30" s="13"/>
      <c r="AM30" s="13"/>
      <c r="AN30" s="13"/>
      <c r="AO30" s="13"/>
      <c r="AP30" s="13"/>
      <c r="AQ30" s="13"/>
      <c r="AR30" s="13"/>
      <c r="AS30" s="227"/>
      <c r="AT30" s="1183"/>
      <c r="AU30" s="1183"/>
      <c r="AV30" s="13"/>
      <c r="AW30" s="13"/>
      <c r="AX30" s="13"/>
      <c r="AY30" s="13"/>
      <c r="AZ30" s="13"/>
      <c r="BA30" s="13"/>
      <c r="BB30" s="13"/>
      <c r="BC30" s="57"/>
      <c r="BF30" s="960" t="s">
        <v>1179</v>
      </c>
    </row>
    <row r="31" spans="1:58" s="781" customFormat="1" ht="22.7" hidden="1" customHeight="1" x14ac:dyDescent="0.15">
      <c r="E31" s="668">
        <v>23.3</v>
      </c>
      <c r="F31" s="769" cm="1">
        <f t="array" ref="F31">F30</f>
        <v>0</v>
      </c>
      <c r="G31" s="612" t="s">
        <v>1180</v>
      </c>
      <c r="T31" s="690" t="b" cm="1">
        <f t="array" ref="T31">T30</f>
        <v>0</v>
      </c>
      <c r="X31" s="1484"/>
      <c r="Z31" s="1484"/>
      <c r="AB31" s="232" t="s">
        <v>1181</v>
      </c>
      <c r="AC31" s="233" t="s">
        <v>1182</v>
      </c>
      <c r="AD31" s="867" t="s">
        <v>830</v>
      </c>
      <c r="AE31" s="16"/>
      <c r="AF31" s="13"/>
      <c r="AG31" s="13"/>
      <c r="AH31" s="13"/>
      <c r="AI31" s="227"/>
      <c r="AJ31" s="1183"/>
      <c r="AK31" s="1183"/>
      <c r="AL31" s="13"/>
      <c r="AM31" s="13"/>
      <c r="AN31" s="13"/>
      <c r="AO31" s="13"/>
      <c r="AP31" s="13"/>
      <c r="AQ31" s="13"/>
      <c r="AR31" s="13"/>
      <c r="AS31" s="227"/>
      <c r="AT31" s="1183"/>
      <c r="AU31" s="1183"/>
      <c r="AV31" s="13"/>
      <c r="AW31" s="13"/>
      <c r="AX31" s="13"/>
      <c r="AY31" s="13"/>
      <c r="AZ31" s="13"/>
      <c r="BA31" s="13"/>
      <c r="BB31" s="13"/>
      <c r="BC31" s="57"/>
      <c r="BF31" s="960" t="s">
        <v>1183</v>
      </c>
    </row>
    <row r="32" spans="1:58" s="781" customFormat="1" ht="22.7" hidden="1" customHeight="1" x14ac:dyDescent="0.15">
      <c r="E32" s="668">
        <v>23.3</v>
      </c>
      <c r="F32" s="769" cm="1">
        <f t="array" ref="F32">F31</f>
        <v>0</v>
      </c>
      <c r="G32" s="612" t="s">
        <v>1184</v>
      </c>
      <c r="T32" s="690" t="b" cm="1">
        <f t="array" ref="T32">T31</f>
        <v>0</v>
      </c>
      <c r="X32" s="1484"/>
      <c r="Z32" s="1484"/>
      <c r="AB32" s="230" t="s">
        <v>955</v>
      </c>
      <c r="AC32" s="231" t="s">
        <v>1185</v>
      </c>
      <c r="AD32" s="873" t="s">
        <v>830</v>
      </c>
      <c r="AE32" s="16"/>
      <c r="AF32" s="13"/>
      <c r="AG32" s="13"/>
      <c r="AH32" s="13"/>
      <c r="AI32" s="227"/>
      <c r="AJ32" s="1183"/>
      <c r="AK32" s="1183"/>
      <c r="AL32" s="13"/>
      <c r="AM32" s="13"/>
      <c r="AN32" s="13"/>
      <c r="AO32" s="13"/>
      <c r="AP32" s="13"/>
      <c r="AQ32" s="13"/>
      <c r="AR32" s="13"/>
      <c r="AS32" s="227"/>
      <c r="AT32" s="1183"/>
      <c r="AU32" s="1183"/>
      <c r="AV32" s="13"/>
      <c r="AW32" s="13"/>
      <c r="AX32" s="13"/>
      <c r="AY32" s="13"/>
      <c r="AZ32" s="13"/>
      <c r="BA32" s="13"/>
      <c r="BB32" s="13"/>
      <c r="BC32" s="57"/>
      <c r="BF32" s="960" t="s">
        <v>1186</v>
      </c>
    </row>
    <row r="33" spans="1:58" s="781" customFormat="1" ht="22.7" hidden="1" customHeight="1" x14ac:dyDescent="0.15">
      <c r="E33" s="668">
        <v>23.3</v>
      </c>
      <c r="F33" s="769" cm="1">
        <f t="array" ref="F33">F32</f>
        <v>0</v>
      </c>
      <c r="T33" s="690" t="b" cm="1">
        <f t="array" ref="T33">T32</f>
        <v>0</v>
      </c>
      <c r="X33" s="1484"/>
      <c r="Z33" s="1484"/>
      <c r="AB33" s="230" t="s">
        <v>957</v>
      </c>
      <c r="AC33" s="231" t="s">
        <v>1187</v>
      </c>
      <c r="AD33" s="873" t="s">
        <v>830</v>
      </c>
      <c r="AE33" s="489">
        <f t="shared" ref="AE33:BB33" si="3">AE34+AE35</f>
        <v>0</v>
      </c>
      <c r="AF33" s="275">
        <f t="shared" si="3"/>
        <v>0</v>
      </c>
      <c r="AG33" s="275">
        <f t="shared" si="3"/>
        <v>0</v>
      </c>
      <c r="AH33" s="275">
        <f t="shared" si="3"/>
        <v>0</v>
      </c>
      <c r="AI33" s="275">
        <f t="shared" si="3"/>
        <v>0</v>
      </c>
      <c r="AJ33" s="275">
        <f t="shared" si="3"/>
        <v>0</v>
      </c>
      <c r="AK33" s="275">
        <f t="shared" si="3"/>
        <v>0</v>
      </c>
      <c r="AL33" s="275">
        <f t="shared" si="3"/>
        <v>0</v>
      </c>
      <c r="AM33" s="275">
        <f t="shared" si="3"/>
        <v>0</v>
      </c>
      <c r="AN33" s="275">
        <f t="shared" si="3"/>
        <v>0</v>
      </c>
      <c r="AO33" s="275">
        <f t="shared" si="3"/>
        <v>0</v>
      </c>
      <c r="AP33" s="275">
        <f t="shared" si="3"/>
        <v>0</v>
      </c>
      <c r="AQ33" s="275">
        <f t="shared" si="3"/>
        <v>0</v>
      </c>
      <c r="AR33" s="275">
        <f t="shared" si="3"/>
        <v>0</v>
      </c>
      <c r="AS33" s="275">
        <f t="shared" si="3"/>
        <v>0</v>
      </c>
      <c r="AT33" s="275">
        <f t="shared" si="3"/>
        <v>0</v>
      </c>
      <c r="AU33" s="275">
        <f t="shared" si="3"/>
        <v>0</v>
      </c>
      <c r="AV33" s="275">
        <f t="shared" si="3"/>
        <v>0</v>
      </c>
      <c r="AW33" s="275">
        <f t="shared" si="3"/>
        <v>0</v>
      </c>
      <c r="AX33" s="275">
        <f t="shared" si="3"/>
        <v>0</v>
      </c>
      <c r="AY33" s="275">
        <f t="shared" si="3"/>
        <v>0</v>
      </c>
      <c r="AZ33" s="275">
        <f t="shared" si="3"/>
        <v>0</v>
      </c>
      <c r="BA33" s="275">
        <f t="shared" si="3"/>
        <v>0</v>
      </c>
      <c r="BB33" s="275">
        <f t="shared" si="3"/>
        <v>0</v>
      </c>
      <c r="BC33" s="57"/>
      <c r="BF33" s="960" t="s">
        <v>1188</v>
      </c>
    </row>
    <row r="34" spans="1:58" s="781" customFormat="1" ht="68.099999999999994" hidden="1" customHeight="1" x14ac:dyDescent="0.15">
      <c r="E34" s="668">
        <v>69.8</v>
      </c>
      <c r="F34" s="769" cm="1">
        <f t="array" ref="F34">F33</f>
        <v>0</v>
      </c>
      <c r="G34" s="612" t="s">
        <v>1189</v>
      </c>
      <c r="T34" s="690" t="b" cm="1">
        <f t="array" ref="T34">T33</f>
        <v>0</v>
      </c>
      <c r="X34" s="1484"/>
      <c r="Z34" s="1484"/>
      <c r="AB34" s="232" t="s">
        <v>1190</v>
      </c>
      <c r="AC34" s="233" t="s">
        <v>1191</v>
      </c>
      <c r="AD34" s="867" t="s">
        <v>830</v>
      </c>
      <c r="AE34" s="16"/>
      <c r="AF34" s="13"/>
      <c r="AG34" s="13"/>
      <c r="AH34" s="13"/>
      <c r="AI34" s="227"/>
      <c r="AJ34" s="1183"/>
      <c r="AK34" s="1183"/>
      <c r="AL34" s="13"/>
      <c r="AM34" s="13"/>
      <c r="AN34" s="13"/>
      <c r="AO34" s="13"/>
      <c r="AP34" s="13"/>
      <c r="AQ34" s="13"/>
      <c r="AR34" s="13"/>
      <c r="AS34" s="227"/>
      <c r="AT34" s="1183"/>
      <c r="AU34" s="1183"/>
      <c r="AV34" s="13"/>
      <c r="AW34" s="13"/>
      <c r="AX34" s="13"/>
      <c r="AY34" s="13"/>
      <c r="AZ34" s="13"/>
      <c r="BA34" s="13"/>
      <c r="BB34" s="13"/>
      <c r="BC34" s="57"/>
      <c r="BF34" s="960" t="s">
        <v>1192</v>
      </c>
    </row>
    <row r="35" spans="1:58" s="781" customFormat="1" ht="28.5" hidden="1" customHeight="1" x14ac:dyDescent="0.15">
      <c r="E35" s="668">
        <v>29.3</v>
      </c>
      <c r="F35" s="769" cm="1">
        <f t="array" ref="F35">F34</f>
        <v>0</v>
      </c>
      <c r="G35" s="612" t="s">
        <v>1193</v>
      </c>
      <c r="T35" s="690" t="b" cm="1">
        <f t="array" ref="T35">T34</f>
        <v>0</v>
      </c>
      <c r="X35" s="1484"/>
      <c r="Z35" s="1484"/>
      <c r="AB35" s="232" t="s">
        <v>1194</v>
      </c>
      <c r="AC35" s="233" t="s">
        <v>1195</v>
      </c>
      <c r="AD35" s="867" t="s">
        <v>830</v>
      </c>
      <c r="AE35" s="16"/>
      <c r="AF35" s="13"/>
      <c r="AG35" s="13"/>
      <c r="AH35" s="13"/>
      <c r="AI35" s="227"/>
      <c r="AJ35" s="1183"/>
      <c r="AK35" s="1183"/>
      <c r="AL35" s="13"/>
      <c r="AM35" s="13"/>
      <c r="AN35" s="13"/>
      <c r="AO35" s="13"/>
      <c r="AP35" s="13"/>
      <c r="AQ35" s="13"/>
      <c r="AR35" s="13"/>
      <c r="AS35" s="227"/>
      <c r="AT35" s="1183"/>
      <c r="AU35" s="1183"/>
      <c r="AV35" s="13"/>
      <c r="AW35" s="13"/>
      <c r="AX35" s="13"/>
      <c r="AY35" s="13"/>
      <c r="AZ35" s="13"/>
      <c r="BA35" s="13"/>
      <c r="BB35" s="13"/>
      <c r="BC35" s="57"/>
      <c r="BF35" s="960" t="s">
        <v>1196</v>
      </c>
    </row>
    <row r="36" spans="1:58" s="781" customFormat="1" ht="21.2" hidden="1" customHeight="1" x14ac:dyDescent="0.15">
      <c r="E36" s="668">
        <v>21.8</v>
      </c>
      <c r="F36" s="769" cm="1">
        <f t="array" ref="F36">F35</f>
        <v>0</v>
      </c>
      <c r="T36" s="690" t="b" cm="1">
        <f t="array" ref="T36">T35</f>
        <v>0</v>
      </c>
      <c r="X36" s="1484"/>
      <c r="Z36" s="1484"/>
      <c r="AB36" s="230" t="s">
        <v>961</v>
      </c>
      <c r="AC36" s="231" t="s">
        <v>1197</v>
      </c>
      <c r="AD36" s="873" t="s">
        <v>830</v>
      </c>
      <c r="AE36" s="489">
        <f t="shared" ref="AE36:BB36" si="4">AE37+AE38</f>
        <v>0</v>
      </c>
      <c r="AF36" s="275">
        <f t="shared" si="4"/>
        <v>0</v>
      </c>
      <c r="AG36" s="275">
        <f t="shared" si="4"/>
        <v>0</v>
      </c>
      <c r="AH36" s="275">
        <f t="shared" si="4"/>
        <v>0</v>
      </c>
      <c r="AI36" s="275">
        <f t="shared" si="4"/>
        <v>0</v>
      </c>
      <c r="AJ36" s="275">
        <f t="shared" si="4"/>
        <v>0</v>
      </c>
      <c r="AK36" s="275">
        <f t="shared" si="4"/>
        <v>0</v>
      </c>
      <c r="AL36" s="275">
        <f t="shared" si="4"/>
        <v>0</v>
      </c>
      <c r="AM36" s="275">
        <f t="shared" si="4"/>
        <v>0</v>
      </c>
      <c r="AN36" s="275">
        <f t="shared" si="4"/>
        <v>0</v>
      </c>
      <c r="AO36" s="275">
        <f t="shared" si="4"/>
        <v>0</v>
      </c>
      <c r="AP36" s="275">
        <f t="shared" si="4"/>
        <v>0</v>
      </c>
      <c r="AQ36" s="275">
        <f t="shared" si="4"/>
        <v>0</v>
      </c>
      <c r="AR36" s="275">
        <f t="shared" si="4"/>
        <v>0</v>
      </c>
      <c r="AS36" s="275">
        <f t="shared" si="4"/>
        <v>0</v>
      </c>
      <c r="AT36" s="275">
        <f t="shared" si="4"/>
        <v>0</v>
      </c>
      <c r="AU36" s="275">
        <f t="shared" si="4"/>
        <v>0</v>
      </c>
      <c r="AV36" s="275">
        <f t="shared" si="4"/>
        <v>0</v>
      </c>
      <c r="AW36" s="275">
        <f t="shared" si="4"/>
        <v>0</v>
      </c>
      <c r="AX36" s="275">
        <f t="shared" si="4"/>
        <v>0</v>
      </c>
      <c r="AY36" s="275">
        <f t="shared" si="4"/>
        <v>0</v>
      </c>
      <c r="AZ36" s="275">
        <f t="shared" si="4"/>
        <v>0</v>
      </c>
      <c r="BA36" s="275">
        <f t="shared" si="4"/>
        <v>0</v>
      </c>
      <c r="BB36" s="275">
        <f t="shared" si="4"/>
        <v>0</v>
      </c>
      <c r="BC36" s="57"/>
      <c r="BF36" s="960" t="s">
        <v>1198</v>
      </c>
    </row>
    <row r="37" spans="1:58" s="781" customFormat="1" ht="22.7" hidden="1" customHeight="1" x14ac:dyDescent="0.15">
      <c r="E37" s="668">
        <v>23.3</v>
      </c>
      <c r="F37" s="769" cm="1">
        <f t="array" ref="F37">F36</f>
        <v>0</v>
      </c>
      <c r="G37" s="612" t="s">
        <v>1176</v>
      </c>
      <c r="T37" s="690" t="b" cm="1">
        <f t="array" ref="T37">T36</f>
        <v>0</v>
      </c>
      <c r="X37" s="1484"/>
      <c r="Z37" s="1484"/>
      <c r="AB37" s="232" t="s">
        <v>1052</v>
      </c>
      <c r="AC37" s="233" t="s">
        <v>1178</v>
      </c>
      <c r="AD37" s="867" t="s">
        <v>830</v>
      </c>
      <c r="AE37" s="16"/>
      <c r="AF37" s="13"/>
      <c r="AG37" s="13"/>
      <c r="AH37" s="13"/>
      <c r="AI37" s="227"/>
      <c r="AJ37" s="1183"/>
      <c r="AK37" s="1183"/>
      <c r="AL37" s="13"/>
      <c r="AM37" s="13"/>
      <c r="AN37" s="13"/>
      <c r="AO37" s="13"/>
      <c r="AP37" s="13"/>
      <c r="AQ37" s="13"/>
      <c r="AR37" s="13"/>
      <c r="AS37" s="227"/>
      <c r="AT37" s="1183"/>
      <c r="AU37" s="1183"/>
      <c r="AV37" s="13"/>
      <c r="AW37" s="13"/>
      <c r="AX37" s="13"/>
      <c r="AY37" s="13"/>
      <c r="AZ37" s="13"/>
      <c r="BA37" s="13"/>
      <c r="BB37" s="13"/>
      <c r="BC37" s="57"/>
      <c r="BF37" s="960" t="s">
        <v>1199</v>
      </c>
    </row>
    <row r="38" spans="1:58" s="781" customFormat="1" ht="22.7" hidden="1" customHeight="1" x14ac:dyDescent="0.15">
      <c r="E38" s="668">
        <v>23.3</v>
      </c>
      <c r="F38" s="769" cm="1">
        <f t="array" ref="F38">F37</f>
        <v>0</v>
      </c>
      <c r="G38" s="612" t="s">
        <v>1180</v>
      </c>
      <c r="T38" s="690" t="b" cm="1">
        <f t="array" ref="T38">T37</f>
        <v>0</v>
      </c>
      <c r="X38" s="1484"/>
      <c r="Z38" s="1484"/>
      <c r="AB38" s="232" t="s">
        <v>1055</v>
      </c>
      <c r="AC38" s="233" t="s">
        <v>1182</v>
      </c>
      <c r="AD38" s="867" t="s">
        <v>830</v>
      </c>
      <c r="AE38" s="16"/>
      <c r="AF38" s="13"/>
      <c r="AG38" s="13"/>
      <c r="AH38" s="13"/>
      <c r="AI38" s="227"/>
      <c r="AJ38" s="1183"/>
      <c r="AK38" s="1183"/>
      <c r="AL38" s="13"/>
      <c r="AM38" s="13"/>
      <c r="AN38" s="13"/>
      <c r="AO38" s="13"/>
      <c r="AP38" s="13"/>
      <c r="AQ38" s="13"/>
      <c r="AR38" s="13"/>
      <c r="AS38" s="227"/>
      <c r="AT38" s="1183"/>
      <c r="AU38" s="1183"/>
      <c r="AV38" s="13"/>
      <c r="AW38" s="13"/>
      <c r="AX38" s="13"/>
      <c r="AY38" s="13"/>
      <c r="AZ38" s="13"/>
      <c r="BA38" s="13"/>
      <c r="BB38" s="13"/>
      <c r="BC38" s="57"/>
      <c r="BF38" s="960" t="s">
        <v>1200</v>
      </c>
    </row>
    <row r="39" spans="1:58" s="1273" customFormat="1" ht="10.5" customHeight="1" x14ac:dyDescent="0.15">
      <c r="A39" s="167"/>
      <c r="B39" s="167"/>
      <c r="C39" s="167"/>
      <c r="D39" s="167"/>
      <c r="E39" s="668">
        <v>11.4</v>
      </c>
      <c r="F39" s="769" t="str" cm="1">
        <f t="array" ref="F39">X39</f>
        <v>1</v>
      </c>
      <c r="G39" s="167"/>
      <c r="H39" s="167"/>
      <c r="I39" s="167"/>
      <c r="J39" s="167"/>
      <c r="K39" s="167"/>
      <c r="L39" s="167"/>
      <c r="M39" s="167"/>
      <c r="N39" s="167"/>
      <c r="O39" s="167"/>
      <c r="P39" s="167"/>
      <c r="Q39" s="167"/>
      <c r="R39" s="167"/>
      <c r="S39" s="167"/>
      <c r="T39" s="690" t="b">
        <f>X39&gt;0</f>
        <v>1</v>
      </c>
      <c r="U39" s="167"/>
      <c r="V39" s="123" t="str" cm="1">
        <f t="array" ref="V39">Амортизация!$AB$126</f>
        <v>Тариф 1 (Теплоснабжение) - Тариф на тепловую энергию (мощность), поставляемую потребителям (Не определено)</v>
      </c>
      <c r="W39" s="167"/>
      <c r="X39" s="1485" t="s">
        <v>339</v>
      </c>
      <c r="Y39" s="167"/>
      <c r="Z39" s="1483"/>
      <c r="AA39" s="167"/>
      <c r="AB39" s="234" t="str" cm="1">
        <f t="array" ref="AB39">IF(ISBLANK(Амортизация!$AB$126),"",Амортизация!$AB$126)</f>
        <v>Тариф 1 (Теплоснабжение) - Тариф на тепловую энергию (мощность), поставляемую потребителям (Не определено)</v>
      </c>
      <c r="AC39" s="207"/>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23"/>
      <c r="BD39" s="167"/>
      <c r="BE39" s="167"/>
      <c r="BF39" s="971"/>
    </row>
    <row r="40" spans="1:58" s="781" customFormat="1" ht="27.75" customHeight="1" x14ac:dyDescent="0.15">
      <c r="E40" s="668">
        <v>28.5</v>
      </c>
      <c r="F40" s="769" t="str" cm="1">
        <f t="array" ref="F40">F39</f>
        <v>1</v>
      </c>
      <c r="G40" s="612" t="s">
        <v>1172</v>
      </c>
      <c r="T40" s="690" t="b" cm="1">
        <f t="array" ref="T40">T39</f>
        <v>1</v>
      </c>
      <c r="X40" s="1484"/>
      <c r="Z40" s="1484"/>
      <c r="AB40" s="544" t="s">
        <v>339</v>
      </c>
      <c r="AC40" s="871" t="s">
        <v>45</v>
      </c>
      <c r="AD40" s="872" t="s">
        <v>830</v>
      </c>
      <c r="AE40" s="275">
        <f t="shared" ref="AE40:BB40" si="5">AE41+AE44+AE45+AE48</f>
        <v>5442.29</v>
      </c>
      <c r="AF40" s="275">
        <f t="shared" si="5"/>
        <v>8102.7707199999995</v>
      </c>
      <c r="AG40" s="275">
        <f t="shared" si="5"/>
        <v>5441.86481</v>
      </c>
      <c r="AH40" s="275">
        <f t="shared" si="5"/>
        <v>6004.6742899999999</v>
      </c>
      <c r="AI40" s="275">
        <f t="shared" si="5"/>
        <v>8080.0317599999998</v>
      </c>
      <c r="AJ40" s="275">
        <f t="shared" si="5"/>
        <v>0</v>
      </c>
      <c r="AK40" s="275">
        <f t="shared" si="5"/>
        <v>0</v>
      </c>
      <c r="AL40" s="275">
        <f t="shared" si="5"/>
        <v>0</v>
      </c>
      <c r="AM40" s="275">
        <f t="shared" si="5"/>
        <v>0</v>
      </c>
      <c r="AN40" s="275">
        <f t="shared" si="5"/>
        <v>0</v>
      </c>
      <c r="AO40" s="275">
        <f t="shared" si="5"/>
        <v>0</v>
      </c>
      <c r="AP40" s="275">
        <f t="shared" si="5"/>
        <v>0</v>
      </c>
      <c r="AQ40" s="275">
        <f t="shared" si="5"/>
        <v>0</v>
      </c>
      <c r="AR40" s="275">
        <f t="shared" si="5"/>
        <v>0</v>
      </c>
      <c r="AS40" s="275">
        <f t="shared" si="5"/>
        <v>6256.71</v>
      </c>
      <c r="AT40" s="275">
        <f t="shared" si="5"/>
        <v>0</v>
      </c>
      <c r="AU40" s="275">
        <f t="shared" si="5"/>
        <v>0</v>
      </c>
      <c r="AV40" s="275">
        <f t="shared" si="5"/>
        <v>0</v>
      </c>
      <c r="AW40" s="275">
        <f t="shared" si="5"/>
        <v>0</v>
      </c>
      <c r="AX40" s="275">
        <f t="shared" si="5"/>
        <v>0</v>
      </c>
      <c r="AY40" s="275">
        <f t="shared" si="5"/>
        <v>0</v>
      </c>
      <c r="AZ40" s="275">
        <f t="shared" si="5"/>
        <v>0</v>
      </c>
      <c r="BA40" s="275">
        <f t="shared" si="5"/>
        <v>0</v>
      </c>
      <c r="BB40" s="275">
        <f t="shared" si="5"/>
        <v>0</v>
      </c>
      <c r="BC40" s="1272"/>
      <c r="BF40" s="960" t="s">
        <v>1173</v>
      </c>
    </row>
    <row r="41" spans="1:58" s="781" customFormat="1" ht="22.5" customHeight="1" x14ac:dyDescent="0.15">
      <c r="E41" s="668">
        <v>23.3</v>
      </c>
      <c r="F41" s="769" t="str" cm="1">
        <f t="array" ref="F41">F40</f>
        <v>1</v>
      </c>
      <c r="T41" s="690" t="b" cm="1">
        <f t="array" ref="T41">T40</f>
        <v>1</v>
      </c>
      <c r="X41" s="1484"/>
      <c r="Z41" s="1484"/>
      <c r="AB41" s="230" t="s">
        <v>473</v>
      </c>
      <c r="AC41" s="231" t="s">
        <v>1174</v>
      </c>
      <c r="AD41" s="873" t="s">
        <v>830</v>
      </c>
      <c r="AE41" s="489">
        <f t="shared" ref="AE41:BB41" si="6">AE42+AE43</f>
        <v>5416.81</v>
      </c>
      <c r="AF41" s="275">
        <f t="shared" si="6"/>
        <v>8077.7159099999999</v>
      </c>
      <c r="AG41" s="275">
        <f t="shared" si="6"/>
        <v>5416.81</v>
      </c>
      <c r="AH41" s="275">
        <f t="shared" si="6"/>
        <v>5979.23</v>
      </c>
      <c r="AI41" s="275">
        <f t="shared" si="6"/>
        <v>8054.5117599999994</v>
      </c>
      <c r="AJ41" s="275">
        <f t="shared" si="6"/>
        <v>0</v>
      </c>
      <c r="AK41" s="275">
        <f t="shared" si="6"/>
        <v>0</v>
      </c>
      <c r="AL41" s="275">
        <f t="shared" si="6"/>
        <v>0</v>
      </c>
      <c r="AM41" s="275">
        <f t="shared" si="6"/>
        <v>0</v>
      </c>
      <c r="AN41" s="275">
        <f t="shared" si="6"/>
        <v>0</v>
      </c>
      <c r="AO41" s="275">
        <f t="shared" si="6"/>
        <v>0</v>
      </c>
      <c r="AP41" s="275">
        <f t="shared" si="6"/>
        <v>0</v>
      </c>
      <c r="AQ41" s="275">
        <f t="shared" si="6"/>
        <v>0</v>
      </c>
      <c r="AR41" s="275">
        <f t="shared" si="6"/>
        <v>0</v>
      </c>
      <c r="AS41" s="275">
        <f t="shared" si="6"/>
        <v>6231.19</v>
      </c>
      <c r="AT41" s="275">
        <f t="shared" si="6"/>
        <v>0</v>
      </c>
      <c r="AU41" s="275">
        <f t="shared" si="6"/>
        <v>0</v>
      </c>
      <c r="AV41" s="275">
        <f t="shared" si="6"/>
        <v>0</v>
      </c>
      <c r="AW41" s="275">
        <f t="shared" si="6"/>
        <v>0</v>
      </c>
      <c r="AX41" s="275">
        <f t="shared" si="6"/>
        <v>0</v>
      </c>
      <c r="AY41" s="275">
        <f t="shared" si="6"/>
        <v>0</v>
      </c>
      <c r="AZ41" s="275">
        <f t="shared" si="6"/>
        <v>0</v>
      </c>
      <c r="BA41" s="275">
        <f t="shared" si="6"/>
        <v>0</v>
      </c>
      <c r="BB41" s="275">
        <f t="shared" si="6"/>
        <v>0</v>
      </c>
      <c r="BC41" s="1272"/>
      <c r="BF41" s="960" t="s">
        <v>1175</v>
      </c>
    </row>
    <row r="42" spans="1:58" s="781" customFormat="1" ht="22.5" customHeight="1" x14ac:dyDescent="0.15">
      <c r="E42" s="668">
        <v>23.3</v>
      </c>
      <c r="F42" s="769" t="str" cm="1">
        <f t="array" ref="F42">F41</f>
        <v>1</v>
      </c>
      <c r="G42" s="612" t="s">
        <v>1176</v>
      </c>
      <c r="T42" s="690" t="b" cm="1">
        <f t="array" ref="T42">T41</f>
        <v>1</v>
      </c>
      <c r="X42" s="1484"/>
      <c r="Z42" s="1484"/>
      <c r="AB42" s="232" t="s">
        <v>1177</v>
      </c>
      <c r="AC42" s="233" t="s">
        <v>1178</v>
      </c>
      <c r="AD42" s="867" t="s">
        <v>830</v>
      </c>
      <c r="AE42" s="1206">
        <v>5416.81</v>
      </c>
      <c r="AF42" s="1197">
        <v>6254.3941500000001</v>
      </c>
      <c r="AG42" s="1197">
        <v>5416.81</v>
      </c>
      <c r="AH42" s="1197">
        <v>5979.23</v>
      </c>
      <c r="AI42" s="227">
        <v>6231.19</v>
      </c>
      <c r="AJ42" s="1183"/>
      <c r="AK42" s="1183"/>
      <c r="AL42" s="1197"/>
      <c r="AM42" s="1197"/>
      <c r="AN42" s="1197"/>
      <c r="AO42" s="1197"/>
      <c r="AP42" s="1197"/>
      <c r="AQ42" s="1197"/>
      <c r="AR42" s="1197"/>
      <c r="AS42" s="227">
        <v>6231.19</v>
      </c>
      <c r="AT42" s="1183"/>
      <c r="AU42" s="1183"/>
      <c r="AV42" s="1197"/>
      <c r="AW42" s="1197"/>
      <c r="AX42" s="1197"/>
      <c r="AY42" s="1197"/>
      <c r="AZ42" s="1197"/>
      <c r="BA42" s="1197"/>
      <c r="BB42" s="1197"/>
      <c r="BC42" s="1272"/>
      <c r="BF42" s="960" t="s">
        <v>1179</v>
      </c>
    </row>
    <row r="43" spans="1:58" s="781" customFormat="1" ht="22.5" customHeight="1" x14ac:dyDescent="0.15">
      <c r="E43" s="668">
        <v>23.3</v>
      </c>
      <c r="F43" s="769" t="str" cm="1">
        <f t="array" ref="F43">F42</f>
        <v>1</v>
      </c>
      <c r="G43" s="612" t="s">
        <v>1180</v>
      </c>
      <c r="T43" s="690" t="b" cm="1">
        <f t="array" ref="T43">T42</f>
        <v>1</v>
      </c>
      <c r="X43" s="1484"/>
      <c r="Z43" s="1484"/>
      <c r="AB43" s="232" t="s">
        <v>1181</v>
      </c>
      <c r="AC43" s="233" t="s">
        <v>1182</v>
      </c>
      <c r="AD43" s="867" t="s">
        <v>830</v>
      </c>
      <c r="AE43" s="1206"/>
      <c r="AF43" s="1197">
        <v>1823.32176</v>
      </c>
      <c r="AG43" s="1197"/>
      <c r="AH43" s="1197"/>
      <c r="AI43" s="227">
        <v>1823.32176</v>
      </c>
      <c r="AJ43" s="1183"/>
      <c r="AK43" s="1183"/>
      <c r="AL43" s="1197"/>
      <c r="AM43" s="1197"/>
      <c r="AN43" s="1197"/>
      <c r="AO43" s="1197"/>
      <c r="AP43" s="1197"/>
      <c r="AQ43" s="1197"/>
      <c r="AR43" s="1197"/>
      <c r="AS43" s="227"/>
      <c r="AT43" s="1183"/>
      <c r="AU43" s="1183"/>
      <c r="AV43" s="1197"/>
      <c r="AW43" s="1197"/>
      <c r="AX43" s="1197"/>
      <c r="AY43" s="1197"/>
      <c r="AZ43" s="1197"/>
      <c r="BA43" s="1197"/>
      <c r="BB43" s="1197"/>
      <c r="BC43" s="1272"/>
      <c r="BF43" s="960" t="s">
        <v>1183</v>
      </c>
    </row>
    <row r="44" spans="1:58" s="781" customFormat="1" ht="22.5" customHeight="1" x14ac:dyDescent="0.15">
      <c r="E44" s="668">
        <v>23.3</v>
      </c>
      <c r="F44" s="769" t="str" cm="1">
        <f t="array" ref="F44">F43</f>
        <v>1</v>
      </c>
      <c r="G44" s="612" t="s">
        <v>1184</v>
      </c>
      <c r="T44" s="690" t="b" cm="1">
        <f t="array" ref="T44">T43</f>
        <v>1</v>
      </c>
      <c r="X44" s="1484"/>
      <c r="Z44" s="1484"/>
      <c r="AB44" s="230" t="s">
        <v>955</v>
      </c>
      <c r="AC44" s="231" t="s">
        <v>1185</v>
      </c>
      <c r="AD44" s="873" t="s">
        <v>830</v>
      </c>
      <c r="AE44" s="1206"/>
      <c r="AF44" s="1197"/>
      <c r="AG44" s="1197"/>
      <c r="AH44" s="1197"/>
      <c r="AI44" s="227"/>
      <c r="AJ44" s="1183"/>
      <c r="AK44" s="1183"/>
      <c r="AL44" s="1197"/>
      <c r="AM44" s="1197"/>
      <c r="AN44" s="1197"/>
      <c r="AO44" s="1197"/>
      <c r="AP44" s="1197"/>
      <c r="AQ44" s="1197"/>
      <c r="AR44" s="1197"/>
      <c r="AS44" s="227"/>
      <c r="AT44" s="1183"/>
      <c r="AU44" s="1183"/>
      <c r="AV44" s="1197"/>
      <c r="AW44" s="1197"/>
      <c r="AX44" s="1197"/>
      <c r="AY44" s="1197"/>
      <c r="AZ44" s="1197"/>
      <c r="BA44" s="1197"/>
      <c r="BB44" s="1197"/>
      <c r="BC44" s="1272"/>
      <c r="BF44" s="960" t="s">
        <v>1186</v>
      </c>
    </row>
    <row r="45" spans="1:58" s="781" customFormat="1" ht="22.5" customHeight="1" x14ac:dyDescent="0.15">
      <c r="E45" s="668">
        <v>23.3</v>
      </c>
      <c r="F45" s="769" t="str" cm="1">
        <f t="array" ref="F45">F44</f>
        <v>1</v>
      </c>
      <c r="T45" s="690" t="b" cm="1">
        <f t="array" ref="T45">T44</f>
        <v>1</v>
      </c>
      <c r="X45" s="1484"/>
      <c r="Z45" s="1484"/>
      <c r="AB45" s="230" t="s">
        <v>957</v>
      </c>
      <c r="AC45" s="231" t="s">
        <v>1187</v>
      </c>
      <c r="AD45" s="873" t="s">
        <v>830</v>
      </c>
      <c r="AE45" s="489">
        <f t="shared" ref="AE45:BB45" si="7">AE46+AE47</f>
        <v>0</v>
      </c>
      <c r="AF45" s="275">
        <f t="shared" si="7"/>
        <v>0</v>
      </c>
      <c r="AG45" s="275">
        <f t="shared" si="7"/>
        <v>0</v>
      </c>
      <c r="AH45" s="275">
        <f t="shared" si="7"/>
        <v>0</v>
      </c>
      <c r="AI45" s="275">
        <f t="shared" si="7"/>
        <v>0</v>
      </c>
      <c r="AJ45" s="275">
        <f t="shared" si="7"/>
        <v>0</v>
      </c>
      <c r="AK45" s="275">
        <f t="shared" si="7"/>
        <v>0</v>
      </c>
      <c r="AL45" s="275">
        <f t="shared" si="7"/>
        <v>0</v>
      </c>
      <c r="AM45" s="275">
        <f t="shared" si="7"/>
        <v>0</v>
      </c>
      <c r="AN45" s="275">
        <f t="shared" si="7"/>
        <v>0</v>
      </c>
      <c r="AO45" s="275">
        <f t="shared" si="7"/>
        <v>0</v>
      </c>
      <c r="AP45" s="275">
        <f t="shared" si="7"/>
        <v>0</v>
      </c>
      <c r="AQ45" s="275">
        <f t="shared" si="7"/>
        <v>0</v>
      </c>
      <c r="AR45" s="275">
        <f t="shared" si="7"/>
        <v>0</v>
      </c>
      <c r="AS45" s="275">
        <f t="shared" si="7"/>
        <v>0</v>
      </c>
      <c r="AT45" s="275">
        <f t="shared" si="7"/>
        <v>0</v>
      </c>
      <c r="AU45" s="275">
        <f t="shared" si="7"/>
        <v>0</v>
      </c>
      <c r="AV45" s="275">
        <f t="shared" si="7"/>
        <v>0</v>
      </c>
      <c r="AW45" s="275">
        <f t="shared" si="7"/>
        <v>0</v>
      </c>
      <c r="AX45" s="275">
        <f t="shared" si="7"/>
        <v>0</v>
      </c>
      <c r="AY45" s="275">
        <f t="shared" si="7"/>
        <v>0</v>
      </c>
      <c r="AZ45" s="275">
        <f t="shared" si="7"/>
        <v>0</v>
      </c>
      <c r="BA45" s="275">
        <f t="shared" si="7"/>
        <v>0</v>
      </c>
      <c r="BB45" s="275">
        <f t="shared" si="7"/>
        <v>0</v>
      </c>
      <c r="BC45" s="1272"/>
      <c r="BF45" s="960" t="s">
        <v>1188</v>
      </c>
    </row>
    <row r="46" spans="1:58" s="781" customFormat="1" ht="67.5" customHeight="1" x14ac:dyDescent="0.15">
      <c r="E46" s="668">
        <v>69.8</v>
      </c>
      <c r="F46" s="769" t="str" cm="1">
        <f t="array" ref="F46">F45</f>
        <v>1</v>
      </c>
      <c r="G46" s="612" t="s">
        <v>1189</v>
      </c>
      <c r="T46" s="690" t="b" cm="1">
        <f t="array" ref="T46">T45</f>
        <v>1</v>
      </c>
      <c r="X46" s="1484"/>
      <c r="Z46" s="1484"/>
      <c r="AB46" s="232" t="s">
        <v>1190</v>
      </c>
      <c r="AC46" s="233" t="s">
        <v>1191</v>
      </c>
      <c r="AD46" s="867" t="s">
        <v>830</v>
      </c>
      <c r="AE46" s="1206"/>
      <c r="AF46" s="1197"/>
      <c r="AG46" s="1197"/>
      <c r="AH46" s="1197"/>
      <c r="AI46" s="227"/>
      <c r="AJ46" s="1183"/>
      <c r="AK46" s="1183"/>
      <c r="AL46" s="1197"/>
      <c r="AM46" s="1197"/>
      <c r="AN46" s="1197"/>
      <c r="AO46" s="1197"/>
      <c r="AP46" s="1197"/>
      <c r="AQ46" s="1197"/>
      <c r="AR46" s="1197"/>
      <c r="AS46" s="227"/>
      <c r="AT46" s="1183"/>
      <c r="AU46" s="1183"/>
      <c r="AV46" s="1197"/>
      <c r="AW46" s="1197"/>
      <c r="AX46" s="1197"/>
      <c r="AY46" s="1197"/>
      <c r="AZ46" s="1197"/>
      <c r="BA46" s="1197"/>
      <c r="BB46" s="1197"/>
      <c r="BC46" s="1272"/>
      <c r="BF46" s="960" t="s">
        <v>1192</v>
      </c>
    </row>
    <row r="47" spans="1:58" s="781" customFormat="1" ht="28.5" customHeight="1" x14ac:dyDescent="0.15">
      <c r="E47" s="668">
        <v>29.3</v>
      </c>
      <c r="F47" s="769" t="str" cm="1">
        <f t="array" ref="F47">F46</f>
        <v>1</v>
      </c>
      <c r="G47" s="612" t="s">
        <v>1193</v>
      </c>
      <c r="T47" s="690" t="b" cm="1">
        <f t="array" ref="T47">T46</f>
        <v>1</v>
      </c>
      <c r="X47" s="1484"/>
      <c r="Z47" s="1484"/>
      <c r="AB47" s="232" t="s">
        <v>1194</v>
      </c>
      <c r="AC47" s="233" t="s">
        <v>1195</v>
      </c>
      <c r="AD47" s="867" t="s">
        <v>830</v>
      </c>
      <c r="AE47" s="1206"/>
      <c r="AF47" s="1197"/>
      <c r="AG47" s="1197"/>
      <c r="AH47" s="1197"/>
      <c r="AI47" s="227"/>
      <c r="AJ47" s="1183"/>
      <c r="AK47" s="1183"/>
      <c r="AL47" s="1197"/>
      <c r="AM47" s="1197"/>
      <c r="AN47" s="1197"/>
      <c r="AO47" s="1197"/>
      <c r="AP47" s="1197"/>
      <c r="AQ47" s="1197"/>
      <c r="AR47" s="1197"/>
      <c r="AS47" s="227"/>
      <c r="AT47" s="1183"/>
      <c r="AU47" s="1183"/>
      <c r="AV47" s="1197"/>
      <c r="AW47" s="1197"/>
      <c r="AX47" s="1197"/>
      <c r="AY47" s="1197"/>
      <c r="AZ47" s="1197"/>
      <c r="BA47" s="1197"/>
      <c r="BB47" s="1197"/>
      <c r="BC47" s="1272"/>
      <c r="BF47" s="960" t="s">
        <v>1196</v>
      </c>
    </row>
    <row r="48" spans="1:58" s="781" customFormat="1" ht="21" customHeight="1" x14ac:dyDescent="0.15">
      <c r="E48" s="668">
        <v>21.8</v>
      </c>
      <c r="F48" s="769" t="str" cm="1">
        <f t="array" ref="F48">F47</f>
        <v>1</v>
      </c>
      <c r="T48" s="690" t="b" cm="1">
        <f t="array" ref="T48">T47</f>
        <v>1</v>
      </c>
      <c r="X48" s="1484"/>
      <c r="Z48" s="1484"/>
      <c r="AB48" s="230" t="s">
        <v>961</v>
      </c>
      <c r="AC48" s="231" t="s">
        <v>1197</v>
      </c>
      <c r="AD48" s="873" t="s">
        <v>830</v>
      </c>
      <c r="AE48" s="489">
        <f t="shared" ref="AE48:BB48" si="8">AE49+AE50</f>
        <v>25.48</v>
      </c>
      <c r="AF48" s="275">
        <f t="shared" si="8"/>
        <v>25.05481</v>
      </c>
      <c r="AG48" s="275">
        <f t="shared" si="8"/>
        <v>25.05481</v>
      </c>
      <c r="AH48" s="275">
        <f t="shared" si="8"/>
        <v>25.444289999999999</v>
      </c>
      <c r="AI48" s="275">
        <f t="shared" si="8"/>
        <v>25.52</v>
      </c>
      <c r="AJ48" s="275">
        <f t="shared" si="8"/>
        <v>0</v>
      </c>
      <c r="AK48" s="275">
        <f t="shared" si="8"/>
        <v>0</v>
      </c>
      <c r="AL48" s="275">
        <f t="shared" si="8"/>
        <v>0</v>
      </c>
      <c r="AM48" s="275">
        <f t="shared" si="8"/>
        <v>0</v>
      </c>
      <c r="AN48" s="275">
        <f t="shared" si="8"/>
        <v>0</v>
      </c>
      <c r="AO48" s="275">
        <f t="shared" si="8"/>
        <v>0</v>
      </c>
      <c r="AP48" s="275">
        <f t="shared" si="8"/>
        <v>0</v>
      </c>
      <c r="AQ48" s="275">
        <f t="shared" si="8"/>
        <v>0</v>
      </c>
      <c r="AR48" s="275">
        <f t="shared" si="8"/>
        <v>0</v>
      </c>
      <c r="AS48" s="275">
        <f t="shared" si="8"/>
        <v>25.52</v>
      </c>
      <c r="AT48" s="275">
        <f t="shared" si="8"/>
        <v>0</v>
      </c>
      <c r="AU48" s="275">
        <f t="shared" si="8"/>
        <v>0</v>
      </c>
      <c r="AV48" s="275">
        <f t="shared" si="8"/>
        <v>0</v>
      </c>
      <c r="AW48" s="275">
        <f t="shared" si="8"/>
        <v>0</v>
      </c>
      <c r="AX48" s="275">
        <f t="shared" si="8"/>
        <v>0</v>
      </c>
      <c r="AY48" s="275">
        <f t="shared" si="8"/>
        <v>0</v>
      </c>
      <c r="AZ48" s="275">
        <f t="shared" si="8"/>
        <v>0</v>
      </c>
      <c r="BA48" s="275">
        <f t="shared" si="8"/>
        <v>0</v>
      </c>
      <c r="BB48" s="275">
        <f t="shared" si="8"/>
        <v>0</v>
      </c>
      <c r="BC48" s="1272"/>
      <c r="BF48" s="960" t="s">
        <v>1198</v>
      </c>
    </row>
    <row r="49" spans="1:58" s="781" customFormat="1" ht="22.5" customHeight="1" x14ac:dyDescent="0.15">
      <c r="E49" s="668">
        <v>23.3</v>
      </c>
      <c r="F49" s="769" t="str" cm="1">
        <f t="array" ref="F49">F48</f>
        <v>1</v>
      </c>
      <c r="G49" s="612" t="s">
        <v>1176</v>
      </c>
      <c r="T49" s="690" t="b" cm="1">
        <f t="array" ref="T49">T48</f>
        <v>1</v>
      </c>
      <c r="X49" s="1484"/>
      <c r="Z49" s="1484"/>
      <c r="AB49" s="232" t="s">
        <v>1052</v>
      </c>
      <c r="AC49" s="233" t="s">
        <v>1178</v>
      </c>
      <c r="AD49" s="867" t="s">
        <v>830</v>
      </c>
      <c r="AE49" s="1206"/>
      <c r="AF49" s="1197"/>
      <c r="AG49" s="1197"/>
      <c r="AH49" s="1197"/>
      <c r="AI49" s="227"/>
      <c r="AJ49" s="1183"/>
      <c r="AK49" s="1183"/>
      <c r="AL49" s="1197"/>
      <c r="AM49" s="1197"/>
      <c r="AN49" s="1197"/>
      <c r="AO49" s="1197"/>
      <c r="AP49" s="1197"/>
      <c r="AQ49" s="1197"/>
      <c r="AR49" s="1197"/>
      <c r="AS49" s="227"/>
      <c r="AT49" s="1183"/>
      <c r="AU49" s="1183"/>
      <c r="AV49" s="1197"/>
      <c r="AW49" s="1197"/>
      <c r="AX49" s="1197"/>
      <c r="AY49" s="1197"/>
      <c r="AZ49" s="1197"/>
      <c r="BA49" s="1197"/>
      <c r="BB49" s="1197"/>
      <c r="BC49" s="1272"/>
      <c r="BF49" s="960" t="s">
        <v>1199</v>
      </c>
    </row>
    <row r="50" spans="1:58" s="781" customFormat="1" ht="22.5" customHeight="1" x14ac:dyDescent="0.15">
      <c r="E50" s="668">
        <v>23.3</v>
      </c>
      <c r="F50" s="769" t="str" cm="1">
        <f t="array" ref="F50">F49</f>
        <v>1</v>
      </c>
      <c r="G50" s="612" t="s">
        <v>1180</v>
      </c>
      <c r="T50" s="690" t="b" cm="1">
        <f t="array" ref="T50">T49</f>
        <v>1</v>
      </c>
      <c r="X50" s="1484"/>
      <c r="Z50" s="1484"/>
      <c r="AB50" s="232" t="s">
        <v>1055</v>
      </c>
      <c r="AC50" s="233" t="s">
        <v>1182</v>
      </c>
      <c r="AD50" s="867" t="s">
        <v>830</v>
      </c>
      <c r="AE50" s="1206">
        <v>25.48</v>
      </c>
      <c r="AF50" s="1197">
        <v>25.05481</v>
      </c>
      <c r="AG50" s="1197">
        <v>25.05481</v>
      </c>
      <c r="AH50" s="1197">
        <v>25.444289999999999</v>
      </c>
      <c r="AI50" s="227">
        <v>25.52</v>
      </c>
      <c r="AJ50" s="1183"/>
      <c r="AK50" s="1183"/>
      <c r="AL50" s="1197"/>
      <c r="AM50" s="1197"/>
      <c r="AN50" s="1197"/>
      <c r="AO50" s="1197"/>
      <c r="AP50" s="1197"/>
      <c r="AQ50" s="1197"/>
      <c r="AR50" s="1197"/>
      <c r="AS50" s="227">
        <v>25.52</v>
      </c>
      <c r="AT50" s="1183"/>
      <c r="AU50" s="1183"/>
      <c r="AV50" s="1197"/>
      <c r="AW50" s="1197"/>
      <c r="AX50" s="1197"/>
      <c r="AY50" s="1197"/>
      <c r="AZ50" s="1197"/>
      <c r="BA50" s="1197"/>
      <c r="BB50" s="1197"/>
      <c r="BC50" s="1272"/>
      <c r="BF50" s="960" t="s">
        <v>1200</v>
      </c>
    </row>
    <row r="51" spans="1:58" ht="11.1" customHeight="1" x14ac:dyDescent="0.15">
      <c r="E51" s="772">
        <v>11.4</v>
      </c>
      <c r="U51" s="126" t="s">
        <v>239</v>
      </c>
      <c r="V51" s="119" t="s">
        <v>1201</v>
      </c>
      <c r="W51" s="126"/>
      <c r="AE51" s="167"/>
    </row>
    <row r="52" spans="1:58" ht="11.25" hidden="1" customHeight="1" x14ac:dyDescent="0.15">
      <c r="E52" s="772">
        <v>0</v>
      </c>
    </row>
    <row r="53" spans="1:58" s="417" customFormat="1" ht="14.65" customHeight="1" x14ac:dyDescent="0.15">
      <c r="A53" s="123"/>
      <c r="B53" s="659"/>
      <c r="C53" s="123"/>
      <c r="D53" s="123"/>
      <c r="E53" s="668">
        <v>15</v>
      </c>
      <c r="F53" s="123"/>
      <c r="Q53" s="612"/>
      <c r="R53" s="612"/>
      <c r="T53" s="123"/>
      <c r="U53" s="123"/>
      <c r="V53" s="123"/>
      <c r="W53" s="123"/>
      <c r="X53" s="123"/>
      <c r="Y53" s="123"/>
      <c r="Z53" s="123"/>
      <c r="AB53" s="1558" t="s">
        <v>725</v>
      </c>
      <c r="AC53" s="1558"/>
      <c r="AD53" s="1558"/>
      <c r="AE53" s="1558"/>
      <c r="AF53" s="1558"/>
      <c r="AG53" s="1558"/>
      <c r="AH53" s="1558"/>
      <c r="AI53" s="1559"/>
      <c r="AJ53" s="1559"/>
      <c r="AK53" s="1559"/>
      <c r="AL53" s="1559"/>
      <c r="AM53" s="1559"/>
      <c r="AN53" s="1559"/>
      <c r="AO53" s="1559"/>
      <c r="AP53" s="1559"/>
      <c r="AQ53" s="1559"/>
      <c r="AR53" s="1559"/>
      <c r="AS53" s="1559"/>
      <c r="AT53" s="1559"/>
      <c r="AU53" s="1559"/>
      <c r="AV53" s="1559"/>
      <c r="AW53" s="1559"/>
      <c r="AX53" s="1559"/>
      <c r="AY53" s="1559"/>
      <c r="AZ53" s="1559"/>
      <c r="BA53" s="1559"/>
      <c r="BB53" s="1559"/>
      <c r="BC53" s="1559"/>
      <c r="BF53" s="971"/>
    </row>
    <row r="54" spans="1:58" s="417" customFormat="1" ht="14.65" customHeight="1" x14ac:dyDescent="0.15">
      <c r="A54" s="123"/>
      <c r="B54" s="659"/>
      <c r="C54" s="123"/>
      <c r="D54" s="123"/>
      <c r="E54" s="668">
        <v>15</v>
      </c>
      <c r="F54" s="123"/>
      <c r="Q54" s="612"/>
      <c r="R54" s="612"/>
      <c r="T54" s="123"/>
      <c r="U54" s="123"/>
      <c r="V54" s="123"/>
      <c r="W54" s="123"/>
      <c r="X54" s="123"/>
      <c r="Y54" s="123"/>
      <c r="Z54" s="123"/>
      <c r="AA54" s="768"/>
      <c r="AB54" s="1560"/>
      <c r="AC54" s="1560"/>
      <c r="AD54" s="1560"/>
      <c r="AE54" s="1560"/>
      <c r="AF54" s="1560"/>
      <c r="AG54" s="1560"/>
      <c r="AH54" s="1560"/>
      <c r="AI54" s="1561"/>
      <c r="AJ54" s="1562"/>
      <c r="AK54" s="1562"/>
      <c r="AL54" s="1562"/>
      <c r="AM54" s="1562"/>
      <c r="AN54" s="1562"/>
      <c r="AO54" s="1562"/>
      <c r="AP54" s="1562"/>
      <c r="AQ54" s="1562"/>
      <c r="AR54" s="1562"/>
      <c r="AS54" s="1561"/>
      <c r="AT54" s="1562"/>
      <c r="AU54" s="1562"/>
      <c r="AV54" s="1562"/>
      <c r="AW54" s="1562"/>
      <c r="AX54" s="1562"/>
      <c r="AY54" s="1562"/>
      <c r="AZ54" s="1562"/>
      <c r="BA54" s="1562"/>
      <c r="BB54" s="1562"/>
      <c r="BC54" s="1561"/>
      <c r="BF54" s="971"/>
    </row>
    <row r="55" spans="1:58" s="417" customFormat="1" ht="14.65" hidden="1" customHeight="1" x14ac:dyDescent="0.15">
      <c r="A55" s="123"/>
      <c r="B55" s="659"/>
      <c r="C55" s="123"/>
      <c r="D55" s="123"/>
      <c r="E55" s="668">
        <v>15</v>
      </c>
      <c r="F55" s="123"/>
      <c r="Q55" s="612"/>
      <c r="R55" s="612"/>
      <c r="T55" s="679" t="b">
        <f>ROW(W55)&gt;ROW(W$55)</f>
        <v>0</v>
      </c>
      <c r="U55" s="123"/>
      <c r="V55" s="126"/>
      <c r="W55" s="123" t="s">
        <v>237</v>
      </c>
      <c r="X55" s="123"/>
      <c r="Y55" s="123"/>
      <c r="Z55" s="123"/>
      <c r="AA55" s="764" t="s">
        <v>218</v>
      </c>
      <c r="AB55" s="1565"/>
      <c r="AC55" s="1565"/>
      <c r="AD55" s="1565"/>
      <c r="AE55" s="1565"/>
      <c r="AF55" s="1565"/>
      <c r="AG55" s="1565"/>
      <c r="AH55" s="1565"/>
      <c r="AI55" s="1561"/>
      <c r="AJ55" s="1562"/>
      <c r="AK55" s="1562"/>
      <c r="AL55" s="1562"/>
      <c r="AM55" s="1562"/>
      <c r="AN55" s="1562"/>
      <c r="AO55" s="1562"/>
      <c r="AP55" s="1562"/>
      <c r="AQ55" s="1562"/>
      <c r="AR55" s="1562"/>
      <c r="AS55" s="1561"/>
      <c r="AT55" s="1562"/>
      <c r="AU55" s="1562"/>
      <c r="AV55" s="1562"/>
      <c r="AW55" s="1562"/>
      <c r="AX55" s="1562"/>
      <c r="AY55" s="1562"/>
      <c r="AZ55" s="1562"/>
      <c r="BA55" s="1562"/>
      <c r="BB55" s="1562"/>
      <c r="BC55" s="1562"/>
      <c r="BF55" s="971"/>
    </row>
    <row r="56" spans="1:58" s="417" customFormat="1" ht="14.65" customHeight="1" x14ac:dyDescent="0.15">
      <c r="A56" s="123"/>
      <c r="B56" s="659"/>
      <c r="C56" s="123"/>
      <c r="D56" s="123"/>
      <c r="E56" s="668">
        <v>15</v>
      </c>
      <c r="F56" s="123"/>
      <c r="Q56" s="612"/>
      <c r="R56" s="612"/>
      <c r="T56" s="123"/>
      <c r="U56" s="123"/>
      <c r="V56" s="123"/>
      <c r="W56" s="119" t="s">
        <v>238</v>
      </c>
      <c r="X56" s="123"/>
      <c r="Y56" s="123"/>
      <c r="Z56" s="123"/>
      <c r="AB56" s="1500" t="s">
        <v>726</v>
      </c>
      <c r="AC56" s="1501"/>
      <c r="AD56" s="317"/>
      <c r="AE56" s="317"/>
      <c r="AF56" s="318"/>
      <c r="AG56" s="318"/>
      <c r="AH56" s="318"/>
      <c r="AI56" s="318"/>
      <c r="AJ56" s="318"/>
      <c r="AK56" s="318"/>
      <c r="AL56" s="318"/>
      <c r="AM56" s="318"/>
      <c r="AN56" s="318"/>
      <c r="AO56" s="318"/>
      <c r="AP56" s="318"/>
      <c r="AQ56" s="318"/>
      <c r="AR56" s="318"/>
      <c r="AS56" s="318"/>
      <c r="AT56" s="318"/>
      <c r="AU56" s="318"/>
      <c r="AV56" s="318"/>
      <c r="AW56" s="318"/>
      <c r="AX56" s="318"/>
      <c r="AY56" s="318"/>
      <c r="AZ56" s="318"/>
      <c r="BA56" s="318"/>
      <c r="BB56" s="318"/>
      <c r="BC56" s="319"/>
      <c r="BF56" s="971"/>
    </row>
  </sheetData>
  <sheetProtection formatColumns="0" formatRows="0" insertRows="0" deleteColumns="0" deleteRows="0" sort="0" autoFilter="0"/>
  <mergeCells count="12">
    <mergeCell ref="X27:X38"/>
    <mergeCell ref="AB55:BC55"/>
    <mergeCell ref="AB56:AC56"/>
    <mergeCell ref="AB53:BC53"/>
    <mergeCell ref="AB54:BC54"/>
    <mergeCell ref="X39:X50"/>
    <mergeCell ref="Z39:Z50"/>
    <mergeCell ref="BC24:BC25"/>
    <mergeCell ref="AB24:AB25"/>
    <mergeCell ref="AC24:AC25"/>
    <mergeCell ref="AD24:AD25"/>
    <mergeCell ref="Z27:Z38"/>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7DF08-DC78-8AF8-7F98-B6771D8F6A38}">
  <sheetPr>
    <tabColor rgb="FF002060"/>
    <outlinePr summaryBelow="0" summaryRight="0"/>
    <pageSetUpPr fitToPage="1"/>
  </sheetPr>
  <dimension ref="A1:BK73"/>
  <sheetViews>
    <sheetView showGridLines="0" workbookViewId="0">
      <pane xSplit="30" ySplit="26" topLeftCell="AE46" activePane="bottomRight" state="frozen"/>
      <selection pane="topRight" activeCell="AE1" sqref="AE1"/>
      <selection pane="bottomLeft" activeCell="A27" sqref="A27"/>
      <selection pane="bottomRight" activeCell="AB71" sqref="AB71:BC71"/>
    </sheetView>
  </sheetViews>
  <sheetFormatPr defaultColWidth="8.7109375" defaultRowHeight="11.25" customHeight="1" x14ac:dyDescent="0.15"/>
  <cols>
    <col min="1" max="1" width="3.5703125" style="1149" hidden="1" customWidth="1"/>
    <col min="2" max="2" width="8.5703125" style="773" hidden="1" customWidth="1"/>
    <col min="3" max="4" width="3.5703125" style="1149" hidden="1" customWidth="1"/>
    <col min="5" max="5" width="8.42578125" style="772" hidden="1" customWidth="1"/>
    <col min="6" max="6" width="6.42578125" style="1149" hidden="1" customWidth="1"/>
    <col min="7" max="16" width="3.5703125" style="1153" hidden="1" customWidth="1"/>
    <col min="17" max="18" width="3.5703125" style="140" hidden="1" customWidth="1"/>
    <col min="19" max="19" width="3.5703125" style="1153" hidden="1" customWidth="1"/>
    <col min="20" max="20" width="9"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170" customWidth="1"/>
    <col min="28" max="28" width="6.5703125" style="170" customWidth="1"/>
    <col min="29" max="29" width="47.140625" style="170" customWidth="1"/>
    <col min="30" max="30" width="12.140625" style="170" customWidth="1"/>
    <col min="31" max="35" width="12.5703125" style="170" customWidth="1"/>
    <col min="36" max="44" width="12.5703125" style="170" hidden="1" customWidth="1"/>
    <col min="45" max="45" width="12.5703125" style="170" customWidth="1"/>
    <col min="46" max="54" width="12.5703125" style="170" hidden="1" customWidth="1"/>
    <col min="55" max="55" width="20.140625" style="170" customWidth="1"/>
    <col min="56" max="56" width="3" style="170" customWidth="1"/>
    <col min="57" max="57" width="8.7109375" style="170" hidden="1"/>
    <col min="58" max="61" width="8.7109375" style="1010" hidden="1"/>
    <col min="62" max="63" width="8.7109375" style="1011" hidden="1"/>
  </cols>
  <sheetData>
    <row r="1" spans="1:63" s="1149" customFormat="1" ht="12" hidden="1" customHeight="1" x14ac:dyDescent="0.15">
      <c r="B1" s="659"/>
      <c r="E1" s="659"/>
      <c r="F1" s="690" t="s">
        <v>83</v>
      </c>
      <c r="G1" s="103"/>
      <c r="H1" s="103"/>
      <c r="I1" s="103"/>
      <c r="J1" s="103"/>
      <c r="K1" s="103"/>
      <c r="L1" s="103"/>
      <c r="M1" s="103"/>
      <c r="N1" s="103"/>
      <c r="O1" s="103"/>
      <c r="P1" s="103"/>
      <c r="Q1" s="140"/>
      <c r="R1" s="140"/>
      <c r="S1" s="103"/>
      <c r="T1" s="679" t="s">
        <v>86</v>
      </c>
      <c r="U1" s="679" t="s">
        <v>91</v>
      </c>
      <c r="V1" s="679" t="s">
        <v>87</v>
      </c>
      <c r="W1" s="679" t="s">
        <v>88</v>
      </c>
      <c r="X1" s="679" t="s">
        <v>89</v>
      </c>
      <c r="Y1" s="690" t="s">
        <v>374</v>
      </c>
      <c r="Z1" s="679" t="s">
        <v>93</v>
      </c>
      <c r="AA1" s="690" t="s">
        <v>90</v>
      </c>
      <c r="AB1" s="690" t="s">
        <v>92</v>
      </c>
      <c r="AC1" s="690" t="s">
        <v>92</v>
      </c>
      <c r="BF1" s="1010" t="s">
        <v>375</v>
      </c>
      <c r="BG1" s="1010" t="s">
        <v>376</v>
      </c>
      <c r="BH1" s="1010" t="s">
        <v>377</v>
      </c>
      <c r="BI1" s="1010" t="s">
        <v>1202</v>
      </c>
      <c r="BJ1" s="1011" t="s">
        <v>380</v>
      </c>
      <c r="BK1" s="1011" t="s">
        <v>381</v>
      </c>
    </row>
    <row r="2" spans="1:63" s="773" customFormat="1" ht="12" hidden="1" customHeight="1" x14ac:dyDescent="0.15">
      <c r="B2" s="758" t="s">
        <v>15</v>
      </c>
      <c r="G2" s="776"/>
      <c r="H2" s="776"/>
      <c r="I2" s="776"/>
      <c r="J2" s="776"/>
      <c r="K2" s="776"/>
      <c r="L2" s="776"/>
      <c r="M2" s="776"/>
      <c r="N2" s="776"/>
      <c r="O2" s="776"/>
      <c r="P2" s="776"/>
      <c r="Q2" s="776"/>
      <c r="R2" s="776"/>
      <c r="S2" s="776"/>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1012"/>
      <c r="BG2" s="1012"/>
      <c r="BH2" s="1012"/>
      <c r="BI2" s="1012"/>
      <c r="BJ2" s="1013"/>
      <c r="BK2" s="1013"/>
    </row>
    <row r="3" spans="1:63" s="1149" customFormat="1" ht="12" hidden="1" customHeight="1" x14ac:dyDescent="0.15">
      <c r="B3" s="659"/>
      <c r="E3" s="659"/>
      <c r="G3" s="103"/>
      <c r="H3" s="103"/>
      <c r="I3" s="103"/>
      <c r="J3" s="103"/>
      <c r="K3" s="103"/>
      <c r="L3" s="103"/>
      <c r="M3" s="103"/>
      <c r="N3" s="103"/>
      <c r="O3" s="103"/>
      <c r="P3" s="103"/>
      <c r="Q3" s="140"/>
      <c r="R3" s="140"/>
      <c r="S3" s="103"/>
      <c r="T3" s="126"/>
      <c r="U3" s="126"/>
      <c r="V3" s="126"/>
      <c r="W3" s="126"/>
      <c r="X3" s="126"/>
      <c r="Y3" s="126"/>
      <c r="Z3" s="126"/>
      <c r="BF3" s="1010"/>
      <c r="BG3" s="1010"/>
      <c r="BH3" s="1010"/>
      <c r="BI3" s="1010"/>
      <c r="BJ3" s="1011"/>
      <c r="BK3" s="1011"/>
    </row>
    <row r="4" spans="1:63" s="1149" customFormat="1" ht="12" hidden="1" customHeight="1" x14ac:dyDescent="0.15">
      <c r="B4" s="659"/>
      <c r="E4" s="659"/>
      <c r="G4" s="103"/>
      <c r="H4" s="103"/>
      <c r="I4" s="103"/>
      <c r="J4" s="103"/>
      <c r="K4" s="103"/>
      <c r="L4" s="103"/>
      <c r="M4" s="103"/>
      <c r="N4" s="103"/>
      <c r="O4" s="103"/>
      <c r="P4" s="103"/>
      <c r="Q4" s="140"/>
      <c r="R4" s="140"/>
      <c r="S4" s="103"/>
      <c r="T4" s="126"/>
      <c r="U4" s="126"/>
      <c r="V4" s="126"/>
      <c r="W4" s="126"/>
      <c r="X4" s="126"/>
      <c r="Y4" s="126"/>
      <c r="Z4" s="126"/>
      <c r="BF4" s="1010"/>
      <c r="BG4" s="1010"/>
      <c r="BH4" s="1010"/>
      <c r="BI4" s="1010"/>
      <c r="BJ4" s="1011"/>
      <c r="BK4" s="1011"/>
    </row>
    <row r="5" spans="1:63"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6.5</v>
      </c>
      <c r="AC5" s="668">
        <v>47.13</v>
      </c>
      <c r="AD5" s="668">
        <v>12.13</v>
      </c>
      <c r="AE5" s="668">
        <v>12.63</v>
      </c>
      <c r="AF5" s="668">
        <v>12.63</v>
      </c>
      <c r="AG5" s="668">
        <v>12.63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20.13</v>
      </c>
      <c r="BD5" s="668">
        <v>3</v>
      </c>
      <c r="BF5" s="1012"/>
      <c r="BG5" s="1012"/>
      <c r="BH5" s="1012"/>
      <c r="BI5" s="1012"/>
      <c r="BJ5" s="1013"/>
      <c r="BK5" s="1013"/>
    </row>
    <row r="6" spans="1:63" s="1149" customFormat="1" ht="12" hidden="1" customHeight="1" x14ac:dyDescent="0.15">
      <c r="B6" s="659"/>
      <c r="E6" s="668"/>
      <c r="G6" s="103"/>
      <c r="H6" s="103"/>
      <c r="I6" s="103"/>
      <c r="J6" s="103"/>
      <c r="K6" s="103"/>
      <c r="L6" s="103"/>
      <c r="M6" s="103"/>
      <c r="N6" s="103"/>
      <c r="O6" s="103"/>
      <c r="P6" s="103"/>
      <c r="Q6" s="140"/>
      <c r="R6" s="140"/>
      <c r="S6" s="103"/>
      <c r="T6" s="126"/>
      <c r="U6" s="126"/>
      <c r="V6" s="126"/>
      <c r="W6" s="126"/>
      <c r="X6" s="126"/>
      <c r="Y6" s="126"/>
      <c r="Z6" s="126"/>
      <c r="AE6" s="130">
        <f>god-2</f>
        <v>2024</v>
      </c>
      <c r="AF6" s="130">
        <f>god-2</f>
        <v>2024</v>
      </c>
      <c r="AG6" s="130">
        <f>god-2</f>
        <v>2024</v>
      </c>
      <c r="AH6" s="130">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1010"/>
      <c r="BG6" s="1010"/>
      <c r="BH6" s="1010"/>
      <c r="BI6" s="1010"/>
      <c r="BJ6" s="1011"/>
      <c r="BK6" s="1011"/>
    </row>
    <row r="7" spans="1:63" s="1153" customFormat="1" ht="12" hidden="1" customHeight="1" x14ac:dyDescent="0.15">
      <c r="A7" s="130"/>
      <c r="B7" s="659"/>
      <c r="C7" s="130"/>
      <c r="D7" s="130"/>
      <c r="E7" s="668"/>
      <c r="Q7" s="140"/>
      <c r="R7" s="140"/>
      <c r="T7" s="161"/>
      <c r="U7" s="161"/>
      <c r="V7" s="161"/>
      <c r="W7" s="161"/>
      <c r="X7" s="161"/>
      <c r="Y7" s="161"/>
      <c r="Z7" s="161"/>
      <c r="AE7" s="103" t="str" cm="1">
        <f t="array" ref="AE7">AE25</f>
        <v>Принято органом регулирования</v>
      </c>
      <c r="AF7" s="103" t="str" cm="1">
        <f t="array" ref="AF7">AF25</f>
        <v>Факт по данным организации</v>
      </c>
      <c r="AG7" s="103" t="str" cm="1">
        <f t="array" ref="AG7">AG25</f>
        <v>Факт, принятый органом регулирования</v>
      </c>
      <c r="AH7" s="103" t="str" cm="1">
        <f t="array" ref="AH7">AH25</f>
        <v>Принято органом регулирования</v>
      </c>
      <c r="AI7" s="103" t="str" cm="1">
        <f t="array" ref="AI7">AI25</f>
        <v>Предложение организации</v>
      </c>
      <c r="AJ7" s="103" t="str" cm="1">
        <f t="array" ref="AJ7">AJ25</f>
        <v>Предложение организации</v>
      </c>
      <c r="AK7" s="103" t="str" cm="1">
        <f t="array" ref="AK7">AK25</f>
        <v>Предложение организации</v>
      </c>
      <c r="AL7" s="103" t="str" cm="1">
        <f t="array" ref="AL7">AL25</f>
        <v>Предложение организации</v>
      </c>
      <c r="AM7" s="103" t="str" cm="1">
        <f t="array" ref="AM7">AM25</f>
        <v>Предложение организации</v>
      </c>
      <c r="AN7" s="103" t="str" cm="1">
        <f t="array" ref="AN7">AN25</f>
        <v>Предложение организации</v>
      </c>
      <c r="AO7" s="103" t="str" cm="1">
        <f t="array" ref="AO7">AO25</f>
        <v>Предложение организации</v>
      </c>
      <c r="AP7" s="103" t="str" cm="1">
        <f t="array" ref="AP7">AP25</f>
        <v>Предложение организации</v>
      </c>
      <c r="AQ7" s="103" t="str" cm="1">
        <f t="array" ref="AQ7">AQ25</f>
        <v>Предложение организации</v>
      </c>
      <c r="AR7" s="103" t="str" cm="1">
        <f t="array" ref="AR7">AR25</f>
        <v>Предложение организации</v>
      </c>
      <c r="AS7" s="103" t="str" cm="1">
        <f t="array" ref="AS7">AS25</f>
        <v>Принято органом регулирования</v>
      </c>
      <c r="AT7" s="103" t="str" cm="1">
        <f t="array" ref="AT7">AT25</f>
        <v>Принято органом регулирования</v>
      </c>
      <c r="AU7" s="103" t="str" cm="1">
        <f t="array" ref="AU7">AU25</f>
        <v>Принято органом регулирования</v>
      </c>
      <c r="AV7" s="103" t="str" cm="1">
        <f t="array" ref="AV7">AV25</f>
        <v>Принято органом регулирования</v>
      </c>
      <c r="AW7" s="103" t="str" cm="1">
        <f t="array" ref="AW7">AW25</f>
        <v>Принято органом регулирования</v>
      </c>
      <c r="AX7" s="103" t="str" cm="1">
        <f t="array" ref="AX7">AX25</f>
        <v>Принято органом регулирования</v>
      </c>
      <c r="AY7" s="103" t="str" cm="1">
        <f t="array" ref="AY7">AY25</f>
        <v>Принято органом регулирования</v>
      </c>
      <c r="AZ7" s="103" t="str" cm="1">
        <f t="array" ref="AZ7">AZ25</f>
        <v>Принято органом регулирования</v>
      </c>
      <c r="BA7" s="103" t="str" cm="1">
        <f t="array" ref="BA7">BA25</f>
        <v>Принято органом регулирования</v>
      </c>
      <c r="BB7" s="103" t="str" cm="1">
        <f t="array" ref="BB7">BB25</f>
        <v>Принято органом регулирования</v>
      </c>
      <c r="BF7" s="1010"/>
      <c r="BG7" s="1010"/>
      <c r="BH7" s="1010"/>
      <c r="BI7" s="1010"/>
      <c r="BJ7" s="1011"/>
      <c r="BK7" s="1011"/>
    </row>
    <row r="8" spans="1:63" s="1153" customFormat="1" ht="12" hidden="1" customHeight="1" x14ac:dyDescent="0.15">
      <c r="A8" s="130"/>
      <c r="B8" s="659"/>
      <c r="C8" s="130"/>
      <c r="D8" s="130"/>
      <c r="E8" s="668"/>
      <c r="Q8" s="140"/>
      <c r="R8" s="140"/>
      <c r="T8" s="161"/>
      <c r="U8" s="161"/>
      <c r="V8" s="161"/>
      <c r="W8" s="161"/>
      <c r="X8" s="161"/>
      <c r="Y8" s="161"/>
      <c r="Z8" s="161"/>
      <c r="BF8" s="1010"/>
      <c r="BG8" s="1010"/>
      <c r="BH8" s="1010"/>
      <c r="BI8" s="1010"/>
      <c r="BJ8" s="1011"/>
      <c r="BK8" s="1011"/>
    </row>
    <row r="9" spans="1:63" s="997" customFormat="1" ht="12" hidden="1" customHeight="1" x14ac:dyDescent="0.15">
      <c r="A9" s="958" t="s">
        <v>461</v>
      </c>
      <c r="B9" s="941"/>
      <c r="E9" s="941"/>
      <c r="Q9" s="998"/>
      <c r="R9" s="998"/>
      <c r="T9" s="939"/>
      <c r="U9" s="939"/>
      <c r="V9" s="939"/>
      <c r="W9" s="939"/>
      <c r="X9" s="939"/>
      <c r="Y9" s="939"/>
      <c r="Z9" s="939"/>
      <c r="AE9" s="997">
        <f>god-2</f>
        <v>2024</v>
      </c>
      <c r="AF9" s="997">
        <f>god-2</f>
        <v>2024</v>
      </c>
      <c r="AG9" s="997">
        <f>god-2</f>
        <v>2024</v>
      </c>
      <c r="AH9" s="997">
        <f>god-1</f>
        <v>2025</v>
      </c>
      <c r="AI9" s="997" cm="1">
        <f t="array" ref="AI9">god</f>
        <v>2026</v>
      </c>
      <c r="AJ9" s="997">
        <f>god+1</f>
        <v>2027</v>
      </c>
      <c r="AK9" s="997">
        <f>god+2</f>
        <v>2028</v>
      </c>
      <c r="AL9" s="997">
        <f>god+3</f>
        <v>2029</v>
      </c>
      <c r="AM9" s="997">
        <f>god+4</f>
        <v>2030</v>
      </c>
      <c r="AN9" s="997">
        <f>god+5</f>
        <v>2031</v>
      </c>
      <c r="AO9" s="997">
        <f>god+6</f>
        <v>2032</v>
      </c>
      <c r="AP9" s="997">
        <f>god+7</f>
        <v>2033</v>
      </c>
      <c r="AQ9" s="997">
        <f>god+8</f>
        <v>2034</v>
      </c>
      <c r="AR9" s="997">
        <f>god+9</f>
        <v>2035</v>
      </c>
      <c r="AS9" s="997" cm="1">
        <f t="array" ref="AS9">god</f>
        <v>2026</v>
      </c>
      <c r="AT9" s="997">
        <f>god+1</f>
        <v>2027</v>
      </c>
      <c r="AU9" s="997">
        <f>god+2</f>
        <v>2028</v>
      </c>
      <c r="AV9" s="997">
        <f>god+3</f>
        <v>2029</v>
      </c>
      <c r="AW9" s="997">
        <f>god+4</f>
        <v>2030</v>
      </c>
      <c r="AX9" s="997">
        <f>god+5</f>
        <v>2031</v>
      </c>
      <c r="AY9" s="997">
        <f>god+6</f>
        <v>2032</v>
      </c>
      <c r="AZ9" s="997">
        <f>god+7</f>
        <v>2033</v>
      </c>
      <c r="BA9" s="997">
        <f>god+8</f>
        <v>2034</v>
      </c>
      <c r="BB9" s="997">
        <f>god+9</f>
        <v>2035</v>
      </c>
      <c r="BF9" s="1010"/>
      <c r="BG9" s="1010"/>
      <c r="BH9" s="1010"/>
      <c r="BI9" s="1010"/>
      <c r="BJ9" s="1011"/>
      <c r="BK9" s="1011"/>
    </row>
    <row r="10" spans="1:63" s="997" customFormat="1" ht="12" hidden="1" customHeight="1" x14ac:dyDescent="0.15">
      <c r="A10" s="958" t="s">
        <v>462</v>
      </c>
      <c r="B10" s="941"/>
      <c r="E10" s="941"/>
      <c r="Q10" s="998"/>
      <c r="R10" s="998"/>
      <c r="T10" s="939"/>
      <c r="U10" s="939"/>
      <c r="V10" s="939"/>
      <c r="W10" s="939"/>
      <c r="X10" s="939"/>
      <c r="Y10" s="939"/>
      <c r="Z10" s="939"/>
      <c r="AE10" s="997" t="str" cm="1">
        <f t="array" ref="AE10">AE25</f>
        <v>Принято органом регулирования</v>
      </c>
      <c r="AF10" s="997" t="str" cm="1">
        <f t="array" ref="AF10">AF25</f>
        <v>Факт по данным организации</v>
      </c>
      <c r="AG10" s="997" t="str" cm="1">
        <f t="array" ref="AG10">AG25</f>
        <v>Факт, принятый органом регулирования</v>
      </c>
      <c r="AH10" s="997" t="str" cm="1">
        <f t="array" ref="AH10">AH25</f>
        <v>Принято органом регулирования</v>
      </c>
      <c r="AI10" s="997" t="str" cm="1">
        <f t="array" ref="AI10">AI25</f>
        <v>Предложение организации</v>
      </c>
      <c r="AJ10" s="997" t="str" cm="1">
        <f t="array" ref="AJ10">AJ25</f>
        <v>Предложение организации</v>
      </c>
      <c r="AK10" s="997" t="str" cm="1">
        <f t="array" ref="AK10">AK25</f>
        <v>Предложение организации</v>
      </c>
      <c r="AL10" s="997" t="str" cm="1">
        <f t="array" ref="AL10">AL25</f>
        <v>Предложение организации</v>
      </c>
      <c r="AM10" s="997" t="str" cm="1">
        <f t="array" ref="AM10">AM25</f>
        <v>Предложение организации</v>
      </c>
      <c r="AN10" s="997" t="str" cm="1">
        <f t="array" ref="AN10">AN25</f>
        <v>Предложение организации</v>
      </c>
      <c r="AO10" s="997" t="str" cm="1">
        <f t="array" ref="AO10">AO25</f>
        <v>Предложение организации</v>
      </c>
      <c r="AP10" s="997" t="str" cm="1">
        <f t="array" ref="AP10">AP25</f>
        <v>Предложение организации</v>
      </c>
      <c r="AQ10" s="997" t="str" cm="1">
        <f t="array" ref="AQ10">AQ25</f>
        <v>Предложение организации</v>
      </c>
      <c r="AR10" s="997" t="str" cm="1">
        <f t="array" ref="AR10">AR25</f>
        <v>Предложение организации</v>
      </c>
      <c r="AS10" s="997" t="str" cm="1">
        <f t="array" ref="AS10">AS25</f>
        <v>Принято органом регулирования</v>
      </c>
      <c r="AT10" s="997" t="str" cm="1">
        <f t="array" ref="AT10">AT25</f>
        <v>Принято органом регулирования</v>
      </c>
      <c r="AU10" s="997" t="str" cm="1">
        <f t="array" ref="AU10">AU25</f>
        <v>Принято органом регулирования</v>
      </c>
      <c r="AV10" s="997" t="str" cm="1">
        <f t="array" ref="AV10">AV25</f>
        <v>Принято органом регулирования</v>
      </c>
      <c r="AW10" s="997" t="str" cm="1">
        <f t="array" ref="AW10">AW25</f>
        <v>Принято органом регулирования</v>
      </c>
      <c r="AX10" s="997" t="str" cm="1">
        <f t="array" ref="AX10">AX25</f>
        <v>Принято органом регулирования</v>
      </c>
      <c r="AY10" s="997" t="str" cm="1">
        <f t="array" ref="AY10">AY25</f>
        <v>Принято органом регулирования</v>
      </c>
      <c r="AZ10" s="997" t="str" cm="1">
        <f t="array" ref="AZ10">AZ25</f>
        <v>Принято органом регулирования</v>
      </c>
      <c r="BA10" s="997" t="str" cm="1">
        <f t="array" ref="BA10">BA25</f>
        <v>Принято органом регулирования</v>
      </c>
      <c r="BB10" s="997" t="str" cm="1">
        <f t="array" ref="BB10">BB25</f>
        <v>Принято органом регулирования</v>
      </c>
      <c r="BF10" s="1010"/>
      <c r="BG10" s="1010"/>
      <c r="BH10" s="1010"/>
      <c r="BI10" s="1010"/>
      <c r="BJ10" s="1011"/>
      <c r="BK10" s="1011"/>
    </row>
    <row r="11" spans="1:63" s="997" customFormat="1" ht="12" hidden="1" customHeight="1" x14ac:dyDescent="0.15">
      <c r="A11" s="958" t="s">
        <v>463</v>
      </c>
      <c r="B11" s="941"/>
      <c r="E11" s="941"/>
      <c r="G11" s="999"/>
      <c r="H11" s="999"/>
      <c r="I11" s="999"/>
      <c r="J11" s="999"/>
      <c r="K11" s="999"/>
      <c r="L11" s="999"/>
      <c r="M11" s="999"/>
      <c r="N11" s="999"/>
      <c r="O11" s="999"/>
      <c r="P11" s="999"/>
      <c r="Q11" s="1000"/>
      <c r="R11" s="1000"/>
      <c r="S11" s="999"/>
      <c r="T11" s="939"/>
      <c r="U11" s="939"/>
      <c r="V11" s="939"/>
      <c r="W11" s="939"/>
      <c r="X11" s="939"/>
      <c r="Y11" s="939"/>
      <c r="Z11" s="939"/>
      <c r="BC11" s="997" t="str" cm="1">
        <f t="array" ref="BC11">BC24</f>
        <v>Ссылка на правовую норму (основание для принятия показателя в расчет тарифа)</v>
      </c>
      <c r="BF11" s="1010"/>
      <c r="BG11" s="1010"/>
      <c r="BH11" s="1010"/>
      <c r="BI11" s="1010"/>
      <c r="BJ11" s="1011"/>
      <c r="BK11" s="1011"/>
    </row>
    <row r="12" spans="1:63" s="997" customFormat="1" ht="12" hidden="1" customHeight="1" x14ac:dyDescent="0.15">
      <c r="A12" s="958" t="s">
        <v>386</v>
      </c>
      <c r="B12" s="941"/>
      <c r="E12" s="941"/>
      <c r="G12" s="999"/>
      <c r="H12" s="999"/>
      <c r="I12" s="999"/>
      <c r="J12" s="999"/>
      <c r="K12" s="999"/>
      <c r="L12" s="999"/>
      <c r="M12" s="999"/>
      <c r="N12" s="999"/>
      <c r="O12" s="999"/>
      <c r="P12" s="999"/>
      <c r="Q12" s="1000"/>
      <c r="R12" s="1000"/>
      <c r="S12" s="999"/>
      <c r="T12" s="939"/>
      <c r="U12" s="939"/>
      <c r="V12" s="939"/>
      <c r="W12" s="939"/>
      <c r="X12" s="939"/>
      <c r="Y12" s="939"/>
      <c r="Z12" s="939"/>
      <c r="AC12" s="997" t="s">
        <v>377</v>
      </c>
      <c r="AD12" s="997" t="s">
        <v>1202</v>
      </c>
      <c r="BF12" s="1010"/>
      <c r="BG12" s="1010"/>
      <c r="BH12" s="1010"/>
      <c r="BI12" s="1010"/>
      <c r="BJ12" s="1011"/>
      <c r="BK12" s="1011"/>
    </row>
    <row r="13" spans="1:63" s="1149" customFormat="1" ht="12" hidden="1" customHeight="1" x14ac:dyDescent="0.15">
      <c r="B13" s="659"/>
      <c r="E13" s="668"/>
      <c r="G13" s="103"/>
      <c r="H13" s="103"/>
      <c r="I13" s="103"/>
      <c r="J13" s="103"/>
      <c r="K13" s="103"/>
      <c r="L13" s="103"/>
      <c r="M13" s="103"/>
      <c r="N13" s="103"/>
      <c r="O13" s="103"/>
      <c r="P13" s="103"/>
      <c r="Q13" s="140"/>
      <c r="R13" s="140"/>
      <c r="S13" s="103"/>
      <c r="T13" s="126"/>
      <c r="U13" s="126"/>
      <c r="V13" s="126"/>
      <c r="W13" s="126"/>
      <c r="X13" s="126"/>
      <c r="Y13" s="126"/>
      <c r="Z13" s="126"/>
      <c r="AI13" s="123"/>
      <c r="AJ13" s="123"/>
      <c r="AK13" s="123"/>
      <c r="AL13" s="123"/>
      <c r="AM13" s="123"/>
      <c r="AN13" s="123"/>
      <c r="AO13" s="123"/>
      <c r="AP13" s="123"/>
      <c r="AQ13" s="123"/>
      <c r="AR13" s="123"/>
      <c r="AS13" s="123"/>
      <c r="AT13" s="123"/>
      <c r="AU13" s="123"/>
      <c r="AV13" s="123"/>
      <c r="AW13" s="123"/>
      <c r="AX13" s="123"/>
      <c r="AY13" s="123"/>
      <c r="AZ13" s="123"/>
      <c r="BA13" s="123"/>
      <c r="BB13" s="123"/>
      <c r="BF13" s="1010"/>
      <c r="BG13" s="1010"/>
      <c r="BH13" s="1010"/>
      <c r="BI13" s="1010"/>
      <c r="BJ13" s="1011"/>
      <c r="BK13" s="1011"/>
    </row>
    <row r="14" spans="1:63" s="1149" customFormat="1" ht="12" hidden="1" customHeight="1" x14ac:dyDescent="0.15">
      <c r="B14" s="659"/>
      <c r="E14" s="668"/>
      <c r="G14" s="103"/>
      <c r="H14" s="103"/>
      <c r="I14" s="103"/>
      <c r="J14" s="103"/>
      <c r="K14" s="103"/>
      <c r="L14" s="103"/>
      <c r="M14" s="103"/>
      <c r="N14" s="103"/>
      <c r="O14" s="103"/>
      <c r="P14" s="103"/>
      <c r="Q14" s="140"/>
      <c r="R14" s="140"/>
      <c r="S14" s="103"/>
      <c r="T14" s="126"/>
      <c r="U14" s="126"/>
      <c r="V14" s="126"/>
      <c r="W14" s="126"/>
      <c r="X14" s="126"/>
      <c r="Y14" s="126"/>
      <c r="Z14" s="126"/>
      <c r="AI14" s="123"/>
      <c r="AJ14" s="123"/>
      <c r="AK14" s="123"/>
      <c r="AL14" s="123"/>
      <c r="AM14" s="123"/>
      <c r="AN14" s="123"/>
      <c r="AO14" s="123"/>
      <c r="AP14" s="123"/>
      <c r="AQ14" s="123"/>
      <c r="AR14" s="123"/>
      <c r="AS14" s="123"/>
      <c r="AT14" s="123"/>
      <c r="AU14" s="123"/>
      <c r="AV14" s="123"/>
      <c r="AW14" s="123"/>
      <c r="AX14" s="123"/>
      <c r="AY14" s="123"/>
      <c r="AZ14" s="123"/>
      <c r="BA14" s="123"/>
      <c r="BB14" s="123"/>
      <c r="BF14" s="1010"/>
      <c r="BG14" s="1010"/>
      <c r="BH14" s="1010"/>
      <c r="BI14" s="1010"/>
      <c r="BJ14" s="1011"/>
      <c r="BK14" s="1011"/>
    </row>
    <row r="15" spans="1:63" s="1149" customFormat="1" ht="12" hidden="1" customHeight="1" x14ac:dyDescent="0.15">
      <c r="B15" s="659"/>
      <c r="E15" s="668"/>
      <c r="G15" s="103"/>
      <c r="H15" s="103"/>
      <c r="I15" s="103"/>
      <c r="J15" s="103"/>
      <c r="K15" s="103"/>
      <c r="L15" s="103"/>
      <c r="M15" s="103"/>
      <c r="N15" s="103"/>
      <c r="O15" s="103"/>
      <c r="P15" s="103"/>
      <c r="Q15" s="140"/>
      <c r="R15" s="140"/>
      <c r="S15" s="103"/>
      <c r="T15" s="126"/>
      <c r="U15" s="126"/>
      <c r="V15" s="126"/>
      <c r="W15" s="126"/>
      <c r="X15" s="126"/>
      <c r="Y15" s="126"/>
      <c r="Z15" s="126"/>
      <c r="AI15" s="123"/>
      <c r="AJ15" s="123"/>
      <c r="AK15" s="123"/>
      <c r="AL15" s="123"/>
      <c r="AM15" s="123"/>
      <c r="AN15" s="123"/>
      <c r="AO15" s="123"/>
      <c r="AP15" s="123"/>
      <c r="AQ15" s="123"/>
      <c r="AR15" s="123"/>
      <c r="AS15" s="123"/>
      <c r="AT15" s="123"/>
      <c r="AU15" s="123"/>
      <c r="AV15" s="123"/>
      <c r="AW15" s="123"/>
      <c r="AX15" s="123"/>
      <c r="AY15" s="123"/>
      <c r="AZ15" s="123"/>
      <c r="BA15" s="123"/>
      <c r="BB15" s="123"/>
      <c r="BF15" s="1010"/>
      <c r="BG15" s="1010"/>
      <c r="BH15" s="1010"/>
      <c r="BI15" s="1010"/>
      <c r="BJ15" s="1011"/>
      <c r="BK15" s="1011"/>
    </row>
    <row r="16" spans="1:63" s="1149" customFormat="1" ht="12" hidden="1" customHeight="1" x14ac:dyDescent="0.15">
      <c r="B16" s="659"/>
      <c r="E16" s="668"/>
      <c r="G16" s="103"/>
      <c r="H16" s="103"/>
      <c r="I16" s="103"/>
      <c r="J16" s="103"/>
      <c r="K16" s="103"/>
      <c r="L16" s="103"/>
      <c r="M16" s="103"/>
      <c r="N16" s="103"/>
      <c r="O16" s="103"/>
      <c r="P16" s="103"/>
      <c r="Q16" s="140"/>
      <c r="R16" s="140"/>
      <c r="S16" s="103"/>
      <c r="T16" s="126"/>
      <c r="U16" s="126"/>
      <c r="V16" s="126"/>
      <c r="W16" s="126"/>
      <c r="X16" s="126"/>
      <c r="Y16" s="126"/>
      <c r="Z16" s="126"/>
      <c r="AI16" s="123"/>
      <c r="AJ16" s="123"/>
      <c r="AK16" s="123"/>
      <c r="AL16" s="123"/>
      <c r="AM16" s="123"/>
      <c r="AN16" s="123"/>
      <c r="AO16" s="123"/>
      <c r="AP16" s="123"/>
      <c r="AQ16" s="123"/>
      <c r="AR16" s="123"/>
      <c r="AS16" s="123"/>
      <c r="AT16" s="123"/>
      <c r="AU16" s="123"/>
      <c r="AV16" s="123"/>
      <c r="AW16" s="123"/>
      <c r="AX16" s="123"/>
      <c r="AY16" s="123"/>
      <c r="AZ16" s="123"/>
      <c r="BA16" s="123"/>
      <c r="BB16" s="123"/>
      <c r="BF16" s="1010"/>
      <c r="BG16" s="1010"/>
      <c r="BH16" s="1010"/>
      <c r="BI16" s="1010"/>
      <c r="BJ16" s="1011"/>
      <c r="BK16" s="1011"/>
    </row>
    <row r="17" spans="1:63" s="1149" customFormat="1" ht="12" hidden="1" customHeight="1" x14ac:dyDescent="0.15">
      <c r="B17" s="659"/>
      <c r="E17" s="668"/>
      <c r="G17" s="103"/>
      <c r="H17" s="103"/>
      <c r="I17" s="103"/>
      <c r="J17" s="103"/>
      <c r="K17" s="103"/>
      <c r="L17" s="103"/>
      <c r="M17" s="103"/>
      <c r="N17" s="103"/>
      <c r="O17" s="103"/>
      <c r="P17" s="103"/>
      <c r="Q17" s="140"/>
      <c r="R17" s="140"/>
      <c r="S17" s="103"/>
      <c r="T17" s="126"/>
      <c r="U17" s="126"/>
      <c r="V17" s="126"/>
      <c r="W17" s="126"/>
      <c r="X17" s="126"/>
      <c r="Y17" s="126"/>
      <c r="Z17" s="126"/>
      <c r="AX17" s="123"/>
      <c r="AY17" s="123"/>
      <c r="AZ17" s="123"/>
      <c r="BA17" s="123"/>
      <c r="BB17" s="123"/>
      <c r="BF17" s="1010"/>
      <c r="BG17" s="1010"/>
      <c r="BH17" s="1010"/>
      <c r="BI17" s="1010"/>
      <c r="BJ17" s="1011"/>
      <c r="BK17" s="1011"/>
    </row>
    <row r="18" spans="1:63" s="1149" customFormat="1" ht="12" hidden="1" customHeight="1" x14ac:dyDescent="0.15">
      <c r="A18" s="849" t="s">
        <v>518</v>
      </c>
      <c r="B18" s="659"/>
      <c r="E18" s="668"/>
      <c r="G18" s="103"/>
      <c r="H18" s="103"/>
      <c r="I18" s="103"/>
      <c r="J18" s="103"/>
      <c r="K18" s="103"/>
      <c r="L18" s="103"/>
      <c r="M18" s="103"/>
      <c r="N18" s="103"/>
      <c r="O18" s="103"/>
      <c r="P18" s="103"/>
      <c r="Q18" s="140"/>
      <c r="R18" s="140"/>
      <c r="S18" s="103"/>
      <c r="T18" s="126"/>
      <c r="U18" s="126"/>
      <c r="V18" s="126"/>
      <c r="W18" s="126"/>
      <c r="X18" s="126"/>
      <c r="Y18" s="126"/>
      <c r="Z18" s="126"/>
      <c r="AC18" s="130" t="s">
        <v>225</v>
      </c>
      <c r="BF18" s="1010"/>
      <c r="BG18" s="1010"/>
      <c r="BH18" s="1010"/>
      <c r="BI18" s="1010"/>
      <c r="BJ18" s="1011"/>
      <c r="BK18" s="1011"/>
    </row>
    <row r="19" spans="1:63" s="1149" customFormat="1" ht="12" hidden="1" customHeight="1" x14ac:dyDescent="0.15">
      <c r="B19" s="659"/>
      <c r="E19" s="668"/>
      <c r="G19" s="103"/>
      <c r="H19" s="103"/>
      <c r="I19" s="103"/>
      <c r="J19" s="103"/>
      <c r="K19" s="103"/>
      <c r="L19" s="103"/>
      <c r="M19" s="103"/>
      <c r="N19" s="103"/>
      <c r="O19" s="103"/>
      <c r="P19" s="103"/>
      <c r="Q19" s="140"/>
      <c r="R19" s="140"/>
      <c r="S19" s="103"/>
      <c r="T19" s="126"/>
      <c r="U19" s="126"/>
      <c r="V19" s="126"/>
      <c r="W19" s="126"/>
      <c r="X19" s="126"/>
      <c r="Y19" s="126"/>
      <c r="Z19" s="126"/>
      <c r="BF19" s="1010"/>
      <c r="BG19" s="1010"/>
      <c r="BH19" s="1010"/>
      <c r="BI19" s="1010"/>
      <c r="BJ19" s="1011"/>
      <c r="BK19" s="1011"/>
    </row>
    <row r="20" spans="1:63" s="1149" customFormat="1" ht="12" hidden="1" customHeight="1" x14ac:dyDescent="0.15">
      <c r="B20" s="659"/>
      <c r="E20" s="668"/>
      <c r="G20" s="103"/>
      <c r="H20" s="103"/>
      <c r="I20" s="103"/>
      <c r="J20" s="103"/>
      <c r="K20" s="103"/>
      <c r="L20" s="103"/>
      <c r="M20" s="103"/>
      <c r="N20" s="103"/>
      <c r="O20" s="103"/>
      <c r="P20" s="103"/>
      <c r="Q20" s="140"/>
      <c r="R20" s="140"/>
      <c r="S20" s="103"/>
      <c r="T20" s="126"/>
      <c r="U20" s="126"/>
      <c r="V20" s="126"/>
      <c r="W20" s="126"/>
      <c r="X20" s="126"/>
      <c r="Y20" s="126"/>
      <c r="Z20" s="126"/>
      <c r="BF20" s="1010"/>
      <c r="BG20" s="1010"/>
      <c r="BH20" s="1010"/>
      <c r="BI20" s="1010"/>
      <c r="BJ20" s="1011"/>
      <c r="BK20" s="1011"/>
    </row>
    <row r="21" spans="1:63" ht="14.65" customHeight="1" x14ac:dyDescent="0.15">
      <c r="E21" s="668">
        <v>15</v>
      </c>
      <c r="AA21" s="691"/>
      <c r="AC21" s="335" t="str" cm="1">
        <f t="array" ref="AC21">tpl_title</f>
        <v>Кемеровская область / 2026 / ООО ХК "СДС - Энерго" (ИНН:4250003450, КПП:420501001) / ДПР: 2024-2028</v>
      </c>
    </row>
    <row r="22" spans="1:63" ht="19.5" customHeight="1" x14ac:dyDescent="0.25">
      <c r="E22" s="668">
        <v>20.100000000000001</v>
      </c>
      <c r="AB22" s="325" t="s">
        <v>47</v>
      </c>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21"/>
    </row>
    <row r="23" spans="1:63" ht="11.1" customHeight="1" x14ac:dyDescent="0.15">
      <c r="E23" s="668">
        <v>11.3</v>
      </c>
      <c r="AB23" s="874" t="s">
        <v>1203</v>
      </c>
      <c r="AC23" s="172"/>
      <c r="AD23" s="172"/>
      <c r="AE23" s="172"/>
      <c r="AF23" s="172"/>
      <c r="AG23" s="172"/>
      <c r="AH23" s="172"/>
      <c r="AI23" s="172"/>
      <c r="AJ23" s="172"/>
      <c r="AK23" s="172"/>
      <c r="AL23" s="172"/>
      <c r="AM23" s="172"/>
      <c r="AN23" s="172"/>
      <c r="AO23" s="172"/>
      <c r="AP23" s="172"/>
      <c r="AQ23" s="172"/>
      <c r="AR23" s="172"/>
      <c r="AS23" s="172"/>
      <c r="AT23" s="173"/>
      <c r="AU23" s="173"/>
      <c r="AV23" s="173"/>
      <c r="AW23" s="173"/>
      <c r="AX23" s="173"/>
      <c r="AY23" s="173"/>
      <c r="AZ23" s="173"/>
      <c r="BA23" s="173"/>
      <c r="BB23" s="173"/>
    </row>
    <row r="24" spans="1:63" ht="14.65" customHeight="1" x14ac:dyDescent="0.15">
      <c r="E24" s="668">
        <v>15</v>
      </c>
      <c r="AB24" s="1558" t="s">
        <v>1015</v>
      </c>
      <c r="AC24" s="1568" t="s">
        <v>225</v>
      </c>
      <c r="AD24" s="1558" t="s">
        <v>465</v>
      </c>
      <c r="AE24" s="342" t="str">
        <f>god-2&amp;" год"</f>
        <v>2024 год</v>
      </c>
      <c r="AF24" s="1136" t="str">
        <f>god-2&amp;" год"</f>
        <v>2024 год</v>
      </c>
      <c r="AG24" s="342" t="str">
        <f>god-2&amp;" год"</f>
        <v>2024 год</v>
      </c>
      <c r="AH24" s="122"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497" t="s">
        <v>618</v>
      </c>
    </row>
    <row r="25" spans="1:63" ht="48.75" customHeight="1" x14ac:dyDescent="0.15">
      <c r="E25" s="668">
        <v>50.1</v>
      </c>
      <c r="AB25" s="1567"/>
      <c r="AC25" s="1567"/>
      <c r="AD25" s="1567"/>
      <c r="AE25" s="118" t="s">
        <v>404</v>
      </c>
      <c r="AF25" s="1131" t="s">
        <v>619</v>
      </c>
      <c r="AG25" s="118" t="s">
        <v>620</v>
      </c>
      <c r="AH25" s="118" t="s">
        <v>404</v>
      </c>
      <c r="AI25" s="1132" t="s">
        <v>405</v>
      </c>
      <c r="AJ25" s="1132" t="s">
        <v>405</v>
      </c>
      <c r="AK25" s="1132" t="s">
        <v>405</v>
      </c>
      <c r="AL25" s="1132" t="s">
        <v>405</v>
      </c>
      <c r="AM25" s="1132" t="s">
        <v>405</v>
      </c>
      <c r="AN25" s="1132" t="s">
        <v>405</v>
      </c>
      <c r="AO25" s="1132" t="s">
        <v>405</v>
      </c>
      <c r="AP25" s="1132" t="s">
        <v>405</v>
      </c>
      <c r="AQ25" s="1132" t="s">
        <v>405</v>
      </c>
      <c r="AR25" s="1132" t="s">
        <v>405</v>
      </c>
      <c r="AS25" s="343" t="s">
        <v>404</v>
      </c>
      <c r="AT25" s="343" t="s">
        <v>404</v>
      </c>
      <c r="AU25" s="343" t="s">
        <v>404</v>
      </c>
      <c r="AV25" s="343" t="s">
        <v>404</v>
      </c>
      <c r="AW25" s="343" t="s">
        <v>404</v>
      </c>
      <c r="AX25" s="343" t="s">
        <v>404</v>
      </c>
      <c r="AY25" s="343" t="s">
        <v>404</v>
      </c>
      <c r="AZ25" s="343" t="s">
        <v>404</v>
      </c>
      <c r="BA25" s="343" t="s">
        <v>404</v>
      </c>
      <c r="BB25" s="343" t="s">
        <v>404</v>
      </c>
      <c r="BC25" s="1567"/>
    </row>
    <row r="26" spans="1:63" ht="50.25" hidden="1" customHeight="1" x14ac:dyDescent="0.2">
      <c r="E26" s="668">
        <v>0</v>
      </c>
      <c r="AB26" s="422"/>
      <c r="AC26" s="423"/>
      <c r="AD26" s="423"/>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4"/>
    </row>
    <row r="27" spans="1:63" ht="11.1" hidden="1" customHeight="1" x14ac:dyDescent="0.15">
      <c r="E27" s="668">
        <v>11.4</v>
      </c>
      <c r="F27" s="769" cm="1">
        <f t="array" ref="F27">X27</f>
        <v>0</v>
      </c>
      <c r="G27" s="140" t="s">
        <v>1204</v>
      </c>
      <c r="T27" s="690" t="b">
        <f>X27&gt;0</f>
        <v>0</v>
      </c>
      <c r="V27" s="123" t="s">
        <v>313</v>
      </c>
      <c r="X27" s="1428">
        <v>0</v>
      </c>
      <c r="Z27" s="1428"/>
      <c r="AB27" s="234" t="str" cm="1">
        <f t="array" ref="AB27">INDEX('Общие сведения'!$AG$169:$AG$202,MATCH($F27,'Общие сведения'!$Z$169:$Z$202,0))</f>
        <v xml:space="preserve">Тариф 0 (Теплоснабжение) - </v>
      </c>
      <c r="AC27" s="207"/>
      <c r="AD27" s="207"/>
      <c r="AE27" s="315">
        <f t="shared" ref="AE27:BB27" si="1">AE28+AE34+AE40</f>
        <v>0</v>
      </c>
      <c r="AF27" s="315">
        <f t="shared" si="1"/>
        <v>0</v>
      </c>
      <c r="AG27" s="315">
        <f t="shared" si="1"/>
        <v>0</v>
      </c>
      <c r="AH27" s="315">
        <f t="shared" si="1"/>
        <v>0</v>
      </c>
      <c r="AI27" s="315">
        <f t="shared" si="1"/>
        <v>0</v>
      </c>
      <c r="AJ27" s="315">
        <f t="shared" si="1"/>
        <v>0</v>
      </c>
      <c r="AK27" s="315">
        <f t="shared" si="1"/>
        <v>0</v>
      </c>
      <c r="AL27" s="315">
        <f t="shared" si="1"/>
        <v>0</v>
      </c>
      <c r="AM27" s="315">
        <f t="shared" si="1"/>
        <v>0</v>
      </c>
      <c r="AN27" s="315">
        <f t="shared" si="1"/>
        <v>0</v>
      </c>
      <c r="AO27" s="315">
        <f t="shared" si="1"/>
        <v>0</v>
      </c>
      <c r="AP27" s="315">
        <f t="shared" si="1"/>
        <v>0</v>
      </c>
      <c r="AQ27" s="315">
        <f t="shared" si="1"/>
        <v>0</v>
      </c>
      <c r="AR27" s="315">
        <f t="shared" si="1"/>
        <v>0</v>
      </c>
      <c r="AS27" s="315">
        <f t="shared" si="1"/>
        <v>0</v>
      </c>
      <c r="AT27" s="315">
        <f t="shared" si="1"/>
        <v>0</v>
      </c>
      <c r="AU27" s="315">
        <f t="shared" si="1"/>
        <v>0</v>
      </c>
      <c r="AV27" s="315">
        <f t="shared" si="1"/>
        <v>0</v>
      </c>
      <c r="AW27" s="315">
        <f t="shared" si="1"/>
        <v>0</v>
      </c>
      <c r="AX27" s="315">
        <f t="shared" si="1"/>
        <v>0</v>
      </c>
      <c r="AY27" s="315">
        <f t="shared" si="1"/>
        <v>0</v>
      </c>
      <c r="AZ27" s="315">
        <f t="shared" si="1"/>
        <v>0</v>
      </c>
      <c r="BA27" s="315">
        <f t="shared" si="1"/>
        <v>0</v>
      </c>
      <c r="BB27" s="315">
        <f t="shared" si="1"/>
        <v>0</v>
      </c>
      <c r="BC27" s="236"/>
    </row>
    <row r="28" spans="1:63" ht="11.1" hidden="1" customHeight="1" x14ac:dyDescent="0.15">
      <c r="E28" s="668">
        <v>11.4</v>
      </c>
      <c r="F28" s="769" cm="1">
        <f t="array" ref="F28">F27</f>
        <v>0</v>
      </c>
      <c r="G28" s="140" t="s">
        <v>468</v>
      </c>
      <c r="T28" s="690" t="b" cm="1">
        <f t="array" ref="T28">T27</f>
        <v>0</v>
      </c>
      <c r="X28" s="1428"/>
      <c r="Z28" s="1428"/>
      <c r="AB28" s="230">
        <v>1</v>
      </c>
      <c r="AC28" s="225" t="s">
        <v>1205</v>
      </c>
      <c r="AD28" s="224" t="s">
        <v>830</v>
      </c>
      <c r="AE28" s="226">
        <f t="shared" ref="AE28:BB28" si="2">SUMIF($AD29:$AD33,$AD28,AE29:AE33)</f>
        <v>0</v>
      </c>
      <c r="AF28" s="226">
        <f t="shared" si="2"/>
        <v>0</v>
      </c>
      <c r="AG28" s="226">
        <f t="shared" si="2"/>
        <v>0</v>
      </c>
      <c r="AH28" s="226">
        <f t="shared" si="2"/>
        <v>0</v>
      </c>
      <c r="AI28" s="226">
        <f t="shared" si="2"/>
        <v>0</v>
      </c>
      <c r="AJ28" s="1263">
        <f t="shared" si="2"/>
        <v>0</v>
      </c>
      <c r="AK28" s="1263">
        <f t="shared" si="2"/>
        <v>0</v>
      </c>
      <c r="AL28" s="54">
        <f t="shared" si="2"/>
        <v>0</v>
      </c>
      <c r="AM28" s="54">
        <f t="shared" si="2"/>
        <v>0</v>
      </c>
      <c r="AN28" s="54">
        <f t="shared" si="2"/>
        <v>0</v>
      </c>
      <c r="AO28" s="54">
        <f t="shared" si="2"/>
        <v>0</v>
      </c>
      <c r="AP28" s="54">
        <f t="shared" si="2"/>
        <v>0</v>
      </c>
      <c r="AQ28" s="54">
        <f t="shared" si="2"/>
        <v>0</v>
      </c>
      <c r="AR28" s="54">
        <f t="shared" si="2"/>
        <v>0</v>
      </c>
      <c r="AS28" s="226">
        <f t="shared" si="2"/>
        <v>0</v>
      </c>
      <c r="AT28" s="1263">
        <f t="shared" si="2"/>
        <v>0</v>
      </c>
      <c r="AU28" s="1263">
        <f t="shared" si="2"/>
        <v>0</v>
      </c>
      <c r="AV28" s="54">
        <f t="shared" si="2"/>
        <v>0</v>
      </c>
      <c r="AW28" s="54">
        <f t="shared" si="2"/>
        <v>0</v>
      </c>
      <c r="AX28" s="54">
        <f t="shared" si="2"/>
        <v>0</v>
      </c>
      <c r="AY28" s="54">
        <f t="shared" si="2"/>
        <v>0</v>
      </c>
      <c r="AZ28" s="54">
        <f t="shared" si="2"/>
        <v>0</v>
      </c>
      <c r="BA28" s="54">
        <f t="shared" si="2"/>
        <v>0</v>
      </c>
      <c r="BB28" s="54">
        <f t="shared" si="2"/>
        <v>0</v>
      </c>
      <c r="BC28" s="25"/>
      <c r="BF28" s="1010" t="s">
        <v>1029</v>
      </c>
    </row>
    <row r="29" spans="1:63" ht="0.2" hidden="1" customHeight="1" x14ac:dyDescent="0.15">
      <c r="E29" s="668">
        <v>0.2</v>
      </c>
      <c r="F29" s="769" cm="1">
        <f t="array" ref="F29">F28</f>
        <v>0</v>
      </c>
      <c r="T29" s="690" t="b">
        <v>0</v>
      </c>
      <c r="X29" s="1428"/>
      <c r="Z29" s="1428"/>
      <c r="AB29" s="230"/>
      <c r="AC29" s="225"/>
      <c r="AD29" s="224"/>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37"/>
      <c r="BF29" s="1010" t="str">
        <f>IF(AND(ISNUMBER(VALUE(TRIM(SUBSTITUTE(AB29,".","")))),TRIM(SUBSTITUTE(AB29,".",""))&lt;&gt;""),"P"&amp;SUBSTITUTE(AB29,".",""),"")</f>
        <v/>
      </c>
    </row>
    <row r="30" spans="1:63" ht="17.649999999999999" hidden="1" customHeight="1" x14ac:dyDescent="0.15">
      <c r="A30" s="918" t="str">
        <f ca="1">"checkCosts_1."&amp;F30&amp;"."&amp;Y30</f>
        <v>checkCosts_1.0.0</v>
      </c>
      <c r="E30" s="668">
        <v>18</v>
      </c>
      <c r="F30" s="769" cm="1">
        <f t="array" aca="1" ref="F30" ca="1">OFFSET(G30,-1,-1)</f>
        <v>0</v>
      </c>
      <c r="G30" s="140" t="s">
        <v>468</v>
      </c>
      <c r="H30" s="103" cm="1">
        <f t="array" ref="H30">AC30</f>
        <v>0</v>
      </c>
      <c r="T30" s="690" t="b">
        <f ca="1">AND(F30&gt;0,Y30&gt;0)</f>
        <v>0</v>
      </c>
      <c r="W30" s="107" t="s">
        <v>237</v>
      </c>
      <c r="X30" s="1428"/>
      <c r="Y30" s="1428">
        <v>0</v>
      </c>
      <c r="Z30" s="1428"/>
      <c r="AA30" s="1556" t="s">
        <v>218</v>
      </c>
      <c r="AB30" s="232" t="str">
        <f>"1."&amp;Y30</f>
        <v>1.0</v>
      </c>
      <c r="AC30" s="387"/>
      <c r="AD30" s="224" t="s">
        <v>830</v>
      </c>
      <c r="AE30" s="275">
        <f>AE31*AE32/1000</f>
        <v>0</v>
      </c>
      <c r="AF30" s="13"/>
      <c r="AG30" s="13"/>
      <c r="AH30" s="275">
        <f>AH31*AH32/1000</f>
        <v>0</v>
      </c>
      <c r="AI30" s="227"/>
      <c r="AJ30" s="1183"/>
      <c r="AK30" s="1183"/>
      <c r="AL30" s="13"/>
      <c r="AM30" s="13"/>
      <c r="AN30" s="13"/>
      <c r="AO30" s="13"/>
      <c r="AP30" s="13"/>
      <c r="AQ30" s="13"/>
      <c r="AR30" s="13"/>
      <c r="AS30" s="275">
        <f t="shared" ref="AS30:BB30" si="3">AS31*AS32/1000</f>
        <v>0</v>
      </c>
      <c r="AT30" s="275">
        <f t="shared" si="3"/>
        <v>0</v>
      </c>
      <c r="AU30" s="275">
        <f t="shared" si="3"/>
        <v>0</v>
      </c>
      <c r="AV30" s="275">
        <f t="shared" si="3"/>
        <v>0</v>
      </c>
      <c r="AW30" s="275">
        <f t="shared" si="3"/>
        <v>0</v>
      </c>
      <c r="AX30" s="275">
        <f t="shared" si="3"/>
        <v>0</v>
      </c>
      <c r="AY30" s="275">
        <f t="shared" si="3"/>
        <v>0</v>
      </c>
      <c r="AZ30" s="275">
        <f t="shared" si="3"/>
        <v>0</v>
      </c>
      <c r="BA30" s="275">
        <f t="shared" si="3"/>
        <v>0</v>
      </c>
      <c r="BB30" s="275">
        <f t="shared" si="3"/>
        <v>0</v>
      </c>
      <c r="BC30" s="25"/>
      <c r="BF30" s="1010" t="s">
        <v>1030</v>
      </c>
      <c r="BG30" s="1010" t="s">
        <v>1206</v>
      </c>
      <c r="BH30" s="1010" cm="1">
        <f t="array" ref="BH30">AC30</f>
        <v>0</v>
      </c>
      <c r="BI30" s="1010" t="str" cm="1">
        <f t="array" ref="BI30">AD32</f>
        <v>Гкал</v>
      </c>
      <c r="BK30" s="1011" t="b">
        <v>1</v>
      </c>
    </row>
    <row r="31" spans="1:63" s="1146" customFormat="1" ht="16.5" hidden="1" customHeight="1" x14ac:dyDescent="0.15">
      <c r="E31" s="668">
        <v>17</v>
      </c>
      <c r="F31" s="769" cm="1">
        <f t="array" ref="F31">F29</f>
        <v>0</v>
      </c>
      <c r="G31" s="140" t="s">
        <v>191</v>
      </c>
      <c r="H31" s="103" cm="1">
        <f t="array" ref="H31">H30</f>
        <v>0</v>
      </c>
      <c r="T31" s="690" t="b" cm="1">
        <f t="array" aca="1" ref="T31" ca="1">T30</f>
        <v>0</v>
      </c>
      <c r="X31" s="1566"/>
      <c r="Y31" s="1566"/>
      <c r="Z31" s="1566"/>
      <c r="AA31" s="1556"/>
      <c r="AB31" s="232" t="str">
        <f>AB30&amp;".1"</f>
        <v>1.0.1</v>
      </c>
      <c r="AC31" s="238" t="s">
        <v>966</v>
      </c>
      <c r="AD31" s="58" t="s">
        <v>247</v>
      </c>
      <c r="AE31" s="13"/>
      <c r="AF31" s="275">
        <f>IF(AF32=0,0,AF30/AF32)*1000</f>
        <v>0</v>
      </c>
      <c r="AG31" s="275">
        <f>IF(AG32=0,0,AG30/AG32)*1000</f>
        <v>0</v>
      </c>
      <c r="AH31" s="13"/>
      <c r="AI31" s="275">
        <f t="shared" ref="AI31:AR31" si="4">IF(AI32=0,0,AI30/AI32)*1000</f>
        <v>0</v>
      </c>
      <c r="AJ31" s="275">
        <f t="shared" si="4"/>
        <v>0</v>
      </c>
      <c r="AK31" s="275">
        <f t="shared" si="4"/>
        <v>0</v>
      </c>
      <c r="AL31" s="275">
        <f t="shared" si="4"/>
        <v>0</v>
      </c>
      <c r="AM31" s="275">
        <f t="shared" si="4"/>
        <v>0</v>
      </c>
      <c r="AN31" s="275">
        <f t="shared" si="4"/>
        <v>0</v>
      </c>
      <c r="AO31" s="275">
        <f t="shared" si="4"/>
        <v>0</v>
      </c>
      <c r="AP31" s="275">
        <f t="shared" si="4"/>
        <v>0</v>
      </c>
      <c r="AQ31" s="275">
        <f t="shared" si="4"/>
        <v>0</v>
      </c>
      <c r="AR31" s="275">
        <f t="shared" si="4"/>
        <v>0</v>
      </c>
      <c r="AS31" s="227"/>
      <c r="AT31" s="1183"/>
      <c r="AU31" s="1183"/>
      <c r="AV31" s="13"/>
      <c r="AW31" s="13"/>
      <c r="AX31" s="13"/>
      <c r="AY31" s="13"/>
      <c r="AZ31" s="13"/>
      <c r="BA31" s="13"/>
      <c r="BB31" s="13"/>
      <c r="BC31" s="25"/>
      <c r="BF31" s="1010" t="s">
        <v>1032</v>
      </c>
      <c r="BG31" s="1010" t="s">
        <v>1206</v>
      </c>
      <c r="BH31" s="1010" cm="1">
        <f t="array" ref="BH31">BH30</f>
        <v>0</v>
      </c>
      <c r="BI31" s="1010" t="str" cm="1">
        <f t="array" ref="BI31">BI30</f>
        <v>Гкал</v>
      </c>
      <c r="BJ31" s="1011"/>
      <c r="BK31" s="1011"/>
    </row>
    <row r="32" spans="1:63" ht="16.5" hidden="1" customHeight="1" x14ac:dyDescent="0.15">
      <c r="A32" s="918" t="str">
        <f ca="1">"checkVolume_1."&amp;F32&amp;"."&amp;Y30</f>
        <v>checkVolume_1.0.0</v>
      </c>
      <c r="E32" s="668">
        <v>17</v>
      </c>
      <c r="F32" s="769" cm="1">
        <f t="array" aca="1" ref="F32" ca="1">F30</f>
        <v>0</v>
      </c>
      <c r="G32" s="140" t="s">
        <v>191</v>
      </c>
      <c r="H32" s="103" cm="1">
        <f t="array" ref="H32">H30</f>
        <v>0</v>
      </c>
      <c r="T32" s="690" t="b" cm="1">
        <f t="array" aca="1" ref="T32" ca="1">T30</f>
        <v>0</v>
      </c>
      <c r="X32" s="1428"/>
      <c r="Y32" s="1428"/>
      <c r="Z32" s="1428"/>
      <c r="AA32" s="1556"/>
      <c r="AB32" s="232" t="str">
        <f>AB30&amp;".2"</f>
        <v>1.0.2</v>
      </c>
      <c r="AC32" s="238" t="s">
        <v>1207</v>
      </c>
      <c r="AD32" s="58" t="s">
        <v>622</v>
      </c>
      <c r="AE32" s="13"/>
      <c r="AF32" s="13"/>
      <c r="AG32" s="13"/>
      <c r="AH32" s="13"/>
      <c r="AI32" s="227"/>
      <c r="AJ32" s="1183"/>
      <c r="AK32" s="1183"/>
      <c r="AL32" s="13"/>
      <c r="AM32" s="13"/>
      <c r="AN32" s="13"/>
      <c r="AO32" s="13"/>
      <c r="AP32" s="13"/>
      <c r="AQ32" s="13"/>
      <c r="AR32" s="13"/>
      <c r="AS32" s="227"/>
      <c r="AT32" s="1183"/>
      <c r="AU32" s="1183"/>
      <c r="AV32" s="13"/>
      <c r="AW32" s="13"/>
      <c r="AX32" s="13"/>
      <c r="AY32" s="13"/>
      <c r="AZ32" s="13"/>
      <c r="BA32" s="13"/>
      <c r="BB32" s="13"/>
      <c r="BC32" s="25"/>
      <c r="BF32" s="1010" t="s">
        <v>1034</v>
      </c>
      <c r="BG32" s="1010" t="s">
        <v>1206</v>
      </c>
      <c r="BH32" s="1010" cm="1">
        <f t="array" ref="BH32">BH30</f>
        <v>0</v>
      </c>
      <c r="BI32" s="1010" t="str" cm="1">
        <f t="array" ref="BI32">BI30</f>
        <v>Гкал</v>
      </c>
    </row>
    <row r="33" spans="1:63" ht="16.5" hidden="1" customHeight="1" x14ac:dyDescent="0.15">
      <c r="E33" s="668">
        <v>17</v>
      </c>
      <c r="F33" s="769" cm="1">
        <f t="array" ref="F33">F29</f>
        <v>0</v>
      </c>
      <c r="G33" s="140" t="str">
        <f>F33&amp;"pIns3"</f>
        <v>0pIns3</v>
      </c>
      <c r="T33" s="690" t="b">
        <f>F33&gt;0</f>
        <v>0</v>
      </c>
      <c r="W33" s="312" t="s">
        <v>1208</v>
      </c>
      <c r="X33" s="1428"/>
      <c r="Z33" s="1428"/>
      <c r="AB33" s="246"/>
      <c r="AC33" s="247" t="s">
        <v>1002</v>
      </c>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899"/>
      <c r="BF33" s="1010" t="str">
        <f>IF(AND(ISNUMBER(VALUE(TRIM(SUBSTITUTE(AB33,".","")))),TRIM(SUBSTITUTE(AB33,".",""))&lt;&gt;""),"P"&amp;SUBSTITUTE(AB33,".",""),"")</f>
        <v/>
      </c>
      <c r="BJ33" s="1011" t="s">
        <v>1206</v>
      </c>
    </row>
    <row r="34" spans="1:63" ht="16.5" hidden="1" customHeight="1" x14ac:dyDescent="0.15">
      <c r="E34" s="668">
        <v>17</v>
      </c>
      <c r="F34" s="769" cm="1">
        <f t="array" ref="F34">F33</f>
        <v>0</v>
      </c>
      <c r="G34" s="140" t="s">
        <v>1209</v>
      </c>
      <c r="T34" s="690" t="b">
        <f>F34&gt;0</f>
        <v>0</v>
      </c>
      <c r="X34" s="1428"/>
      <c r="Z34" s="1428"/>
      <c r="AB34" s="230">
        <v>2</v>
      </c>
      <c r="AC34" s="225" t="s">
        <v>1210</v>
      </c>
      <c r="AD34" s="224" t="s">
        <v>830</v>
      </c>
      <c r="AE34" s="226">
        <f t="shared" ref="AE34:BB34" si="5">SUMIF($AD35:$AD39,$AD34,AE35:AE39)</f>
        <v>0</v>
      </c>
      <c r="AF34" s="226">
        <f t="shared" si="5"/>
        <v>0</v>
      </c>
      <c r="AG34" s="226">
        <f t="shared" si="5"/>
        <v>0</v>
      </c>
      <c r="AH34" s="226">
        <f t="shared" si="5"/>
        <v>0</v>
      </c>
      <c r="AI34" s="226">
        <f t="shared" si="5"/>
        <v>0</v>
      </c>
      <c r="AJ34" s="1263">
        <f t="shared" si="5"/>
        <v>0</v>
      </c>
      <c r="AK34" s="1263">
        <f t="shared" si="5"/>
        <v>0</v>
      </c>
      <c r="AL34" s="54">
        <f t="shared" si="5"/>
        <v>0</v>
      </c>
      <c r="AM34" s="54">
        <f t="shared" si="5"/>
        <v>0</v>
      </c>
      <c r="AN34" s="54">
        <f t="shared" si="5"/>
        <v>0</v>
      </c>
      <c r="AO34" s="54">
        <f t="shared" si="5"/>
        <v>0</v>
      </c>
      <c r="AP34" s="54">
        <f t="shared" si="5"/>
        <v>0</v>
      </c>
      <c r="AQ34" s="54">
        <f t="shared" si="5"/>
        <v>0</v>
      </c>
      <c r="AR34" s="54">
        <f t="shared" si="5"/>
        <v>0</v>
      </c>
      <c r="AS34" s="226">
        <f t="shared" si="5"/>
        <v>0</v>
      </c>
      <c r="AT34" s="1263">
        <f t="shared" si="5"/>
        <v>0</v>
      </c>
      <c r="AU34" s="1263">
        <f t="shared" si="5"/>
        <v>0</v>
      </c>
      <c r="AV34" s="54">
        <f t="shared" si="5"/>
        <v>0</v>
      </c>
      <c r="AW34" s="54">
        <f t="shared" si="5"/>
        <v>0</v>
      </c>
      <c r="AX34" s="54">
        <f t="shared" si="5"/>
        <v>0</v>
      </c>
      <c r="AY34" s="54">
        <f t="shared" si="5"/>
        <v>0</v>
      </c>
      <c r="AZ34" s="54">
        <f t="shared" si="5"/>
        <v>0</v>
      </c>
      <c r="BA34" s="54">
        <f t="shared" si="5"/>
        <v>0</v>
      </c>
      <c r="BB34" s="54">
        <f t="shared" si="5"/>
        <v>0</v>
      </c>
      <c r="BC34" s="25"/>
      <c r="BF34" s="1010" t="s">
        <v>1211</v>
      </c>
    </row>
    <row r="35" spans="1:63" ht="0.2" hidden="1" customHeight="1" x14ac:dyDescent="0.15">
      <c r="E35" s="668">
        <v>0.2</v>
      </c>
      <c r="F35" s="769" cm="1">
        <f t="array" ref="F35">F34</f>
        <v>0</v>
      </c>
      <c r="T35" s="690" t="b">
        <v>0</v>
      </c>
      <c r="X35" s="1428"/>
      <c r="Z35" s="1428"/>
      <c r="AB35" s="230"/>
      <c r="AC35" s="225"/>
      <c r="AD35" s="224"/>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37"/>
      <c r="BF35" s="1010" t="str">
        <f>IF(AND(ISNUMBER(VALUE(TRIM(SUBSTITUTE(AB35,".","")))),TRIM(SUBSTITUTE(AB35,".",""))&lt;&gt;""),"P"&amp;SUBSTITUTE(AB35,".",""),"")</f>
        <v/>
      </c>
    </row>
    <row r="36" spans="1:63" ht="17.649999999999999" hidden="1" customHeight="1" x14ac:dyDescent="0.15">
      <c r="A36" s="918" t="str">
        <f ca="1">"checkCosts_2."&amp;F36&amp;"."&amp;Y36</f>
        <v>checkCosts_2.0.0</v>
      </c>
      <c r="E36" s="668">
        <v>18</v>
      </c>
      <c r="F36" s="769" cm="1">
        <f t="array" aca="1" ref="F36" ca="1">OFFSET(G36,-1,-1)</f>
        <v>0</v>
      </c>
      <c r="G36" s="140" t="s">
        <v>1209</v>
      </c>
      <c r="H36" s="103" cm="1">
        <f t="array" ref="H36">AC36</f>
        <v>0</v>
      </c>
      <c r="T36" s="690" t="b">
        <f ca="1">AND(F36&gt;0,Y36&gt;0)</f>
        <v>0</v>
      </c>
      <c r="W36" s="107" t="s">
        <v>237</v>
      </c>
      <c r="X36" s="1428"/>
      <c r="Y36" s="1428">
        <v>0</v>
      </c>
      <c r="Z36" s="1428"/>
      <c r="AA36" s="1556" t="s">
        <v>218</v>
      </c>
      <c r="AB36" s="232" t="str">
        <f>"2."&amp;Y36</f>
        <v>2.0</v>
      </c>
      <c r="AC36" s="387"/>
      <c r="AD36" s="224" t="s">
        <v>830</v>
      </c>
      <c r="AE36" s="275">
        <f>AE37*AE38</f>
        <v>0</v>
      </c>
      <c r="AF36" s="13"/>
      <c r="AG36" s="13"/>
      <c r="AH36" s="275">
        <f>AH37*AH38</f>
        <v>0</v>
      </c>
      <c r="AI36" s="227"/>
      <c r="AJ36" s="1183"/>
      <c r="AK36" s="1183"/>
      <c r="AL36" s="13"/>
      <c r="AM36" s="13"/>
      <c r="AN36" s="13"/>
      <c r="AO36" s="13"/>
      <c r="AP36" s="13"/>
      <c r="AQ36" s="13"/>
      <c r="AR36" s="13"/>
      <c r="AS36" s="275">
        <f t="shared" ref="AS36:BB36" si="6">AS37*AS38</f>
        <v>0</v>
      </c>
      <c r="AT36" s="275">
        <f t="shared" si="6"/>
        <v>0</v>
      </c>
      <c r="AU36" s="275">
        <f t="shared" si="6"/>
        <v>0</v>
      </c>
      <c r="AV36" s="275">
        <f t="shared" si="6"/>
        <v>0</v>
      </c>
      <c r="AW36" s="275">
        <f t="shared" si="6"/>
        <v>0</v>
      </c>
      <c r="AX36" s="275">
        <f t="shared" si="6"/>
        <v>0</v>
      </c>
      <c r="AY36" s="275">
        <f t="shared" si="6"/>
        <v>0</v>
      </c>
      <c r="AZ36" s="275">
        <f t="shared" si="6"/>
        <v>0</v>
      </c>
      <c r="BA36" s="275">
        <f t="shared" si="6"/>
        <v>0</v>
      </c>
      <c r="BB36" s="275">
        <f t="shared" si="6"/>
        <v>0</v>
      </c>
      <c r="BC36" s="25"/>
      <c r="BF36" s="1010" t="s">
        <v>1212</v>
      </c>
      <c r="BG36" s="1010" t="s">
        <v>1213</v>
      </c>
      <c r="BH36" s="1010" cm="1">
        <f t="array" ref="BH36">AC36</f>
        <v>0</v>
      </c>
      <c r="BI36" s="1010" t="str" cm="1">
        <f t="array" ref="BI36">AD38</f>
        <v>тыс.куб.м</v>
      </c>
      <c r="BK36" s="1011" t="b">
        <v>1</v>
      </c>
    </row>
    <row r="37" spans="1:63" s="1146" customFormat="1" ht="16.5" hidden="1" customHeight="1" x14ac:dyDescent="0.15">
      <c r="E37" s="668">
        <v>17</v>
      </c>
      <c r="F37" s="769" cm="1">
        <f t="array" ref="F37">F35</f>
        <v>0</v>
      </c>
      <c r="G37" s="140" t="s">
        <v>201</v>
      </c>
      <c r="H37" s="103" cm="1">
        <f t="array" ref="H37">H36</f>
        <v>0</v>
      </c>
      <c r="T37" s="690" t="b" cm="1">
        <f t="array" aca="1" ref="T37" ca="1">T36</f>
        <v>0</v>
      </c>
      <c r="X37" s="1566"/>
      <c r="Y37" s="1566"/>
      <c r="Z37" s="1566"/>
      <c r="AA37" s="1556"/>
      <c r="AB37" s="232" t="str">
        <f>AB36&amp;".1"</f>
        <v>2.0.1</v>
      </c>
      <c r="AC37" s="238" t="s">
        <v>966</v>
      </c>
      <c r="AD37" s="58" t="s">
        <v>247</v>
      </c>
      <c r="AE37" s="13"/>
      <c r="AF37" s="275">
        <f>IF(AF38=0,0,AF36/AF38)</f>
        <v>0</v>
      </c>
      <c r="AG37" s="275">
        <f>IF(AG38=0,0,AG36/AG38)</f>
        <v>0</v>
      </c>
      <c r="AH37" s="13"/>
      <c r="AI37" s="275">
        <f t="shared" ref="AI37:AR37" si="7">IF(AI38=0,0,AI36/AI38)</f>
        <v>0</v>
      </c>
      <c r="AJ37" s="275">
        <f t="shared" si="7"/>
        <v>0</v>
      </c>
      <c r="AK37" s="275">
        <f t="shared" si="7"/>
        <v>0</v>
      </c>
      <c r="AL37" s="275">
        <f t="shared" si="7"/>
        <v>0</v>
      </c>
      <c r="AM37" s="275">
        <f t="shared" si="7"/>
        <v>0</v>
      </c>
      <c r="AN37" s="275">
        <f t="shared" si="7"/>
        <v>0</v>
      </c>
      <c r="AO37" s="275">
        <f t="shared" si="7"/>
        <v>0</v>
      </c>
      <c r="AP37" s="275">
        <f t="shared" si="7"/>
        <v>0</v>
      </c>
      <c r="AQ37" s="275">
        <f t="shared" si="7"/>
        <v>0</v>
      </c>
      <c r="AR37" s="275">
        <f t="shared" si="7"/>
        <v>0</v>
      </c>
      <c r="AS37" s="227"/>
      <c r="AT37" s="1183"/>
      <c r="AU37" s="1183"/>
      <c r="AV37" s="13"/>
      <c r="AW37" s="13"/>
      <c r="AX37" s="13"/>
      <c r="AY37" s="13"/>
      <c r="AZ37" s="13"/>
      <c r="BA37" s="13"/>
      <c r="BB37" s="13"/>
      <c r="BC37" s="25"/>
      <c r="BF37" s="1010" t="s">
        <v>1214</v>
      </c>
      <c r="BG37" s="1010" t="s">
        <v>1213</v>
      </c>
      <c r="BH37" s="1010" cm="1">
        <f t="array" ref="BH37">BH36</f>
        <v>0</v>
      </c>
      <c r="BI37" s="1010" t="str" cm="1">
        <f t="array" ref="BI37">BI36</f>
        <v>тыс.куб.м</v>
      </c>
      <c r="BJ37" s="1011"/>
      <c r="BK37" s="1011"/>
    </row>
    <row r="38" spans="1:63" ht="16.5" hidden="1" customHeight="1" x14ac:dyDescent="0.15">
      <c r="A38" s="918" t="str">
        <f ca="1">"checkVolume_2."&amp;F38&amp;"."&amp;Y36</f>
        <v>checkVolume_2.0.0</v>
      </c>
      <c r="E38" s="668">
        <v>17</v>
      </c>
      <c r="F38" s="769" cm="1">
        <f t="array" aca="1" ref="F38" ca="1">F36</f>
        <v>0</v>
      </c>
      <c r="G38" s="140" t="s">
        <v>201</v>
      </c>
      <c r="H38" s="103" cm="1">
        <f t="array" ref="H38">H36</f>
        <v>0</v>
      </c>
      <c r="T38" s="690" t="b" cm="1">
        <f t="array" aca="1" ref="T38" ca="1">T36</f>
        <v>0</v>
      </c>
      <c r="X38" s="1428"/>
      <c r="Y38" s="1428"/>
      <c r="Z38" s="1428"/>
      <c r="AA38" s="1556"/>
      <c r="AB38" s="232" t="str">
        <f>AB36&amp;".2"</f>
        <v>2.0.2</v>
      </c>
      <c r="AC38" s="238" t="s">
        <v>1207</v>
      </c>
      <c r="AD38" s="58" t="s">
        <v>1024</v>
      </c>
      <c r="AE38" s="13"/>
      <c r="AF38" s="13"/>
      <c r="AG38" s="13"/>
      <c r="AH38" s="13"/>
      <c r="AI38" s="227"/>
      <c r="AJ38" s="1183"/>
      <c r="AK38" s="1183"/>
      <c r="AL38" s="13"/>
      <c r="AM38" s="13"/>
      <c r="AN38" s="13"/>
      <c r="AO38" s="13"/>
      <c r="AP38" s="13"/>
      <c r="AQ38" s="13"/>
      <c r="AR38" s="13"/>
      <c r="AS38" s="227"/>
      <c r="AT38" s="1183"/>
      <c r="AU38" s="1183"/>
      <c r="AV38" s="13"/>
      <c r="AW38" s="13"/>
      <c r="AX38" s="13"/>
      <c r="AY38" s="13"/>
      <c r="AZ38" s="13"/>
      <c r="BA38" s="13"/>
      <c r="BB38" s="13"/>
      <c r="BC38" s="25"/>
      <c r="BF38" s="1010" t="s">
        <v>1215</v>
      </c>
      <c r="BG38" s="1010" t="s">
        <v>1213</v>
      </c>
      <c r="BH38" s="1010" cm="1">
        <f t="array" ref="BH38">BH36</f>
        <v>0</v>
      </c>
      <c r="BI38" s="1010" t="str" cm="1">
        <f t="array" ref="BI38">BI36</f>
        <v>тыс.куб.м</v>
      </c>
    </row>
    <row r="39" spans="1:63" ht="16.5" hidden="1" customHeight="1" x14ac:dyDescent="0.15">
      <c r="E39" s="668">
        <v>17</v>
      </c>
      <c r="F39" s="769" cm="1">
        <f t="array" ref="F39">F35</f>
        <v>0</v>
      </c>
      <c r="G39" s="140" t="str">
        <f>F39&amp;"pIns5"</f>
        <v>0pIns5</v>
      </c>
      <c r="T39" s="690" t="b">
        <f>F39&gt;0</f>
        <v>0</v>
      </c>
      <c r="W39" s="312" t="s">
        <v>1216</v>
      </c>
      <c r="X39" s="1428"/>
      <c r="Z39" s="1428"/>
      <c r="AB39" s="246"/>
      <c r="AC39" s="247" t="s">
        <v>1002</v>
      </c>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899"/>
      <c r="BF39" s="1010" t="str">
        <f>IF(AND(ISNUMBER(VALUE(TRIM(SUBSTITUTE(AB39,".","")))),TRIM(SUBSTITUTE(AB39,".",""))&lt;&gt;""),"P"&amp;SUBSTITUTE(AB39,".",""),"")</f>
        <v/>
      </c>
      <c r="BJ39" s="1011" t="s">
        <v>1213</v>
      </c>
    </row>
    <row r="40" spans="1:63" ht="16.5" hidden="1" customHeight="1" x14ac:dyDescent="0.15">
      <c r="E40" s="668">
        <v>17</v>
      </c>
      <c r="F40" s="769" cm="1">
        <f t="array" ref="F40">F39</f>
        <v>0</v>
      </c>
      <c r="G40" s="140" t="s">
        <v>1217</v>
      </c>
      <c r="T40" s="690" t="b">
        <f>F40&gt;0</f>
        <v>0</v>
      </c>
      <c r="X40" s="1428"/>
      <c r="Z40" s="1428"/>
      <c r="AB40" s="230">
        <v>3</v>
      </c>
      <c r="AC40" s="225" t="s">
        <v>1218</v>
      </c>
      <c r="AD40" s="224" t="s">
        <v>830</v>
      </c>
      <c r="AE40" s="226">
        <f t="shared" ref="AE40:BB40" si="8">SUMIF($AD41:$AD45,$AD40,AE41:AE45)</f>
        <v>0</v>
      </c>
      <c r="AF40" s="226">
        <f t="shared" si="8"/>
        <v>0</v>
      </c>
      <c r="AG40" s="226">
        <f t="shared" si="8"/>
        <v>0</v>
      </c>
      <c r="AH40" s="226">
        <f t="shared" si="8"/>
        <v>0</v>
      </c>
      <c r="AI40" s="226">
        <f t="shared" si="8"/>
        <v>0</v>
      </c>
      <c r="AJ40" s="1263">
        <f t="shared" si="8"/>
        <v>0</v>
      </c>
      <c r="AK40" s="1263">
        <f t="shared" si="8"/>
        <v>0</v>
      </c>
      <c r="AL40" s="54">
        <f t="shared" si="8"/>
        <v>0</v>
      </c>
      <c r="AM40" s="54">
        <f t="shared" si="8"/>
        <v>0</v>
      </c>
      <c r="AN40" s="54">
        <f t="shared" si="8"/>
        <v>0</v>
      </c>
      <c r="AO40" s="54">
        <f t="shared" si="8"/>
        <v>0</v>
      </c>
      <c r="AP40" s="54">
        <f t="shared" si="8"/>
        <v>0</v>
      </c>
      <c r="AQ40" s="54">
        <f t="shared" si="8"/>
        <v>0</v>
      </c>
      <c r="AR40" s="54">
        <f t="shared" si="8"/>
        <v>0</v>
      </c>
      <c r="AS40" s="226">
        <f t="shared" si="8"/>
        <v>0</v>
      </c>
      <c r="AT40" s="1263">
        <f t="shared" si="8"/>
        <v>0</v>
      </c>
      <c r="AU40" s="1263">
        <f t="shared" si="8"/>
        <v>0</v>
      </c>
      <c r="AV40" s="54">
        <f t="shared" si="8"/>
        <v>0</v>
      </c>
      <c r="AW40" s="54">
        <f t="shared" si="8"/>
        <v>0</v>
      </c>
      <c r="AX40" s="54">
        <f t="shared" si="8"/>
        <v>0</v>
      </c>
      <c r="AY40" s="54">
        <f t="shared" si="8"/>
        <v>0</v>
      </c>
      <c r="AZ40" s="54">
        <f t="shared" si="8"/>
        <v>0</v>
      </c>
      <c r="BA40" s="54">
        <f t="shared" si="8"/>
        <v>0</v>
      </c>
      <c r="BB40" s="54">
        <f t="shared" si="8"/>
        <v>0</v>
      </c>
      <c r="BC40" s="25"/>
      <c r="BF40" s="1010" t="s">
        <v>1219</v>
      </c>
    </row>
    <row r="41" spans="1:63" ht="0.2" hidden="1" customHeight="1" x14ac:dyDescent="0.15">
      <c r="E41" s="668">
        <v>0.2</v>
      </c>
      <c r="F41" s="769" cm="1">
        <f t="array" ref="F41">F40</f>
        <v>0</v>
      </c>
      <c r="T41" s="690" t="b">
        <v>0</v>
      </c>
      <c r="X41" s="1428"/>
      <c r="Z41" s="1428"/>
      <c r="AB41" s="230"/>
      <c r="AC41" s="225"/>
      <c r="AD41" s="224"/>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37"/>
      <c r="BF41" s="1010" t="str">
        <f>IF(AND(ISNUMBER(VALUE(TRIM(SUBSTITUTE(AB41,".","")))),TRIM(SUBSTITUTE(AB41,".",""))&lt;&gt;""),"P"&amp;SUBSTITUTE(AB41,".",""),"")</f>
        <v/>
      </c>
    </row>
    <row r="42" spans="1:63" ht="22.15" hidden="1" customHeight="1" x14ac:dyDescent="0.15">
      <c r="A42" s="918" t="str">
        <f ca="1">"checkCosts_3."&amp;F42&amp;"."&amp;Y42</f>
        <v>checkCosts_3.0.0</v>
      </c>
      <c r="E42" s="668">
        <v>22.8</v>
      </c>
      <c r="F42" s="769" cm="1">
        <f t="array" aca="1" ref="F42" ca="1">OFFSET(G42,-1,-1)</f>
        <v>0</v>
      </c>
      <c r="G42" s="140" t="s">
        <v>1217</v>
      </c>
      <c r="H42" s="103" cm="1">
        <f t="array" ref="H42">AC42</f>
        <v>0</v>
      </c>
      <c r="T42" s="690" t="b">
        <f ca="1">AND(F42&gt;0,Y42&gt;0)</f>
        <v>0</v>
      </c>
      <c r="W42" s="107" t="s">
        <v>237</v>
      </c>
      <c r="X42" s="1428"/>
      <c r="Y42" s="1428">
        <v>0</v>
      </c>
      <c r="Z42" s="1428"/>
      <c r="AA42" s="1556" t="s">
        <v>218</v>
      </c>
      <c r="AB42" s="232" t="str">
        <f>"3."&amp;Y42</f>
        <v>3.0</v>
      </c>
      <c r="AC42" s="6"/>
      <c r="AD42" s="224" t="s">
        <v>830</v>
      </c>
      <c r="AE42" s="275">
        <f>AE43*AE44</f>
        <v>0</v>
      </c>
      <c r="AF42" s="13"/>
      <c r="AG42" s="13"/>
      <c r="AH42" s="275">
        <f>AH43*AH44</f>
        <v>0</v>
      </c>
      <c r="AI42" s="227"/>
      <c r="AJ42" s="1183"/>
      <c r="AK42" s="1183"/>
      <c r="AL42" s="13"/>
      <c r="AM42" s="13"/>
      <c r="AN42" s="13"/>
      <c r="AO42" s="13"/>
      <c r="AP42" s="13"/>
      <c r="AQ42" s="13"/>
      <c r="AR42" s="13"/>
      <c r="AS42" s="275">
        <f t="shared" ref="AS42:BB42" si="9">AS43*AS44</f>
        <v>0</v>
      </c>
      <c r="AT42" s="275">
        <f t="shared" si="9"/>
        <v>0</v>
      </c>
      <c r="AU42" s="275">
        <f t="shared" si="9"/>
        <v>0</v>
      </c>
      <c r="AV42" s="275">
        <f t="shared" si="9"/>
        <v>0</v>
      </c>
      <c r="AW42" s="275">
        <f t="shared" si="9"/>
        <v>0</v>
      </c>
      <c r="AX42" s="275">
        <f t="shared" si="9"/>
        <v>0</v>
      </c>
      <c r="AY42" s="275">
        <f t="shared" si="9"/>
        <v>0</v>
      </c>
      <c r="AZ42" s="275">
        <f t="shared" si="9"/>
        <v>0</v>
      </c>
      <c r="BA42" s="275">
        <f t="shared" si="9"/>
        <v>0</v>
      </c>
      <c r="BB42" s="275">
        <f t="shared" si="9"/>
        <v>0</v>
      </c>
      <c r="BC42" s="25"/>
      <c r="BF42" s="1010" t="s">
        <v>1220</v>
      </c>
      <c r="BG42" s="1010" t="s">
        <v>1221</v>
      </c>
      <c r="BH42" s="1010" cm="1">
        <f t="array" ref="BH42">AC42</f>
        <v>0</v>
      </c>
      <c r="BI42" s="1010" cm="1">
        <f t="array" ref="BI42">AD44</f>
        <v>0</v>
      </c>
      <c r="BK42" s="1011" t="b">
        <v>1</v>
      </c>
    </row>
    <row r="43" spans="1:63" s="1146" customFormat="1" ht="16.5" hidden="1" customHeight="1" x14ac:dyDescent="0.15">
      <c r="E43" s="668">
        <v>17</v>
      </c>
      <c r="F43" s="769" cm="1">
        <f t="array" ref="F43">F41</f>
        <v>0</v>
      </c>
      <c r="G43" s="140" t="s">
        <v>275</v>
      </c>
      <c r="H43" s="103" cm="1">
        <f t="array" ref="H43">H42</f>
        <v>0</v>
      </c>
      <c r="T43" s="690" t="b" cm="1">
        <f t="array" aca="1" ref="T43" ca="1">T42</f>
        <v>0</v>
      </c>
      <c r="X43" s="1566"/>
      <c r="Y43" s="1566"/>
      <c r="Z43" s="1566"/>
      <c r="AA43" s="1556"/>
      <c r="AB43" s="232" t="str">
        <f>AB42&amp;".1"</f>
        <v>3.0.1</v>
      </c>
      <c r="AC43" s="238" t="s">
        <v>966</v>
      </c>
      <c r="AD43" s="58" t="s">
        <v>247</v>
      </c>
      <c r="AE43" s="13"/>
      <c r="AF43" s="275">
        <f>IF(AF44=0,0,AF42/AF44)</f>
        <v>0</v>
      </c>
      <c r="AG43" s="275">
        <f>IF(AG44=0,0,AG42/AG44)</f>
        <v>0</v>
      </c>
      <c r="AH43" s="13"/>
      <c r="AI43" s="275">
        <f t="shared" ref="AI43:AR43" si="10">IF(AI44=0,0,AI42/AI44)</f>
        <v>0</v>
      </c>
      <c r="AJ43" s="275">
        <f t="shared" si="10"/>
        <v>0</v>
      </c>
      <c r="AK43" s="275">
        <f t="shared" si="10"/>
        <v>0</v>
      </c>
      <c r="AL43" s="275">
        <f t="shared" si="10"/>
        <v>0</v>
      </c>
      <c r="AM43" s="275">
        <f t="shared" si="10"/>
        <v>0</v>
      </c>
      <c r="AN43" s="275">
        <f t="shared" si="10"/>
        <v>0</v>
      </c>
      <c r="AO43" s="275">
        <f t="shared" si="10"/>
        <v>0</v>
      </c>
      <c r="AP43" s="275">
        <f t="shared" si="10"/>
        <v>0</v>
      </c>
      <c r="AQ43" s="275">
        <f t="shared" si="10"/>
        <v>0</v>
      </c>
      <c r="AR43" s="275">
        <f t="shared" si="10"/>
        <v>0</v>
      </c>
      <c r="AS43" s="227"/>
      <c r="AT43" s="1183"/>
      <c r="AU43" s="1183"/>
      <c r="AV43" s="13"/>
      <c r="AW43" s="13"/>
      <c r="AX43" s="13"/>
      <c r="AY43" s="13"/>
      <c r="AZ43" s="13"/>
      <c r="BA43" s="13"/>
      <c r="BB43" s="13"/>
      <c r="BC43" s="25"/>
      <c r="BF43" s="1010" t="s">
        <v>1222</v>
      </c>
      <c r="BG43" s="1010" t="s">
        <v>1221</v>
      </c>
      <c r="BH43" s="1010" cm="1">
        <f t="array" ref="BH43">BH42</f>
        <v>0</v>
      </c>
      <c r="BI43" s="1010" cm="1">
        <f t="array" ref="BI43">BI42</f>
        <v>0</v>
      </c>
      <c r="BJ43" s="1011"/>
      <c r="BK43" s="1011"/>
    </row>
    <row r="44" spans="1:63" ht="16.5" hidden="1" customHeight="1" x14ac:dyDescent="0.15">
      <c r="A44" s="918" t="str">
        <f ca="1">"checkVolume_3."&amp;F44&amp;"."&amp;Y42</f>
        <v>checkVolume_3.0.0</v>
      </c>
      <c r="E44" s="668">
        <v>17</v>
      </c>
      <c r="F44" s="769" cm="1">
        <f t="array" aca="1" ref="F44" ca="1">F42</f>
        <v>0</v>
      </c>
      <c r="G44" s="140" t="s">
        <v>275</v>
      </c>
      <c r="H44" s="103" cm="1">
        <f t="array" ref="H44">H42</f>
        <v>0</v>
      </c>
      <c r="T44" s="690" t="b" cm="1">
        <f t="array" aca="1" ref="T44" ca="1">T42</f>
        <v>0</v>
      </c>
      <c r="X44" s="1428"/>
      <c r="Y44" s="1428"/>
      <c r="Z44" s="1428"/>
      <c r="AA44" s="1556"/>
      <c r="AB44" s="232" t="str">
        <f>AB42&amp;".2"</f>
        <v>3.0.2</v>
      </c>
      <c r="AC44" s="238" t="s">
        <v>1207</v>
      </c>
      <c r="AD44" s="58"/>
      <c r="AE44" s="13"/>
      <c r="AF44" s="13"/>
      <c r="AG44" s="13"/>
      <c r="AH44" s="13"/>
      <c r="AI44" s="227"/>
      <c r="AJ44" s="1183"/>
      <c r="AK44" s="1183"/>
      <c r="AL44" s="13"/>
      <c r="AM44" s="13"/>
      <c r="AN44" s="13"/>
      <c r="AO44" s="13"/>
      <c r="AP44" s="13"/>
      <c r="AQ44" s="13"/>
      <c r="AR44" s="13"/>
      <c r="AS44" s="227"/>
      <c r="AT44" s="1183"/>
      <c r="AU44" s="1183"/>
      <c r="AV44" s="13"/>
      <c r="AW44" s="13"/>
      <c r="AX44" s="13"/>
      <c r="AY44" s="13"/>
      <c r="AZ44" s="13"/>
      <c r="BA44" s="13"/>
      <c r="BB44" s="13"/>
      <c r="BC44" s="25"/>
      <c r="BF44" s="1010" t="s">
        <v>1223</v>
      </c>
      <c r="BG44" s="1010" t="s">
        <v>1221</v>
      </c>
      <c r="BH44" s="1010" cm="1">
        <f t="array" ref="BH44">BH42</f>
        <v>0</v>
      </c>
      <c r="BI44" s="1010" cm="1">
        <f t="array" ref="BI44">BI42</f>
        <v>0</v>
      </c>
    </row>
    <row r="45" spans="1:63" ht="16.5" hidden="1" customHeight="1" x14ac:dyDescent="0.15">
      <c r="E45" s="668">
        <v>17</v>
      </c>
      <c r="F45" s="769" cm="1">
        <f t="array" ref="F45">F41</f>
        <v>0</v>
      </c>
      <c r="G45" s="140" t="str">
        <f>F45&amp;"pIns5"</f>
        <v>0pIns5</v>
      </c>
      <c r="T45" s="690" t="b">
        <f>F45&gt;0</f>
        <v>0</v>
      </c>
      <c r="W45" s="312" t="s">
        <v>1224</v>
      </c>
      <c r="X45" s="1428"/>
      <c r="Z45" s="1428"/>
      <c r="AB45" s="246"/>
      <c r="AC45" s="247" t="s">
        <v>1002</v>
      </c>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899"/>
      <c r="BJ45" s="1011" t="s">
        <v>1221</v>
      </c>
    </row>
    <row r="46" spans="1:63" s="1167" customFormat="1" ht="10.5" customHeight="1" x14ac:dyDescent="0.15">
      <c r="A46" s="1149"/>
      <c r="B46" s="773"/>
      <c r="C46" s="1149"/>
      <c r="D46" s="1149"/>
      <c r="E46" s="668">
        <v>11.4</v>
      </c>
      <c r="F46" s="769" t="str" cm="1">
        <f t="array" ref="F46">X46</f>
        <v>1</v>
      </c>
      <c r="G46" s="140" t="s">
        <v>1204</v>
      </c>
      <c r="H46" s="1153"/>
      <c r="I46" s="1153"/>
      <c r="J46" s="1153"/>
      <c r="K46" s="1153"/>
      <c r="L46" s="1153"/>
      <c r="M46" s="1153"/>
      <c r="N46" s="1153"/>
      <c r="O46" s="1153"/>
      <c r="P46" s="1153"/>
      <c r="Q46" s="140"/>
      <c r="R46" s="140"/>
      <c r="S46" s="1153"/>
      <c r="T46" s="690" t="b">
        <f>X46&gt;0</f>
        <v>1</v>
      </c>
      <c r="U46" s="1150"/>
      <c r="V46" s="123" t="str" cm="1">
        <f t="array" ref="V46">Аренда!$AB$39</f>
        <v>Тариф 1 (Теплоснабжение) - Тариф на тепловую энергию (мощность), поставляемую потребителям (Не определено)</v>
      </c>
      <c r="W46" s="1150"/>
      <c r="X46" s="1428" t="s">
        <v>339</v>
      </c>
      <c r="Y46" s="1150"/>
      <c r="Z46" s="1428"/>
      <c r="AA46" s="170"/>
      <c r="AB46" s="234" t="str" cm="1">
        <f t="array" ref="AB46">IF(ISBLANK(Аренда!$AB$39),"",Аренда!$AB$39)</f>
        <v>Тариф 1 (Теплоснабжение) - Тариф на тепловую энергию (мощность), поставляемую потребителям (Не определено)</v>
      </c>
      <c r="AC46" s="207"/>
      <c r="AD46" s="207"/>
      <c r="AE46" s="315">
        <f t="shared" ref="AE46:BB46" si="11">AE47+AE53+AE62</f>
        <v>373.81680000000006</v>
      </c>
      <c r="AF46" s="315">
        <f t="shared" si="11"/>
        <v>193.92435</v>
      </c>
      <c r="AG46" s="315">
        <f t="shared" si="11"/>
        <v>193.92435</v>
      </c>
      <c r="AH46" s="315">
        <f t="shared" si="11"/>
        <v>207.60299999999998</v>
      </c>
      <c r="AI46" s="315">
        <f t="shared" si="11"/>
        <v>230.49487999999999</v>
      </c>
      <c r="AJ46" s="315">
        <f t="shared" si="11"/>
        <v>0</v>
      </c>
      <c r="AK46" s="315">
        <f t="shared" si="11"/>
        <v>0</v>
      </c>
      <c r="AL46" s="315">
        <f t="shared" si="11"/>
        <v>0</v>
      </c>
      <c r="AM46" s="315">
        <f t="shared" si="11"/>
        <v>0</v>
      </c>
      <c r="AN46" s="315">
        <f t="shared" si="11"/>
        <v>0</v>
      </c>
      <c r="AO46" s="315">
        <f t="shared" si="11"/>
        <v>0</v>
      </c>
      <c r="AP46" s="315">
        <f t="shared" si="11"/>
        <v>0</v>
      </c>
      <c r="AQ46" s="315">
        <f t="shared" si="11"/>
        <v>0</v>
      </c>
      <c r="AR46" s="315">
        <f t="shared" si="11"/>
        <v>0</v>
      </c>
      <c r="AS46" s="315">
        <f t="shared" si="11"/>
        <v>213.3623872</v>
      </c>
      <c r="AT46" s="315">
        <f t="shared" si="11"/>
        <v>0</v>
      </c>
      <c r="AU46" s="315">
        <f t="shared" si="11"/>
        <v>0</v>
      </c>
      <c r="AV46" s="315">
        <f t="shared" si="11"/>
        <v>0</v>
      </c>
      <c r="AW46" s="315">
        <f t="shared" si="11"/>
        <v>0</v>
      </c>
      <c r="AX46" s="315">
        <f t="shared" si="11"/>
        <v>0</v>
      </c>
      <c r="AY46" s="315">
        <f t="shared" si="11"/>
        <v>0</v>
      </c>
      <c r="AZ46" s="315">
        <f t="shared" si="11"/>
        <v>0</v>
      </c>
      <c r="BA46" s="315">
        <f t="shared" si="11"/>
        <v>0</v>
      </c>
      <c r="BB46" s="315">
        <f t="shared" si="11"/>
        <v>0</v>
      </c>
      <c r="BC46" s="236"/>
      <c r="BD46" s="170"/>
      <c r="BE46" s="170"/>
      <c r="BF46" s="1010"/>
      <c r="BG46" s="1010"/>
      <c r="BH46" s="1010"/>
      <c r="BI46" s="1010"/>
      <c r="BJ46" s="1011"/>
      <c r="BK46" s="1011"/>
    </row>
    <row r="47" spans="1:63" s="1167" customFormat="1" ht="10.5" customHeight="1" x14ac:dyDescent="0.15">
      <c r="A47" s="1149"/>
      <c r="B47" s="773"/>
      <c r="C47" s="1149"/>
      <c r="D47" s="1149"/>
      <c r="E47" s="668">
        <v>11.4</v>
      </c>
      <c r="F47" s="769" t="str" cm="1">
        <f t="array" ref="F47">F46</f>
        <v>1</v>
      </c>
      <c r="G47" s="140" t="s">
        <v>468</v>
      </c>
      <c r="H47" s="1153"/>
      <c r="I47" s="1153"/>
      <c r="J47" s="1153"/>
      <c r="K47" s="1153"/>
      <c r="L47" s="1153"/>
      <c r="M47" s="1153"/>
      <c r="N47" s="1153"/>
      <c r="O47" s="1153"/>
      <c r="P47" s="1153"/>
      <c r="Q47" s="140"/>
      <c r="R47" s="140"/>
      <c r="S47" s="1153"/>
      <c r="T47" s="690" t="b" cm="1">
        <f t="array" ref="T47">T46</f>
        <v>1</v>
      </c>
      <c r="U47" s="1150"/>
      <c r="V47" s="1150"/>
      <c r="W47" s="1150"/>
      <c r="X47" s="1428"/>
      <c r="Y47" s="1150"/>
      <c r="Z47" s="1428"/>
      <c r="AA47" s="170"/>
      <c r="AB47" s="230">
        <v>1</v>
      </c>
      <c r="AC47" s="225" t="s">
        <v>1205</v>
      </c>
      <c r="AD47" s="224" t="s">
        <v>830</v>
      </c>
      <c r="AE47" s="226">
        <f t="shared" ref="AE47:BB47" si="12">SUMIF($AD48:$AD52,$AD47,AE48:AE52)</f>
        <v>0</v>
      </c>
      <c r="AF47" s="226">
        <f t="shared" si="12"/>
        <v>0</v>
      </c>
      <c r="AG47" s="226">
        <f t="shared" si="12"/>
        <v>0</v>
      </c>
      <c r="AH47" s="226">
        <f t="shared" si="12"/>
        <v>0</v>
      </c>
      <c r="AI47" s="226">
        <f t="shared" si="12"/>
        <v>0</v>
      </c>
      <c r="AJ47" s="1263">
        <f t="shared" si="12"/>
        <v>0</v>
      </c>
      <c r="AK47" s="1263">
        <f t="shared" si="12"/>
        <v>0</v>
      </c>
      <c r="AL47" s="1270">
        <f t="shared" si="12"/>
        <v>0</v>
      </c>
      <c r="AM47" s="1270">
        <f t="shared" si="12"/>
        <v>0</v>
      </c>
      <c r="AN47" s="1270">
        <f t="shared" si="12"/>
        <v>0</v>
      </c>
      <c r="AO47" s="1270">
        <f t="shared" si="12"/>
        <v>0</v>
      </c>
      <c r="AP47" s="1270">
        <f t="shared" si="12"/>
        <v>0</v>
      </c>
      <c r="AQ47" s="1270">
        <f t="shared" si="12"/>
        <v>0</v>
      </c>
      <c r="AR47" s="1270">
        <f t="shared" si="12"/>
        <v>0</v>
      </c>
      <c r="AS47" s="226">
        <f t="shared" si="12"/>
        <v>0</v>
      </c>
      <c r="AT47" s="1263">
        <f t="shared" si="12"/>
        <v>0</v>
      </c>
      <c r="AU47" s="1263">
        <f t="shared" si="12"/>
        <v>0</v>
      </c>
      <c r="AV47" s="1270">
        <f t="shared" si="12"/>
        <v>0</v>
      </c>
      <c r="AW47" s="1270">
        <f t="shared" si="12"/>
        <v>0</v>
      </c>
      <c r="AX47" s="1270">
        <f t="shared" si="12"/>
        <v>0</v>
      </c>
      <c r="AY47" s="1270">
        <f t="shared" si="12"/>
        <v>0</v>
      </c>
      <c r="AZ47" s="1270">
        <f t="shared" si="12"/>
        <v>0</v>
      </c>
      <c r="BA47" s="1270">
        <f t="shared" si="12"/>
        <v>0</v>
      </c>
      <c r="BB47" s="1270">
        <f t="shared" si="12"/>
        <v>0</v>
      </c>
      <c r="BC47" s="1231"/>
      <c r="BD47" s="170"/>
      <c r="BE47" s="170"/>
      <c r="BF47" s="1010" t="s">
        <v>1029</v>
      </c>
      <c r="BG47" s="1010"/>
      <c r="BH47" s="1010"/>
      <c r="BI47" s="1010"/>
      <c r="BJ47" s="1011"/>
      <c r="BK47" s="1011"/>
    </row>
    <row r="48" spans="1:63" s="1167" customFormat="1" ht="0" hidden="1" customHeight="1" x14ac:dyDescent="0.15">
      <c r="A48" s="1149"/>
      <c r="B48" s="773"/>
      <c r="C48" s="1149"/>
      <c r="D48" s="1149"/>
      <c r="E48" s="668">
        <v>0.2</v>
      </c>
      <c r="F48" s="769" t="str" cm="1">
        <f t="array" ref="F48">F47</f>
        <v>1</v>
      </c>
      <c r="G48" s="1153"/>
      <c r="H48" s="1153"/>
      <c r="I48" s="1153"/>
      <c r="J48" s="1153"/>
      <c r="K48" s="1153"/>
      <c r="L48" s="1153"/>
      <c r="M48" s="1153"/>
      <c r="N48" s="1153"/>
      <c r="O48" s="1153"/>
      <c r="P48" s="1153"/>
      <c r="Q48" s="140"/>
      <c r="R48" s="140"/>
      <c r="S48" s="1153"/>
      <c r="T48" s="690" t="b">
        <v>0</v>
      </c>
      <c r="U48" s="1150"/>
      <c r="V48" s="1150"/>
      <c r="W48" s="1150"/>
      <c r="X48" s="1428"/>
      <c r="Y48" s="1150"/>
      <c r="Z48" s="1428"/>
      <c r="AA48" s="170"/>
      <c r="AB48" s="230"/>
      <c r="AC48" s="225"/>
      <c r="AD48" s="224"/>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37"/>
      <c r="BD48" s="170"/>
      <c r="BE48" s="170"/>
      <c r="BF48" s="1010" t="str">
        <f>IF(AND(ISNUMBER(VALUE(TRIM(SUBSTITUTE(AB48,".","")))),TRIM(SUBSTITUTE(AB48,".",""))&lt;&gt;""),"P"&amp;SUBSTITUTE(AB48,".",""),"")</f>
        <v/>
      </c>
      <c r="BG48" s="1010"/>
      <c r="BH48" s="1010"/>
      <c r="BI48" s="1010"/>
      <c r="BJ48" s="1011"/>
      <c r="BK48" s="1011"/>
    </row>
    <row r="49" spans="1:63" s="1167" customFormat="1" ht="17.25" hidden="1" customHeight="1" x14ac:dyDescent="0.15">
      <c r="A49" s="918" t="str">
        <f ca="1">"checkCosts_1."&amp;F49&amp;"."&amp;Y49</f>
        <v>checkCosts_1.1.0</v>
      </c>
      <c r="B49" s="773"/>
      <c r="C49" s="1149"/>
      <c r="D49" s="1149"/>
      <c r="E49" s="668">
        <v>18</v>
      </c>
      <c r="F49" s="769" t="str" cm="1">
        <f t="array" aca="1" ref="F49" ca="1">OFFSET(G49,-1,-1)</f>
        <v>1</v>
      </c>
      <c r="G49" s="140" t="s">
        <v>468</v>
      </c>
      <c r="H49" s="103" cm="1">
        <f t="array" ref="H49">AC49</f>
        <v>0</v>
      </c>
      <c r="I49" s="1153"/>
      <c r="J49" s="1153"/>
      <c r="K49" s="1153"/>
      <c r="L49" s="1153"/>
      <c r="M49" s="1153"/>
      <c r="N49" s="1153"/>
      <c r="O49" s="1153"/>
      <c r="P49" s="1153"/>
      <c r="Q49" s="140"/>
      <c r="R49" s="140"/>
      <c r="S49" s="1153"/>
      <c r="T49" s="690" t="b">
        <f ca="1">AND(F49&gt;0,Y49&gt;0)</f>
        <v>0</v>
      </c>
      <c r="U49" s="1150"/>
      <c r="V49" s="1150"/>
      <c r="W49" s="107" t="s">
        <v>237</v>
      </c>
      <c r="X49" s="1428"/>
      <c r="Y49" s="1428">
        <v>0</v>
      </c>
      <c r="Z49" s="1428"/>
      <c r="AA49" s="1556" t="s">
        <v>218</v>
      </c>
      <c r="AB49" s="232" t="str">
        <f>"1."&amp;Y49</f>
        <v>1.0</v>
      </c>
      <c r="AC49" s="387"/>
      <c r="AD49" s="224" t="s">
        <v>830</v>
      </c>
      <c r="AE49" s="275">
        <f>AE50*AE51/1000</f>
        <v>0</v>
      </c>
      <c r="AF49" s="13"/>
      <c r="AG49" s="13"/>
      <c r="AH49" s="275">
        <f>AH50*AH51/1000</f>
        <v>0</v>
      </c>
      <c r="AI49" s="227"/>
      <c r="AJ49" s="1183"/>
      <c r="AK49" s="1183"/>
      <c r="AL49" s="13"/>
      <c r="AM49" s="13"/>
      <c r="AN49" s="13"/>
      <c r="AO49" s="13"/>
      <c r="AP49" s="13"/>
      <c r="AQ49" s="13"/>
      <c r="AR49" s="13"/>
      <c r="AS49" s="275">
        <f t="shared" ref="AS49:BB49" si="13">AS50*AS51/1000</f>
        <v>0</v>
      </c>
      <c r="AT49" s="275">
        <f t="shared" si="13"/>
        <v>0</v>
      </c>
      <c r="AU49" s="275">
        <f t="shared" si="13"/>
        <v>0</v>
      </c>
      <c r="AV49" s="275">
        <f t="shared" si="13"/>
        <v>0</v>
      </c>
      <c r="AW49" s="275">
        <f t="shared" si="13"/>
        <v>0</v>
      </c>
      <c r="AX49" s="275">
        <f t="shared" si="13"/>
        <v>0</v>
      </c>
      <c r="AY49" s="275">
        <f t="shared" si="13"/>
        <v>0</v>
      </c>
      <c r="AZ49" s="275">
        <f t="shared" si="13"/>
        <v>0</v>
      </c>
      <c r="BA49" s="275">
        <f t="shared" si="13"/>
        <v>0</v>
      </c>
      <c r="BB49" s="275">
        <f t="shared" si="13"/>
        <v>0</v>
      </c>
      <c r="BC49" s="25"/>
      <c r="BD49" s="170"/>
      <c r="BE49" s="170"/>
      <c r="BF49" s="1010" t="s">
        <v>1030</v>
      </c>
      <c r="BG49" s="1010" t="s">
        <v>1206</v>
      </c>
      <c r="BH49" s="1010" cm="1">
        <f t="array" ref="BH49">AC49</f>
        <v>0</v>
      </c>
      <c r="BI49" s="1010" t="str" cm="1">
        <f t="array" ref="BI49">AD51</f>
        <v>Гкал</v>
      </c>
      <c r="BJ49" s="1011"/>
      <c r="BK49" s="1011" t="b">
        <v>1</v>
      </c>
    </row>
    <row r="50" spans="1:63" s="1146" customFormat="1" ht="16.5" hidden="1" customHeight="1" x14ac:dyDescent="0.15">
      <c r="E50" s="668">
        <v>17</v>
      </c>
      <c r="F50" s="769" t="str" cm="1">
        <f t="array" ref="F50">F48</f>
        <v>1</v>
      </c>
      <c r="G50" s="140" t="s">
        <v>191</v>
      </c>
      <c r="H50" s="103" cm="1">
        <f t="array" ref="H50">H49</f>
        <v>0</v>
      </c>
      <c r="T50" s="690" t="b" cm="1">
        <f t="array" aca="1" ref="T50" ca="1">T49</f>
        <v>0</v>
      </c>
      <c r="X50" s="1566"/>
      <c r="Y50" s="1566"/>
      <c r="Z50" s="1566"/>
      <c r="AA50" s="1556"/>
      <c r="AB50" s="232" t="str">
        <f>AB49&amp;".1"</f>
        <v>1.0.1</v>
      </c>
      <c r="AC50" s="238" t="s">
        <v>966</v>
      </c>
      <c r="AD50" s="58" t="s">
        <v>247</v>
      </c>
      <c r="AE50" s="13"/>
      <c r="AF50" s="275">
        <f>IF(AF51=0,0,AF49/AF51)*1000</f>
        <v>0</v>
      </c>
      <c r="AG50" s="275">
        <f>IF(AG51=0,0,AG49/AG51)*1000</f>
        <v>0</v>
      </c>
      <c r="AH50" s="13"/>
      <c r="AI50" s="275">
        <f t="shared" ref="AI50:AR50" si="14">IF(AI51=0,0,AI49/AI51)*1000</f>
        <v>0</v>
      </c>
      <c r="AJ50" s="275">
        <f t="shared" si="14"/>
        <v>0</v>
      </c>
      <c r="AK50" s="275">
        <f t="shared" si="14"/>
        <v>0</v>
      </c>
      <c r="AL50" s="275">
        <f t="shared" si="14"/>
        <v>0</v>
      </c>
      <c r="AM50" s="275">
        <f t="shared" si="14"/>
        <v>0</v>
      </c>
      <c r="AN50" s="275">
        <f t="shared" si="14"/>
        <v>0</v>
      </c>
      <c r="AO50" s="275">
        <f t="shared" si="14"/>
        <v>0</v>
      </c>
      <c r="AP50" s="275">
        <f t="shared" si="14"/>
        <v>0</v>
      </c>
      <c r="AQ50" s="275">
        <f t="shared" si="14"/>
        <v>0</v>
      </c>
      <c r="AR50" s="275">
        <f t="shared" si="14"/>
        <v>0</v>
      </c>
      <c r="AS50" s="227"/>
      <c r="AT50" s="1183"/>
      <c r="AU50" s="1183"/>
      <c r="AV50" s="13"/>
      <c r="AW50" s="13"/>
      <c r="AX50" s="13"/>
      <c r="AY50" s="13"/>
      <c r="AZ50" s="13"/>
      <c r="BA50" s="13"/>
      <c r="BB50" s="13"/>
      <c r="BC50" s="25"/>
      <c r="BF50" s="1010" t="s">
        <v>1032</v>
      </c>
      <c r="BG50" s="1010" t="s">
        <v>1206</v>
      </c>
      <c r="BH50" s="1010" cm="1">
        <f t="array" ref="BH50">BH49</f>
        <v>0</v>
      </c>
      <c r="BI50" s="1010" t="str" cm="1">
        <f t="array" ref="BI50">BI49</f>
        <v>Гкал</v>
      </c>
      <c r="BJ50" s="1011"/>
      <c r="BK50" s="1011"/>
    </row>
    <row r="51" spans="1:63" s="1167" customFormat="1" ht="16.5" hidden="1" customHeight="1" x14ac:dyDescent="0.15">
      <c r="A51" s="918" t="str">
        <f ca="1">"checkVolume_1."&amp;F51&amp;"."&amp;Y49</f>
        <v>checkVolume_1.1.0</v>
      </c>
      <c r="B51" s="773"/>
      <c r="C51" s="1149"/>
      <c r="D51" s="1149"/>
      <c r="E51" s="668">
        <v>17</v>
      </c>
      <c r="F51" s="769" t="str" cm="1">
        <f t="array" aca="1" ref="F51" ca="1">F49</f>
        <v>1</v>
      </c>
      <c r="G51" s="140" t="s">
        <v>191</v>
      </c>
      <c r="H51" s="103" cm="1">
        <f t="array" ref="H51">H49</f>
        <v>0</v>
      </c>
      <c r="I51" s="1153"/>
      <c r="J51" s="1153"/>
      <c r="K51" s="1153"/>
      <c r="L51" s="1153"/>
      <c r="M51" s="1153"/>
      <c r="N51" s="1153"/>
      <c r="O51" s="1153"/>
      <c r="P51" s="1153"/>
      <c r="Q51" s="140"/>
      <c r="R51" s="140"/>
      <c r="S51" s="1153"/>
      <c r="T51" s="690" t="b" cm="1">
        <f t="array" aca="1" ref="T51" ca="1">T49</f>
        <v>0</v>
      </c>
      <c r="U51" s="1150"/>
      <c r="V51" s="1150"/>
      <c r="W51" s="1150"/>
      <c r="X51" s="1428"/>
      <c r="Y51" s="1428"/>
      <c r="Z51" s="1428"/>
      <c r="AA51" s="1556"/>
      <c r="AB51" s="232" t="str">
        <f>AB49&amp;".2"</f>
        <v>1.0.2</v>
      </c>
      <c r="AC51" s="238" t="s">
        <v>1207</v>
      </c>
      <c r="AD51" s="58" t="s">
        <v>622</v>
      </c>
      <c r="AE51" s="13"/>
      <c r="AF51" s="13"/>
      <c r="AG51" s="13"/>
      <c r="AH51" s="13"/>
      <c r="AI51" s="227"/>
      <c r="AJ51" s="1183"/>
      <c r="AK51" s="1183"/>
      <c r="AL51" s="13"/>
      <c r="AM51" s="13"/>
      <c r="AN51" s="13"/>
      <c r="AO51" s="13"/>
      <c r="AP51" s="13"/>
      <c r="AQ51" s="13"/>
      <c r="AR51" s="13"/>
      <c r="AS51" s="227"/>
      <c r="AT51" s="1183"/>
      <c r="AU51" s="1183"/>
      <c r="AV51" s="13"/>
      <c r="AW51" s="13"/>
      <c r="AX51" s="13"/>
      <c r="AY51" s="13"/>
      <c r="AZ51" s="13"/>
      <c r="BA51" s="13"/>
      <c r="BB51" s="13"/>
      <c r="BC51" s="25"/>
      <c r="BD51" s="170"/>
      <c r="BE51" s="170"/>
      <c r="BF51" s="1010" t="s">
        <v>1034</v>
      </c>
      <c r="BG51" s="1010" t="s">
        <v>1206</v>
      </c>
      <c r="BH51" s="1010" cm="1">
        <f t="array" ref="BH51">BH49</f>
        <v>0</v>
      </c>
      <c r="BI51" s="1010" t="str" cm="1">
        <f t="array" ref="BI51">BI49</f>
        <v>Гкал</v>
      </c>
      <c r="BJ51" s="1011"/>
      <c r="BK51" s="1011"/>
    </row>
    <row r="52" spans="1:63" s="1167" customFormat="1" ht="16.5" customHeight="1" x14ac:dyDescent="0.15">
      <c r="A52" s="1149"/>
      <c r="B52" s="773"/>
      <c r="C52" s="1149"/>
      <c r="D52" s="1149"/>
      <c r="E52" s="668">
        <v>17</v>
      </c>
      <c r="F52" s="769" t="str" cm="1">
        <f t="array" ref="F52">F48</f>
        <v>1</v>
      </c>
      <c r="G52" s="140" t="str">
        <f>F52&amp;"pIns3"</f>
        <v>1pIns3</v>
      </c>
      <c r="H52" s="1153"/>
      <c r="I52" s="1153"/>
      <c r="J52" s="1153"/>
      <c r="K52" s="1153"/>
      <c r="L52" s="1153"/>
      <c r="M52" s="1153"/>
      <c r="N52" s="1153"/>
      <c r="O52" s="1153"/>
      <c r="P52" s="1153"/>
      <c r="Q52" s="140"/>
      <c r="R52" s="140"/>
      <c r="S52" s="1153"/>
      <c r="T52" s="690" t="b">
        <f>F52&gt;0</f>
        <v>1</v>
      </c>
      <c r="U52" s="1150"/>
      <c r="V52" s="1150"/>
      <c r="W52" s="312" t="s">
        <v>1208</v>
      </c>
      <c r="X52" s="1428"/>
      <c r="Y52" s="1150"/>
      <c r="Z52" s="1428"/>
      <c r="AA52" s="170"/>
      <c r="AB52" s="246"/>
      <c r="AC52" s="247" t="s">
        <v>1002</v>
      </c>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899"/>
      <c r="BD52" s="170"/>
      <c r="BE52" s="170"/>
      <c r="BF52" s="1010" t="str">
        <f>IF(AND(ISNUMBER(VALUE(TRIM(SUBSTITUTE(AB52,".","")))),TRIM(SUBSTITUTE(AB52,".",""))&lt;&gt;""),"P"&amp;SUBSTITUTE(AB52,".",""),"")</f>
        <v/>
      </c>
      <c r="BG52" s="1010"/>
      <c r="BH52" s="1010"/>
      <c r="BI52" s="1010"/>
      <c r="BJ52" s="1011" t="s">
        <v>1206</v>
      </c>
      <c r="BK52" s="1011"/>
    </row>
    <row r="53" spans="1:63" s="1167" customFormat="1" ht="16.5" customHeight="1" x14ac:dyDescent="0.15">
      <c r="A53" s="1149"/>
      <c r="B53" s="773"/>
      <c r="C53" s="1149"/>
      <c r="D53" s="1149"/>
      <c r="E53" s="668">
        <v>17</v>
      </c>
      <c r="F53" s="769" t="str" cm="1">
        <f t="array" ref="F53">F52</f>
        <v>1</v>
      </c>
      <c r="G53" s="140" t="s">
        <v>1209</v>
      </c>
      <c r="H53" s="1153"/>
      <c r="I53" s="1153"/>
      <c r="J53" s="1153"/>
      <c r="K53" s="1153"/>
      <c r="L53" s="1153"/>
      <c r="M53" s="1153"/>
      <c r="N53" s="1153"/>
      <c r="O53" s="1153"/>
      <c r="P53" s="1153"/>
      <c r="Q53" s="140"/>
      <c r="R53" s="140"/>
      <c r="S53" s="1153"/>
      <c r="T53" s="690" t="b">
        <f>F53&gt;0</f>
        <v>1</v>
      </c>
      <c r="U53" s="1150"/>
      <c r="V53" s="1150"/>
      <c r="W53" s="1150"/>
      <c r="X53" s="1428"/>
      <c r="Y53" s="1150"/>
      <c r="Z53" s="1428"/>
      <c r="AA53" s="170"/>
      <c r="AB53" s="230">
        <v>2</v>
      </c>
      <c r="AC53" s="225" t="s">
        <v>1210</v>
      </c>
      <c r="AD53" s="224" t="s">
        <v>830</v>
      </c>
      <c r="AE53" s="226">
        <f t="shared" ref="AE53:BB53" si="15">SUMIF($AD54:$AD61,$AD53,AE54:AE61)</f>
        <v>373.81680000000006</v>
      </c>
      <c r="AF53" s="226">
        <f t="shared" si="15"/>
        <v>193.92435</v>
      </c>
      <c r="AG53" s="226">
        <f t="shared" si="15"/>
        <v>193.92435</v>
      </c>
      <c r="AH53" s="226">
        <f t="shared" si="15"/>
        <v>207.60299999999998</v>
      </c>
      <c r="AI53" s="226">
        <f t="shared" si="15"/>
        <v>230.49487999999999</v>
      </c>
      <c r="AJ53" s="1263">
        <f t="shared" si="15"/>
        <v>0</v>
      </c>
      <c r="AK53" s="1263">
        <f t="shared" si="15"/>
        <v>0</v>
      </c>
      <c r="AL53" s="1270">
        <f t="shared" si="15"/>
        <v>0</v>
      </c>
      <c r="AM53" s="1270">
        <f t="shared" si="15"/>
        <v>0</v>
      </c>
      <c r="AN53" s="1270">
        <f t="shared" si="15"/>
        <v>0</v>
      </c>
      <c r="AO53" s="1270">
        <f t="shared" si="15"/>
        <v>0</v>
      </c>
      <c r="AP53" s="1270">
        <f t="shared" si="15"/>
        <v>0</v>
      </c>
      <c r="AQ53" s="1270">
        <f t="shared" si="15"/>
        <v>0</v>
      </c>
      <c r="AR53" s="1270">
        <f t="shared" si="15"/>
        <v>0</v>
      </c>
      <c r="AS53" s="226">
        <f t="shared" si="15"/>
        <v>213.3623872</v>
      </c>
      <c r="AT53" s="1263">
        <f t="shared" si="15"/>
        <v>0</v>
      </c>
      <c r="AU53" s="1263">
        <f t="shared" si="15"/>
        <v>0</v>
      </c>
      <c r="AV53" s="1270">
        <f t="shared" si="15"/>
        <v>0</v>
      </c>
      <c r="AW53" s="1270">
        <f t="shared" si="15"/>
        <v>0</v>
      </c>
      <c r="AX53" s="1270">
        <f t="shared" si="15"/>
        <v>0</v>
      </c>
      <c r="AY53" s="1270">
        <f t="shared" si="15"/>
        <v>0</v>
      </c>
      <c r="AZ53" s="1270">
        <f t="shared" si="15"/>
        <v>0</v>
      </c>
      <c r="BA53" s="1270">
        <f t="shared" si="15"/>
        <v>0</v>
      </c>
      <c r="BB53" s="1270">
        <f t="shared" si="15"/>
        <v>0</v>
      </c>
      <c r="BC53" s="1231"/>
      <c r="BD53" s="170"/>
      <c r="BE53" s="170"/>
      <c r="BF53" s="1010" t="s">
        <v>1211</v>
      </c>
      <c r="BG53" s="1010"/>
      <c r="BH53" s="1010"/>
      <c r="BI53" s="1010"/>
      <c r="BJ53" s="1011"/>
      <c r="BK53" s="1011"/>
    </row>
    <row r="54" spans="1:63" s="1167" customFormat="1" ht="0" hidden="1" customHeight="1" x14ac:dyDescent="0.15">
      <c r="A54" s="1149"/>
      <c r="B54" s="773"/>
      <c r="C54" s="1149"/>
      <c r="D54" s="1149"/>
      <c r="E54" s="668">
        <v>0.2</v>
      </c>
      <c r="F54" s="769" t="str" cm="1">
        <f t="array" ref="F54">F53</f>
        <v>1</v>
      </c>
      <c r="G54" s="1153"/>
      <c r="H54" s="1153"/>
      <c r="I54" s="1153"/>
      <c r="J54" s="1153"/>
      <c r="K54" s="1153"/>
      <c r="L54" s="1153"/>
      <c r="M54" s="1153"/>
      <c r="N54" s="1153"/>
      <c r="O54" s="1153"/>
      <c r="P54" s="1153"/>
      <c r="Q54" s="140"/>
      <c r="R54" s="140"/>
      <c r="S54" s="1153"/>
      <c r="T54" s="690" t="b">
        <v>0</v>
      </c>
      <c r="U54" s="1150"/>
      <c r="V54" s="1150"/>
      <c r="W54" s="1150"/>
      <c r="X54" s="1428"/>
      <c r="Y54" s="1150"/>
      <c r="Z54" s="1428"/>
      <c r="AA54" s="170"/>
      <c r="AB54" s="230"/>
      <c r="AC54" s="225"/>
      <c r="AD54" s="224"/>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37"/>
      <c r="BD54" s="170"/>
      <c r="BE54" s="170"/>
      <c r="BF54" s="1010" t="str">
        <f>IF(AND(ISNUMBER(VALUE(TRIM(SUBSTITUTE(AB54,".","")))),TRIM(SUBSTITUTE(AB54,".",""))&lt;&gt;""),"P"&amp;SUBSTITUTE(AB54,".",""),"")</f>
        <v/>
      </c>
      <c r="BG54" s="1010"/>
      <c r="BH54" s="1010"/>
      <c r="BI54" s="1010"/>
      <c r="BJ54" s="1011"/>
      <c r="BK54" s="1011"/>
    </row>
    <row r="55" spans="1:63" s="1167" customFormat="1" ht="17.25" hidden="1" customHeight="1" x14ac:dyDescent="0.15">
      <c r="A55" s="918" t="str">
        <f ca="1">"checkCosts_2."&amp;F55&amp;"."&amp;Y55</f>
        <v>checkCosts_2.1.0</v>
      </c>
      <c r="E55" s="668">
        <v>18</v>
      </c>
      <c r="F55" s="769" t="str" cm="1">
        <f t="array" aca="1" ref="F55" ca="1">OFFSET(G55,-1,-1)</f>
        <v>1</v>
      </c>
      <c r="G55" s="140" t="s">
        <v>1209</v>
      </c>
      <c r="H55" s="103" cm="1">
        <f t="array" ref="H55">AC55</f>
        <v>0</v>
      </c>
      <c r="T55" s="690" t="b">
        <f ca="1">AND(F55&gt;0,Y55&gt;0)</f>
        <v>0</v>
      </c>
      <c r="W55" s="107" t="s">
        <v>237</v>
      </c>
      <c r="X55" s="1481"/>
      <c r="Y55" s="1428">
        <v>0</v>
      </c>
      <c r="Z55" s="1481"/>
      <c r="AA55" s="1556" t="s">
        <v>218</v>
      </c>
      <c r="AB55" s="232" t="str">
        <f>"2."&amp;Y55</f>
        <v>2.0</v>
      </c>
      <c r="AC55" s="387"/>
      <c r="AD55" s="224" t="s">
        <v>830</v>
      </c>
      <c r="AE55" s="275">
        <f>AE56*AE57</f>
        <v>0</v>
      </c>
      <c r="AF55" s="13"/>
      <c r="AG55" s="13"/>
      <c r="AH55" s="275">
        <f>AH56*AH57</f>
        <v>0</v>
      </c>
      <c r="AI55" s="227"/>
      <c r="AJ55" s="13"/>
      <c r="AK55" s="13"/>
      <c r="AL55" s="13"/>
      <c r="AM55" s="13"/>
      <c r="AN55" s="13"/>
      <c r="AO55" s="13"/>
      <c r="AP55" s="13"/>
      <c r="AQ55" s="13"/>
      <c r="AR55" s="13"/>
      <c r="AS55" s="275">
        <f t="shared" ref="AS55:BB55" si="16">AS56*AS57</f>
        <v>0</v>
      </c>
      <c r="AT55" s="275">
        <f t="shared" si="16"/>
        <v>0</v>
      </c>
      <c r="AU55" s="275">
        <f t="shared" si="16"/>
        <v>0</v>
      </c>
      <c r="AV55" s="275">
        <f t="shared" si="16"/>
        <v>0</v>
      </c>
      <c r="AW55" s="275">
        <f t="shared" si="16"/>
        <v>0</v>
      </c>
      <c r="AX55" s="275">
        <f t="shared" si="16"/>
        <v>0</v>
      </c>
      <c r="AY55" s="275">
        <f t="shared" si="16"/>
        <v>0</v>
      </c>
      <c r="AZ55" s="275">
        <f t="shared" si="16"/>
        <v>0</v>
      </c>
      <c r="BA55" s="275">
        <f t="shared" si="16"/>
        <v>0</v>
      </c>
      <c r="BB55" s="275">
        <f t="shared" si="16"/>
        <v>0</v>
      </c>
      <c r="BC55" s="25"/>
      <c r="BF55" s="1010" t="s">
        <v>1212</v>
      </c>
      <c r="BG55" s="1010" t="s">
        <v>1213</v>
      </c>
      <c r="BH55" s="1010" cm="1">
        <f t="array" ref="BH55">AC55</f>
        <v>0</v>
      </c>
      <c r="BI55" s="1010" t="str" cm="1">
        <f t="array" ref="BI55">AD57</f>
        <v>тыс.куб.м</v>
      </c>
      <c r="BJ55" s="1011"/>
      <c r="BK55" s="1011" t="b">
        <v>1</v>
      </c>
    </row>
    <row r="56" spans="1:63" s="1146" customFormat="1" ht="16.5" hidden="1" customHeight="1" x14ac:dyDescent="0.15">
      <c r="E56" s="668">
        <v>17</v>
      </c>
      <c r="F56" s="769" t="str" cm="1">
        <f t="array" ref="F56">F54</f>
        <v>1</v>
      </c>
      <c r="G56" s="140" t="s">
        <v>201</v>
      </c>
      <c r="H56" s="103" cm="1">
        <f t="array" ref="H56">H55</f>
        <v>0</v>
      </c>
      <c r="T56" s="690" t="b" cm="1">
        <f t="array" aca="1" ref="T56" ca="1">T55</f>
        <v>0</v>
      </c>
      <c r="X56" s="1566"/>
      <c r="Y56" s="1566"/>
      <c r="Z56" s="1566"/>
      <c r="AA56" s="1556"/>
      <c r="AB56" s="232" t="str">
        <f>AB55&amp;".1"</f>
        <v>2.0.1</v>
      </c>
      <c r="AC56" s="238" t="s">
        <v>966</v>
      </c>
      <c r="AD56" s="58" t="s">
        <v>247</v>
      </c>
      <c r="AE56" s="13"/>
      <c r="AF56" s="275">
        <f>IF(AF57=0,0,AF55/AF57)</f>
        <v>0</v>
      </c>
      <c r="AG56" s="275">
        <f>IF(AG57=0,0,AG55/AG57)</f>
        <v>0</v>
      </c>
      <c r="AH56" s="13"/>
      <c r="AI56" s="275">
        <f t="shared" ref="AI56:AR56" si="17">IF(AI57=0,0,AI55/AI57)</f>
        <v>0</v>
      </c>
      <c r="AJ56" s="275">
        <f t="shared" si="17"/>
        <v>0</v>
      </c>
      <c r="AK56" s="275">
        <f t="shared" si="17"/>
        <v>0</v>
      </c>
      <c r="AL56" s="275">
        <f t="shared" si="17"/>
        <v>0</v>
      </c>
      <c r="AM56" s="275">
        <f t="shared" si="17"/>
        <v>0</v>
      </c>
      <c r="AN56" s="275">
        <f t="shared" si="17"/>
        <v>0</v>
      </c>
      <c r="AO56" s="275">
        <f t="shared" si="17"/>
        <v>0</v>
      </c>
      <c r="AP56" s="275">
        <f t="shared" si="17"/>
        <v>0</v>
      </c>
      <c r="AQ56" s="275">
        <f t="shared" si="17"/>
        <v>0</v>
      </c>
      <c r="AR56" s="275">
        <f t="shared" si="17"/>
        <v>0</v>
      </c>
      <c r="AS56" s="227"/>
      <c r="AT56" s="13"/>
      <c r="AU56" s="13"/>
      <c r="AV56" s="13"/>
      <c r="AW56" s="13"/>
      <c r="AX56" s="13"/>
      <c r="AY56" s="13"/>
      <c r="AZ56" s="13"/>
      <c r="BA56" s="13"/>
      <c r="BB56" s="13"/>
      <c r="BC56" s="25"/>
      <c r="BF56" s="1010" t="s">
        <v>1214</v>
      </c>
      <c r="BG56" s="1010" t="s">
        <v>1213</v>
      </c>
      <c r="BH56" s="1010" cm="1">
        <f t="array" ref="BH56">BH55</f>
        <v>0</v>
      </c>
      <c r="BI56" s="1010" t="str" cm="1">
        <f t="array" ref="BI56">BI55</f>
        <v>тыс.куб.м</v>
      </c>
      <c r="BJ56" s="1011"/>
      <c r="BK56" s="1011"/>
    </row>
    <row r="57" spans="1:63" s="1167" customFormat="1" ht="16.5" hidden="1" customHeight="1" x14ac:dyDescent="0.15">
      <c r="A57" s="918" t="str">
        <f ca="1">"checkVolume_2."&amp;F57&amp;"."&amp;Y55</f>
        <v>checkVolume_2.1.0</v>
      </c>
      <c r="E57" s="668">
        <v>17</v>
      </c>
      <c r="F57" s="769" t="str" cm="1">
        <f t="array" aca="1" ref="F57" ca="1">F55</f>
        <v>1</v>
      </c>
      <c r="G57" s="140" t="s">
        <v>201</v>
      </c>
      <c r="H57" s="103" cm="1">
        <f t="array" ref="H57">H55</f>
        <v>0</v>
      </c>
      <c r="T57" s="690" t="b" cm="1">
        <f t="array" aca="1" ref="T57" ca="1">T55</f>
        <v>0</v>
      </c>
      <c r="X57" s="1481"/>
      <c r="Y57" s="1481"/>
      <c r="Z57" s="1481"/>
      <c r="AA57" s="1556"/>
      <c r="AB57" s="232" t="str">
        <f>AB55&amp;".2"</f>
        <v>2.0.2</v>
      </c>
      <c r="AC57" s="238" t="s">
        <v>1207</v>
      </c>
      <c r="AD57" s="58" t="s">
        <v>1024</v>
      </c>
      <c r="AE57" s="13"/>
      <c r="AF57" s="13"/>
      <c r="AG57" s="13"/>
      <c r="AH57" s="13"/>
      <c r="AI57" s="227"/>
      <c r="AJ57" s="13"/>
      <c r="AK57" s="13"/>
      <c r="AL57" s="13"/>
      <c r="AM57" s="13"/>
      <c r="AN57" s="13"/>
      <c r="AO57" s="13"/>
      <c r="AP57" s="13"/>
      <c r="AQ57" s="13"/>
      <c r="AR57" s="13"/>
      <c r="AS57" s="227"/>
      <c r="AT57" s="13"/>
      <c r="AU57" s="13"/>
      <c r="AV57" s="13"/>
      <c r="AW57" s="13"/>
      <c r="AX57" s="13"/>
      <c r="AY57" s="13"/>
      <c r="AZ57" s="13"/>
      <c r="BA57" s="13"/>
      <c r="BB57" s="13"/>
      <c r="BC57" s="25"/>
      <c r="BF57" s="1010" t="s">
        <v>1215</v>
      </c>
      <c r="BG57" s="1010" t="s">
        <v>1213</v>
      </c>
      <c r="BH57" s="1010" cm="1">
        <f t="array" ref="BH57">BH55</f>
        <v>0</v>
      </c>
      <c r="BI57" s="1010" t="str" cm="1">
        <f t="array" ref="BI57">BI55</f>
        <v>тыс.куб.м</v>
      </c>
      <c r="BJ57" s="1011"/>
      <c r="BK57" s="1011"/>
    </row>
    <row r="58" spans="1:63" s="1167" customFormat="1" ht="17.25" customHeight="1" x14ac:dyDescent="0.15">
      <c r="A58" s="918" t="str">
        <f ca="1">"checkCosts_2."&amp;F58&amp;"."&amp;Y58</f>
        <v>checkCosts_2.1.1</v>
      </c>
      <c r="E58" s="668">
        <v>18</v>
      </c>
      <c r="F58" s="769" t="str" cm="1">
        <f t="array" aca="1" ref="F58" ca="1">OFFSET(G58,-1,-1)</f>
        <v>1</v>
      </c>
      <c r="G58" s="140" t="s">
        <v>1209</v>
      </c>
      <c r="H58" s="103" t="str" cm="1">
        <f t="array" ref="H58">AC58</f>
        <v>МУП "Междуреченский Водоканал"::4214040174::421401001</v>
      </c>
      <c r="T58" s="690" t="b">
        <f ca="1">AND(F58&gt;0,Y58&gt;0)</f>
        <v>1</v>
      </c>
      <c r="W58" s="107"/>
      <c r="X58" s="1481"/>
      <c r="Y58" s="1428" t="s">
        <v>339</v>
      </c>
      <c r="Z58" s="1481"/>
      <c r="AA58" s="1556" t="s">
        <v>218</v>
      </c>
      <c r="AB58" s="232" t="str">
        <f>"2."&amp;Y58</f>
        <v>2.1</v>
      </c>
      <c r="AC58" s="387" t="s">
        <v>1036</v>
      </c>
      <c r="AD58" s="224" t="s">
        <v>830</v>
      </c>
      <c r="AE58" s="275">
        <f>AE59*AE60</f>
        <v>373.81680000000006</v>
      </c>
      <c r="AF58" s="1197">
        <v>193.92435</v>
      </c>
      <c r="AG58" s="1197">
        <v>193.92435</v>
      </c>
      <c r="AH58" s="275">
        <f>AH59*AH60</f>
        <v>207.60299999999998</v>
      </c>
      <c r="AI58" s="227">
        <v>230.49487999999999</v>
      </c>
      <c r="AJ58" s="1197"/>
      <c r="AK58" s="1197"/>
      <c r="AL58" s="1197"/>
      <c r="AM58" s="1197"/>
      <c r="AN58" s="1197"/>
      <c r="AO58" s="1197"/>
      <c r="AP58" s="1197"/>
      <c r="AQ58" s="1197"/>
      <c r="AR58" s="1197"/>
      <c r="AS58" s="275">
        <f t="shared" ref="AS58:BB58" si="18">AS59*AS60</f>
        <v>213.3623872</v>
      </c>
      <c r="AT58" s="275">
        <f t="shared" si="18"/>
        <v>0</v>
      </c>
      <c r="AU58" s="275">
        <f t="shared" si="18"/>
        <v>0</v>
      </c>
      <c r="AV58" s="275">
        <f t="shared" si="18"/>
        <v>0</v>
      </c>
      <c r="AW58" s="275">
        <f t="shared" si="18"/>
        <v>0</v>
      </c>
      <c r="AX58" s="275">
        <f t="shared" si="18"/>
        <v>0</v>
      </c>
      <c r="AY58" s="275">
        <f t="shared" si="18"/>
        <v>0</v>
      </c>
      <c r="AZ58" s="275">
        <f t="shared" si="18"/>
        <v>0</v>
      </c>
      <c r="BA58" s="275">
        <f t="shared" si="18"/>
        <v>0</v>
      </c>
      <c r="BB58" s="275">
        <f t="shared" si="18"/>
        <v>0</v>
      </c>
      <c r="BC58" s="1231"/>
      <c r="BF58" s="1010" t="s">
        <v>1212</v>
      </c>
      <c r="BG58" s="1010" t="s">
        <v>1213</v>
      </c>
      <c r="BH58" s="1010" t="str" cm="1">
        <f t="array" ref="BH58">AC58</f>
        <v>МУП "Междуреченский Водоканал"::4214040174::421401001</v>
      </c>
      <c r="BI58" s="1010" t="str" cm="1">
        <f t="array" ref="BI58">AD60</f>
        <v>тыс.куб.м</v>
      </c>
      <c r="BJ58" s="1011"/>
      <c r="BK58" s="1011" t="b">
        <v>1</v>
      </c>
    </row>
    <row r="59" spans="1:63" s="1146" customFormat="1" ht="16.5" customHeight="1" x14ac:dyDescent="0.15">
      <c r="E59" s="668">
        <v>17</v>
      </c>
      <c r="F59" s="769" t="str" cm="1">
        <f t="array" aca="1" ref="F59" ca="1">F57</f>
        <v>1</v>
      </c>
      <c r="G59" s="140" t="s">
        <v>201</v>
      </c>
      <c r="H59" s="103" t="str" cm="1">
        <f t="array" ref="H59">H58</f>
        <v>МУП "Междуреченский Водоканал"::4214040174::421401001</v>
      </c>
      <c r="T59" s="690" t="b" cm="1">
        <f t="array" aca="1" ref="T59" ca="1">T58</f>
        <v>1</v>
      </c>
      <c r="X59" s="1566"/>
      <c r="Y59" s="1566"/>
      <c r="Z59" s="1566"/>
      <c r="AA59" s="1556"/>
      <c r="AB59" s="232" t="str">
        <f>AB58&amp;".1"</f>
        <v>2.1.1</v>
      </c>
      <c r="AC59" s="238" t="s">
        <v>966</v>
      </c>
      <c r="AD59" s="1274" t="s">
        <v>1225</v>
      </c>
      <c r="AE59" s="1197">
        <v>41.535200000000003</v>
      </c>
      <c r="AF59" s="275">
        <f>IF(AF60=0,0,AF58/AF60)</f>
        <v>41.578977272727279</v>
      </c>
      <c r="AG59" s="275">
        <f>IF(AG60=0,0,AG58/AG60)</f>
        <v>41.578977272727279</v>
      </c>
      <c r="AH59" s="1197">
        <v>44.55</v>
      </c>
      <c r="AI59" s="275">
        <f t="shared" ref="AI59:AR59" si="19">IF(AI60=0,0,AI58/AI60)</f>
        <v>49.42</v>
      </c>
      <c r="AJ59" s="275">
        <f t="shared" si="19"/>
        <v>0</v>
      </c>
      <c r="AK59" s="275">
        <f t="shared" si="19"/>
        <v>0</v>
      </c>
      <c r="AL59" s="275">
        <f t="shared" si="19"/>
        <v>0</v>
      </c>
      <c r="AM59" s="275">
        <f t="shared" si="19"/>
        <v>0</v>
      </c>
      <c r="AN59" s="275">
        <f t="shared" si="19"/>
        <v>0</v>
      </c>
      <c r="AO59" s="275">
        <f t="shared" si="19"/>
        <v>0</v>
      </c>
      <c r="AP59" s="275">
        <f t="shared" si="19"/>
        <v>0</v>
      </c>
      <c r="AQ59" s="275">
        <f t="shared" si="19"/>
        <v>0</v>
      </c>
      <c r="AR59" s="275">
        <f t="shared" si="19"/>
        <v>0</v>
      </c>
      <c r="AS59" s="227">
        <v>45.785919999999997</v>
      </c>
      <c r="AT59" s="1197"/>
      <c r="AU59" s="1197"/>
      <c r="AV59" s="1197"/>
      <c r="AW59" s="1197"/>
      <c r="AX59" s="1197"/>
      <c r="AY59" s="1197"/>
      <c r="AZ59" s="1197"/>
      <c r="BA59" s="1197"/>
      <c r="BB59" s="1197"/>
      <c r="BC59" s="1231"/>
      <c r="BF59" s="1010" t="s">
        <v>1214</v>
      </c>
      <c r="BG59" s="1010" t="s">
        <v>1213</v>
      </c>
      <c r="BH59" s="1010" t="str" cm="1">
        <f t="array" ref="BH59">BH58</f>
        <v>МУП "Междуреченский Водоканал"::4214040174::421401001</v>
      </c>
      <c r="BI59" s="1010" t="str" cm="1">
        <f t="array" ref="BI59">BI58</f>
        <v>тыс.куб.м</v>
      </c>
      <c r="BJ59" s="1011"/>
      <c r="BK59" s="1011"/>
    </row>
    <row r="60" spans="1:63" s="1167" customFormat="1" ht="16.5" customHeight="1" x14ac:dyDescent="0.15">
      <c r="A60" s="918" t="str">
        <f ca="1">"checkVolume_2."&amp;F60&amp;"."&amp;Y58</f>
        <v>checkVolume_2.1.1</v>
      </c>
      <c r="E60" s="668">
        <v>17</v>
      </c>
      <c r="F60" s="769" t="str" cm="1">
        <f t="array" aca="1" ref="F60" ca="1">F58</f>
        <v>1</v>
      </c>
      <c r="G60" s="140" t="s">
        <v>201</v>
      </c>
      <c r="H60" s="103" t="str" cm="1">
        <f t="array" ref="H60">H58</f>
        <v>МУП "Междуреченский Водоканал"::4214040174::421401001</v>
      </c>
      <c r="T60" s="690" t="b" cm="1">
        <f t="array" aca="1" ref="T60" ca="1">T58</f>
        <v>1</v>
      </c>
      <c r="X60" s="1481"/>
      <c r="Y60" s="1481"/>
      <c r="Z60" s="1481"/>
      <c r="AA60" s="1556"/>
      <c r="AB60" s="232" t="str">
        <f>AB58&amp;".2"</f>
        <v>2.1.2</v>
      </c>
      <c r="AC60" s="238" t="s">
        <v>1207</v>
      </c>
      <c r="AD60" s="1274" t="s">
        <v>1024</v>
      </c>
      <c r="AE60" s="1197">
        <v>9</v>
      </c>
      <c r="AF60" s="1197">
        <v>4.6639999999999997</v>
      </c>
      <c r="AG60" s="1197">
        <v>4.6639999999999997</v>
      </c>
      <c r="AH60" s="1197">
        <v>4.66</v>
      </c>
      <c r="AI60" s="227">
        <v>4.6639999999999997</v>
      </c>
      <c r="AJ60" s="1197"/>
      <c r="AK60" s="1197"/>
      <c r="AL60" s="1197"/>
      <c r="AM60" s="1197"/>
      <c r="AN60" s="1197"/>
      <c r="AO60" s="1197"/>
      <c r="AP60" s="1197"/>
      <c r="AQ60" s="1197"/>
      <c r="AR60" s="1197"/>
      <c r="AS60" s="227">
        <v>4.66</v>
      </c>
      <c r="AT60" s="1197"/>
      <c r="AU60" s="1197"/>
      <c r="AV60" s="1197"/>
      <c r="AW60" s="1197"/>
      <c r="AX60" s="1197"/>
      <c r="AY60" s="1197"/>
      <c r="AZ60" s="1197"/>
      <c r="BA60" s="1197"/>
      <c r="BB60" s="1197"/>
      <c r="BC60" s="1231"/>
      <c r="BF60" s="1010" t="s">
        <v>1215</v>
      </c>
      <c r="BG60" s="1010" t="s">
        <v>1213</v>
      </c>
      <c r="BH60" s="1010" t="str" cm="1">
        <f t="array" ref="BH60">BH58</f>
        <v>МУП "Междуреченский Водоканал"::4214040174::421401001</v>
      </c>
      <c r="BI60" s="1010" t="str" cm="1">
        <f t="array" ref="BI60">BI58</f>
        <v>тыс.куб.м</v>
      </c>
      <c r="BJ60" s="1011"/>
      <c r="BK60" s="1011"/>
    </row>
    <row r="61" spans="1:63" s="1167" customFormat="1" ht="16.5" customHeight="1" x14ac:dyDescent="0.15">
      <c r="A61" s="1149"/>
      <c r="B61" s="773"/>
      <c r="C61" s="1149"/>
      <c r="D61" s="1149"/>
      <c r="E61" s="668">
        <v>17</v>
      </c>
      <c r="F61" s="769" t="str" cm="1">
        <f t="array" ref="F61">F54</f>
        <v>1</v>
      </c>
      <c r="G61" s="140" t="str">
        <f>F61&amp;"pIns5"</f>
        <v>1pIns5</v>
      </c>
      <c r="H61" s="1153"/>
      <c r="I61" s="1153"/>
      <c r="J61" s="1153"/>
      <c r="K61" s="1153"/>
      <c r="L61" s="1153"/>
      <c r="M61" s="1153"/>
      <c r="N61" s="1153"/>
      <c r="O61" s="1153"/>
      <c r="P61" s="1153"/>
      <c r="Q61" s="140"/>
      <c r="R61" s="140"/>
      <c r="S61" s="1153"/>
      <c r="T61" s="690" t="b">
        <f>F61&gt;0</f>
        <v>1</v>
      </c>
      <c r="U61" s="1150"/>
      <c r="V61" s="1150"/>
      <c r="W61" s="312" t="s">
        <v>1216</v>
      </c>
      <c r="X61" s="1428"/>
      <c r="Y61" s="1150"/>
      <c r="Z61" s="1428"/>
      <c r="AA61" s="170"/>
      <c r="AB61" s="246"/>
      <c r="AC61" s="247" t="s">
        <v>1002</v>
      </c>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899"/>
      <c r="BD61" s="170"/>
      <c r="BE61" s="170"/>
      <c r="BF61" s="1010" t="str">
        <f>IF(AND(ISNUMBER(VALUE(TRIM(SUBSTITUTE(AB61,".","")))),TRIM(SUBSTITUTE(AB61,".",""))&lt;&gt;""),"P"&amp;SUBSTITUTE(AB61,".",""),"")</f>
        <v/>
      </c>
      <c r="BG61" s="1010"/>
      <c r="BH61" s="1010"/>
      <c r="BI61" s="1010"/>
      <c r="BJ61" s="1011" t="s">
        <v>1213</v>
      </c>
      <c r="BK61" s="1011"/>
    </row>
    <row r="62" spans="1:63" s="1167" customFormat="1" ht="16.5" customHeight="1" x14ac:dyDescent="0.15">
      <c r="A62" s="1149"/>
      <c r="B62" s="773"/>
      <c r="C62" s="1149"/>
      <c r="D62" s="1149"/>
      <c r="E62" s="668">
        <v>17</v>
      </c>
      <c r="F62" s="769" t="str" cm="1">
        <f t="array" ref="F62">F61</f>
        <v>1</v>
      </c>
      <c r="G62" s="140" t="s">
        <v>1217</v>
      </c>
      <c r="H62" s="1153"/>
      <c r="I62" s="1153"/>
      <c r="J62" s="1153"/>
      <c r="K62" s="1153"/>
      <c r="L62" s="1153"/>
      <c r="M62" s="1153"/>
      <c r="N62" s="1153"/>
      <c r="O62" s="1153"/>
      <c r="P62" s="1153"/>
      <c r="Q62" s="140"/>
      <c r="R62" s="140"/>
      <c r="S62" s="1153"/>
      <c r="T62" s="690" t="b">
        <f>F62&gt;0</f>
        <v>1</v>
      </c>
      <c r="U62" s="1150"/>
      <c r="V62" s="1150"/>
      <c r="W62" s="1150"/>
      <c r="X62" s="1428"/>
      <c r="Y62" s="1150"/>
      <c r="Z62" s="1428"/>
      <c r="AA62" s="170"/>
      <c r="AB62" s="230">
        <v>3</v>
      </c>
      <c r="AC62" s="225" t="s">
        <v>1218</v>
      </c>
      <c r="AD62" s="224" t="s">
        <v>830</v>
      </c>
      <c r="AE62" s="226">
        <f t="shared" ref="AE62:BB62" si="20">SUMIF($AD63:$AD67,$AD62,AE63:AE67)</f>
        <v>0</v>
      </c>
      <c r="AF62" s="226">
        <f t="shared" si="20"/>
        <v>0</v>
      </c>
      <c r="AG62" s="226">
        <f t="shared" si="20"/>
        <v>0</v>
      </c>
      <c r="AH62" s="226">
        <f t="shared" si="20"/>
        <v>0</v>
      </c>
      <c r="AI62" s="226">
        <f t="shared" si="20"/>
        <v>0</v>
      </c>
      <c r="AJ62" s="1263">
        <f t="shared" si="20"/>
        <v>0</v>
      </c>
      <c r="AK62" s="1263">
        <f t="shared" si="20"/>
        <v>0</v>
      </c>
      <c r="AL62" s="1270">
        <f t="shared" si="20"/>
        <v>0</v>
      </c>
      <c r="AM62" s="1270">
        <f t="shared" si="20"/>
        <v>0</v>
      </c>
      <c r="AN62" s="1270">
        <f t="shared" si="20"/>
        <v>0</v>
      </c>
      <c r="AO62" s="1270">
        <f t="shared" si="20"/>
        <v>0</v>
      </c>
      <c r="AP62" s="1270">
        <f t="shared" si="20"/>
        <v>0</v>
      </c>
      <c r="AQ62" s="1270">
        <f t="shared" si="20"/>
        <v>0</v>
      </c>
      <c r="AR62" s="1270">
        <f t="shared" si="20"/>
        <v>0</v>
      </c>
      <c r="AS62" s="226">
        <f t="shared" si="20"/>
        <v>0</v>
      </c>
      <c r="AT62" s="1263">
        <f t="shared" si="20"/>
        <v>0</v>
      </c>
      <c r="AU62" s="1263">
        <f t="shared" si="20"/>
        <v>0</v>
      </c>
      <c r="AV62" s="1270">
        <f t="shared" si="20"/>
        <v>0</v>
      </c>
      <c r="AW62" s="1270">
        <f t="shared" si="20"/>
        <v>0</v>
      </c>
      <c r="AX62" s="1270">
        <f t="shared" si="20"/>
        <v>0</v>
      </c>
      <c r="AY62" s="1270">
        <f t="shared" si="20"/>
        <v>0</v>
      </c>
      <c r="AZ62" s="1270">
        <f t="shared" si="20"/>
        <v>0</v>
      </c>
      <c r="BA62" s="1270">
        <f t="shared" si="20"/>
        <v>0</v>
      </c>
      <c r="BB62" s="1270">
        <f t="shared" si="20"/>
        <v>0</v>
      </c>
      <c r="BC62" s="1231"/>
      <c r="BD62" s="170"/>
      <c r="BE62" s="170"/>
      <c r="BF62" s="1010" t="s">
        <v>1219</v>
      </c>
      <c r="BG62" s="1010"/>
      <c r="BH62" s="1010"/>
      <c r="BI62" s="1010"/>
      <c r="BJ62" s="1011"/>
      <c r="BK62" s="1011"/>
    </row>
    <row r="63" spans="1:63" s="1167" customFormat="1" ht="0" hidden="1" customHeight="1" x14ac:dyDescent="0.15">
      <c r="A63" s="1149"/>
      <c r="B63" s="773"/>
      <c r="C63" s="1149"/>
      <c r="D63" s="1149"/>
      <c r="E63" s="668">
        <v>0.2</v>
      </c>
      <c r="F63" s="769" t="str" cm="1">
        <f t="array" ref="F63">F62</f>
        <v>1</v>
      </c>
      <c r="G63" s="1153"/>
      <c r="H63" s="1153"/>
      <c r="I63" s="1153"/>
      <c r="J63" s="1153"/>
      <c r="K63" s="1153"/>
      <c r="L63" s="1153"/>
      <c r="M63" s="1153"/>
      <c r="N63" s="1153"/>
      <c r="O63" s="1153"/>
      <c r="P63" s="1153"/>
      <c r="Q63" s="140"/>
      <c r="R63" s="140"/>
      <c r="S63" s="1153"/>
      <c r="T63" s="690" t="b">
        <v>0</v>
      </c>
      <c r="U63" s="1150"/>
      <c r="V63" s="1150"/>
      <c r="W63" s="1150"/>
      <c r="X63" s="1428"/>
      <c r="Y63" s="1150"/>
      <c r="Z63" s="1428"/>
      <c r="AA63" s="170"/>
      <c r="AB63" s="230"/>
      <c r="AC63" s="225"/>
      <c r="AD63" s="224"/>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37"/>
      <c r="BD63" s="170"/>
      <c r="BE63" s="170"/>
      <c r="BF63" s="1010" t="str">
        <f>IF(AND(ISNUMBER(VALUE(TRIM(SUBSTITUTE(AB63,".","")))),TRIM(SUBSTITUTE(AB63,".",""))&lt;&gt;""),"P"&amp;SUBSTITUTE(AB63,".",""),"")</f>
        <v/>
      </c>
      <c r="BG63" s="1010"/>
      <c r="BH63" s="1010"/>
      <c r="BI63" s="1010"/>
      <c r="BJ63" s="1011"/>
      <c r="BK63" s="1011"/>
    </row>
    <row r="64" spans="1:63" s="1167" customFormat="1" ht="21.75" hidden="1" customHeight="1" x14ac:dyDescent="0.15">
      <c r="A64" s="918" t="str">
        <f ca="1">"checkCosts_3."&amp;F64&amp;"."&amp;Y64</f>
        <v>checkCosts_3.1.0</v>
      </c>
      <c r="B64" s="773"/>
      <c r="C64" s="1149"/>
      <c r="D64" s="1149"/>
      <c r="E64" s="668">
        <v>22.8</v>
      </c>
      <c r="F64" s="769" t="str" cm="1">
        <f t="array" aca="1" ref="F64" ca="1">OFFSET(G64,-1,-1)</f>
        <v>1</v>
      </c>
      <c r="G64" s="140" t="s">
        <v>1217</v>
      </c>
      <c r="H64" s="103" cm="1">
        <f t="array" ref="H64">AC64</f>
        <v>0</v>
      </c>
      <c r="I64" s="1153"/>
      <c r="J64" s="1153"/>
      <c r="K64" s="1153"/>
      <c r="L64" s="1153"/>
      <c r="M64" s="1153"/>
      <c r="N64" s="1153"/>
      <c r="O64" s="1153"/>
      <c r="P64" s="1153"/>
      <c r="Q64" s="140"/>
      <c r="R64" s="140"/>
      <c r="S64" s="1153"/>
      <c r="T64" s="690" t="b">
        <f ca="1">AND(F64&gt;0,Y64&gt;0)</f>
        <v>0</v>
      </c>
      <c r="U64" s="1150"/>
      <c r="V64" s="1150"/>
      <c r="W64" s="107" t="s">
        <v>237</v>
      </c>
      <c r="X64" s="1428"/>
      <c r="Y64" s="1428">
        <v>0</v>
      </c>
      <c r="Z64" s="1428"/>
      <c r="AA64" s="1556" t="s">
        <v>218</v>
      </c>
      <c r="AB64" s="232" t="str">
        <f>"3."&amp;Y64</f>
        <v>3.0</v>
      </c>
      <c r="AC64" s="6"/>
      <c r="AD64" s="224" t="s">
        <v>830</v>
      </c>
      <c r="AE64" s="275">
        <f>AE65*AE66</f>
        <v>0</v>
      </c>
      <c r="AF64" s="13"/>
      <c r="AG64" s="13"/>
      <c r="AH64" s="275">
        <f>AH65*AH66</f>
        <v>0</v>
      </c>
      <c r="AI64" s="227"/>
      <c r="AJ64" s="1183"/>
      <c r="AK64" s="1183"/>
      <c r="AL64" s="13"/>
      <c r="AM64" s="13"/>
      <c r="AN64" s="13"/>
      <c r="AO64" s="13"/>
      <c r="AP64" s="13"/>
      <c r="AQ64" s="13"/>
      <c r="AR64" s="13"/>
      <c r="AS64" s="275">
        <f t="shared" ref="AS64:BB64" si="21">AS65*AS66</f>
        <v>0</v>
      </c>
      <c r="AT64" s="275">
        <f t="shared" si="21"/>
        <v>0</v>
      </c>
      <c r="AU64" s="275">
        <f t="shared" si="21"/>
        <v>0</v>
      </c>
      <c r="AV64" s="275">
        <f t="shared" si="21"/>
        <v>0</v>
      </c>
      <c r="AW64" s="275">
        <f t="shared" si="21"/>
        <v>0</v>
      </c>
      <c r="AX64" s="275">
        <f t="shared" si="21"/>
        <v>0</v>
      </c>
      <c r="AY64" s="275">
        <f t="shared" si="21"/>
        <v>0</v>
      </c>
      <c r="AZ64" s="275">
        <f t="shared" si="21"/>
        <v>0</v>
      </c>
      <c r="BA64" s="275">
        <f t="shared" si="21"/>
        <v>0</v>
      </c>
      <c r="BB64" s="275">
        <f t="shared" si="21"/>
        <v>0</v>
      </c>
      <c r="BC64" s="25"/>
      <c r="BD64" s="170"/>
      <c r="BE64" s="170"/>
      <c r="BF64" s="1010" t="s">
        <v>1220</v>
      </c>
      <c r="BG64" s="1010" t="s">
        <v>1221</v>
      </c>
      <c r="BH64" s="1010" cm="1">
        <f t="array" ref="BH64">AC64</f>
        <v>0</v>
      </c>
      <c r="BI64" s="1010" cm="1">
        <f t="array" ref="BI64">AD66</f>
        <v>0</v>
      </c>
      <c r="BJ64" s="1011"/>
      <c r="BK64" s="1011" t="b">
        <v>1</v>
      </c>
    </row>
    <row r="65" spans="1:63" s="1146" customFormat="1" ht="16.5" hidden="1" customHeight="1" x14ac:dyDescent="0.15">
      <c r="E65" s="668">
        <v>17</v>
      </c>
      <c r="F65" s="769" t="str" cm="1">
        <f t="array" ref="F65">F63</f>
        <v>1</v>
      </c>
      <c r="G65" s="140" t="s">
        <v>275</v>
      </c>
      <c r="H65" s="103" cm="1">
        <f t="array" ref="H65">H64</f>
        <v>0</v>
      </c>
      <c r="T65" s="690" t="b" cm="1">
        <f t="array" aca="1" ref="T65" ca="1">T64</f>
        <v>0</v>
      </c>
      <c r="X65" s="1566"/>
      <c r="Y65" s="1566"/>
      <c r="Z65" s="1566"/>
      <c r="AA65" s="1556"/>
      <c r="AB65" s="232" t="str">
        <f>AB64&amp;".1"</f>
        <v>3.0.1</v>
      </c>
      <c r="AC65" s="238" t="s">
        <v>966</v>
      </c>
      <c r="AD65" s="58" t="s">
        <v>247</v>
      </c>
      <c r="AE65" s="13"/>
      <c r="AF65" s="275">
        <f>IF(AF66=0,0,AF64/AF66)</f>
        <v>0</v>
      </c>
      <c r="AG65" s="275">
        <f>IF(AG66=0,0,AG64/AG66)</f>
        <v>0</v>
      </c>
      <c r="AH65" s="13"/>
      <c r="AI65" s="275">
        <f t="shared" ref="AI65:AR65" si="22">IF(AI66=0,0,AI64/AI66)</f>
        <v>0</v>
      </c>
      <c r="AJ65" s="275">
        <f t="shared" si="22"/>
        <v>0</v>
      </c>
      <c r="AK65" s="275">
        <f t="shared" si="22"/>
        <v>0</v>
      </c>
      <c r="AL65" s="275">
        <f t="shared" si="22"/>
        <v>0</v>
      </c>
      <c r="AM65" s="275">
        <f t="shared" si="22"/>
        <v>0</v>
      </c>
      <c r="AN65" s="275">
        <f t="shared" si="22"/>
        <v>0</v>
      </c>
      <c r="AO65" s="275">
        <f t="shared" si="22"/>
        <v>0</v>
      </c>
      <c r="AP65" s="275">
        <f t="shared" si="22"/>
        <v>0</v>
      </c>
      <c r="AQ65" s="275">
        <f t="shared" si="22"/>
        <v>0</v>
      </c>
      <c r="AR65" s="275">
        <f t="shared" si="22"/>
        <v>0</v>
      </c>
      <c r="AS65" s="227"/>
      <c r="AT65" s="1183"/>
      <c r="AU65" s="1183"/>
      <c r="AV65" s="13"/>
      <c r="AW65" s="13"/>
      <c r="AX65" s="13"/>
      <c r="AY65" s="13"/>
      <c r="AZ65" s="13"/>
      <c r="BA65" s="13"/>
      <c r="BB65" s="13"/>
      <c r="BC65" s="25"/>
      <c r="BF65" s="1010" t="s">
        <v>1222</v>
      </c>
      <c r="BG65" s="1010" t="s">
        <v>1221</v>
      </c>
      <c r="BH65" s="1010" cm="1">
        <f t="array" ref="BH65">BH64</f>
        <v>0</v>
      </c>
      <c r="BI65" s="1010" cm="1">
        <f t="array" ref="BI65">BI64</f>
        <v>0</v>
      </c>
      <c r="BJ65" s="1011"/>
      <c r="BK65" s="1011"/>
    </row>
    <row r="66" spans="1:63" s="1167" customFormat="1" ht="16.5" hidden="1" customHeight="1" x14ac:dyDescent="0.15">
      <c r="A66" s="918" t="str">
        <f ca="1">"checkVolume_3."&amp;F66&amp;"."&amp;Y64</f>
        <v>checkVolume_3.1.0</v>
      </c>
      <c r="B66" s="773"/>
      <c r="C66" s="1149"/>
      <c r="D66" s="1149"/>
      <c r="E66" s="668">
        <v>17</v>
      </c>
      <c r="F66" s="769" t="str" cm="1">
        <f t="array" aca="1" ref="F66" ca="1">F64</f>
        <v>1</v>
      </c>
      <c r="G66" s="140" t="s">
        <v>275</v>
      </c>
      <c r="H66" s="103" cm="1">
        <f t="array" ref="H66">H64</f>
        <v>0</v>
      </c>
      <c r="I66" s="1153"/>
      <c r="J66" s="1153"/>
      <c r="K66" s="1153"/>
      <c r="L66" s="1153"/>
      <c r="M66" s="1153"/>
      <c r="N66" s="1153"/>
      <c r="O66" s="1153"/>
      <c r="P66" s="1153"/>
      <c r="Q66" s="140"/>
      <c r="R66" s="140"/>
      <c r="S66" s="1153"/>
      <c r="T66" s="690" t="b" cm="1">
        <f t="array" aca="1" ref="T66" ca="1">T64</f>
        <v>0</v>
      </c>
      <c r="U66" s="1150"/>
      <c r="V66" s="1150"/>
      <c r="W66" s="1150"/>
      <c r="X66" s="1428"/>
      <c r="Y66" s="1428"/>
      <c r="Z66" s="1428"/>
      <c r="AA66" s="1556"/>
      <c r="AB66" s="232" t="str">
        <f>AB64&amp;".2"</f>
        <v>3.0.2</v>
      </c>
      <c r="AC66" s="238" t="s">
        <v>1207</v>
      </c>
      <c r="AD66" s="58"/>
      <c r="AE66" s="13"/>
      <c r="AF66" s="13"/>
      <c r="AG66" s="13"/>
      <c r="AH66" s="13"/>
      <c r="AI66" s="227"/>
      <c r="AJ66" s="1183"/>
      <c r="AK66" s="1183"/>
      <c r="AL66" s="13"/>
      <c r="AM66" s="13"/>
      <c r="AN66" s="13"/>
      <c r="AO66" s="13"/>
      <c r="AP66" s="13"/>
      <c r="AQ66" s="13"/>
      <c r="AR66" s="13"/>
      <c r="AS66" s="227"/>
      <c r="AT66" s="1183"/>
      <c r="AU66" s="1183"/>
      <c r="AV66" s="13"/>
      <c r="AW66" s="13"/>
      <c r="AX66" s="13"/>
      <c r="AY66" s="13"/>
      <c r="AZ66" s="13"/>
      <c r="BA66" s="13"/>
      <c r="BB66" s="13"/>
      <c r="BC66" s="25"/>
      <c r="BD66" s="170"/>
      <c r="BE66" s="170"/>
      <c r="BF66" s="1010" t="s">
        <v>1223</v>
      </c>
      <c r="BG66" s="1010" t="s">
        <v>1221</v>
      </c>
      <c r="BH66" s="1010" cm="1">
        <f t="array" ref="BH66">BH64</f>
        <v>0</v>
      </c>
      <c r="BI66" s="1010" cm="1">
        <f t="array" ref="BI66">BI64</f>
        <v>0</v>
      </c>
      <c r="BJ66" s="1011"/>
      <c r="BK66" s="1011"/>
    </row>
    <row r="67" spans="1:63" s="1167" customFormat="1" ht="16.5" customHeight="1" x14ac:dyDescent="0.15">
      <c r="A67" s="1149"/>
      <c r="B67" s="773"/>
      <c r="C67" s="1149"/>
      <c r="D67" s="1149"/>
      <c r="E67" s="668">
        <v>17</v>
      </c>
      <c r="F67" s="769" t="str" cm="1">
        <f t="array" ref="F67">F63</f>
        <v>1</v>
      </c>
      <c r="G67" s="140" t="str">
        <f>F67&amp;"pIns5"</f>
        <v>1pIns5</v>
      </c>
      <c r="H67" s="1153"/>
      <c r="I67" s="1153"/>
      <c r="J67" s="1153"/>
      <c r="K67" s="1153"/>
      <c r="L67" s="1153"/>
      <c r="M67" s="1153"/>
      <c r="N67" s="1153"/>
      <c r="O67" s="1153"/>
      <c r="P67" s="1153"/>
      <c r="Q67" s="140"/>
      <c r="R67" s="140"/>
      <c r="S67" s="1153"/>
      <c r="T67" s="690" t="b">
        <f>F67&gt;0</f>
        <v>1</v>
      </c>
      <c r="U67" s="1150"/>
      <c r="V67" s="1150"/>
      <c r="W67" s="312" t="s">
        <v>1224</v>
      </c>
      <c r="X67" s="1428"/>
      <c r="Y67" s="1150"/>
      <c r="Z67" s="1428"/>
      <c r="AA67" s="170"/>
      <c r="AB67" s="246"/>
      <c r="AC67" s="247" t="s">
        <v>1002</v>
      </c>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899"/>
      <c r="BD67" s="170"/>
      <c r="BE67" s="170"/>
      <c r="BF67" s="1010"/>
      <c r="BG67" s="1010"/>
      <c r="BH67" s="1010"/>
      <c r="BI67" s="1010"/>
      <c r="BJ67" s="1011" t="s">
        <v>1221</v>
      </c>
      <c r="BK67" s="1011"/>
    </row>
    <row r="68" spans="1:63" ht="16.5" customHeight="1" x14ac:dyDescent="0.15">
      <c r="E68" s="668">
        <v>17</v>
      </c>
      <c r="U68" s="126" t="s">
        <v>239</v>
      </c>
      <c r="V68" s="119" t="s">
        <v>1226</v>
      </c>
    </row>
    <row r="69" spans="1:63" ht="11.25" hidden="1" customHeight="1" x14ac:dyDescent="0.15">
      <c r="E69" s="668">
        <v>0</v>
      </c>
      <c r="AB69" s="149"/>
      <c r="AC69" s="134"/>
      <c r="AD69" s="134"/>
      <c r="AE69" s="134"/>
      <c r="AF69" s="134"/>
      <c r="AG69" s="134"/>
      <c r="AH69" s="134"/>
      <c r="AI69" s="134"/>
      <c r="AJ69" s="134"/>
      <c r="AK69" s="134"/>
      <c r="AL69" s="134"/>
      <c r="AM69" s="134"/>
      <c r="AN69" s="134"/>
      <c r="AO69" s="134"/>
      <c r="AP69" s="134"/>
      <c r="AQ69" s="134"/>
      <c r="AR69" s="134"/>
      <c r="AS69" s="134"/>
      <c r="AT69" s="134"/>
      <c r="AU69" s="134"/>
      <c r="AV69" s="134"/>
      <c r="AW69" s="134"/>
      <c r="AX69" s="134"/>
      <c r="AY69" s="134"/>
      <c r="AZ69" s="134"/>
      <c r="BA69" s="134"/>
      <c r="BB69" s="134"/>
      <c r="BC69" s="134"/>
    </row>
    <row r="70" spans="1:63" s="417" customFormat="1" ht="14.65" customHeight="1" x14ac:dyDescent="0.15">
      <c r="A70" s="123"/>
      <c r="B70" s="659"/>
      <c r="C70" s="123"/>
      <c r="D70" s="123"/>
      <c r="E70" s="668">
        <v>15</v>
      </c>
      <c r="F70" s="123"/>
      <c r="Q70" s="612"/>
      <c r="R70" s="612"/>
      <c r="T70" s="123"/>
      <c r="U70" s="123"/>
      <c r="V70" s="123"/>
      <c r="W70" s="123"/>
      <c r="X70" s="123"/>
      <c r="Y70" s="123"/>
      <c r="Z70" s="123"/>
      <c r="AB70" s="1558" t="s">
        <v>725</v>
      </c>
      <c r="AC70" s="1558"/>
      <c r="AD70" s="1558"/>
      <c r="AE70" s="1558"/>
      <c r="AF70" s="1558"/>
      <c r="AG70" s="1558"/>
      <c r="AH70" s="1558"/>
      <c r="AI70" s="1559"/>
      <c r="AJ70" s="1559"/>
      <c r="AK70" s="1559"/>
      <c r="AL70" s="1559"/>
      <c r="AM70" s="1559"/>
      <c r="AN70" s="1559"/>
      <c r="AO70" s="1559"/>
      <c r="AP70" s="1559"/>
      <c r="AQ70" s="1559"/>
      <c r="AR70" s="1559"/>
      <c r="AS70" s="1559"/>
      <c r="AT70" s="1559"/>
      <c r="AU70" s="1559"/>
      <c r="AV70" s="1559"/>
      <c r="AW70" s="1559"/>
      <c r="AX70" s="1559"/>
      <c r="AY70" s="1559"/>
      <c r="AZ70" s="1559"/>
      <c r="BA70" s="1559"/>
      <c r="BB70" s="1559"/>
      <c r="BC70" s="1559"/>
      <c r="BF70" s="1014"/>
      <c r="BG70" s="1014"/>
      <c r="BH70" s="1014"/>
      <c r="BI70" s="1014"/>
      <c r="BJ70" s="1015"/>
      <c r="BK70" s="1015"/>
    </row>
    <row r="71" spans="1:63" s="417" customFormat="1" ht="14.65" customHeight="1" x14ac:dyDescent="0.15">
      <c r="A71" s="123"/>
      <c r="B71" s="659"/>
      <c r="C71" s="123"/>
      <c r="D71" s="123"/>
      <c r="E71" s="668">
        <v>15</v>
      </c>
      <c r="F71" s="123"/>
      <c r="Q71" s="612"/>
      <c r="R71" s="612"/>
      <c r="T71" s="123"/>
      <c r="U71" s="123"/>
      <c r="V71" s="123"/>
      <c r="W71" s="123"/>
      <c r="X71" s="123"/>
      <c r="Y71" s="123"/>
      <c r="Z71" s="123"/>
      <c r="AA71" s="768"/>
      <c r="AB71" s="1560"/>
      <c r="AC71" s="1560"/>
      <c r="AD71" s="1560"/>
      <c r="AE71" s="1560"/>
      <c r="AF71" s="1560"/>
      <c r="AG71" s="1560"/>
      <c r="AH71" s="1560"/>
      <c r="AI71" s="1561"/>
      <c r="AJ71" s="1562"/>
      <c r="AK71" s="1562"/>
      <c r="AL71" s="1562"/>
      <c r="AM71" s="1562"/>
      <c r="AN71" s="1562"/>
      <c r="AO71" s="1562"/>
      <c r="AP71" s="1562"/>
      <c r="AQ71" s="1562"/>
      <c r="AR71" s="1562"/>
      <c r="AS71" s="1561"/>
      <c r="AT71" s="1562"/>
      <c r="AU71" s="1562"/>
      <c r="AV71" s="1562"/>
      <c r="AW71" s="1562"/>
      <c r="AX71" s="1562"/>
      <c r="AY71" s="1562"/>
      <c r="AZ71" s="1562"/>
      <c r="BA71" s="1562"/>
      <c r="BB71" s="1562"/>
      <c r="BC71" s="1561"/>
      <c r="BF71" s="1014"/>
      <c r="BG71" s="1014"/>
      <c r="BH71" s="1014"/>
      <c r="BI71" s="1014"/>
      <c r="BJ71" s="1015"/>
      <c r="BK71" s="1015"/>
    </row>
    <row r="72" spans="1:63" s="417" customFormat="1" ht="14.65" hidden="1" customHeight="1" x14ac:dyDescent="0.15">
      <c r="A72" s="123"/>
      <c r="B72" s="659"/>
      <c r="C72" s="123"/>
      <c r="D72" s="123"/>
      <c r="E72" s="668">
        <v>15</v>
      </c>
      <c r="F72" s="123"/>
      <c r="Q72" s="612"/>
      <c r="R72" s="612"/>
      <c r="T72" s="679" t="b">
        <f>ROW(W72)&gt;ROW(W$72)</f>
        <v>0</v>
      </c>
      <c r="U72" s="123"/>
      <c r="V72" s="126"/>
      <c r="W72" s="123" t="s">
        <v>237</v>
      </c>
      <c r="X72" s="123"/>
      <c r="Y72" s="123"/>
      <c r="Z72" s="123"/>
      <c r="AA72" s="764" t="s">
        <v>218</v>
      </c>
      <c r="AB72" s="1565"/>
      <c r="AC72" s="1565"/>
      <c r="AD72" s="1565"/>
      <c r="AE72" s="1565"/>
      <c r="AF72" s="1565"/>
      <c r="AG72" s="1565"/>
      <c r="AH72" s="1565"/>
      <c r="AI72" s="1561"/>
      <c r="AJ72" s="1562"/>
      <c r="AK72" s="1562"/>
      <c r="AL72" s="1562"/>
      <c r="AM72" s="1562"/>
      <c r="AN72" s="1562"/>
      <c r="AO72" s="1562"/>
      <c r="AP72" s="1562"/>
      <c r="AQ72" s="1562"/>
      <c r="AR72" s="1562"/>
      <c r="AS72" s="1561"/>
      <c r="AT72" s="1562"/>
      <c r="AU72" s="1562"/>
      <c r="AV72" s="1562"/>
      <c r="AW72" s="1562"/>
      <c r="AX72" s="1562"/>
      <c r="AY72" s="1562"/>
      <c r="AZ72" s="1562"/>
      <c r="BA72" s="1562"/>
      <c r="BB72" s="1562"/>
      <c r="BC72" s="1562"/>
      <c r="BF72" s="1014"/>
      <c r="BG72" s="1014"/>
      <c r="BH72" s="1014"/>
      <c r="BI72" s="1014"/>
      <c r="BJ72" s="1015"/>
      <c r="BK72" s="1015"/>
    </row>
    <row r="73" spans="1:63" s="417" customFormat="1" ht="14.65" customHeight="1" x14ac:dyDescent="0.15">
      <c r="A73" s="123"/>
      <c r="B73" s="659"/>
      <c r="C73" s="123"/>
      <c r="D73" s="123"/>
      <c r="E73" s="668">
        <v>15</v>
      </c>
      <c r="F73" s="123"/>
      <c r="Q73" s="612"/>
      <c r="R73" s="612"/>
      <c r="T73" s="123"/>
      <c r="U73" s="123"/>
      <c r="V73" s="123"/>
      <c r="W73" s="119" t="s">
        <v>1227</v>
      </c>
      <c r="X73" s="123"/>
      <c r="Y73" s="123"/>
      <c r="Z73" s="123"/>
      <c r="AB73" s="1500" t="s">
        <v>726</v>
      </c>
      <c r="AC73" s="1501"/>
      <c r="AD73" s="317"/>
      <c r="AE73" s="317"/>
      <c r="AF73" s="318"/>
      <c r="AG73" s="318"/>
      <c r="AH73" s="318"/>
      <c r="AI73" s="318"/>
      <c r="AJ73" s="318"/>
      <c r="AK73" s="318"/>
      <c r="AL73" s="318"/>
      <c r="AM73" s="318"/>
      <c r="AN73" s="318"/>
      <c r="AO73" s="318"/>
      <c r="AP73" s="318"/>
      <c r="AQ73" s="318"/>
      <c r="AR73" s="318"/>
      <c r="AS73" s="318"/>
      <c r="AT73" s="318"/>
      <c r="AU73" s="318"/>
      <c r="AV73" s="318"/>
      <c r="AW73" s="318"/>
      <c r="AX73" s="318"/>
      <c r="AY73" s="318"/>
      <c r="AZ73" s="318"/>
      <c r="BA73" s="318"/>
      <c r="BB73" s="318"/>
      <c r="BC73" s="319"/>
      <c r="BF73" s="1014"/>
      <c r="BG73" s="1014"/>
      <c r="BH73" s="1014"/>
      <c r="BI73" s="1014"/>
      <c r="BJ73" s="1015"/>
      <c r="BK73" s="1015"/>
    </row>
  </sheetData>
  <sheetProtection formatColumns="0" formatRows="0" insertRows="0" deleteColumns="0" deleteRows="0" sort="0" autoFilter="0"/>
  <mergeCells count="26">
    <mergeCell ref="X27:X45"/>
    <mergeCell ref="Y30:Y32"/>
    <mergeCell ref="Y36:Y38"/>
    <mergeCell ref="Y42:Y44"/>
    <mergeCell ref="Z27:Z45"/>
    <mergeCell ref="AB72:BC72"/>
    <mergeCell ref="AB73:AC73"/>
    <mergeCell ref="AB70:BC70"/>
    <mergeCell ref="AB71:BC71"/>
    <mergeCell ref="AA36:AA38"/>
    <mergeCell ref="AA42:AA44"/>
    <mergeCell ref="AA55:AA57"/>
    <mergeCell ref="AA64:AA66"/>
    <mergeCell ref="AA49:AA51"/>
    <mergeCell ref="AA58:AA60"/>
    <mergeCell ref="AB24:AB25"/>
    <mergeCell ref="AC24:AC25"/>
    <mergeCell ref="AD24:AD25"/>
    <mergeCell ref="BC24:BC25"/>
    <mergeCell ref="AA30:AA32"/>
    <mergeCell ref="X46:X67"/>
    <mergeCell ref="Y49:Y51"/>
    <mergeCell ref="Y55:Y57"/>
    <mergeCell ref="Y64:Y66"/>
    <mergeCell ref="Z46:Z67"/>
    <mergeCell ref="Y58:Y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xr:uid="{00000000-0002-0000-10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5DAA8-E0F8-54D8-F318-70AFE22081E8}">
  <sheetPr>
    <tabColor rgb="FF002060"/>
    <outlinePr summaryBelow="0"/>
    <pageSetUpPr fitToPage="1"/>
  </sheetPr>
  <dimension ref="A1:AR83"/>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1152" hidden="1" customWidth="1"/>
    <col min="2" max="2" width="8.5703125" style="773" hidden="1" customWidth="1"/>
    <col min="3" max="4" width="3.5703125" style="1152" hidden="1" customWidth="1"/>
    <col min="5" max="5" width="8.42578125" style="772" hidden="1" customWidth="1"/>
    <col min="6" max="6" width="6.42578125" style="1152" hidden="1" customWidth="1"/>
    <col min="7" max="16" width="3.5703125" style="417" hidden="1" customWidth="1"/>
    <col min="17" max="18" width="3.5703125" style="774" hidden="1" customWidth="1"/>
    <col min="19" max="19" width="3.5703125" style="417" hidden="1" customWidth="1"/>
    <col min="20" max="20" width="8.5703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17" customWidth="1"/>
    <col min="28" max="28" width="5.140625" style="417" customWidth="1"/>
    <col min="29" max="29" width="56.7109375" style="417" customWidth="1"/>
    <col min="30" max="30" width="12.140625" style="417" customWidth="1"/>
    <col min="31" max="36" width="13.140625" style="417" customWidth="1"/>
    <col min="37" max="37" width="30.7109375" style="417" customWidth="1"/>
    <col min="38" max="38" width="3" style="417" customWidth="1"/>
    <col min="39" max="39" width="9.140625" style="417" hidden="1"/>
    <col min="40" max="40" width="16.42578125" style="1005" hidden="1" customWidth="1"/>
    <col min="41" max="41" width="11.7109375" style="1005" hidden="1" customWidth="1"/>
    <col min="42" max="42" width="11.28515625" style="1005" hidden="1" customWidth="1"/>
    <col min="43" max="43" width="16.140625" style="1016" hidden="1" customWidth="1"/>
    <col min="44" max="44" width="9.140625" style="1016" hidden="1"/>
  </cols>
  <sheetData>
    <row r="1" spans="1:44" s="1152" customFormat="1" ht="12" hidden="1" customHeight="1" x14ac:dyDescent="0.15">
      <c r="B1" s="659"/>
      <c r="E1" s="659"/>
      <c r="F1" s="690" t="s">
        <v>83</v>
      </c>
      <c r="G1" s="160"/>
      <c r="H1" s="160"/>
      <c r="I1" s="160"/>
      <c r="J1" s="160"/>
      <c r="K1" s="160"/>
      <c r="L1" s="160"/>
      <c r="M1" s="160"/>
      <c r="N1" s="160"/>
      <c r="O1" s="160"/>
      <c r="P1" s="160"/>
      <c r="Q1" s="612"/>
      <c r="R1" s="612"/>
      <c r="S1" s="160"/>
      <c r="T1" s="679" t="s">
        <v>86</v>
      </c>
      <c r="U1" s="679" t="s">
        <v>91</v>
      </c>
      <c r="V1" s="679" t="s">
        <v>87</v>
      </c>
      <c r="W1" s="679" t="s">
        <v>88</v>
      </c>
      <c r="X1" s="679" t="s">
        <v>89</v>
      </c>
      <c r="Y1" s="690" t="s">
        <v>374</v>
      </c>
      <c r="Z1" s="679" t="s">
        <v>93</v>
      </c>
      <c r="AA1" s="690" t="s">
        <v>90</v>
      </c>
      <c r="AB1" s="690" t="s">
        <v>92</v>
      </c>
      <c r="AC1" s="690" t="s">
        <v>92</v>
      </c>
      <c r="AN1" s="971" t="s">
        <v>375</v>
      </c>
      <c r="AO1" s="971" t="s">
        <v>376</v>
      </c>
      <c r="AP1" s="971" t="s">
        <v>377</v>
      </c>
      <c r="AQ1" s="974" t="s">
        <v>380</v>
      </c>
      <c r="AR1" s="974" t="s">
        <v>381</v>
      </c>
    </row>
    <row r="2" spans="1:44" s="773" customFormat="1" ht="12" hidden="1" customHeight="1" x14ac:dyDescent="0.15">
      <c r="B2" s="758" t="s">
        <v>15</v>
      </c>
      <c r="G2" s="776"/>
      <c r="H2" s="776"/>
      <c r="I2" s="776"/>
      <c r="J2" s="776"/>
      <c r="K2" s="776"/>
      <c r="L2" s="776"/>
      <c r="M2" s="776"/>
      <c r="N2" s="776"/>
      <c r="O2" s="776"/>
      <c r="P2" s="776"/>
      <c r="Q2" s="776"/>
      <c r="R2" s="776"/>
      <c r="S2" s="776"/>
      <c r="AI2" s="680" t="b">
        <f>AI6&lt;=last_year_vis</f>
        <v>1</v>
      </c>
      <c r="AJ2" s="680" t="b">
        <f>AJ6&lt;=last_year_vis</f>
        <v>1</v>
      </c>
      <c r="AN2" s="963"/>
      <c r="AO2" s="963"/>
      <c r="AP2" s="963"/>
      <c r="AQ2" s="975"/>
      <c r="AR2" s="975"/>
    </row>
    <row r="3" spans="1:44" s="1152" customFormat="1" ht="12" hidden="1" customHeight="1" x14ac:dyDescent="0.15">
      <c r="B3" s="659"/>
      <c r="E3" s="659"/>
      <c r="G3" s="160"/>
      <c r="H3" s="160"/>
      <c r="I3" s="160"/>
      <c r="J3" s="160"/>
      <c r="K3" s="160"/>
      <c r="L3" s="160"/>
      <c r="M3" s="160"/>
      <c r="N3" s="160"/>
      <c r="O3" s="160"/>
      <c r="P3" s="160"/>
      <c r="Q3" s="612"/>
      <c r="R3" s="612"/>
      <c r="S3" s="160"/>
      <c r="AN3" s="971"/>
      <c r="AO3" s="971"/>
      <c r="AP3" s="971"/>
      <c r="AQ3" s="974"/>
      <c r="AR3" s="974"/>
    </row>
    <row r="4" spans="1:44" s="1152" customFormat="1" ht="12" hidden="1" customHeight="1" x14ac:dyDescent="0.15">
      <c r="B4" s="659"/>
      <c r="E4" s="659"/>
      <c r="G4" s="160"/>
      <c r="H4" s="160"/>
      <c r="I4" s="160"/>
      <c r="J4" s="160"/>
      <c r="K4" s="160"/>
      <c r="L4" s="160"/>
      <c r="M4" s="160"/>
      <c r="N4" s="160"/>
      <c r="O4" s="160"/>
      <c r="P4" s="160"/>
      <c r="Q4" s="612"/>
      <c r="R4" s="612"/>
      <c r="S4" s="160"/>
      <c r="AN4" s="971"/>
      <c r="AO4" s="971"/>
      <c r="AP4" s="971"/>
      <c r="AQ4" s="974"/>
      <c r="AR4" s="974"/>
    </row>
    <row r="5" spans="1:44"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5.13</v>
      </c>
      <c r="AC5" s="668">
        <v>56.75</v>
      </c>
      <c r="AD5" s="668">
        <v>12.13</v>
      </c>
      <c r="AE5" s="668">
        <v>13.13</v>
      </c>
      <c r="AF5" s="668">
        <v>13.13</v>
      </c>
      <c r="AG5" s="668">
        <v>13.13</v>
      </c>
      <c r="AH5" s="668">
        <v>13.13</v>
      </c>
      <c r="AI5" s="668">
        <v>13.13</v>
      </c>
      <c r="AJ5" s="668">
        <v>13.13</v>
      </c>
      <c r="AK5" s="668">
        <v>30.75</v>
      </c>
      <c r="AL5" s="668">
        <v>3</v>
      </c>
      <c r="AN5" s="963"/>
      <c r="AO5" s="963"/>
      <c r="AP5" s="963"/>
      <c r="AQ5" s="975"/>
      <c r="AR5" s="975"/>
    </row>
    <row r="6" spans="1:44" s="1152" customFormat="1" ht="12" hidden="1" customHeight="1" x14ac:dyDescent="0.15">
      <c r="B6" s="659"/>
      <c r="E6" s="668"/>
      <c r="G6" s="160"/>
      <c r="H6" s="160"/>
      <c r="I6" s="160"/>
      <c r="J6" s="160"/>
      <c r="K6" s="160"/>
      <c r="L6" s="160"/>
      <c r="M6" s="160"/>
      <c r="N6" s="160"/>
      <c r="O6" s="160"/>
      <c r="P6" s="160"/>
      <c r="Q6" s="612"/>
      <c r="R6" s="612"/>
      <c r="S6" s="160"/>
      <c r="AE6" s="123">
        <f>god-2</f>
        <v>2024</v>
      </c>
      <c r="AF6" s="123">
        <f>god-2</f>
        <v>2024</v>
      </c>
      <c r="AG6" s="123">
        <f>god-2</f>
        <v>2024</v>
      </c>
      <c r="AH6" s="123">
        <f>god-1</f>
        <v>2025</v>
      </c>
      <c r="AI6" s="123" cm="1">
        <f t="array" ref="AI6">god</f>
        <v>2026</v>
      </c>
      <c r="AJ6" s="123" cm="1">
        <f t="array" ref="AJ6">god</f>
        <v>2026</v>
      </c>
      <c r="AK6" s="130"/>
      <c r="AN6" s="971"/>
      <c r="AO6" s="971"/>
      <c r="AP6" s="971"/>
      <c r="AQ6" s="974"/>
      <c r="AR6" s="974"/>
    </row>
    <row r="7" spans="1:44" ht="12" hidden="1" customHeight="1" x14ac:dyDescent="0.15">
      <c r="F7" s="160"/>
      <c r="T7" s="160"/>
      <c r="U7" s="160"/>
      <c r="V7" s="160"/>
      <c r="W7" s="160"/>
      <c r="X7" s="160"/>
      <c r="Y7" s="160"/>
      <c r="Z7" s="160"/>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AJ25</f>
        <v>Принято органом регулирования</v>
      </c>
    </row>
    <row r="8" spans="1:44" ht="12" hidden="1" customHeight="1" x14ac:dyDescent="0.15">
      <c r="F8" s="160"/>
      <c r="T8" s="160"/>
      <c r="U8" s="160"/>
      <c r="V8" s="160"/>
      <c r="W8" s="160"/>
      <c r="X8" s="160"/>
      <c r="Y8" s="160"/>
      <c r="Z8" s="160"/>
      <c r="AE8" s="160" t="str">
        <f t="shared" ref="AE8:AJ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2025Принято органом регулирования</v>
      </c>
      <c r="AI8" s="160" t="str">
        <f t="shared" si="0"/>
        <v>2026Предложение организации</v>
      </c>
      <c r="AJ8" s="160" t="str">
        <f t="shared" si="0"/>
        <v>2026Принято органом регулирования</v>
      </c>
    </row>
    <row r="9" spans="1:44" s="1003" customFormat="1" ht="12" hidden="1" customHeight="1" x14ac:dyDescent="0.15">
      <c r="A9" s="948" t="s">
        <v>461</v>
      </c>
      <c r="B9" s="941"/>
      <c r="E9" s="941"/>
      <c r="Q9" s="950"/>
      <c r="R9" s="950"/>
      <c r="AE9" s="949">
        <f>god-2</f>
        <v>2024</v>
      </c>
      <c r="AF9" s="949">
        <f>god-2</f>
        <v>2024</v>
      </c>
      <c r="AG9" s="949">
        <f>god-2</f>
        <v>2024</v>
      </c>
      <c r="AH9" s="949">
        <f>god-1</f>
        <v>2025</v>
      </c>
      <c r="AI9" s="949" cm="1">
        <f t="array" ref="AI9">god</f>
        <v>2026</v>
      </c>
      <c r="AJ9" s="949" cm="1">
        <f t="array" ref="AJ9">god</f>
        <v>2026</v>
      </c>
      <c r="AN9" s="971"/>
      <c r="AO9" s="971"/>
      <c r="AP9" s="971"/>
      <c r="AQ9" s="974"/>
      <c r="AR9" s="974"/>
    </row>
    <row r="10" spans="1:44" s="1003" customFormat="1" ht="12" hidden="1" customHeight="1" x14ac:dyDescent="0.15">
      <c r="A10" s="948" t="s">
        <v>462</v>
      </c>
      <c r="B10" s="941"/>
      <c r="E10" s="941"/>
      <c r="Q10" s="950"/>
      <c r="R10" s="950"/>
      <c r="AE10" s="949" t="str" cm="1">
        <f t="array" ref="AE10">AE25</f>
        <v>Принято органом регулирования</v>
      </c>
      <c r="AF10" s="949" t="str" cm="1">
        <f t="array" ref="AF10">AF25</f>
        <v>Факт по данным организации</v>
      </c>
      <c r="AG10" s="949" t="str" cm="1">
        <f t="array" ref="AG10">AG25</f>
        <v>Факт, принятый органом регулирования</v>
      </c>
      <c r="AH10" s="949" t="str" cm="1">
        <f t="array" ref="AH10">AH25</f>
        <v>Принято органом регулирования</v>
      </c>
      <c r="AI10" s="949" t="str" cm="1">
        <f t="array" ref="AI10">AI25</f>
        <v>Предложение организации</v>
      </c>
      <c r="AJ10" s="949" t="str" cm="1">
        <f t="array" ref="AJ10">AJ25</f>
        <v>Принято органом регулирования</v>
      </c>
      <c r="AN10" s="971"/>
      <c r="AO10" s="971"/>
      <c r="AP10" s="971"/>
      <c r="AQ10" s="974"/>
      <c r="AR10" s="974"/>
    </row>
    <row r="11" spans="1:44" s="1006" customFormat="1" ht="12" hidden="1" customHeight="1" x14ac:dyDescent="0.15">
      <c r="A11" s="948" t="s">
        <v>463</v>
      </c>
      <c r="B11" s="941"/>
      <c r="C11" s="949"/>
      <c r="D11" s="949"/>
      <c r="E11" s="941"/>
      <c r="Q11" s="972"/>
      <c r="R11" s="972"/>
      <c r="AK11" s="957" t="str" cm="1">
        <f t="array" ref="AK11">AK24</f>
        <v>Ссылка на правовую норму (основание для принятия показателя в расчет тарифа)</v>
      </c>
      <c r="AN11" s="971"/>
      <c r="AO11" s="971"/>
      <c r="AP11" s="971"/>
      <c r="AQ11" s="974"/>
      <c r="AR11" s="974"/>
    </row>
    <row r="12" spans="1:44" s="1003" customFormat="1" ht="12" hidden="1" customHeight="1" x14ac:dyDescent="0.15">
      <c r="A12" s="948" t="s">
        <v>386</v>
      </c>
      <c r="B12" s="941"/>
      <c r="E12" s="941"/>
      <c r="G12" s="957"/>
      <c r="H12" s="957"/>
      <c r="I12" s="957"/>
      <c r="J12" s="957"/>
      <c r="K12" s="957"/>
      <c r="L12" s="957"/>
      <c r="M12" s="957"/>
      <c r="N12" s="957"/>
      <c r="O12" s="957"/>
      <c r="P12" s="957"/>
      <c r="Q12" s="972"/>
      <c r="R12" s="972"/>
      <c r="S12" s="957"/>
      <c r="AC12" s="949" t="s">
        <v>377</v>
      </c>
      <c r="AN12" s="971"/>
      <c r="AO12" s="971"/>
      <c r="AP12" s="971"/>
      <c r="AQ12" s="974"/>
      <c r="AR12" s="974"/>
    </row>
    <row r="13" spans="1:44" s="1152" customFormat="1" ht="12" hidden="1" customHeight="1" x14ac:dyDescent="0.15">
      <c r="B13" s="659"/>
      <c r="E13" s="668"/>
      <c r="G13" s="160"/>
      <c r="H13" s="160"/>
      <c r="I13" s="160"/>
      <c r="J13" s="160"/>
      <c r="K13" s="160"/>
      <c r="L13" s="160"/>
      <c r="M13" s="160"/>
      <c r="N13" s="160"/>
      <c r="O13" s="160"/>
      <c r="P13" s="160"/>
      <c r="Q13" s="612"/>
      <c r="R13" s="612"/>
      <c r="S13" s="160"/>
      <c r="AN13" s="971"/>
      <c r="AO13" s="971"/>
      <c r="AP13" s="971"/>
      <c r="AQ13" s="974"/>
      <c r="AR13" s="974"/>
    </row>
    <row r="14" spans="1:44" s="1152" customFormat="1" ht="12" hidden="1" customHeight="1" x14ac:dyDescent="0.15">
      <c r="B14" s="659"/>
      <c r="E14" s="668"/>
      <c r="G14" s="160"/>
      <c r="H14" s="160"/>
      <c r="I14" s="160"/>
      <c r="J14" s="160"/>
      <c r="K14" s="160"/>
      <c r="L14" s="160"/>
      <c r="M14" s="160"/>
      <c r="N14" s="160"/>
      <c r="O14" s="160"/>
      <c r="P14" s="160"/>
      <c r="Q14" s="612"/>
      <c r="R14" s="612"/>
      <c r="S14" s="160"/>
      <c r="AN14" s="971"/>
      <c r="AO14" s="971"/>
      <c r="AP14" s="971"/>
      <c r="AQ14" s="974"/>
      <c r="AR14" s="974"/>
    </row>
    <row r="15" spans="1:44" s="1152" customFormat="1" ht="12" hidden="1" customHeight="1" x14ac:dyDescent="0.15">
      <c r="B15" s="659"/>
      <c r="E15" s="668"/>
      <c r="G15" s="160"/>
      <c r="H15" s="160"/>
      <c r="I15" s="160"/>
      <c r="J15" s="160"/>
      <c r="K15" s="160"/>
      <c r="L15" s="160"/>
      <c r="M15" s="160"/>
      <c r="N15" s="160"/>
      <c r="O15" s="160"/>
      <c r="P15" s="160"/>
      <c r="Q15" s="612"/>
      <c r="R15" s="612"/>
      <c r="S15" s="160"/>
      <c r="AN15" s="971"/>
      <c r="AO15" s="971"/>
      <c r="AP15" s="971"/>
      <c r="AQ15" s="974"/>
      <c r="AR15" s="974"/>
    </row>
    <row r="16" spans="1:44" s="1152" customFormat="1" ht="12" hidden="1" customHeight="1" x14ac:dyDescent="0.15">
      <c r="B16" s="659"/>
      <c r="E16" s="668"/>
      <c r="G16" s="160"/>
      <c r="H16" s="160"/>
      <c r="I16" s="160"/>
      <c r="J16" s="160"/>
      <c r="K16" s="160"/>
      <c r="L16" s="160"/>
      <c r="M16" s="160"/>
      <c r="N16" s="160"/>
      <c r="O16" s="160"/>
      <c r="P16" s="160"/>
      <c r="Q16" s="612"/>
      <c r="R16" s="612"/>
      <c r="S16" s="160"/>
      <c r="AN16" s="971"/>
      <c r="AO16" s="971"/>
      <c r="AP16" s="971"/>
      <c r="AQ16" s="974"/>
      <c r="AR16" s="974"/>
    </row>
    <row r="17" spans="1:44" s="1152" customFormat="1" ht="12" hidden="1" customHeight="1" x14ac:dyDescent="0.15">
      <c r="B17" s="659"/>
      <c r="E17" s="668"/>
      <c r="G17" s="160"/>
      <c r="H17" s="160"/>
      <c r="I17" s="160"/>
      <c r="J17" s="160"/>
      <c r="K17" s="160"/>
      <c r="L17" s="160"/>
      <c r="M17" s="160"/>
      <c r="N17" s="160"/>
      <c r="O17" s="160"/>
      <c r="P17" s="160"/>
      <c r="Q17" s="612"/>
      <c r="R17" s="612"/>
      <c r="S17" s="160"/>
      <c r="AK17" s="130"/>
      <c r="AN17" s="971"/>
      <c r="AO17" s="971"/>
      <c r="AP17" s="971"/>
      <c r="AQ17" s="974"/>
      <c r="AR17" s="974"/>
    </row>
    <row r="18" spans="1:44" s="1152" customFormat="1" ht="12" hidden="1" customHeight="1" x14ac:dyDescent="0.15">
      <c r="A18" s="849" t="s">
        <v>518</v>
      </c>
      <c r="B18" s="659"/>
      <c r="E18" s="668"/>
      <c r="G18" s="160"/>
      <c r="H18" s="160"/>
      <c r="I18" s="160"/>
      <c r="J18" s="160"/>
      <c r="K18" s="160"/>
      <c r="L18" s="160"/>
      <c r="M18" s="160"/>
      <c r="N18" s="160"/>
      <c r="O18" s="160"/>
      <c r="P18" s="160"/>
      <c r="Q18" s="612"/>
      <c r="R18" s="612"/>
      <c r="S18" s="160"/>
      <c r="AC18" s="123" t="s">
        <v>225</v>
      </c>
      <c r="AN18" s="971"/>
      <c r="AO18" s="971"/>
      <c r="AP18" s="971"/>
      <c r="AQ18" s="974"/>
      <c r="AR18" s="974"/>
    </row>
    <row r="19" spans="1:44" s="1152" customFormat="1" ht="12" hidden="1" customHeight="1" x14ac:dyDescent="0.15">
      <c r="B19" s="659"/>
      <c r="E19" s="668"/>
      <c r="G19" s="160"/>
      <c r="H19" s="160"/>
      <c r="I19" s="160"/>
      <c r="J19" s="160"/>
      <c r="K19" s="160"/>
      <c r="L19" s="160"/>
      <c r="M19" s="160"/>
      <c r="N19" s="160"/>
      <c r="O19" s="160"/>
      <c r="P19" s="160"/>
      <c r="Q19" s="612"/>
      <c r="R19" s="612"/>
      <c r="S19" s="160"/>
      <c r="AN19" s="971"/>
      <c r="AO19" s="971"/>
      <c r="AP19" s="971"/>
      <c r="AQ19" s="974"/>
      <c r="AR19" s="974"/>
    </row>
    <row r="20" spans="1:44" s="1152" customFormat="1" ht="12" hidden="1" customHeight="1" x14ac:dyDescent="0.15">
      <c r="B20" s="659"/>
      <c r="E20" s="668"/>
      <c r="G20" s="160"/>
      <c r="H20" s="160"/>
      <c r="I20" s="160"/>
      <c r="J20" s="160"/>
      <c r="K20" s="160"/>
      <c r="L20" s="160"/>
      <c r="M20" s="160"/>
      <c r="N20" s="160"/>
      <c r="O20" s="160"/>
      <c r="P20" s="160"/>
      <c r="Q20" s="612"/>
      <c r="R20" s="612"/>
      <c r="S20" s="160"/>
      <c r="AN20" s="971"/>
      <c r="AO20" s="971"/>
      <c r="AP20" s="971"/>
      <c r="AQ20" s="974"/>
      <c r="AR20" s="974"/>
    </row>
    <row r="21" spans="1:44" ht="14.65" customHeight="1" x14ac:dyDescent="0.15">
      <c r="E21" s="668">
        <v>15</v>
      </c>
      <c r="AA21" s="691"/>
      <c r="AC21" s="335" t="str" cm="1">
        <f t="array" ref="AC21">tpl_title</f>
        <v>Кемеровская область / 2026 / ООО ХК "СДС - Энерго" (ИНН:4250003450, КПП:420501001) / ДПР: 2024-2028</v>
      </c>
    </row>
    <row r="22" spans="1:44" s="804" customFormat="1" ht="19.5" customHeight="1" x14ac:dyDescent="0.15">
      <c r="A22" s="126"/>
      <c r="B22" s="659"/>
      <c r="C22" s="126"/>
      <c r="D22" s="126"/>
      <c r="E22" s="668">
        <v>20.100000000000001</v>
      </c>
      <c r="F22" s="126"/>
      <c r="Q22" s="612"/>
      <c r="R22" s="612"/>
      <c r="T22" s="126"/>
      <c r="U22" s="126"/>
      <c r="V22" s="126"/>
      <c r="W22" s="126"/>
      <c r="X22" s="126"/>
      <c r="Y22" s="126"/>
      <c r="Z22" s="126"/>
      <c r="AB22" s="325" t="s">
        <v>49</v>
      </c>
      <c r="AC22" s="336"/>
      <c r="AD22" s="336"/>
      <c r="AE22" s="336"/>
      <c r="AF22" s="336"/>
      <c r="AG22" s="336"/>
      <c r="AH22" s="336"/>
      <c r="AI22" s="336"/>
      <c r="AJ22" s="336"/>
      <c r="AK22" s="336"/>
      <c r="AN22" s="967"/>
      <c r="AO22" s="967"/>
      <c r="AP22" s="967"/>
      <c r="AQ22" s="976"/>
      <c r="AR22" s="976"/>
    </row>
    <row r="23" spans="1:44" s="804" customFormat="1" ht="11.1" customHeight="1" x14ac:dyDescent="0.15">
      <c r="A23" s="126"/>
      <c r="B23" s="659"/>
      <c r="C23" s="126"/>
      <c r="D23" s="126"/>
      <c r="E23" s="668">
        <v>11.4</v>
      </c>
      <c r="F23" s="126"/>
      <c r="Q23" s="612"/>
      <c r="R23" s="612"/>
      <c r="T23" s="126"/>
      <c r="U23" s="126"/>
      <c r="V23" s="126"/>
      <c r="W23" s="126"/>
      <c r="X23" s="126"/>
      <c r="Y23" s="126"/>
      <c r="Z23" s="126"/>
      <c r="AB23" s="337"/>
      <c r="AC23" s="218"/>
      <c r="AD23" s="218"/>
      <c r="AE23" s="218"/>
      <c r="AF23" s="218"/>
      <c r="AG23" s="218"/>
      <c r="AH23" s="218"/>
      <c r="AI23" s="218"/>
      <c r="AJ23" s="218"/>
      <c r="AK23" s="218"/>
      <c r="AN23" s="967"/>
      <c r="AO23" s="967"/>
      <c r="AP23" s="967"/>
      <c r="AQ23" s="976"/>
      <c r="AR23" s="976"/>
    </row>
    <row r="24" spans="1:44" s="162" customFormat="1" ht="14.65" customHeight="1" x14ac:dyDescent="0.15">
      <c r="A24" s="119"/>
      <c r="B24" s="663"/>
      <c r="C24" s="119"/>
      <c r="D24" s="119"/>
      <c r="E24" s="674">
        <v>15</v>
      </c>
      <c r="F24" s="119"/>
      <c r="Q24" s="767"/>
      <c r="R24" s="612"/>
      <c r="T24" s="119"/>
      <c r="U24" s="119"/>
      <c r="V24" s="119"/>
      <c r="W24" s="119"/>
      <c r="X24" s="119"/>
      <c r="Y24" s="119"/>
      <c r="Z24" s="119"/>
      <c r="AB24" s="1558" t="s">
        <v>1015</v>
      </c>
      <c r="AC24" s="1568" t="s">
        <v>225</v>
      </c>
      <c r="AD24" s="1558" t="s">
        <v>465</v>
      </c>
      <c r="AE24" s="117" t="str">
        <f>god-2&amp;" год"</f>
        <v>2024 год</v>
      </c>
      <c r="AF24" s="1133" t="str">
        <f>god-2&amp;" год"</f>
        <v>2024 год</v>
      </c>
      <c r="AG24" s="117" t="str">
        <f>god-2&amp;" год"</f>
        <v>2024 год</v>
      </c>
      <c r="AH24" s="117" t="str">
        <f>god-1&amp;" год"</f>
        <v>2025 год</v>
      </c>
      <c r="AI24" s="1131" t="str">
        <f>god&amp;" год"</f>
        <v>2026 год</v>
      </c>
      <c r="AJ24" s="118" t="str">
        <f>god&amp;" год"</f>
        <v>2026 год</v>
      </c>
      <c r="AK24" s="1497" t="s">
        <v>618</v>
      </c>
      <c r="AN24" s="971"/>
      <c r="AO24" s="977"/>
      <c r="AP24" s="977"/>
      <c r="AQ24" s="978"/>
      <c r="AR24" s="978"/>
    </row>
    <row r="25" spans="1:44" s="162" customFormat="1" ht="43.9" customHeight="1" x14ac:dyDescent="0.15">
      <c r="A25" s="119"/>
      <c r="B25" s="663"/>
      <c r="C25" s="119"/>
      <c r="D25" s="119"/>
      <c r="E25" s="674">
        <v>45</v>
      </c>
      <c r="F25" s="119"/>
      <c r="Q25" s="767"/>
      <c r="R25" s="612"/>
      <c r="T25" s="119"/>
      <c r="U25" s="119"/>
      <c r="V25" s="119"/>
      <c r="W25" s="119"/>
      <c r="X25" s="119"/>
      <c r="Y25" s="119"/>
      <c r="Z25" s="119"/>
      <c r="AB25" s="1567"/>
      <c r="AC25" s="1567"/>
      <c r="AD25" s="1567"/>
      <c r="AE25" s="117" t="s">
        <v>404</v>
      </c>
      <c r="AF25" s="1133" t="s">
        <v>619</v>
      </c>
      <c r="AG25" s="117" t="s">
        <v>620</v>
      </c>
      <c r="AH25" s="117" t="s">
        <v>404</v>
      </c>
      <c r="AI25" s="1132" t="s">
        <v>405</v>
      </c>
      <c r="AJ25" s="343" t="s">
        <v>404</v>
      </c>
      <c r="AK25" s="1567"/>
      <c r="AN25" s="971"/>
      <c r="AO25" s="977"/>
      <c r="AP25" s="977"/>
      <c r="AQ25" s="978"/>
      <c r="AR25" s="978"/>
    </row>
    <row r="26" spans="1:44" s="162" customFormat="1" ht="45" hidden="1" customHeight="1" x14ac:dyDescent="0.2">
      <c r="A26" s="119"/>
      <c r="B26" s="663"/>
      <c r="C26" s="119"/>
      <c r="D26" s="119"/>
      <c r="E26" s="674">
        <v>0</v>
      </c>
      <c r="F26" s="119"/>
      <c r="Q26" s="767"/>
      <c r="R26" s="612"/>
      <c r="T26" s="119"/>
      <c r="U26" s="119"/>
      <c r="V26" s="119"/>
      <c r="W26" s="119"/>
      <c r="X26" s="119"/>
      <c r="Y26" s="119"/>
      <c r="Z26" s="119"/>
      <c r="AB26" s="425"/>
      <c r="AC26" s="423"/>
      <c r="AD26" s="423"/>
      <c r="AE26" s="426"/>
      <c r="AF26" s="426"/>
      <c r="AG26" s="426"/>
      <c r="AH26" s="426"/>
      <c r="AI26" s="119"/>
      <c r="AJ26" s="119"/>
      <c r="AK26" s="423"/>
      <c r="AN26" s="971"/>
      <c r="AO26" s="977"/>
      <c r="AP26" s="977"/>
      <c r="AQ26" s="978"/>
      <c r="AR26" s="978"/>
    </row>
    <row r="27" spans="1:44" s="1151" customFormat="1" ht="11.1" hidden="1" customHeight="1" x14ac:dyDescent="0.15">
      <c r="E27" s="674">
        <v>11.4</v>
      </c>
      <c r="F27" s="769" cm="1">
        <f t="array" ref="F27">X27</f>
        <v>0</v>
      </c>
      <c r="G27" s="612" t="s">
        <v>48</v>
      </c>
      <c r="T27" s="690" t="b">
        <f>F27&gt;0</f>
        <v>0</v>
      </c>
      <c r="V27" s="119" t="s">
        <v>313</v>
      </c>
      <c r="X27" s="1480">
        <v>0</v>
      </c>
      <c r="Z27" s="1480"/>
      <c r="AB27" s="263" t="str" cm="1">
        <f t="array" ref="AB27">INDEX('Общие сведения'!$AG$169:$AG$202,MATCH($F27,'Общие сведения'!$Z$169:$Z$202,0))</f>
        <v xml:space="preserve">Тариф 0 (Теплоснабжение) - </v>
      </c>
      <c r="AC27" s="207"/>
      <c r="AD27" s="207"/>
      <c r="AE27" s="315">
        <f t="shared" ref="AE27:AJ27" si="1">AE28+AE34+AE40+AE46</f>
        <v>0</v>
      </c>
      <c r="AF27" s="315">
        <f t="shared" si="1"/>
        <v>0</v>
      </c>
      <c r="AG27" s="315">
        <f t="shared" si="1"/>
        <v>0</v>
      </c>
      <c r="AH27" s="315">
        <f t="shared" si="1"/>
        <v>0</v>
      </c>
      <c r="AI27" s="315">
        <f t="shared" si="1"/>
        <v>0</v>
      </c>
      <c r="AJ27" s="315">
        <f t="shared" si="1"/>
        <v>0</v>
      </c>
      <c r="AK27" s="315"/>
      <c r="AN27" s="971"/>
      <c r="AO27" s="977"/>
      <c r="AP27" s="977"/>
      <c r="AQ27" s="978"/>
      <c r="AR27" s="978"/>
    </row>
    <row r="28" spans="1:44" s="1151" customFormat="1" ht="18.399999999999999" hidden="1" customHeight="1" x14ac:dyDescent="0.15">
      <c r="E28" s="674">
        <v>18.8</v>
      </c>
      <c r="F28" s="769" cm="1">
        <f t="array" aca="1" ref="F28" ca="1">OFFSET(G28,-1,-1)</f>
        <v>0</v>
      </c>
      <c r="G28" s="612" t="s">
        <v>1228</v>
      </c>
      <c r="H28" s="160" t="s">
        <v>1229</v>
      </c>
      <c r="T28" s="690" t="b">
        <f ca="1">F28&gt;0</f>
        <v>0</v>
      </c>
      <c r="X28" s="1480"/>
      <c r="Z28" s="1480"/>
      <c r="AB28" s="338">
        <v>1</v>
      </c>
      <c r="AC28" s="339" t="s">
        <v>1230</v>
      </c>
      <c r="AD28" s="105" t="s">
        <v>830</v>
      </c>
      <c r="AE28" s="59"/>
      <c r="AF28" s="59"/>
      <c r="AG28" s="59"/>
      <c r="AH28" s="59"/>
      <c r="AI28" s="226">
        <f>SUMIFS(AI29:AI33,$AD29:$AD33,$AD28)</f>
        <v>0</v>
      </c>
      <c r="AJ28" s="226">
        <f>SUMIFS(AJ29:AJ33,$AD29:$AD33,$AD28)</f>
        <v>0</v>
      </c>
      <c r="AK28" s="31"/>
      <c r="AN28" s="971" t="s">
        <v>1231</v>
      </c>
      <c r="AO28" s="977"/>
      <c r="AP28" s="977"/>
      <c r="AQ28" s="978"/>
      <c r="AR28" s="978"/>
    </row>
    <row r="29" spans="1:44" s="1151" customFormat="1" ht="11.25" hidden="1" customHeight="1" x14ac:dyDescent="0.15">
      <c r="E29" s="674">
        <v>0</v>
      </c>
      <c r="F29" s="769" cm="1">
        <f t="array" aca="1" ref="F29" ca="1">OFFSET(G29,-1,-1)</f>
        <v>0</v>
      </c>
      <c r="T29" s="690" t="b">
        <f ca="1">F29&gt;0</f>
        <v>0</v>
      </c>
      <c r="X29" s="1480"/>
      <c r="Z29" s="1480"/>
      <c r="AB29" s="338"/>
      <c r="AC29" s="339"/>
      <c r="AD29" s="105"/>
      <c r="AE29" s="117"/>
      <c r="AF29" s="117"/>
      <c r="AG29" s="117"/>
      <c r="AH29" s="117"/>
      <c r="AI29" s="228"/>
      <c r="AJ29" s="228"/>
      <c r="AK29" s="711"/>
      <c r="AN29" s="971" t="s">
        <v>247</v>
      </c>
      <c r="AO29" s="977"/>
      <c r="AP29" s="977"/>
      <c r="AQ29" s="978"/>
      <c r="AR29" s="978"/>
    </row>
    <row r="30" spans="1:44" s="1151" customFormat="1" ht="16.5" hidden="1" customHeight="1" x14ac:dyDescent="0.15">
      <c r="E30" s="674">
        <v>17</v>
      </c>
      <c r="F30" s="769" cm="1">
        <f t="array" aca="1" ref="F30" ca="1">OFFSET(G30,-1,-1)</f>
        <v>0</v>
      </c>
      <c r="H30" s="160" t="s">
        <v>1229</v>
      </c>
      <c r="I30" s="160" cm="1">
        <f t="array" ref="I30">AC30</f>
        <v>0</v>
      </c>
      <c r="T30" s="690" t="b">
        <f ca="1">AND(F30&gt;0,Y30&gt;0)</f>
        <v>0</v>
      </c>
      <c r="W30" s="107" t="s">
        <v>237</v>
      </c>
      <c r="X30" s="1480"/>
      <c r="Y30" s="1480">
        <v>0</v>
      </c>
      <c r="Z30" s="1480"/>
      <c r="AA30" s="1556" t="s">
        <v>218</v>
      </c>
      <c r="AB30" s="338" t="str">
        <f>"1."&amp;Y30</f>
        <v>1.0</v>
      </c>
      <c r="AC30" s="6"/>
      <c r="AD30" s="105" t="s">
        <v>830</v>
      </c>
      <c r="AE30" s="117"/>
      <c r="AF30" s="117"/>
      <c r="AG30" s="117"/>
      <c r="AH30" s="117"/>
      <c r="AI30" s="227">
        <f>AI31*AI32*12/1000</f>
        <v>0</v>
      </c>
      <c r="AJ30" s="227">
        <f>AJ31*AJ32*12/1000</f>
        <v>0</v>
      </c>
      <c r="AK30" s="31"/>
      <c r="AN30" s="971" t="s">
        <v>1232</v>
      </c>
      <c r="AO30" s="977" t="s">
        <v>1233</v>
      </c>
      <c r="AP30" s="977" cm="1">
        <f t="array" ref="AP30">AC30</f>
        <v>0</v>
      </c>
      <c r="AQ30" s="978"/>
      <c r="AR30" s="978" t="b">
        <v>1</v>
      </c>
    </row>
    <row r="31" spans="1:44" s="1151" customFormat="1" ht="16.5" hidden="1" customHeight="1" x14ac:dyDescent="0.15">
      <c r="E31" s="674">
        <v>17</v>
      </c>
      <c r="F31" s="769" cm="1">
        <f t="array" aca="1" ref="F31" ca="1">OFFSET(G31,-1,-1)</f>
        <v>0</v>
      </c>
      <c r="G31" s="612" t="s">
        <v>1234</v>
      </c>
      <c r="H31" s="160" t="str">
        <f>H30&amp;"_1"</f>
        <v>L1_1</v>
      </c>
      <c r="I31" s="160" cm="1">
        <f t="array" ref="I31">I30</f>
        <v>0</v>
      </c>
      <c r="T31" s="690" t="b" cm="1">
        <f t="array" aca="1" ref="T31" ca="1">T30</f>
        <v>0</v>
      </c>
      <c r="X31" s="1480"/>
      <c r="Y31" s="1480"/>
      <c r="Z31" s="1480"/>
      <c r="AA31" s="1556"/>
      <c r="AB31" s="338" t="str">
        <f>AB30&amp;".1"</f>
        <v>1.0.1</v>
      </c>
      <c r="AC31" s="238" t="s">
        <v>1235</v>
      </c>
      <c r="AD31" s="105" t="s">
        <v>1236</v>
      </c>
      <c r="AE31" s="117"/>
      <c r="AF31" s="117"/>
      <c r="AG31" s="117"/>
      <c r="AH31" s="117"/>
      <c r="AI31" s="244"/>
      <c r="AJ31" s="244"/>
      <c r="AK31" s="31"/>
      <c r="AN31" s="971" t="s">
        <v>1237</v>
      </c>
      <c r="AO31" s="977" t="s">
        <v>1233</v>
      </c>
      <c r="AP31" s="977" cm="1">
        <f t="array" ref="AP31">AP30</f>
        <v>0</v>
      </c>
      <c r="AQ31" s="978"/>
      <c r="AR31" s="978"/>
    </row>
    <row r="32" spans="1:44" s="1151" customFormat="1" ht="16.5" hidden="1" customHeight="1" x14ac:dyDescent="0.15">
      <c r="E32" s="674">
        <v>17</v>
      </c>
      <c r="F32" s="769" cm="1">
        <f t="array" aca="1" ref="F32" ca="1">OFFSET(G32,-1,-1)</f>
        <v>0</v>
      </c>
      <c r="H32" s="160" t="str">
        <f>H30&amp;"_2"</f>
        <v>L1_2</v>
      </c>
      <c r="I32" s="160" cm="1">
        <f t="array" ref="I32">I31</f>
        <v>0</v>
      </c>
      <c r="T32" s="690" t="b" cm="1">
        <f t="array" aca="1" ref="T32" ca="1">T31</f>
        <v>0</v>
      </c>
      <c r="X32" s="1480"/>
      <c r="Y32" s="1480"/>
      <c r="Z32" s="1480"/>
      <c r="AA32" s="1556"/>
      <c r="AB32" s="338" t="str">
        <f>AB30&amp;".2"</f>
        <v>1.0.2</v>
      </c>
      <c r="AC32" s="238" t="s">
        <v>1238</v>
      </c>
      <c r="AD32" s="105" t="s">
        <v>1239</v>
      </c>
      <c r="AE32" s="117"/>
      <c r="AF32" s="117"/>
      <c r="AG32" s="117"/>
      <c r="AH32" s="117"/>
      <c r="AI32" s="244"/>
      <c r="AJ32" s="244"/>
      <c r="AK32" s="31"/>
      <c r="AN32" s="971" t="s">
        <v>1240</v>
      </c>
      <c r="AO32" s="977" t="s">
        <v>1233</v>
      </c>
      <c r="AP32" s="977" cm="1">
        <f t="array" ref="AP32">AP31</f>
        <v>0</v>
      </c>
      <c r="AQ32" s="978"/>
      <c r="AR32" s="978"/>
    </row>
    <row r="33" spans="5:44" s="1151" customFormat="1" ht="16.5" hidden="1" customHeight="1" x14ac:dyDescent="0.15">
      <c r="E33" s="674">
        <v>17</v>
      </c>
      <c r="F33" s="769" cm="1">
        <f t="array" aca="1" ref="F33" ca="1">OFFSET(G33,-1,-1)</f>
        <v>0</v>
      </c>
      <c r="H33" s="160" t="str">
        <f ca="1">F33&amp;"pIns1"</f>
        <v>0pIns1</v>
      </c>
      <c r="T33" s="690" t="b">
        <f ca="1">F33&gt;0</f>
        <v>0</v>
      </c>
      <c r="W33" s="312" t="s">
        <v>971</v>
      </c>
      <c r="X33" s="1480"/>
      <c r="Z33" s="1480"/>
      <c r="AB33" s="246"/>
      <c r="AC33" s="247" t="s">
        <v>239</v>
      </c>
      <c r="AD33" s="247"/>
      <c r="AE33" s="247"/>
      <c r="AF33" s="247"/>
      <c r="AG33" s="247"/>
      <c r="AH33" s="247"/>
      <c r="AI33" s="247"/>
      <c r="AJ33" s="247"/>
      <c r="AK33" s="899"/>
      <c r="AN33" s="971" t="s">
        <v>247</v>
      </c>
      <c r="AO33" s="977"/>
      <c r="AP33" s="977"/>
      <c r="AQ33" s="978" t="s">
        <v>1233</v>
      </c>
      <c r="AR33" s="978"/>
    </row>
    <row r="34" spans="5:44" s="1151" customFormat="1" ht="24.2" hidden="1" customHeight="1" x14ac:dyDescent="0.15">
      <c r="E34" s="674">
        <v>24.8</v>
      </c>
      <c r="F34" s="769" cm="1">
        <f t="array" aca="1" ref="F34" ca="1">OFFSET(G34,-1,-1)</f>
        <v>0</v>
      </c>
      <c r="G34" s="612" t="s">
        <v>1241</v>
      </c>
      <c r="H34" s="160" t="s">
        <v>1217</v>
      </c>
      <c r="T34" s="690" t="b">
        <f ca="1">F34&gt;0</f>
        <v>0</v>
      </c>
      <c r="X34" s="1480"/>
      <c r="Z34" s="1480"/>
      <c r="AB34" s="338" t="s">
        <v>426</v>
      </c>
      <c r="AC34" s="339" t="s">
        <v>1242</v>
      </c>
      <c r="AD34" s="105" t="s">
        <v>830</v>
      </c>
      <c r="AE34" s="59"/>
      <c r="AF34" s="59"/>
      <c r="AG34" s="59"/>
      <c r="AH34" s="59"/>
      <c r="AI34" s="226">
        <f>SUMIFS(AI35:AI39,$AD35:$AD39,$AD34)</f>
        <v>0</v>
      </c>
      <c r="AJ34" s="226">
        <f>SUMIFS(AJ35:AJ39,$AD35:$AD39,$AD34)</f>
        <v>0</v>
      </c>
      <c r="AK34" s="31"/>
      <c r="AN34" s="971" t="s">
        <v>1243</v>
      </c>
      <c r="AO34" s="977"/>
      <c r="AP34" s="977"/>
      <c r="AQ34" s="978"/>
      <c r="AR34" s="978"/>
    </row>
    <row r="35" spans="5:44" s="1151" customFormat="1" ht="9" hidden="1" customHeight="1" x14ac:dyDescent="0.15">
      <c r="E35" s="674">
        <v>0</v>
      </c>
      <c r="F35" s="769" cm="1">
        <f t="array" aca="1" ref="F35" ca="1">OFFSET(G35,-1,-1)</f>
        <v>0</v>
      </c>
      <c r="T35" s="690" t="b">
        <f ca="1">F35&gt;0</f>
        <v>0</v>
      </c>
      <c r="X35" s="1480"/>
      <c r="Z35" s="1480"/>
      <c r="AB35" s="338"/>
      <c r="AC35" s="339"/>
      <c r="AD35" s="105"/>
      <c r="AE35" s="117"/>
      <c r="AF35" s="117"/>
      <c r="AG35" s="117"/>
      <c r="AH35" s="117"/>
      <c r="AI35" s="228"/>
      <c r="AJ35" s="228"/>
      <c r="AK35" s="711"/>
      <c r="AN35" s="971"/>
      <c r="AO35" s="977"/>
      <c r="AP35" s="977"/>
      <c r="AQ35" s="978"/>
      <c r="AR35" s="978"/>
    </row>
    <row r="36" spans="5:44" s="1151" customFormat="1" ht="16.5" hidden="1" customHeight="1" x14ac:dyDescent="0.15">
      <c r="E36" s="674">
        <v>17</v>
      </c>
      <c r="F36" s="769" cm="1">
        <f t="array" aca="1" ref="F36" ca="1">OFFSET(G36,-1,-1)</f>
        <v>0</v>
      </c>
      <c r="H36" s="160" t="s">
        <v>1217</v>
      </c>
      <c r="I36" s="160" cm="1">
        <f t="array" ref="I36">AC36</f>
        <v>0</v>
      </c>
      <c r="T36" s="690" t="b">
        <f ca="1">AND(F36&gt;0,Y36&gt;0)</f>
        <v>0</v>
      </c>
      <c r="W36" s="107" t="s">
        <v>237</v>
      </c>
      <c r="X36" s="1480"/>
      <c r="Y36" s="1480">
        <v>0</v>
      </c>
      <c r="Z36" s="1480"/>
      <c r="AA36" s="1556" t="s">
        <v>218</v>
      </c>
      <c r="AB36" s="338" t="str">
        <f>"2."&amp;Y36</f>
        <v>2.0</v>
      </c>
      <c r="AC36" s="6"/>
      <c r="AD36" s="105" t="s">
        <v>830</v>
      </c>
      <c r="AE36" s="117"/>
      <c r="AF36" s="117"/>
      <c r="AG36" s="117"/>
      <c r="AH36" s="117"/>
      <c r="AI36" s="227">
        <f>AI37*AI38*12/1000</f>
        <v>0</v>
      </c>
      <c r="AJ36" s="227">
        <f>AJ37*AJ38*12/1000</f>
        <v>0</v>
      </c>
      <c r="AK36" s="31"/>
      <c r="AN36" s="971" t="s">
        <v>1244</v>
      </c>
      <c r="AO36" s="977" t="s">
        <v>1245</v>
      </c>
      <c r="AP36" s="977" cm="1">
        <f t="array" ref="AP36">AC36</f>
        <v>0</v>
      </c>
      <c r="AQ36" s="978"/>
      <c r="AR36" s="978" t="b">
        <v>1</v>
      </c>
    </row>
    <row r="37" spans="5:44" s="1151" customFormat="1" ht="16.5" hidden="1" customHeight="1" x14ac:dyDescent="0.15">
      <c r="E37" s="674">
        <v>17</v>
      </c>
      <c r="F37" s="769" cm="1">
        <f t="array" aca="1" ref="F37" ca="1">OFFSET(G37,-1,-1)</f>
        <v>0</v>
      </c>
      <c r="G37" s="612" t="s">
        <v>1246</v>
      </c>
      <c r="H37" s="160" t="str">
        <f>H36&amp;"_1"</f>
        <v>L5_1</v>
      </c>
      <c r="I37" s="160" cm="1">
        <f t="array" ref="I37">I36</f>
        <v>0</v>
      </c>
      <c r="T37" s="690" t="b" cm="1">
        <f t="array" aca="1" ref="T37" ca="1">T36</f>
        <v>0</v>
      </c>
      <c r="X37" s="1480"/>
      <c r="Y37" s="1480"/>
      <c r="Z37" s="1480"/>
      <c r="AA37" s="1556"/>
      <c r="AB37" s="338" t="str">
        <f>AB36&amp;".1"</f>
        <v>2.0.1</v>
      </c>
      <c r="AC37" s="238" t="s">
        <v>1235</v>
      </c>
      <c r="AD37" s="105" t="s">
        <v>1236</v>
      </c>
      <c r="AE37" s="117"/>
      <c r="AF37" s="117"/>
      <c r="AG37" s="117"/>
      <c r="AH37" s="117"/>
      <c r="AI37" s="244"/>
      <c r="AJ37" s="244"/>
      <c r="AK37" s="31"/>
      <c r="AN37" s="971" t="s">
        <v>1247</v>
      </c>
      <c r="AO37" s="977" t="s">
        <v>1245</v>
      </c>
      <c r="AP37" s="977" cm="1">
        <f t="array" ref="AP37">AP36</f>
        <v>0</v>
      </c>
      <c r="AQ37" s="978"/>
      <c r="AR37" s="978"/>
    </row>
    <row r="38" spans="5:44" s="1151" customFormat="1" ht="16.5" hidden="1" customHeight="1" x14ac:dyDescent="0.15">
      <c r="E38" s="674">
        <v>17</v>
      </c>
      <c r="F38" s="769" cm="1">
        <f t="array" aca="1" ref="F38" ca="1">OFFSET(G38,-1,-1)</f>
        <v>0</v>
      </c>
      <c r="H38" s="160" t="str">
        <f>H36&amp;"_2"</f>
        <v>L5_2</v>
      </c>
      <c r="I38" s="160" cm="1">
        <f t="array" ref="I38">I37</f>
        <v>0</v>
      </c>
      <c r="T38" s="690" t="b" cm="1">
        <f t="array" aca="1" ref="T38" ca="1">T37</f>
        <v>0</v>
      </c>
      <c r="X38" s="1480"/>
      <c r="Y38" s="1480"/>
      <c r="Z38" s="1480"/>
      <c r="AA38" s="1556"/>
      <c r="AB38" s="338" t="str">
        <f>AB36&amp;".2"</f>
        <v>2.0.2</v>
      </c>
      <c r="AC38" s="238" t="s">
        <v>1238</v>
      </c>
      <c r="AD38" s="105" t="s">
        <v>1239</v>
      </c>
      <c r="AE38" s="117"/>
      <c r="AF38" s="117"/>
      <c r="AG38" s="117"/>
      <c r="AH38" s="117"/>
      <c r="AI38" s="244"/>
      <c r="AJ38" s="244"/>
      <c r="AK38" s="31"/>
      <c r="AN38" s="971" t="s">
        <v>1248</v>
      </c>
      <c r="AO38" s="977" t="s">
        <v>1245</v>
      </c>
      <c r="AP38" s="977" cm="1">
        <f t="array" ref="AP38">AP37</f>
        <v>0</v>
      </c>
      <c r="AQ38" s="978"/>
      <c r="AR38" s="978"/>
    </row>
    <row r="39" spans="5:44" s="1151" customFormat="1" ht="16.5" hidden="1" customHeight="1" x14ac:dyDescent="0.15">
      <c r="E39" s="674">
        <v>17</v>
      </c>
      <c r="F39" s="769" cm="1">
        <f t="array" aca="1" ref="F39" ca="1">OFFSET(G39,-1,-1)</f>
        <v>0</v>
      </c>
      <c r="H39" s="160" t="str">
        <f ca="1">F39&amp;"pIns3"</f>
        <v>0pIns3</v>
      </c>
      <c r="T39" s="690" t="b">
        <f ca="1">F39&gt;0</f>
        <v>0</v>
      </c>
      <c r="W39" s="312" t="s">
        <v>982</v>
      </c>
      <c r="X39" s="1480"/>
      <c r="Z39" s="1480"/>
      <c r="AB39" s="246"/>
      <c r="AC39" s="247" t="s">
        <v>239</v>
      </c>
      <c r="AD39" s="247"/>
      <c r="AE39" s="247"/>
      <c r="AF39" s="247"/>
      <c r="AG39" s="247"/>
      <c r="AH39" s="247"/>
      <c r="AI39" s="247"/>
      <c r="AJ39" s="247"/>
      <c r="AK39" s="899"/>
      <c r="AN39" s="971" t="s">
        <v>247</v>
      </c>
      <c r="AO39" s="977"/>
      <c r="AP39" s="977"/>
      <c r="AQ39" s="978" t="s">
        <v>1245</v>
      </c>
      <c r="AR39" s="978"/>
    </row>
    <row r="40" spans="5:44" s="1151" customFormat="1" ht="24.2" hidden="1" customHeight="1" x14ac:dyDescent="0.15">
      <c r="E40" s="674">
        <v>24.8</v>
      </c>
      <c r="F40" s="769" cm="1">
        <f t="array" aca="1" ref="F40" ca="1">OFFSET(G40,-1,-1)</f>
        <v>0</v>
      </c>
      <c r="G40" s="612" t="s">
        <v>1249</v>
      </c>
      <c r="H40" s="160" t="s">
        <v>1217</v>
      </c>
      <c r="T40" s="690" t="b">
        <f ca="1">F40&gt;0</f>
        <v>0</v>
      </c>
      <c r="X40" s="1480"/>
      <c r="Z40" s="1480"/>
      <c r="AB40" s="338" t="s">
        <v>431</v>
      </c>
      <c r="AC40" s="339" t="s">
        <v>1250</v>
      </c>
      <c r="AD40" s="105" t="s">
        <v>830</v>
      </c>
      <c r="AE40" s="59"/>
      <c r="AF40" s="59"/>
      <c r="AG40" s="59"/>
      <c r="AH40" s="59"/>
      <c r="AI40" s="226">
        <f>SUMIFS(AI41:AI45,$AD41:$AD45,$AD40)</f>
        <v>0</v>
      </c>
      <c r="AJ40" s="226">
        <f>SUMIFS(AJ41:AJ45,$AD41:$AD45,$AD40)</f>
        <v>0</v>
      </c>
      <c r="AK40" s="31"/>
      <c r="AN40" s="971" t="s">
        <v>1251</v>
      </c>
      <c r="AO40" s="977"/>
      <c r="AP40" s="977"/>
      <c r="AQ40" s="978"/>
      <c r="AR40" s="978"/>
    </row>
    <row r="41" spans="5:44" s="1151" customFormat="1" ht="9" hidden="1" customHeight="1" x14ac:dyDescent="0.15">
      <c r="E41" s="674">
        <v>0</v>
      </c>
      <c r="F41" s="769" cm="1">
        <f t="array" aca="1" ref="F41" ca="1">OFFSET(G41,-1,-1)</f>
        <v>0</v>
      </c>
      <c r="T41" s="690" t="b">
        <f ca="1">F41&gt;0</f>
        <v>0</v>
      </c>
      <c r="X41" s="1480"/>
      <c r="Z41" s="1480"/>
      <c r="AB41" s="338"/>
      <c r="AC41" s="339"/>
      <c r="AD41" s="105"/>
      <c r="AE41" s="117"/>
      <c r="AF41" s="117"/>
      <c r="AG41" s="117"/>
      <c r="AH41" s="117"/>
      <c r="AI41" s="228"/>
      <c r="AJ41" s="228"/>
      <c r="AK41" s="711"/>
      <c r="AN41" s="971"/>
      <c r="AO41" s="977"/>
      <c r="AP41" s="977"/>
      <c r="AQ41" s="978"/>
      <c r="AR41" s="978"/>
    </row>
    <row r="42" spans="5:44" s="1151" customFormat="1" ht="16.5" hidden="1" customHeight="1" x14ac:dyDescent="0.15">
      <c r="E42" s="674">
        <v>17</v>
      </c>
      <c r="F42" s="769" cm="1">
        <f t="array" aca="1" ref="F42" ca="1">OFFSET(G42,-1,-1)</f>
        <v>0</v>
      </c>
      <c r="H42" s="160" t="s">
        <v>1217</v>
      </c>
      <c r="I42" s="160" cm="1">
        <f t="array" ref="I42">AC42</f>
        <v>0</v>
      </c>
      <c r="T42" s="690" t="b">
        <f ca="1">AND(F42&gt;0,Y42&gt;0)</f>
        <v>0</v>
      </c>
      <c r="W42" s="107" t="s">
        <v>237</v>
      </c>
      <c r="X42" s="1480"/>
      <c r="Y42" s="1480">
        <v>0</v>
      </c>
      <c r="Z42" s="1480"/>
      <c r="AA42" s="1556" t="s">
        <v>218</v>
      </c>
      <c r="AB42" s="338" t="str">
        <f>"3."&amp;Y42</f>
        <v>3.0</v>
      </c>
      <c r="AC42" s="6"/>
      <c r="AD42" s="105" t="s">
        <v>830</v>
      </c>
      <c r="AE42" s="117"/>
      <c r="AF42" s="117"/>
      <c r="AG42" s="117"/>
      <c r="AH42" s="117"/>
      <c r="AI42" s="227">
        <f>AI43*AI44*12/1000</f>
        <v>0</v>
      </c>
      <c r="AJ42" s="227">
        <f>AJ43*AJ44*12/1000</f>
        <v>0</v>
      </c>
      <c r="AK42" s="31"/>
      <c r="AN42" s="971" t="s">
        <v>1252</v>
      </c>
      <c r="AO42" s="977" t="s">
        <v>1253</v>
      </c>
      <c r="AP42" s="977" cm="1">
        <f t="array" ref="AP42">AC42</f>
        <v>0</v>
      </c>
      <c r="AQ42" s="978"/>
      <c r="AR42" s="978" t="b">
        <v>1</v>
      </c>
    </row>
    <row r="43" spans="5:44" s="1151" customFormat="1" ht="16.5" hidden="1" customHeight="1" x14ac:dyDescent="0.15">
      <c r="E43" s="674">
        <v>17</v>
      </c>
      <c r="F43" s="769" cm="1">
        <f t="array" aca="1" ref="F43" ca="1">OFFSET(G43,-1,-1)</f>
        <v>0</v>
      </c>
      <c r="G43" s="612" t="s">
        <v>1254</v>
      </c>
      <c r="H43" s="160" t="str">
        <f>H42&amp;"_1"</f>
        <v>L5_1</v>
      </c>
      <c r="I43" s="160" cm="1">
        <f t="array" ref="I43">I42</f>
        <v>0</v>
      </c>
      <c r="T43" s="690" t="b" cm="1">
        <f t="array" aca="1" ref="T43" ca="1">T42</f>
        <v>0</v>
      </c>
      <c r="X43" s="1480"/>
      <c r="Y43" s="1480"/>
      <c r="Z43" s="1480"/>
      <c r="AA43" s="1556"/>
      <c r="AB43" s="338" t="str">
        <f>AB42&amp;".1"</f>
        <v>3.0.1</v>
      </c>
      <c r="AC43" s="238" t="s">
        <v>1235</v>
      </c>
      <c r="AD43" s="105" t="s">
        <v>1236</v>
      </c>
      <c r="AE43" s="117"/>
      <c r="AF43" s="117"/>
      <c r="AG43" s="117"/>
      <c r="AH43" s="117"/>
      <c r="AI43" s="244"/>
      <c r="AJ43" s="244"/>
      <c r="AK43" s="31"/>
      <c r="AN43" s="971" t="s">
        <v>1255</v>
      </c>
      <c r="AO43" s="977" t="s">
        <v>1253</v>
      </c>
      <c r="AP43" s="977" cm="1">
        <f t="array" ref="AP43">AP42</f>
        <v>0</v>
      </c>
      <c r="AQ43" s="978"/>
      <c r="AR43" s="978"/>
    </row>
    <row r="44" spans="5:44" s="1151" customFormat="1" ht="16.5" hidden="1" customHeight="1" x14ac:dyDescent="0.15">
      <c r="E44" s="674">
        <v>17</v>
      </c>
      <c r="F44" s="769" cm="1">
        <f t="array" aca="1" ref="F44" ca="1">OFFSET(G44,-1,-1)</f>
        <v>0</v>
      </c>
      <c r="H44" s="160" t="str">
        <f>H42&amp;"_2"</f>
        <v>L5_2</v>
      </c>
      <c r="I44" s="160" cm="1">
        <f t="array" ref="I44">I43</f>
        <v>0</v>
      </c>
      <c r="T44" s="690" t="b" cm="1">
        <f t="array" aca="1" ref="T44" ca="1">T43</f>
        <v>0</v>
      </c>
      <c r="X44" s="1480"/>
      <c r="Y44" s="1480"/>
      <c r="Z44" s="1480"/>
      <c r="AA44" s="1556"/>
      <c r="AB44" s="338" t="str">
        <f>AB42&amp;".2"</f>
        <v>3.0.2</v>
      </c>
      <c r="AC44" s="238" t="s">
        <v>1238</v>
      </c>
      <c r="AD44" s="105" t="s">
        <v>1239</v>
      </c>
      <c r="AE44" s="117"/>
      <c r="AF44" s="117"/>
      <c r="AG44" s="117"/>
      <c r="AH44" s="117"/>
      <c r="AI44" s="244"/>
      <c r="AJ44" s="244"/>
      <c r="AK44" s="31"/>
      <c r="AN44" s="971" t="s">
        <v>1256</v>
      </c>
      <c r="AO44" s="977" t="s">
        <v>1253</v>
      </c>
      <c r="AP44" s="977" cm="1">
        <f t="array" ref="AP44">AP43</f>
        <v>0</v>
      </c>
      <c r="AQ44" s="978"/>
      <c r="AR44" s="978"/>
    </row>
    <row r="45" spans="5:44" s="1151" customFormat="1" ht="16.5" hidden="1" customHeight="1" x14ac:dyDescent="0.15">
      <c r="E45" s="674">
        <v>17</v>
      </c>
      <c r="F45" s="769" cm="1">
        <f t="array" aca="1" ref="F45" ca="1">OFFSET(G45,-1,-1)</f>
        <v>0</v>
      </c>
      <c r="H45" s="160" t="str">
        <f ca="1">F45&amp;"pIns3"</f>
        <v>0pIns3</v>
      </c>
      <c r="T45" s="690" t="b">
        <f ca="1">F45&gt;0</f>
        <v>0</v>
      </c>
      <c r="W45" s="312" t="s">
        <v>1224</v>
      </c>
      <c r="X45" s="1480"/>
      <c r="Z45" s="1480"/>
      <c r="AB45" s="246"/>
      <c r="AC45" s="247" t="s">
        <v>239</v>
      </c>
      <c r="AD45" s="247"/>
      <c r="AE45" s="247"/>
      <c r="AF45" s="247"/>
      <c r="AG45" s="247"/>
      <c r="AH45" s="247"/>
      <c r="AI45" s="247"/>
      <c r="AJ45" s="247"/>
      <c r="AK45" s="899"/>
      <c r="AN45" s="971" t="s">
        <v>247</v>
      </c>
      <c r="AO45" s="977"/>
      <c r="AP45" s="977"/>
      <c r="AQ45" s="978" t="s">
        <v>1253</v>
      </c>
      <c r="AR45" s="978"/>
    </row>
    <row r="46" spans="5:44" s="1151" customFormat="1" ht="24.2" hidden="1" customHeight="1" x14ac:dyDescent="0.15">
      <c r="E46" s="674">
        <v>24.8</v>
      </c>
      <c r="F46" s="769" cm="1">
        <f t="array" aca="1" ref="F46" ca="1">OFFSET(G46,-1,-1)</f>
        <v>0</v>
      </c>
      <c r="G46" s="612" t="s">
        <v>1257</v>
      </c>
      <c r="H46" s="160" t="s">
        <v>1217</v>
      </c>
      <c r="T46" s="690" t="b">
        <f ca="1">F46&gt;0</f>
        <v>0</v>
      </c>
      <c r="X46" s="1480"/>
      <c r="Z46" s="1480"/>
      <c r="AB46" s="338" t="s">
        <v>437</v>
      </c>
      <c r="AC46" s="339" t="s">
        <v>1258</v>
      </c>
      <c r="AD46" s="105" t="s">
        <v>830</v>
      </c>
      <c r="AE46" s="59"/>
      <c r="AF46" s="59"/>
      <c r="AG46" s="59"/>
      <c r="AH46" s="59"/>
      <c r="AI46" s="226">
        <f>SUMIFS(AI47:AI51,$AD47:$AD51,$AD46)</f>
        <v>0</v>
      </c>
      <c r="AJ46" s="226">
        <f>SUMIFS(AJ47:AJ51,$AD47:$AD51,$AD46)</f>
        <v>0</v>
      </c>
      <c r="AK46" s="31"/>
      <c r="AN46" s="971" t="s">
        <v>1259</v>
      </c>
      <c r="AO46" s="977"/>
      <c r="AP46" s="977"/>
      <c r="AQ46" s="978"/>
      <c r="AR46" s="978"/>
    </row>
    <row r="47" spans="5:44" s="1151" customFormat="1" ht="9" hidden="1" customHeight="1" x14ac:dyDescent="0.15">
      <c r="E47" s="674">
        <v>0</v>
      </c>
      <c r="F47" s="769" cm="1">
        <f t="array" aca="1" ref="F47" ca="1">OFFSET(G47,-1,-1)</f>
        <v>0</v>
      </c>
      <c r="T47" s="690" t="b">
        <f ca="1">F47&gt;0</f>
        <v>0</v>
      </c>
      <c r="X47" s="1480"/>
      <c r="Z47" s="1480"/>
      <c r="AB47" s="338"/>
      <c r="AC47" s="339"/>
      <c r="AD47" s="105"/>
      <c r="AE47" s="117"/>
      <c r="AF47" s="117"/>
      <c r="AG47" s="117"/>
      <c r="AH47" s="117"/>
      <c r="AI47" s="228"/>
      <c r="AJ47" s="228"/>
      <c r="AK47" s="711"/>
      <c r="AN47" s="971"/>
      <c r="AO47" s="977"/>
      <c r="AP47" s="977"/>
      <c r="AQ47" s="978"/>
      <c r="AR47" s="978"/>
    </row>
    <row r="48" spans="5:44" s="1151" customFormat="1" ht="16.5" hidden="1" customHeight="1" x14ac:dyDescent="0.15">
      <c r="E48" s="674">
        <v>17</v>
      </c>
      <c r="F48" s="769" cm="1">
        <f t="array" aca="1" ref="F48" ca="1">OFFSET(G48,-1,-1)</f>
        <v>0</v>
      </c>
      <c r="H48" s="160" t="s">
        <v>1217</v>
      </c>
      <c r="I48" s="160" cm="1">
        <f t="array" ref="I48">AC48</f>
        <v>0</v>
      </c>
      <c r="T48" s="690" t="b">
        <f ca="1">AND(F48&gt;0,Y48&gt;0)</f>
        <v>0</v>
      </c>
      <c r="W48" s="107" t="s">
        <v>237</v>
      </c>
      <c r="X48" s="1480"/>
      <c r="Y48" s="1480">
        <v>0</v>
      </c>
      <c r="Z48" s="1480"/>
      <c r="AA48" s="1556" t="s">
        <v>218</v>
      </c>
      <c r="AB48" s="338" t="str">
        <f>"4."&amp;Y48</f>
        <v>4.0</v>
      </c>
      <c r="AC48" s="6"/>
      <c r="AD48" s="105" t="s">
        <v>830</v>
      </c>
      <c r="AE48" s="117"/>
      <c r="AF48" s="117"/>
      <c r="AG48" s="117"/>
      <c r="AH48" s="117"/>
      <c r="AI48" s="227">
        <f>AI49*AI50*12/1000</f>
        <v>0</v>
      </c>
      <c r="AJ48" s="227">
        <f>AJ49*AJ50*12/1000</f>
        <v>0</v>
      </c>
      <c r="AK48" s="31"/>
      <c r="AN48" s="971" t="s">
        <v>1260</v>
      </c>
      <c r="AO48" s="977" t="s">
        <v>1261</v>
      </c>
      <c r="AP48" s="977" cm="1">
        <f t="array" ref="AP48">AC48</f>
        <v>0</v>
      </c>
      <c r="AQ48" s="978"/>
      <c r="AR48" s="978" t="b">
        <v>1</v>
      </c>
    </row>
    <row r="49" spans="1:44" s="1151" customFormat="1" ht="16.5" hidden="1" customHeight="1" x14ac:dyDescent="0.15">
      <c r="E49" s="674">
        <v>17</v>
      </c>
      <c r="F49" s="769" cm="1">
        <f t="array" aca="1" ref="F49" ca="1">OFFSET(G49,-1,-1)</f>
        <v>0</v>
      </c>
      <c r="G49" s="612" t="s">
        <v>1262</v>
      </c>
      <c r="H49" s="160" t="str">
        <f>H48&amp;"_1"</f>
        <v>L5_1</v>
      </c>
      <c r="I49" s="160" cm="1">
        <f t="array" ref="I49">I48</f>
        <v>0</v>
      </c>
      <c r="T49" s="690" t="b" cm="1">
        <f t="array" aca="1" ref="T49" ca="1">T48</f>
        <v>0</v>
      </c>
      <c r="X49" s="1480"/>
      <c r="Y49" s="1480"/>
      <c r="Z49" s="1480"/>
      <c r="AA49" s="1556"/>
      <c r="AB49" s="338" t="str">
        <f>AB48&amp;".1"</f>
        <v>4.0.1</v>
      </c>
      <c r="AC49" s="238" t="s">
        <v>1235</v>
      </c>
      <c r="AD49" s="105" t="s">
        <v>1236</v>
      </c>
      <c r="AE49" s="117"/>
      <c r="AF49" s="117"/>
      <c r="AG49" s="117"/>
      <c r="AH49" s="117"/>
      <c r="AI49" s="244"/>
      <c r="AJ49" s="244"/>
      <c r="AK49" s="31"/>
      <c r="AN49" s="971" t="s">
        <v>1263</v>
      </c>
      <c r="AO49" s="977" t="s">
        <v>1261</v>
      </c>
      <c r="AP49" s="977" cm="1">
        <f t="array" ref="AP49">AP48</f>
        <v>0</v>
      </c>
      <c r="AQ49" s="978"/>
      <c r="AR49" s="978"/>
    </row>
    <row r="50" spans="1:44" s="1151" customFormat="1" ht="16.5" hidden="1" customHeight="1" x14ac:dyDescent="0.15">
      <c r="E50" s="674">
        <v>17</v>
      </c>
      <c r="F50" s="769" cm="1">
        <f t="array" aca="1" ref="F50" ca="1">OFFSET(G50,-1,-1)</f>
        <v>0</v>
      </c>
      <c r="H50" s="160" t="str">
        <f>H48&amp;"_2"</f>
        <v>L5_2</v>
      </c>
      <c r="I50" s="160" cm="1">
        <f t="array" ref="I50">I49</f>
        <v>0</v>
      </c>
      <c r="T50" s="690" t="b" cm="1">
        <f t="array" aca="1" ref="T50" ca="1">T49</f>
        <v>0</v>
      </c>
      <c r="X50" s="1480"/>
      <c r="Y50" s="1480"/>
      <c r="Z50" s="1480"/>
      <c r="AA50" s="1556"/>
      <c r="AB50" s="338" t="str">
        <f>AB48&amp;".2"</f>
        <v>4.0.2</v>
      </c>
      <c r="AC50" s="238" t="s">
        <v>1238</v>
      </c>
      <c r="AD50" s="105" t="s">
        <v>1239</v>
      </c>
      <c r="AE50" s="117"/>
      <c r="AF50" s="117"/>
      <c r="AG50" s="117"/>
      <c r="AH50" s="117"/>
      <c r="AI50" s="244"/>
      <c r="AJ50" s="244"/>
      <c r="AK50" s="31"/>
      <c r="AN50" s="971" t="s">
        <v>1264</v>
      </c>
      <c r="AO50" s="977" t="s">
        <v>1261</v>
      </c>
      <c r="AP50" s="977" cm="1">
        <f t="array" ref="AP50">AP49</f>
        <v>0</v>
      </c>
      <c r="AQ50" s="978"/>
      <c r="AR50" s="978"/>
    </row>
    <row r="51" spans="1:44" s="1151" customFormat="1" ht="16.5" hidden="1" customHeight="1" x14ac:dyDescent="0.15">
      <c r="E51" s="674">
        <v>17</v>
      </c>
      <c r="F51" s="769" cm="1">
        <f t="array" aca="1" ref="F51" ca="1">OFFSET(G51,-1,-1)</f>
        <v>0</v>
      </c>
      <c r="H51" s="160" t="str">
        <f ca="1">F51&amp;"pIns3"</f>
        <v>0pIns3</v>
      </c>
      <c r="T51" s="690" t="b">
        <f ca="1">F51&gt;0</f>
        <v>0</v>
      </c>
      <c r="W51" s="312" t="s">
        <v>1265</v>
      </c>
      <c r="X51" s="1480"/>
      <c r="Z51" s="1480"/>
      <c r="AB51" s="246"/>
      <c r="AC51" s="247" t="s">
        <v>239</v>
      </c>
      <c r="AD51" s="247"/>
      <c r="AE51" s="247"/>
      <c r="AF51" s="247"/>
      <c r="AG51" s="247"/>
      <c r="AH51" s="247"/>
      <c r="AI51" s="247"/>
      <c r="AJ51" s="247"/>
      <c r="AK51" s="248"/>
      <c r="AN51" s="971"/>
      <c r="AO51" s="977"/>
      <c r="AP51" s="977"/>
      <c r="AQ51" s="978" t="s">
        <v>1261</v>
      </c>
      <c r="AR51" s="978"/>
    </row>
    <row r="52" spans="1:44" s="663" customFormat="1" ht="10.5" customHeight="1" x14ac:dyDescent="0.15">
      <c r="A52" s="1151"/>
      <c r="B52" s="1151"/>
      <c r="C52" s="1151"/>
      <c r="D52" s="1151"/>
      <c r="E52" s="674">
        <v>11.4</v>
      </c>
      <c r="F52" s="769" t="str" cm="1">
        <f t="array" ref="F52">X52</f>
        <v>1</v>
      </c>
      <c r="G52" s="612" t="s">
        <v>48</v>
      </c>
      <c r="H52" s="1151"/>
      <c r="I52" s="1151"/>
      <c r="J52" s="1151"/>
      <c r="K52" s="1151"/>
      <c r="L52" s="1151"/>
      <c r="M52" s="1151"/>
      <c r="N52" s="1151"/>
      <c r="O52" s="1151"/>
      <c r="P52" s="1151"/>
      <c r="Q52" s="1151"/>
      <c r="R52" s="1151"/>
      <c r="S52" s="1151"/>
      <c r="T52" s="690" t="b">
        <f>F52&gt;0</f>
        <v>1</v>
      </c>
      <c r="U52" s="1151"/>
      <c r="V52" s="119" t="str" cm="1">
        <f t="array" ref="V52">'Покупка услуг'!$AB$46</f>
        <v>Тариф 1 (Теплоснабжение) - Тариф на тепловую энергию (мощность), поставляемую потребителям (Не определено)</v>
      </c>
      <c r="W52" s="1151"/>
      <c r="X52" s="1480" t="s">
        <v>339</v>
      </c>
      <c r="Y52" s="1151"/>
      <c r="Z52" s="1480"/>
      <c r="AA52" s="1151"/>
      <c r="AB52" s="263" t="str" cm="1">
        <f t="array" ref="AB52">IF(ISBLANK('Покупка услуг'!$AB$46),"",'Покупка услуг'!$AB$46)</f>
        <v>Тариф 1 (Теплоснабжение) - Тариф на тепловую энергию (мощность), поставляемую потребителям (Не определено)</v>
      </c>
      <c r="AC52" s="207"/>
      <c r="AD52" s="207"/>
      <c r="AE52" s="315">
        <f t="shared" ref="AE52:AJ52" si="2">AE53+AE59+AE65+AE71</f>
        <v>0</v>
      </c>
      <c r="AF52" s="315">
        <f t="shared" si="2"/>
        <v>0</v>
      </c>
      <c r="AG52" s="315">
        <f t="shared" si="2"/>
        <v>0</v>
      </c>
      <c r="AH52" s="315">
        <f t="shared" si="2"/>
        <v>0</v>
      </c>
      <c r="AI52" s="315">
        <f t="shared" si="2"/>
        <v>0</v>
      </c>
      <c r="AJ52" s="315">
        <f t="shared" si="2"/>
        <v>0</v>
      </c>
      <c r="AK52" s="315"/>
      <c r="AL52" s="1151"/>
      <c r="AM52" s="1151"/>
      <c r="AN52" s="971"/>
      <c r="AO52" s="977"/>
      <c r="AP52" s="977"/>
      <c r="AQ52" s="978"/>
      <c r="AR52" s="978"/>
    </row>
    <row r="53" spans="1:44" s="663" customFormat="1" ht="18" customHeight="1" x14ac:dyDescent="0.15">
      <c r="A53" s="1151"/>
      <c r="B53" s="1151"/>
      <c r="C53" s="1151"/>
      <c r="D53" s="1151"/>
      <c r="E53" s="674">
        <v>18.8</v>
      </c>
      <c r="F53" s="769" t="str" cm="1">
        <f t="array" aca="1" ref="F53" ca="1">OFFSET(G53,-1,-1)</f>
        <v>1</v>
      </c>
      <c r="G53" s="612" t="s">
        <v>1228</v>
      </c>
      <c r="H53" s="160" t="s">
        <v>1229</v>
      </c>
      <c r="I53" s="1151"/>
      <c r="J53" s="1151"/>
      <c r="K53" s="1151"/>
      <c r="L53" s="1151"/>
      <c r="M53" s="1151"/>
      <c r="N53" s="1151"/>
      <c r="O53" s="1151"/>
      <c r="P53" s="1151"/>
      <c r="Q53" s="1151"/>
      <c r="R53" s="1151"/>
      <c r="S53" s="1151"/>
      <c r="T53" s="690" t="b">
        <f ca="1">F53&gt;0</f>
        <v>1</v>
      </c>
      <c r="U53" s="1151"/>
      <c r="V53" s="1151"/>
      <c r="W53" s="1151"/>
      <c r="X53" s="1480"/>
      <c r="Y53" s="1151"/>
      <c r="Z53" s="1480"/>
      <c r="AA53" s="1151"/>
      <c r="AB53" s="338">
        <v>1</v>
      </c>
      <c r="AC53" s="339" t="s">
        <v>1230</v>
      </c>
      <c r="AD53" s="105" t="s">
        <v>830</v>
      </c>
      <c r="AE53" s="1275"/>
      <c r="AF53" s="1275"/>
      <c r="AG53" s="1275"/>
      <c r="AH53" s="1275"/>
      <c r="AI53" s="226">
        <f>SUMIFS(AI54:AI58,$AD54:$AD58,$AD53)</f>
        <v>0</v>
      </c>
      <c r="AJ53" s="226">
        <f>SUMIFS(AJ54:AJ58,$AD54:$AD58,$AD53)</f>
        <v>0</v>
      </c>
      <c r="AK53" s="1238"/>
      <c r="AL53" s="1151"/>
      <c r="AM53" s="1151"/>
      <c r="AN53" s="971" t="s">
        <v>1231</v>
      </c>
      <c r="AO53" s="977"/>
      <c r="AP53" s="977"/>
      <c r="AQ53" s="978"/>
      <c r="AR53" s="978"/>
    </row>
    <row r="54" spans="1:44" s="663" customFormat="1" ht="11.25" hidden="1" customHeight="1" x14ac:dyDescent="0.15">
      <c r="A54" s="1151"/>
      <c r="B54" s="1151"/>
      <c r="C54" s="1151"/>
      <c r="D54" s="1151"/>
      <c r="E54" s="674">
        <v>0</v>
      </c>
      <c r="F54" s="769" t="str" cm="1">
        <f t="array" aca="1" ref="F54" ca="1">OFFSET(G54,-1,-1)</f>
        <v>1</v>
      </c>
      <c r="G54" s="1151"/>
      <c r="H54" s="1151"/>
      <c r="I54" s="1151"/>
      <c r="J54" s="1151"/>
      <c r="K54" s="1151"/>
      <c r="L54" s="1151"/>
      <c r="M54" s="1151"/>
      <c r="N54" s="1151"/>
      <c r="O54" s="1151"/>
      <c r="P54" s="1151"/>
      <c r="Q54" s="1151"/>
      <c r="R54" s="1151"/>
      <c r="S54" s="1151"/>
      <c r="T54" s="690" t="b">
        <f ca="1">F54&gt;0</f>
        <v>1</v>
      </c>
      <c r="U54" s="1151"/>
      <c r="V54" s="1151"/>
      <c r="W54" s="1151"/>
      <c r="X54" s="1480"/>
      <c r="Y54" s="1151"/>
      <c r="Z54" s="1480"/>
      <c r="AA54" s="1151"/>
      <c r="AB54" s="338"/>
      <c r="AC54" s="339"/>
      <c r="AD54" s="105"/>
      <c r="AE54" s="117"/>
      <c r="AF54" s="117"/>
      <c r="AG54" s="117"/>
      <c r="AH54" s="117"/>
      <c r="AI54" s="228"/>
      <c r="AJ54" s="228"/>
      <c r="AK54" s="711"/>
      <c r="AL54" s="1151"/>
      <c r="AM54" s="1151"/>
      <c r="AN54" s="971" t="s">
        <v>247</v>
      </c>
      <c r="AO54" s="977"/>
      <c r="AP54" s="977"/>
      <c r="AQ54" s="978"/>
      <c r="AR54" s="978"/>
    </row>
    <row r="55" spans="1:44" s="663" customFormat="1" ht="16.5" hidden="1" customHeight="1" x14ac:dyDescent="0.15">
      <c r="A55" s="1151"/>
      <c r="B55" s="1151"/>
      <c r="C55" s="1151"/>
      <c r="D55" s="1151"/>
      <c r="E55" s="674">
        <v>17</v>
      </c>
      <c r="F55" s="769" t="str" cm="1">
        <f t="array" aca="1" ref="F55" ca="1">OFFSET(G55,-1,-1)</f>
        <v>1</v>
      </c>
      <c r="G55" s="1151"/>
      <c r="H55" s="160" t="s">
        <v>1229</v>
      </c>
      <c r="I55" s="160" cm="1">
        <f t="array" ref="I55">AC55</f>
        <v>0</v>
      </c>
      <c r="J55" s="1151"/>
      <c r="K55" s="1151"/>
      <c r="L55" s="1151"/>
      <c r="M55" s="1151"/>
      <c r="N55" s="1151"/>
      <c r="O55" s="1151"/>
      <c r="P55" s="1151"/>
      <c r="Q55" s="1151"/>
      <c r="R55" s="1151"/>
      <c r="S55" s="1151"/>
      <c r="T55" s="690" t="b">
        <f ca="1">AND(F55&gt;0,Y55&gt;0)</f>
        <v>0</v>
      </c>
      <c r="U55" s="1151"/>
      <c r="V55" s="1151"/>
      <c r="W55" s="107" t="s">
        <v>237</v>
      </c>
      <c r="X55" s="1480"/>
      <c r="Y55" s="1480">
        <v>0</v>
      </c>
      <c r="Z55" s="1480"/>
      <c r="AA55" s="1556" t="s">
        <v>218</v>
      </c>
      <c r="AB55" s="338" t="str">
        <f>"1."&amp;Y55</f>
        <v>1.0</v>
      </c>
      <c r="AC55" s="6"/>
      <c r="AD55" s="105" t="s">
        <v>830</v>
      </c>
      <c r="AE55" s="117"/>
      <c r="AF55" s="117"/>
      <c r="AG55" s="117"/>
      <c r="AH55" s="117"/>
      <c r="AI55" s="227">
        <f>AI56*AI57*12/1000</f>
        <v>0</v>
      </c>
      <c r="AJ55" s="227">
        <f>AJ56*AJ57*12/1000</f>
        <v>0</v>
      </c>
      <c r="AK55" s="31"/>
      <c r="AL55" s="1151"/>
      <c r="AM55" s="1151"/>
      <c r="AN55" s="971" t="s">
        <v>1232</v>
      </c>
      <c r="AO55" s="977" t="s">
        <v>1233</v>
      </c>
      <c r="AP55" s="977" cm="1">
        <f t="array" ref="AP55">AC55</f>
        <v>0</v>
      </c>
      <c r="AQ55" s="978"/>
      <c r="AR55" s="978" t="b">
        <v>1</v>
      </c>
    </row>
    <row r="56" spans="1:44" s="663" customFormat="1" ht="16.5" hidden="1" customHeight="1" x14ac:dyDescent="0.15">
      <c r="A56" s="1151"/>
      <c r="B56" s="1151"/>
      <c r="C56" s="1151"/>
      <c r="D56" s="1151"/>
      <c r="E56" s="674">
        <v>17</v>
      </c>
      <c r="F56" s="769" t="str" cm="1">
        <f t="array" aca="1" ref="F56" ca="1">OFFSET(G56,-1,-1)</f>
        <v>1</v>
      </c>
      <c r="G56" s="612" t="s">
        <v>1234</v>
      </c>
      <c r="H56" s="160" t="str">
        <f>H55&amp;"_1"</f>
        <v>L1_1</v>
      </c>
      <c r="I56" s="160" cm="1">
        <f t="array" ref="I56">I55</f>
        <v>0</v>
      </c>
      <c r="J56" s="1151"/>
      <c r="K56" s="1151"/>
      <c r="L56" s="1151"/>
      <c r="M56" s="1151"/>
      <c r="N56" s="1151"/>
      <c r="O56" s="1151"/>
      <c r="P56" s="1151"/>
      <c r="Q56" s="1151"/>
      <c r="R56" s="1151"/>
      <c r="S56" s="1151"/>
      <c r="T56" s="690" t="b" cm="1">
        <f t="array" aca="1" ref="T56" ca="1">T55</f>
        <v>0</v>
      </c>
      <c r="U56" s="1151"/>
      <c r="V56" s="1151"/>
      <c r="W56" s="1151"/>
      <c r="X56" s="1480"/>
      <c r="Y56" s="1480"/>
      <c r="Z56" s="1480"/>
      <c r="AA56" s="1556"/>
      <c r="AB56" s="338" t="str">
        <f>AB55&amp;".1"</f>
        <v>1.0.1</v>
      </c>
      <c r="AC56" s="238" t="s">
        <v>1235</v>
      </c>
      <c r="AD56" s="105" t="s">
        <v>1236</v>
      </c>
      <c r="AE56" s="117"/>
      <c r="AF56" s="117"/>
      <c r="AG56" s="117"/>
      <c r="AH56" s="117"/>
      <c r="AI56" s="244"/>
      <c r="AJ56" s="244"/>
      <c r="AK56" s="31"/>
      <c r="AL56" s="1151"/>
      <c r="AM56" s="1151"/>
      <c r="AN56" s="971" t="s">
        <v>1237</v>
      </c>
      <c r="AO56" s="977" t="s">
        <v>1233</v>
      </c>
      <c r="AP56" s="977" cm="1">
        <f t="array" ref="AP56">AP55</f>
        <v>0</v>
      </c>
      <c r="AQ56" s="978"/>
      <c r="AR56" s="978"/>
    </row>
    <row r="57" spans="1:44" s="663" customFormat="1" ht="16.5" hidden="1" customHeight="1" x14ac:dyDescent="0.15">
      <c r="A57" s="1151"/>
      <c r="B57" s="1151"/>
      <c r="C57" s="1151"/>
      <c r="D57" s="1151"/>
      <c r="E57" s="674">
        <v>17</v>
      </c>
      <c r="F57" s="769" t="str" cm="1">
        <f t="array" aca="1" ref="F57" ca="1">OFFSET(G57,-1,-1)</f>
        <v>1</v>
      </c>
      <c r="G57" s="1151"/>
      <c r="H57" s="160" t="str">
        <f>H55&amp;"_2"</f>
        <v>L1_2</v>
      </c>
      <c r="I57" s="160" cm="1">
        <f t="array" ref="I57">I56</f>
        <v>0</v>
      </c>
      <c r="J57" s="1151"/>
      <c r="K57" s="1151"/>
      <c r="L57" s="1151"/>
      <c r="M57" s="1151"/>
      <c r="N57" s="1151"/>
      <c r="O57" s="1151"/>
      <c r="P57" s="1151"/>
      <c r="Q57" s="1151"/>
      <c r="R57" s="1151"/>
      <c r="S57" s="1151"/>
      <c r="T57" s="690" t="b" cm="1">
        <f t="array" aca="1" ref="T57" ca="1">T56</f>
        <v>0</v>
      </c>
      <c r="U57" s="1151"/>
      <c r="V57" s="1151"/>
      <c r="W57" s="1151"/>
      <c r="X57" s="1480"/>
      <c r="Y57" s="1480"/>
      <c r="Z57" s="1480"/>
      <c r="AA57" s="1556"/>
      <c r="AB57" s="338" t="str">
        <f>AB55&amp;".2"</f>
        <v>1.0.2</v>
      </c>
      <c r="AC57" s="238" t="s">
        <v>1238</v>
      </c>
      <c r="AD57" s="105" t="s">
        <v>1239</v>
      </c>
      <c r="AE57" s="117"/>
      <c r="AF57" s="117"/>
      <c r="AG57" s="117"/>
      <c r="AH57" s="117"/>
      <c r="AI57" s="244"/>
      <c r="AJ57" s="244"/>
      <c r="AK57" s="31"/>
      <c r="AL57" s="1151"/>
      <c r="AM57" s="1151"/>
      <c r="AN57" s="971" t="s">
        <v>1240</v>
      </c>
      <c r="AO57" s="977" t="s">
        <v>1233</v>
      </c>
      <c r="AP57" s="977" cm="1">
        <f t="array" ref="AP57">AP56</f>
        <v>0</v>
      </c>
      <c r="AQ57" s="978"/>
      <c r="AR57" s="978"/>
    </row>
    <row r="58" spans="1:44" s="663" customFormat="1" ht="16.5" customHeight="1" x14ac:dyDescent="0.15">
      <c r="A58" s="1151"/>
      <c r="B58" s="1151"/>
      <c r="C58" s="1151"/>
      <c r="D58" s="1151"/>
      <c r="E58" s="674">
        <v>17</v>
      </c>
      <c r="F58" s="769" t="str" cm="1">
        <f t="array" aca="1" ref="F58" ca="1">OFFSET(G58,-1,-1)</f>
        <v>1</v>
      </c>
      <c r="G58" s="1151"/>
      <c r="H58" s="160" t="str">
        <f ca="1">F58&amp;"pIns1"</f>
        <v>1pIns1</v>
      </c>
      <c r="I58" s="1151"/>
      <c r="J58" s="1151"/>
      <c r="K58" s="1151"/>
      <c r="L58" s="1151"/>
      <c r="M58" s="1151"/>
      <c r="N58" s="1151"/>
      <c r="O58" s="1151"/>
      <c r="P58" s="1151"/>
      <c r="Q58" s="1151"/>
      <c r="R58" s="1151"/>
      <c r="S58" s="1151"/>
      <c r="T58" s="690" t="b">
        <f ca="1">F58&gt;0</f>
        <v>1</v>
      </c>
      <c r="U58" s="1151"/>
      <c r="V58" s="1151"/>
      <c r="W58" s="312" t="s">
        <v>971</v>
      </c>
      <c r="X58" s="1480"/>
      <c r="Y58" s="1151"/>
      <c r="Z58" s="1480"/>
      <c r="AA58" s="1151"/>
      <c r="AB58" s="246"/>
      <c r="AC58" s="247" t="s">
        <v>239</v>
      </c>
      <c r="AD58" s="247"/>
      <c r="AE58" s="247"/>
      <c r="AF58" s="247"/>
      <c r="AG58" s="247"/>
      <c r="AH58" s="247"/>
      <c r="AI58" s="247"/>
      <c r="AJ58" s="247"/>
      <c r="AK58" s="899"/>
      <c r="AL58" s="1151"/>
      <c r="AM58" s="1151"/>
      <c r="AN58" s="971" t="s">
        <v>247</v>
      </c>
      <c r="AO58" s="977"/>
      <c r="AP58" s="977"/>
      <c r="AQ58" s="978" t="s">
        <v>1233</v>
      </c>
      <c r="AR58" s="978"/>
    </row>
    <row r="59" spans="1:44" s="663" customFormat="1" ht="24" customHeight="1" x14ac:dyDescent="0.15">
      <c r="A59" s="1151"/>
      <c r="B59" s="1151"/>
      <c r="C59" s="1151"/>
      <c r="D59" s="1151"/>
      <c r="E59" s="674">
        <v>24.8</v>
      </c>
      <c r="F59" s="769" t="str" cm="1">
        <f t="array" aca="1" ref="F59" ca="1">OFFSET(G59,-1,-1)</f>
        <v>1</v>
      </c>
      <c r="G59" s="612" t="s">
        <v>1241</v>
      </c>
      <c r="H59" s="160" t="s">
        <v>1217</v>
      </c>
      <c r="I59" s="1151"/>
      <c r="J59" s="1151"/>
      <c r="K59" s="1151"/>
      <c r="L59" s="1151"/>
      <c r="M59" s="1151"/>
      <c r="N59" s="1151"/>
      <c r="O59" s="1151"/>
      <c r="P59" s="1151"/>
      <c r="Q59" s="1151"/>
      <c r="R59" s="1151"/>
      <c r="S59" s="1151"/>
      <c r="T59" s="690" t="b">
        <f ca="1">F59&gt;0</f>
        <v>1</v>
      </c>
      <c r="U59" s="1151"/>
      <c r="V59" s="1151"/>
      <c r="W59" s="1151"/>
      <c r="X59" s="1480"/>
      <c r="Y59" s="1151"/>
      <c r="Z59" s="1480"/>
      <c r="AA59" s="1151"/>
      <c r="AB59" s="338" t="s">
        <v>426</v>
      </c>
      <c r="AC59" s="339" t="s">
        <v>1242</v>
      </c>
      <c r="AD59" s="105" t="s">
        <v>830</v>
      </c>
      <c r="AE59" s="1275"/>
      <c r="AF59" s="1275"/>
      <c r="AG59" s="1275"/>
      <c r="AH59" s="1275"/>
      <c r="AI59" s="226">
        <f>SUMIFS(AI60:AI64,$AD60:$AD64,$AD59)</f>
        <v>0</v>
      </c>
      <c r="AJ59" s="226">
        <f>SUMIFS(AJ60:AJ64,$AD60:$AD64,$AD59)</f>
        <v>0</v>
      </c>
      <c r="AK59" s="1238"/>
      <c r="AL59" s="1151"/>
      <c r="AM59" s="1151"/>
      <c r="AN59" s="971" t="s">
        <v>1243</v>
      </c>
      <c r="AO59" s="977"/>
      <c r="AP59" s="977"/>
      <c r="AQ59" s="978"/>
      <c r="AR59" s="978"/>
    </row>
    <row r="60" spans="1:44" s="663" customFormat="1" ht="9" hidden="1" customHeight="1" x14ac:dyDescent="0.15">
      <c r="A60" s="1151"/>
      <c r="B60" s="1151"/>
      <c r="C60" s="1151"/>
      <c r="D60" s="1151"/>
      <c r="E60" s="674">
        <v>0</v>
      </c>
      <c r="F60" s="769" t="str" cm="1">
        <f t="array" aca="1" ref="F60" ca="1">OFFSET(G60,-1,-1)</f>
        <v>1</v>
      </c>
      <c r="G60" s="1151"/>
      <c r="H60" s="1151"/>
      <c r="I60" s="1151"/>
      <c r="J60" s="1151"/>
      <c r="K60" s="1151"/>
      <c r="L60" s="1151"/>
      <c r="M60" s="1151"/>
      <c r="N60" s="1151"/>
      <c r="O60" s="1151"/>
      <c r="P60" s="1151"/>
      <c r="Q60" s="1151"/>
      <c r="R60" s="1151"/>
      <c r="S60" s="1151"/>
      <c r="T60" s="690" t="b">
        <f ca="1">F60&gt;0</f>
        <v>1</v>
      </c>
      <c r="U60" s="1151"/>
      <c r="V60" s="1151"/>
      <c r="W60" s="1151"/>
      <c r="X60" s="1480"/>
      <c r="Y60" s="1151"/>
      <c r="Z60" s="1480"/>
      <c r="AA60" s="1151"/>
      <c r="AB60" s="338"/>
      <c r="AC60" s="339"/>
      <c r="AD60" s="105"/>
      <c r="AE60" s="117"/>
      <c r="AF60" s="117"/>
      <c r="AG60" s="117"/>
      <c r="AH60" s="117"/>
      <c r="AI60" s="228"/>
      <c r="AJ60" s="228"/>
      <c r="AK60" s="711"/>
      <c r="AL60" s="1151"/>
      <c r="AM60" s="1151"/>
      <c r="AN60" s="971"/>
      <c r="AO60" s="977"/>
      <c r="AP60" s="977"/>
      <c r="AQ60" s="978"/>
      <c r="AR60" s="978"/>
    </row>
    <row r="61" spans="1:44" s="663" customFormat="1" ht="16.5" hidden="1" customHeight="1" x14ac:dyDescent="0.15">
      <c r="A61" s="1151"/>
      <c r="B61" s="1151"/>
      <c r="C61" s="1151"/>
      <c r="D61" s="1151"/>
      <c r="E61" s="674">
        <v>17</v>
      </c>
      <c r="F61" s="769" t="str" cm="1">
        <f t="array" aca="1" ref="F61" ca="1">OFFSET(G61,-1,-1)</f>
        <v>1</v>
      </c>
      <c r="G61" s="1151"/>
      <c r="H61" s="160" t="s">
        <v>1217</v>
      </c>
      <c r="I61" s="160" cm="1">
        <f t="array" ref="I61">AC61</f>
        <v>0</v>
      </c>
      <c r="J61" s="1151"/>
      <c r="K61" s="1151"/>
      <c r="L61" s="1151"/>
      <c r="M61" s="1151"/>
      <c r="N61" s="1151"/>
      <c r="O61" s="1151"/>
      <c r="P61" s="1151"/>
      <c r="Q61" s="1151"/>
      <c r="R61" s="1151"/>
      <c r="S61" s="1151"/>
      <c r="T61" s="690" t="b">
        <f ca="1">AND(F61&gt;0,Y61&gt;0)</f>
        <v>0</v>
      </c>
      <c r="U61" s="1151"/>
      <c r="V61" s="1151"/>
      <c r="W61" s="107" t="s">
        <v>237</v>
      </c>
      <c r="X61" s="1480"/>
      <c r="Y61" s="1480">
        <v>0</v>
      </c>
      <c r="Z61" s="1480"/>
      <c r="AA61" s="1556" t="s">
        <v>218</v>
      </c>
      <c r="AB61" s="338" t="str">
        <f>"2."&amp;Y61</f>
        <v>2.0</v>
      </c>
      <c r="AC61" s="6"/>
      <c r="AD61" s="105" t="s">
        <v>830</v>
      </c>
      <c r="AE61" s="117"/>
      <c r="AF61" s="117"/>
      <c r="AG61" s="117"/>
      <c r="AH61" s="117"/>
      <c r="AI61" s="227">
        <f>AI62*AI63*12/1000</f>
        <v>0</v>
      </c>
      <c r="AJ61" s="227">
        <f>AJ62*AJ63*12/1000</f>
        <v>0</v>
      </c>
      <c r="AK61" s="31"/>
      <c r="AL61" s="1151"/>
      <c r="AM61" s="1151"/>
      <c r="AN61" s="971" t="s">
        <v>1244</v>
      </c>
      <c r="AO61" s="977" t="s">
        <v>1245</v>
      </c>
      <c r="AP61" s="977" cm="1">
        <f t="array" ref="AP61">AC61</f>
        <v>0</v>
      </c>
      <c r="AQ61" s="978"/>
      <c r="AR61" s="978" t="b">
        <v>1</v>
      </c>
    </row>
    <row r="62" spans="1:44" s="663" customFormat="1" ht="16.5" hidden="1" customHeight="1" x14ac:dyDescent="0.15">
      <c r="A62" s="1151"/>
      <c r="B62" s="1151"/>
      <c r="C62" s="1151"/>
      <c r="D62" s="1151"/>
      <c r="E62" s="674">
        <v>17</v>
      </c>
      <c r="F62" s="769" t="str" cm="1">
        <f t="array" aca="1" ref="F62" ca="1">OFFSET(G62,-1,-1)</f>
        <v>1</v>
      </c>
      <c r="G62" s="612" t="s">
        <v>1246</v>
      </c>
      <c r="H62" s="160" t="str">
        <f>H61&amp;"_1"</f>
        <v>L5_1</v>
      </c>
      <c r="I62" s="160" cm="1">
        <f t="array" ref="I62">I61</f>
        <v>0</v>
      </c>
      <c r="J62" s="1151"/>
      <c r="K62" s="1151"/>
      <c r="L62" s="1151"/>
      <c r="M62" s="1151"/>
      <c r="N62" s="1151"/>
      <c r="O62" s="1151"/>
      <c r="P62" s="1151"/>
      <c r="Q62" s="1151"/>
      <c r="R62" s="1151"/>
      <c r="S62" s="1151"/>
      <c r="T62" s="690" t="b" cm="1">
        <f t="array" aca="1" ref="T62" ca="1">T61</f>
        <v>0</v>
      </c>
      <c r="U62" s="1151"/>
      <c r="V62" s="1151"/>
      <c r="W62" s="1151"/>
      <c r="X62" s="1480"/>
      <c r="Y62" s="1480"/>
      <c r="Z62" s="1480"/>
      <c r="AA62" s="1556"/>
      <c r="AB62" s="338" t="str">
        <f>AB61&amp;".1"</f>
        <v>2.0.1</v>
      </c>
      <c r="AC62" s="238" t="s">
        <v>1235</v>
      </c>
      <c r="AD62" s="105" t="s">
        <v>1236</v>
      </c>
      <c r="AE62" s="117"/>
      <c r="AF62" s="117"/>
      <c r="AG62" s="117"/>
      <c r="AH62" s="117"/>
      <c r="AI62" s="244"/>
      <c r="AJ62" s="244"/>
      <c r="AK62" s="31"/>
      <c r="AL62" s="1151"/>
      <c r="AM62" s="1151"/>
      <c r="AN62" s="971" t="s">
        <v>1247</v>
      </c>
      <c r="AO62" s="977" t="s">
        <v>1245</v>
      </c>
      <c r="AP62" s="977" cm="1">
        <f t="array" ref="AP62">AP61</f>
        <v>0</v>
      </c>
      <c r="AQ62" s="978"/>
      <c r="AR62" s="978"/>
    </row>
    <row r="63" spans="1:44" s="663" customFormat="1" ht="16.5" hidden="1" customHeight="1" x14ac:dyDescent="0.15">
      <c r="A63" s="1151"/>
      <c r="B63" s="1151"/>
      <c r="C63" s="1151"/>
      <c r="D63" s="1151"/>
      <c r="E63" s="674">
        <v>17</v>
      </c>
      <c r="F63" s="769" t="str" cm="1">
        <f t="array" aca="1" ref="F63" ca="1">OFFSET(G63,-1,-1)</f>
        <v>1</v>
      </c>
      <c r="G63" s="1151"/>
      <c r="H63" s="160" t="str">
        <f>H61&amp;"_2"</f>
        <v>L5_2</v>
      </c>
      <c r="I63" s="160" cm="1">
        <f t="array" ref="I63">I62</f>
        <v>0</v>
      </c>
      <c r="J63" s="1151"/>
      <c r="K63" s="1151"/>
      <c r="L63" s="1151"/>
      <c r="M63" s="1151"/>
      <c r="N63" s="1151"/>
      <c r="O63" s="1151"/>
      <c r="P63" s="1151"/>
      <c r="Q63" s="1151"/>
      <c r="R63" s="1151"/>
      <c r="S63" s="1151"/>
      <c r="T63" s="690" t="b" cm="1">
        <f t="array" aca="1" ref="T63" ca="1">T62</f>
        <v>0</v>
      </c>
      <c r="U63" s="1151"/>
      <c r="V63" s="1151"/>
      <c r="W63" s="1151"/>
      <c r="X63" s="1480"/>
      <c r="Y63" s="1480"/>
      <c r="Z63" s="1480"/>
      <c r="AA63" s="1556"/>
      <c r="AB63" s="338" t="str">
        <f>AB61&amp;".2"</f>
        <v>2.0.2</v>
      </c>
      <c r="AC63" s="238" t="s">
        <v>1238</v>
      </c>
      <c r="AD63" s="105" t="s">
        <v>1239</v>
      </c>
      <c r="AE63" s="117"/>
      <c r="AF63" s="117"/>
      <c r="AG63" s="117"/>
      <c r="AH63" s="117"/>
      <c r="AI63" s="244"/>
      <c r="AJ63" s="244"/>
      <c r="AK63" s="31"/>
      <c r="AL63" s="1151"/>
      <c r="AM63" s="1151"/>
      <c r="AN63" s="971" t="s">
        <v>1248</v>
      </c>
      <c r="AO63" s="977" t="s">
        <v>1245</v>
      </c>
      <c r="AP63" s="977" cm="1">
        <f t="array" ref="AP63">AP62</f>
        <v>0</v>
      </c>
      <c r="AQ63" s="978"/>
      <c r="AR63" s="978"/>
    </row>
    <row r="64" spans="1:44" s="663" customFormat="1" ht="16.5" customHeight="1" x14ac:dyDescent="0.15">
      <c r="A64" s="1151"/>
      <c r="B64" s="1151"/>
      <c r="C64" s="1151"/>
      <c r="D64" s="1151"/>
      <c r="E64" s="674">
        <v>17</v>
      </c>
      <c r="F64" s="769" t="str" cm="1">
        <f t="array" aca="1" ref="F64" ca="1">OFFSET(G64,-1,-1)</f>
        <v>1</v>
      </c>
      <c r="G64" s="1151"/>
      <c r="H64" s="160" t="str">
        <f ca="1">F64&amp;"pIns3"</f>
        <v>1pIns3</v>
      </c>
      <c r="I64" s="1151"/>
      <c r="J64" s="1151"/>
      <c r="K64" s="1151"/>
      <c r="L64" s="1151"/>
      <c r="M64" s="1151"/>
      <c r="N64" s="1151"/>
      <c r="O64" s="1151"/>
      <c r="P64" s="1151"/>
      <c r="Q64" s="1151"/>
      <c r="R64" s="1151"/>
      <c r="S64" s="1151"/>
      <c r="T64" s="690" t="b">
        <f ca="1">F64&gt;0</f>
        <v>1</v>
      </c>
      <c r="U64" s="1151"/>
      <c r="V64" s="1151"/>
      <c r="W64" s="312" t="s">
        <v>982</v>
      </c>
      <c r="X64" s="1480"/>
      <c r="Y64" s="1151"/>
      <c r="Z64" s="1480"/>
      <c r="AA64" s="1151"/>
      <c r="AB64" s="246"/>
      <c r="AC64" s="247" t="s">
        <v>239</v>
      </c>
      <c r="AD64" s="247"/>
      <c r="AE64" s="247"/>
      <c r="AF64" s="247"/>
      <c r="AG64" s="247"/>
      <c r="AH64" s="247"/>
      <c r="AI64" s="247"/>
      <c r="AJ64" s="247"/>
      <c r="AK64" s="899"/>
      <c r="AL64" s="1151"/>
      <c r="AM64" s="1151"/>
      <c r="AN64" s="971" t="s">
        <v>247</v>
      </c>
      <c r="AO64" s="977"/>
      <c r="AP64" s="977"/>
      <c r="AQ64" s="978" t="s">
        <v>1245</v>
      </c>
      <c r="AR64" s="978"/>
    </row>
    <row r="65" spans="1:44" s="663" customFormat="1" ht="24" customHeight="1" x14ac:dyDescent="0.15">
      <c r="A65" s="1151"/>
      <c r="B65" s="1151"/>
      <c r="C65" s="1151"/>
      <c r="D65" s="1151"/>
      <c r="E65" s="674">
        <v>24.8</v>
      </c>
      <c r="F65" s="769" t="str" cm="1">
        <f t="array" aca="1" ref="F65" ca="1">OFFSET(G65,-1,-1)</f>
        <v>1</v>
      </c>
      <c r="G65" s="612" t="s">
        <v>1249</v>
      </c>
      <c r="H65" s="160" t="s">
        <v>1217</v>
      </c>
      <c r="I65" s="1151"/>
      <c r="J65" s="1151"/>
      <c r="K65" s="1151"/>
      <c r="L65" s="1151"/>
      <c r="M65" s="1151"/>
      <c r="N65" s="1151"/>
      <c r="O65" s="1151"/>
      <c r="P65" s="1151"/>
      <c r="Q65" s="1151"/>
      <c r="R65" s="1151"/>
      <c r="S65" s="1151"/>
      <c r="T65" s="690" t="b">
        <f ca="1">F65&gt;0</f>
        <v>1</v>
      </c>
      <c r="U65" s="1151"/>
      <c r="V65" s="1151"/>
      <c r="W65" s="1151"/>
      <c r="X65" s="1480"/>
      <c r="Y65" s="1151"/>
      <c r="Z65" s="1480"/>
      <c r="AA65" s="1151"/>
      <c r="AB65" s="338" t="s">
        <v>431</v>
      </c>
      <c r="AC65" s="339" t="s">
        <v>1250</v>
      </c>
      <c r="AD65" s="105" t="s">
        <v>830</v>
      </c>
      <c r="AE65" s="1275"/>
      <c r="AF65" s="1275"/>
      <c r="AG65" s="1275"/>
      <c r="AH65" s="1275"/>
      <c r="AI65" s="226">
        <f>SUMIFS(AI66:AI70,$AD66:$AD70,$AD65)</f>
        <v>0</v>
      </c>
      <c r="AJ65" s="226">
        <f>SUMIFS(AJ66:AJ70,$AD66:$AD70,$AD65)</f>
        <v>0</v>
      </c>
      <c r="AK65" s="1238"/>
      <c r="AL65" s="1151"/>
      <c r="AM65" s="1151"/>
      <c r="AN65" s="971" t="s">
        <v>1251</v>
      </c>
      <c r="AO65" s="977"/>
      <c r="AP65" s="977"/>
      <c r="AQ65" s="978"/>
      <c r="AR65" s="978"/>
    </row>
    <row r="66" spans="1:44" s="663" customFormat="1" ht="9" hidden="1" customHeight="1" x14ac:dyDescent="0.15">
      <c r="A66" s="1151"/>
      <c r="B66" s="1151"/>
      <c r="C66" s="1151"/>
      <c r="D66" s="1151"/>
      <c r="E66" s="674">
        <v>0</v>
      </c>
      <c r="F66" s="769" t="str" cm="1">
        <f t="array" aca="1" ref="F66" ca="1">OFFSET(G66,-1,-1)</f>
        <v>1</v>
      </c>
      <c r="G66" s="1151"/>
      <c r="H66" s="1151"/>
      <c r="I66" s="1151"/>
      <c r="J66" s="1151"/>
      <c r="K66" s="1151"/>
      <c r="L66" s="1151"/>
      <c r="M66" s="1151"/>
      <c r="N66" s="1151"/>
      <c r="O66" s="1151"/>
      <c r="P66" s="1151"/>
      <c r="Q66" s="1151"/>
      <c r="R66" s="1151"/>
      <c r="S66" s="1151"/>
      <c r="T66" s="690" t="b">
        <f ca="1">F66&gt;0</f>
        <v>1</v>
      </c>
      <c r="U66" s="1151"/>
      <c r="V66" s="1151"/>
      <c r="W66" s="1151"/>
      <c r="X66" s="1480"/>
      <c r="Y66" s="1151"/>
      <c r="Z66" s="1480"/>
      <c r="AA66" s="1151"/>
      <c r="AB66" s="338"/>
      <c r="AC66" s="339"/>
      <c r="AD66" s="105"/>
      <c r="AE66" s="117"/>
      <c r="AF66" s="117"/>
      <c r="AG66" s="117"/>
      <c r="AH66" s="117"/>
      <c r="AI66" s="228"/>
      <c r="AJ66" s="228"/>
      <c r="AK66" s="711"/>
      <c r="AL66" s="1151"/>
      <c r="AM66" s="1151"/>
      <c r="AN66" s="971"/>
      <c r="AO66" s="977"/>
      <c r="AP66" s="977"/>
      <c r="AQ66" s="978"/>
      <c r="AR66" s="978"/>
    </row>
    <row r="67" spans="1:44" s="663" customFormat="1" ht="16.5" hidden="1" customHeight="1" x14ac:dyDescent="0.15">
      <c r="A67" s="1151"/>
      <c r="B67" s="1151"/>
      <c r="C67" s="1151"/>
      <c r="D67" s="1151"/>
      <c r="E67" s="674">
        <v>17</v>
      </c>
      <c r="F67" s="769" t="str" cm="1">
        <f t="array" aca="1" ref="F67" ca="1">OFFSET(G67,-1,-1)</f>
        <v>1</v>
      </c>
      <c r="G67" s="1151"/>
      <c r="H67" s="160" t="s">
        <v>1217</v>
      </c>
      <c r="I67" s="160" cm="1">
        <f t="array" ref="I67">AC67</f>
        <v>0</v>
      </c>
      <c r="J67" s="1151"/>
      <c r="K67" s="1151"/>
      <c r="L67" s="1151"/>
      <c r="M67" s="1151"/>
      <c r="N67" s="1151"/>
      <c r="O67" s="1151"/>
      <c r="P67" s="1151"/>
      <c r="Q67" s="1151"/>
      <c r="R67" s="1151"/>
      <c r="S67" s="1151"/>
      <c r="T67" s="690" t="b">
        <f ca="1">AND(F67&gt;0,Y67&gt;0)</f>
        <v>0</v>
      </c>
      <c r="U67" s="1151"/>
      <c r="V67" s="1151"/>
      <c r="W67" s="107" t="s">
        <v>237</v>
      </c>
      <c r="X67" s="1480"/>
      <c r="Y67" s="1480">
        <v>0</v>
      </c>
      <c r="Z67" s="1480"/>
      <c r="AA67" s="1556" t="s">
        <v>218</v>
      </c>
      <c r="AB67" s="338" t="str">
        <f>"3."&amp;Y67</f>
        <v>3.0</v>
      </c>
      <c r="AC67" s="6"/>
      <c r="AD67" s="105" t="s">
        <v>830</v>
      </c>
      <c r="AE67" s="117"/>
      <c r="AF67" s="117"/>
      <c r="AG67" s="117"/>
      <c r="AH67" s="117"/>
      <c r="AI67" s="227">
        <f>AI68*AI69*12/1000</f>
        <v>0</v>
      </c>
      <c r="AJ67" s="227">
        <f>AJ68*AJ69*12/1000</f>
        <v>0</v>
      </c>
      <c r="AK67" s="31"/>
      <c r="AL67" s="1151"/>
      <c r="AM67" s="1151"/>
      <c r="AN67" s="971" t="s">
        <v>1252</v>
      </c>
      <c r="AO67" s="977" t="s">
        <v>1253</v>
      </c>
      <c r="AP67" s="977" cm="1">
        <f t="array" ref="AP67">AC67</f>
        <v>0</v>
      </c>
      <c r="AQ67" s="978"/>
      <c r="AR67" s="978" t="b">
        <v>1</v>
      </c>
    </row>
    <row r="68" spans="1:44" s="663" customFormat="1" ht="16.5" hidden="1" customHeight="1" x14ac:dyDescent="0.15">
      <c r="A68" s="1151"/>
      <c r="B68" s="1151"/>
      <c r="C68" s="1151"/>
      <c r="D68" s="1151"/>
      <c r="E68" s="674">
        <v>17</v>
      </c>
      <c r="F68" s="769" t="str" cm="1">
        <f t="array" aca="1" ref="F68" ca="1">OFFSET(G68,-1,-1)</f>
        <v>1</v>
      </c>
      <c r="G68" s="612" t="s">
        <v>1254</v>
      </c>
      <c r="H68" s="160" t="str">
        <f>H67&amp;"_1"</f>
        <v>L5_1</v>
      </c>
      <c r="I68" s="160" cm="1">
        <f t="array" ref="I68">I67</f>
        <v>0</v>
      </c>
      <c r="J68" s="1151"/>
      <c r="K68" s="1151"/>
      <c r="L68" s="1151"/>
      <c r="M68" s="1151"/>
      <c r="N68" s="1151"/>
      <c r="O68" s="1151"/>
      <c r="P68" s="1151"/>
      <c r="Q68" s="1151"/>
      <c r="R68" s="1151"/>
      <c r="S68" s="1151"/>
      <c r="T68" s="690" t="b" cm="1">
        <f t="array" aca="1" ref="T68" ca="1">T67</f>
        <v>0</v>
      </c>
      <c r="U68" s="1151"/>
      <c r="V68" s="1151"/>
      <c r="W68" s="1151"/>
      <c r="X68" s="1480"/>
      <c r="Y68" s="1480"/>
      <c r="Z68" s="1480"/>
      <c r="AA68" s="1556"/>
      <c r="AB68" s="338" t="str">
        <f>AB67&amp;".1"</f>
        <v>3.0.1</v>
      </c>
      <c r="AC68" s="238" t="s">
        <v>1235</v>
      </c>
      <c r="AD68" s="105" t="s">
        <v>1236</v>
      </c>
      <c r="AE68" s="117"/>
      <c r="AF68" s="117"/>
      <c r="AG68" s="117"/>
      <c r="AH68" s="117"/>
      <c r="AI68" s="244"/>
      <c r="AJ68" s="244"/>
      <c r="AK68" s="31"/>
      <c r="AL68" s="1151"/>
      <c r="AM68" s="1151"/>
      <c r="AN68" s="971" t="s">
        <v>1255</v>
      </c>
      <c r="AO68" s="977" t="s">
        <v>1253</v>
      </c>
      <c r="AP68" s="977" cm="1">
        <f t="array" ref="AP68">AP67</f>
        <v>0</v>
      </c>
      <c r="AQ68" s="978"/>
      <c r="AR68" s="978"/>
    </row>
    <row r="69" spans="1:44" s="663" customFormat="1" ht="16.5" hidden="1" customHeight="1" x14ac:dyDescent="0.15">
      <c r="A69" s="1151"/>
      <c r="B69" s="1151"/>
      <c r="C69" s="1151"/>
      <c r="D69" s="1151"/>
      <c r="E69" s="674">
        <v>17</v>
      </c>
      <c r="F69" s="769" t="str" cm="1">
        <f t="array" aca="1" ref="F69" ca="1">OFFSET(G69,-1,-1)</f>
        <v>1</v>
      </c>
      <c r="G69" s="1151"/>
      <c r="H69" s="160" t="str">
        <f>H67&amp;"_2"</f>
        <v>L5_2</v>
      </c>
      <c r="I69" s="160" cm="1">
        <f t="array" ref="I69">I68</f>
        <v>0</v>
      </c>
      <c r="J69" s="1151"/>
      <c r="K69" s="1151"/>
      <c r="L69" s="1151"/>
      <c r="M69" s="1151"/>
      <c r="N69" s="1151"/>
      <c r="O69" s="1151"/>
      <c r="P69" s="1151"/>
      <c r="Q69" s="1151"/>
      <c r="R69" s="1151"/>
      <c r="S69" s="1151"/>
      <c r="T69" s="690" t="b" cm="1">
        <f t="array" aca="1" ref="T69" ca="1">T68</f>
        <v>0</v>
      </c>
      <c r="U69" s="1151"/>
      <c r="V69" s="1151"/>
      <c r="W69" s="1151"/>
      <c r="X69" s="1480"/>
      <c r="Y69" s="1480"/>
      <c r="Z69" s="1480"/>
      <c r="AA69" s="1556"/>
      <c r="AB69" s="338" t="str">
        <f>AB67&amp;".2"</f>
        <v>3.0.2</v>
      </c>
      <c r="AC69" s="238" t="s">
        <v>1238</v>
      </c>
      <c r="AD69" s="105" t="s">
        <v>1239</v>
      </c>
      <c r="AE69" s="117"/>
      <c r="AF69" s="117"/>
      <c r="AG69" s="117"/>
      <c r="AH69" s="117"/>
      <c r="AI69" s="244"/>
      <c r="AJ69" s="244"/>
      <c r="AK69" s="31"/>
      <c r="AL69" s="1151"/>
      <c r="AM69" s="1151"/>
      <c r="AN69" s="971" t="s">
        <v>1256</v>
      </c>
      <c r="AO69" s="977" t="s">
        <v>1253</v>
      </c>
      <c r="AP69" s="977" cm="1">
        <f t="array" ref="AP69">AP68</f>
        <v>0</v>
      </c>
      <c r="AQ69" s="978"/>
      <c r="AR69" s="978"/>
    </row>
    <row r="70" spans="1:44" s="663" customFormat="1" ht="16.5" customHeight="1" x14ac:dyDescent="0.15">
      <c r="A70" s="1151"/>
      <c r="B70" s="1151"/>
      <c r="C70" s="1151"/>
      <c r="D70" s="1151"/>
      <c r="E70" s="674">
        <v>17</v>
      </c>
      <c r="F70" s="769" t="str" cm="1">
        <f t="array" aca="1" ref="F70" ca="1">OFFSET(G70,-1,-1)</f>
        <v>1</v>
      </c>
      <c r="G70" s="1151"/>
      <c r="H70" s="160" t="str">
        <f ca="1">F70&amp;"pIns3"</f>
        <v>1pIns3</v>
      </c>
      <c r="I70" s="1151"/>
      <c r="J70" s="1151"/>
      <c r="K70" s="1151"/>
      <c r="L70" s="1151"/>
      <c r="M70" s="1151"/>
      <c r="N70" s="1151"/>
      <c r="O70" s="1151"/>
      <c r="P70" s="1151"/>
      <c r="Q70" s="1151"/>
      <c r="R70" s="1151"/>
      <c r="S70" s="1151"/>
      <c r="T70" s="690" t="b">
        <f ca="1">F70&gt;0</f>
        <v>1</v>
      </c>
      <c r="U70" s="1151"/>
      <c r="V70" s="1151"/>
      <c r="W70" s="312" t="s">
        <v>1224</v>
      </c>
      <c r="X70" s="1480"/>
      <c r="Y70" s="1151"/>
      <c r="Z70" s="1480"/>
      <c r="AA70" s="1151"/>
      <c r="AB70" s="246"/>
      <c r="AC70" s="247" t="s">
        <v>239</v>
      </c>
      <c r="AD70" s="247"/>
      <c r="AE70" s="247"/>
      <c r="AF70" s="247"/>
      <c r="AG70" s="247"/>
      <c r="AH70" s="247"/>
      <c r="AI70" s="247"/>
      <c r="AJ70" s="247"/>
      <c r="AK70" s="899"/>
      <c r="AL70" s="1151"/>
      <c r="AM70" s="1151"/>
      <c r="AN70" s="971" t="s">
        <v>247</v>
      </c>
      <c r="AO70" s="977"/>
      <c r="AP70" s="977"/>
      <c r="AQ70" s="978" t="s">
        <v>1253</v>
      </c>
      <c r="AR70" s="978"/>
    </row>
    <row r="71" spans="1:44" s="663" customFormat="1" ht="24" customHeight="1" x14ac:dyDescent="0.15">
      <c r="A71" s="1151"/>
      <c r="B71" s="1151"/>
      <c r="C71" s="1151"/>
      <c r="D71" s="1151"/>
      <c r="E71" s="674">
        <v>24.8</v>
      </c>
      <c r="F71" s="769" t="str" cm="1">
        <f t="array" aca="1" ref="F71" ca="1">OFFSET(G71,-1,-1)</f>
        <v>1</v>
      </c>
      <c r="G71" s="612" t="s">
        <v>1257</v>
      </c>
      <c r="H71" s="160" t="s">
        <v>1217</v>
      </c>
      <c r="I71" s="1151"/>
      <c r="J71" s="1151"/>
      <c r="K71" s="1151"/>
      <c r="L71" s="1151"/>
      <c r="M71" s="1151"/>
      <c r="N71" s="1151"/>
      <c r="O71" s="1151"/>
      <c r="P71" s="1151"/>
      <c r="Q71" s="1151"/>
      <c r="R71" s="1151"/>
      <c r="S71" s="1151"/>
      <c r="T71" s="690" t="b">
        <f ca="1">F71&gt;0</f>
        <v>1</v>
      </c>
      <c r="U71" s="1151"/>
      <c r="V71" s="1151"/>
      <c r="W71" s="1151"/>
      <c r="X71" s="1480"/>
      <c r="Y71" s="1151"/>
      <c r="Z71" s="1480"/>
      <c r="AA71" s="1151"/>
      <c r="AB71" s="338" t="s">
        <v>437</v>
      </c>
      <c r="AC71" s="339" t="s">
        <v>1258</v>
      </c>
      <c r="AD71" s="105" t="s">
        <v>830</v>
      </c>
      <c r="AE71" s="1275"/>
      <c r="AF71" s="1275"/>
      <c r="AG71" s="1275"/>
      <c r="AH71" s="1275"/>
      <c r="AI71" s="226">
        <f>SUMIFS(AI72:AI76,$AD72:$AD76,$AD71)</f>
        <v>0</v>
      </c>
      <c r="AJ71" s="226">
        <f>SUMIFS(AJ72:AJ76,$AD72:$AD76,$AD71)</f>
        <v>0</v>
      </c>
      <c r="AK71" s="1238"/>
      <c r="AL71" s="1151"/>
      <c r="AM71" s="1151"/>
      <c r="AN71" s="971" t="s">
        <v>1259</v>
      </c>
      <c r="AO71" s="977"/>
      <c r="AP71" s="977"/>
      <c r="AQ71" s="978"/>
      <c r="AR71" s="978"/>
    </row>
    <row r="72" spans="1:44" s="663" customFormat="1" ht="9" hidden="1" customHeight="1" x14ac:dyDescent="0.15">
      <c r="A72" s="1151"/>
      <c r="B72" s="1151"/>
      <c r="C72" s="1151"/>
      <c r="D72" s="1151"/>
      <c r="E72" s="674">
        <v>0</v>
      </c>
      <c r="F72" s="769" t="str" cm="1">
        <f t="array" aca="1" ref="F72" ca="1">OFFSET(G72,-1,-1)</f>
        <v>1</v>
      </c>
      <c r="G72" s="1151"/>
      <c r="H72" s="1151"/>
      <c r="I72" s="1151"/>
      <c r="J72" s="1151"/>
      <c r="K72" s="1151"/>
      <c r="L72" s="1151"/>
      <c r="M72" s="1151"/>
      <c r="N72" s="1151"/>
      <c r="O72" s="1151"/>
      <c r="P72" s="1151"/>
      <c r="Q72" s="1151"/>
      <c r="R72" s="1151"/>
      <c r="S72" s="1151"/>
      <c r="T72" s="690" t="b">
        <f ca="1">F72&gt;0</f>
        <v>1</v>
      </c>
      <c r="U72" s="1151"/>
      <c r="V72" s="1151"/>
      <c r="W72" s="1151"/>
      <c r="X72" s="1480"/>
      <c r="Y72" s="1151"/>
      <c r="Z72" s="1480"/>
      <c r="AA72" s="1151"/>
      <c r="AB72" s="338"/>
      <c r="AC72" s="339"/>
      <c r="AD72" s="105"/>
      <c r="AE72" s="117"/>
      <c r="AF72" s="117"/>
      <c r="AG72" s="117"/>
      <c r="AH72" s="117"/>
      <c r="AI72" s="228"/>
      <c r="AJ72" s="228"/>
      <c r="AK72" s="711"/>
      <c r="AL72" s="1151"/>
      <c r="AM72" s="1151"/>
      <c r="AN72" s="971"/>
      <c r="AO72" s="977"/>
      <c r="AP72" s="977"/>
      <c r="AQ72" s="978"/>
      <c r="AR72" s="978"/>
    </row>
    <row r="73" spans="1:44" s="663" customFormat="1" ht="16.5" hidden="1" customHeight="1" x14ac:dyDescent="0.15">
      <c r="A73" s="1151"/>
      <c r="B73" s="1151"/>
      <c r="C73" s="1151"/>
      <c r="D73" s="1151"/>
      <c r="E73" s="674">
        <v>17</v>
      </c>
      <c r="F73" s="769" t="str" cm="1">
        <f t="array" aca="1" ref="F73" ca="1">OFFSET(G73,-1,-1)</f>
        <v>1</v>
      </c>
      <c r="G73" s="1151"/>
      <c r="H73" s="160" t="s">
        <v>1217</v>
      </c>
      <c r="I73" s="160" cm="1">
        <f t="array" ref="I73">AC73</f>
        <v>0</v>
      </c>
      <c r="J73" s="1151"/>
      <c r="K73" s="1151"/>
      <c r="L73" s="1151"/>
      <c r="M73" s="1151"/>
      <c r="N73" s="1151"/>
      <c r="O73" s="1151"/>
      <c r="P73" s="1151"/>
      <c r="Q73" s="1151"/>
      <c r="R73" s="1151"/>
      <c r="S73" s="1151"/>
      <c r="T73" s="690" t="b">
        <f ca="1">AND(F73&gt;0,Y73&gt;0)</f>
        <v>0</v>
      </c>
      <c r="U73" s="1151"/>
      <c r="V73" s="1151"/>
      <c r="W73" s="107" t="s">
        <v>237</v>
      </c>
      <c r="X73" s="1480"/>
      <c r="Y73" s="1480">
        <v>0</v>
      </c>
      <c r="Z73" s="1480"/>
      <c r="AA73" s="1556" t="s">
        <v>218</v>
      </c>
      <c r="AB73" s="338" t="str">
        <f>"4."&amp;Y73</f>
        <v>4.0</v>
      </c>
      <c r="AC73" s="6"/>
      <c r="AD73" s="105" t="s">
        <v>830</v>
      </c>
      <c r="AE73" s="117"/>
      <c r="AF73" s="117"/>
      <c r="AG73" s="117"/>
      <c r="AH73" s="117"/>
      <c r="AI73" s="227">
        <f>AI74*AI75*12/1000</f>
        <v>0</v>
      </c>
      <c r="AJ73" s="227">
        <f>AJ74*AJ75*12/1000</f>
        <v>0</v>
      </c>
      <c r="AK73" s="31"/>
      <c r="AL73" s="1151"/>
      <c r="AM73" s="1151"/>
      <c r="AN73" s="971" t="s">
        <v>1260</v>
      </c>
      <c r="AO73" s="977" t="s">
        <v>1261</v>
      </c>
      <c r="AP73" s="977" cm="1">
        <f t="array" ref="AP73">AC73</f>
        <v>0</v>
      </c>
      <c r="AQ73" s="978"/>
      <c r="AR73" s="978" t="b">
        <v>1</v>
      </c>
    </row>
    <row r="74" spans="1:44" s="663" customFormat="1" ht="16.5" hidden="1" customHeight="1" x14ac:dyDescent="0.15">
      <c r="A74" s="1151"/>
      <c r="B74" s="1151"/>
      <c r="C74" s="1151"/>
      <c r="D74" s="1151"/>
      <c r="E74" s="674">
        <v>17</v>
      </c>
      <c r="F74" s="769" t="str" cm="1">
        <f t="array" aca="1" ref="F74" ca="1">OFFSET(G74,-1,-1)</f>
        <v>1</v>
      </c>
      <c r="G74" s="612" t="s">
        <v>1262</v>
      </c>
      <c r="H74" s="160" t="str">
        <f>H73&amp;"_1"</f>
        <v>L5_1</v>
      </c>
      <c r="I74" s="160" cm="1">
        <f t="array" ref="I74">I73</f>
        <v>0</v>
      </c>
      <c r="J74" s="1151"/>
      <c r="K74" s="1151"/>
      <c r="L74" s="1151"/>
      <c r="M74" s="1151"/>
      <c r="N74" s="1151"/>
      <c r="O74" s="1151"/>
      <c r="P74" s="1151"/>
      <c r="Q74" s="1151"/>
      <c r="R74" s="1151"/>
      <c r="S74" s="1151"/>
      <c r="T74" s="690" t="b" cm="1">
        <f t="array" aca="1" ref="T74" ca="1">T73</f>
        <v>0</v>
      </c>
      <c r="U74" s="1151"/>
      <c r="V74" s="1151"/>
      <c r="W74" s="1151"/>
      <c r="X74" s="1480"/>
      <c r="Y74" s="1480"/>
      <c r="Z74" s="1480"/>
      <c r="AA74" s="1556"/>
      <c r="AB74" s="338" t="str">
        <f>AB73&amp;".1"</f>
        <v>4.0.1</v>
      </c>
      <c r="AC74" s="238" t="s">
        <v>1235</v>
      </c>
      <c r="AD74" s="105" t="s">
        <v>1236</v>
      </c>
      <c r="AE74" s="117"/>
      <c r="AF74" s="117"/>
      <c r="AG74" s="117"/>
      <c r="AH74" s="117"/>
      <c r="AI74" s="244"/>
      <c r="AJ74" s="244"/>
      <c r="AK74" s="31"/>
      <c r="AL74" s="1151"/>
      <c r="AM74" s="1151"/>
      <c r="AN74" s="971" t="s">
        <v>1263</v>
      </c>
      <c r="AO74" s="977" t="s">
        <v>1261</v>
      </c>
      <c r="AP74" s="977" cm="1">
        <f t="array" ref="AP74">AP73</f>
        <v>0</v>
      </c>
      <c r="AQ74" s="978"/>
      <c r="AR74" s="978"/>
    </row>
    <row r="75" spans="1:44" s="663" customFormat="1" ht="16.5" hidden="1" customHeight="1" x14ac:dyDescent="0.15">
      <c r="A75" s="1151"/>
      <c r="B75" s="1151"/>
      <c r="C75" s="1151"/>
      <c r="D75" s="1151"/>
      <c r="E75" s="674">
        <v>17</v>
      </c>
      <c r="F75" s="769" t="str" cm="1">
        <f t="array" aca="1" ref="F75" ca="1">OFFSET(G75,-1,-1)</f>
        <v>1</v>
      </c>
      <c r="G75" s="1151"/>
      <c r="H75" s="160" t="str">
        <f>H73&amp;"_2"</f>
        <v>L5_2</v>
      </c>
      <c r="I75" s="160" cm="1">
        <f t="array" ref="I75">I74</f>
        <v>0</v>
      </c>
      <c r="J75" s="1151"/>
      <c r="K75" s="1151"/>
      <c r="L75" s="1151"/>
      <c r="M75" s="1151"/>
      <c r="N75" s="1151"/>
      <c r="O75" s="1151"/>
      <c r="P75" s="1151"/>
      <c r="Q75" s="1151"/>
      <c r="R75" s="1151"/>
      <c r="S75" s="1151"/>
      <c r="T75" s="690" t="b" cm="1">
        <f t="array" aca="1" ref="T75" ca="1">T74</f>
        <v>0</v>
      </c>
      <c r="U75" s="1151"/>
      <c r="V75" s="1151"/>
      <c r="W75" s="1151"/>
      <c r="X75" s="1480"/>
      <c r="Y75" s="1480"/>
      <c r="Z75" s="1480"/>
      <c r="AA75" s="1556"/>
      <c r="AB75" s="338" t="str">
        <f>AB73&amp;".2"</f>
        <v>4.0.2</v>
      </c>
      <c r="AC75" s="238" t="s">
        <v>1238</v>
      </c>
      <c r="AD75" s="105" t="s">
        <v>1239</v>
      </c>
      <c r="AE75" s="117"/>
      <c r="AF75" s="117"/>
      <c r="AG75" s="117"/>
      <c r="AH75" s="117"/>
      <c r="AI75" s="244"/>
      <c r="AJ75" s="244"/>
      <c r="AK75" s="31"/>
      <c r="AL75" s="1151"/>
      <c r="AM75" s="1151"/>
      <c r="AN75" s="971" t="s">
        <v>1264</v>
      </c>
      <c r="AO75" s="977" t="s">
        <v>1261</v>
      </c>
      <c r="AP75" s="977" cm="1">
        <f t="array" ref="AP75">AP74</f>
        <v>0</v>
      </c>
      <c r="AQ75" s="978"/>
      <c r="AR75" s="978"/>
    </row>
    <row r="76" spans="1:44" s="663" customFormat="1" ht="16.5" customHeight="1" x14ac:dyDescent="0.15">
      <c r="A76" s="1151"/>
      <c r="B76" s="1151"/>
      <c r="C76" s="1151"/>
      <c r="D76" s="1151"/>
      <c r="E76" s="674">
        <v>17</v>
      </c>
      <c r="F76" s="769" t="str" cm="1">
        <f t="array" aca="1" ref="F76" ca="1">OFFSET(G76,-1,-1)</f>
        <v>1</v>
      </c>
      <c r="G76" s="1151"/>
      <c r="H76" s="160" t="str">
        <f ca="1">F76&amp;"pIns3"</f>
        <v>1pIns3</v>
      </c>
      <c r="I76" s="1151"/>
      <c r="J76" s="1151"/>
      <c r="K76" s="1151"/>
      <c r="L76" s="1151"/>
      <c r="M76" s="1151"/>
      <c r="N76" s="1151"/>
      <c r="O76" s="1151"/>
      <c r="P76" s="1151"/>
      <c r="Q76" s="1151"/>
      <c r="R76" s="1151"/>
      <c r="S76" s="1151"/>
      <c r="T76" s="690" t="b">
        <f ca="1">F76&gt;0</f>
        <v>1</v>
      </c>
      <c r="U76" s="1151"/>
      <c r="V76" s="1151"/>
      <c r="W76" s="312" t="s">
        <v>1265</v>
      </c>
      <c r="X76" s="1480"/>
      <c r="Y76" s="1151"/>
      <c r="Z76" s="1480"/>
      <c r="AA76" s="1151"/>
      <c r="AB76" s="246"/>
      <c r="AC76" s="247" t="s">
        <v>239</v>
      </c>
      <c r="AD76" s="247"/>
      <c r="AE76" s="247"/>
      <c r="AF76" s="247"/>
      <c r="AG76" s="247"/>
      <c r="AH76" s="247"/>
      <c r="AI76" s="247"/>
      <c r="AJ76" s="247"/>
      <c r="AK76" s="248"/>
      <c r="AL76" s="1151"/>
      <c r="AM76" s="1151"/>
      <c r="AN76" s="971"/>
      <c r="AO76" s="977"/>
      <c r="AP76" s="977"/>
      <c r="AQ76" s="978" t="s">
        <v>1261</v>
      </c>
      <c r="AR76" s="978"/>
    </row>
    <row r="77" spans="1:44" ht="11.1" customHeight="1" x14ac:dyDescent="0.15">
      <c r="E77" s="668">
        <v>11.4</v>
      </c>
      <c r="U77" s="126" t="s">
        <v>239</v>
      </c>
      <c r="V77" s="119" t="s">
        <v>1266</v>
      </c>
    </row>
    <row r="78" spans="1:44" ht="11.25" hidden="1" customHeight="1" x14ac:dyDescent="0.15">
      <c r="E78" s="668">
        <v>0</v>
      </c>
    </row>
    <row r="79" spans="1:44" ht="14.65" customHeight="1" x14ac:dyDescent="0.15">
      <c r="E79" s="668">
        <v>15</v>
      </c>
      <c r="AB79" s="1558" t="s">
        <v>725</v>
      </c>
      <c r="AC79" s="1558"/>
      <c r="AD79" s="1558"/>
      <c r="AE79" s="1558"/>
      <c r="AF79" s="1558"/>
      <c r="AG79" s="1558"/>
      <c r="AH79" s="1558"/>
      <c r="AI79" s="1559"/>
      <c r="AJ79" s="1559"/>
      <c r="AK79" s="1559"/>
    </row>
    <row r="80" spans="1:44" ht="14.65" customHeight="1" x14ac:dyDescent="0.15">
      <c r="E80" s="668">
        <v>15</v>
      </c>
      <c r="AA80" s="768"/>
      <c r="AB80" s="1560"/>
      <c r="AC80" s="1560"/>
      <c r="AD80" s="1560"/>
      <c r="AE80" s="1560"/>
      <c r="AF80" s="1560"/>
      <c r="AG80" s="1560"/>
      <c r="AH80" s="1560"/>
      <c r="AI80" s="1561"/>
      <c r="AJ80" s="1561"/>
      <c r="AK80" s="1561"/>
    </row>
    <row r="81" spans="5:38" ht="14.65" hidden="1" customHeight="1" x14ac:dyDescent="0.15">
      <c r="E81" s="668">
        <v>15</v>
      </c>
      <c r="T81" s="679" t="b">
        <f>ROW(W81)&gt;ROW(W$81)</f>
        <v>0</v>
      </c>
      <c r="V81" s="126"/>
      <c r="W81" s="123" t="s">
        <v>237</v>
      </c>
      <c r="AA81" s="764" t="s">
        <v>218</v>
      </c>
      <c r="AB81" s="1565"/>
      <c r="AC81" s="1565"/>
      <c r="AD81" s="1565"/>
      <c r="AE81" s="1565"/>
      <c r="AF81" s="1565"/>
      <c r="AG81" s="1565"/>
      <c r="AH81" s="1565"/>
      <c r="AI81" s="1561"/>
      <c r="AJ81" s="1561"/>
      <c r="AK81" s="1562"/>
    </row>
    <row r="82" spans="5:38" ht="14.65" customHeight="1" x14ac:dyDescent="0.15">
      <c r="E82" s="668">
        <v>15</v>
      </c>
      <c r="W82" s="119" t="s">
        <v>1014</v>
      </c>
      <c r="AB82" s="1500" t="s">
        <v>726</v>
      </c>
      <c r="AC82" s="1501"/>
      <c r="AD82" s="317"/>
      <c r="AE82" s="317"/>
      <c r="AF82" s="318"/>
      <c r="AG82" s="318"/>
      <c r="AH82" s="318"/>
      <c r="AI82" s="318"/>
      <c r="AJ82" s="318"/>
      <c r="AK82" s="319"/>
    </row>
    <row r="83" spans="5:38" ht="11.25" customHeight="1" x14ac:dyDescent="0.15">
      <c r="AL83" s="160"/>
    </row>
  </sheetData>
  <sheetProtection formatColumns="0" formatRows="0" insertRows="0" deleteColumns="0" deleteRows="0" sort="0" autoFilter="0"/>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8657A-1EB8-D386-5639-86771C79AC73}">
  <sheetPr>
    <tabColor rgb="FF002060"/>
    <outlinePr summaryBelow="0" summaryRight="0"/>
    <pageSetUpPr fitToPage="1"/>
  </sheetPr>
  <dimension ref="A1:BJ61"/>
  <sheetViews>
    <sheetView showGridLines="0" workbookViewId="0">
      <pane xSplit="30" ySplit="26" topLeftCell="AF41" activePane="bottomRight" state="frozen"/>
      <selection pane="topRight" activeCell="AE1" sqref="AE1"/>
      <selection pane="bottomLeft" activeCell="A27" sqref="A27"/>
      <selection pane="bottomRight" activeCell="AI51" sqref="AI51"/>
    </sheetView>
  </sheetViews>
  <sheetFormatPr defaultColWidth="9.140625" defaultRowHeight="11.25" customHeight="1" x14ac:dyDescent="0.15"/>
  <cols>
    <col min="1" max="1" width="3.5703125" style="1152" hidden="1" customWidth="1"/>
    <col min="2" max="2" width="8.5703125" style="773" hidden="1" customWidth="1"/>
    <col min="3" max="4" width="3.5703125" style="1152" hidden="1" customWidth="1"/>
    <col min="5" max="5" width="8.42578125" style="772" hidden="1" customWidth="1"/>
    <col min="6" max="6" width="6.42578125" style="1152" hidden="1" customWidth="1"/>
    <col min="7" max="16" width="3.5703125" style="417" hidden="1" customWidth="1"/>
    <col min="17" max="18" width="3.5703125" style="774" hidden="1" customWidth="1"/>
    <col min="19" max="19" width="3.5703125" style="417"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7" customWidth="1"/>
    <col min="28" max="28" width="6.140625" style="417" customWidth="1"/>
    <col min="29" max="29" width="43.7109375" style="167" customWidth="1"/>
    <col min="30" max="30" width="12.140625" style="167" customWidth="1"/>
    <col min="31" max="35" width="12.5703125" style="167" customWidth="1"/>
    <col min="36" max="44" width="12.5703125" style="167" hidden="1" customWidth="1"/>
    <col min="45" max="45" width="12.5703125" style="167" customWidth="1"/>
    <col min="46" max="54" width="12.5703125" style="167" hidden="1" customWidth="1"/>
    <col min="55" max="55" width="20.140625" style="167" customWidth="1"/>
    <col min="56" max="56" width="3" style="167" customWidth="1"/>
    <col min="57" max="57" width="9.140625" style="167" hidden="1"/>
    <col min="58" max="60" width="9.140625" style="1005" hidden="1"/>
    <col min="61" max="62" width="9.140625" style="1016" hidden="1"/>
  </cols>
  <sheetData>
    <row r="1" spans="1:62" s="1152" customFormat="1" ht="12" hidden="1" customHeight="1" x14ac:dyDescent="0.15">
      <c r="B1" s="773"/>
      <c r="E1" s="773"/>
      <c r="F1" s="690" t="s">
        <v>83</v>
      </c>
      <c r="G1" s="417"/>
      <c r="H1" s="417"/>
      <c r="I1" s="417"/>
      <c r="J1" s="417"/>
      <c r="K1" s="417"/>
      <c r="L1" s="417"/>
      <c r="M1" s="417"/>
      <c r="N1" s="417"/>
      <c r="O1" s="417"/>
      <c r="P1" s="417"/>
      <c r="Q1" s="774"/>
      <c r="R1" s="774"/>
      <c r="S1" s="417"/>
      <c r="T1" s="679" t="s">
        <v>86</v>
      </c>
      <c r="U1" s="679" t="s">
        <v>91</v>
      </c>
      <c r="V1" s="679" t="s">
        <v>87</v>
      </c>
      <c r="W1" s="679" t="s">
        <v>88</v>
      </c>
      <c r="X1" s="679" t="s">
        <v>89</v>
      </c>
      <c r="Y1" s="690" t="s">
        <v>374</v>
      </c>
      <c r="Z1" s="679" t="s">
        <v>93</v>
      </c>
      <c r="AA1" s="690" t="s">
        <v>90</v>
      </c>
      <c r="AB1" s="690" t="s">
        <v>92</v>
      </c>
      <c r="AC1" s="690" t="s">
        <v>92</v>
      </c>
      <c r="BF1" s="1005" t="s">
        <v>375</v>
      </c>
      <c r="BG1" s="1005" t="s">
        <v>376</v>
      </c>
      <c r="BH1" s="1005" t="s">
        <v>377</v>
      </c>
      <c r="BI1" s="1016" t="s">
        <v>380</v>
      </c>
      <c r="BJ1" s="1016" t="s">
        <v>381</v>
      </c>
    </row>
    <row r="2" spans="1:62" s="773" customFormat="1" ht="12" hidden="1" customHeight="1" x14ac:dyDescent="0.15">
      <c r="B2" s="775" t="s">
        <v>15</v>
      </c>
      <c r="G2" s="807"/>
      <c r="H2" s="807"/>
      <c r="I2" s="807"/>
      <c r="J2" s="807"/>
      <c r="K2" s="807"/>
      <c r="L2" s="807"/>
      <c r="M2" s="807"/>
      <c r="N2" s="807"/>
      <c r="O2" s="807"/>
      <c r="P2" s="807"/>
      <c r="Q2" s="807"/>
      <c r="R2" s="807"/>
      <c r="S2" s="807"/>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1008"/>
      <c r="BG2" s="1008"/>
      <c r="BH2" s="1008"/>
      <c r="BI2" s="1017"/>
      <c r="BJ2" s="1017"/>
    </row>
    <row r="3" spans="1:62" s="1152" customFormat="1" ht="12" hidden="1" customHeight="1" x14ac:dyDescent="0.15">
      <c r="B3" s="773"/>
      <c r="E3" s="773"/>
      <c r="G3" s="417"/>
      <c r="H3" s="417"/>
      <c r="I3" s="417"/>
      <c r="J3" s="417"/>
      <c r="K3" s="417"/>
      <c r="L3" s="417"/>
      <c r="M3" s="417"/>
      <c r="N3" s="417"/>
      <c r="O3" s="417"/>
      <c r="P3" s="417"/>
      <c r="Q3" s="774"/>
      <c r="R3" s="774"/>
      <c r="S3" s="417"/>
      <c r="BF3" s="1005"/>
      <c r="BG3" s="1005"/>
      <c r="BH3" s="1005"/>
      <c r="BI3" s="1016"/>
      <c r="BJ3" s="1016"/>
    </row>
    <row r="4" spans="1:62" s="1152" customFormat="1" ht="12" hidden="1" customHeight="1" x14ac:dyDescent="0.15">
      <c r="B4" s="773"/>
      <c r="E4" s="773"/>
      <c r="G4" s="417"/>
      <c r="H4" s="417"/>
      <c r="I4" s="417"/>
      <c r="J4" s="417"/>
      <c r="K4" s="417"/>
      <c r="L4" s="417"/>
      <c r="M4" s="417"/>
      <c r="N4" s="417"/>
      <c r="O4" s="417"/>
      <c r="P4" s="417"/>
      <c r="Q4" s="774"/>
      <c r="R4" s="774"/>
      <c r="S4" s="417"/>
      <c r="BF4" s="1005"/>
      <c r="BG4" s="1005"/>
      <c r="BH4" s="1005"/>
      <c r="BI4" s="1016"/>
      <c r="BJ4" s="1016"/>
    </row>
    <row r="5" spans="1:62" s="772" customFormat="1" ht="12" hidden="1" customHeight="1" x14ac:dyDescent="0.15">
      <c r="A5" s="773"/>
      <c r="B5" s="773"/>
      <c r="C5" s="773"/>
      <c r="D5" s="773"/>
      <c r="E5" s="772" t="s">
        <v>16</v>
      </c>
      <c r="G5" s="808"/>
      <c r="H5" s="808"/>
      <c r="I5" s="808"/>
      <c r="J5" s="808"/>
      <c r="K5" s="808"/>
      <c r="L5" s="808"/>
      <c r="M5" s="808"/>
      <c r="N5" s="808"/>
      <c r="O5" s="808"/>
      <c r="P5" s="808"/>
      <c r="Q5" s="808"/>
      <c r="R5" s="808"/>
      <c r="S5" s="808"/>
      <c r="AA5" s="772">
        <v>3</v>
      </c>
      <c r="AB5" s="772">
        <v>6.13</v>
      </c>
      <c r="AC5" s="772">
        <v>43.75</v>
      </c>
      <c r="AD5" s="772">
        <v>12.13</v>
      </c>
      <c r="AE5" s="772">
        <v>12.63</v>
      </c>
      <c r="AF5" s="772">
        <v>12.63</v>
      </c>
      <c r="AG5" s="772">
        <v>12.63</v>
      </c>
      <c r="AH5" s="772">
        <v>12.63</v>
      </c>
      <c r="AI5" s="772">
        <v>12.63</v>
      </c>
      <c r="AJ5" s="772">
        <v>12.63</v>
      </c>
      <c r="AK5" s="772">
        <v>12.63</v>
      </c>
      <c r="AL5" s="772">
        <v>12.63</v>
      </c>
      <c r="AM5" s="772">
        <v>12.63</v>
      </c>
      <c r="AN5" s="772">
        <v>12.63</v>
      </c>
      <c r="AO5" s="772">
        <v>12.63</v>
      </c>
      <c r="AP5" s="772">
        <v>12.63</v>
      </c>
      <c r="AQ5" s="772">
        <v>12.63</v>
      </c>
      <c r="AR5" s="772">
        <v>12.63</v>
      </c>
      <c r="AS5" s="772">
        <v>12.63</v>
      </c>
      <c r="AT5" s="772">
        <v>12.63</v>
      </c>
      <c r="AU5" s="772">
        <v>12.63</v>
      </c>
      <c r="AV5" s="772">
        <v>12.63</v>
      </c>
      <c r="AW5" s="772">
        <v>12.63</v>
      </c>
      <c r="AX5" s="772">
        <v>12.63</v>
      </c>
      <c r="AY5" s="772">
        <v>12.63</v>
      </c>
      <c r="AZ5" s="772">
        <v>12.63</v>
      </c>
      <c r="BA5" s="772">
        <v>12.63</v>
      </c>
      <c r="BB5" s="772">
        <v>12.63</v>
      </c>
      <c r="BC5" s="772">
        <v>20.13</v>
      </c>
      <c r="BD5" s="772">
        <v>3</v>
      </c>
      <c r="BF5" s="1008"/>
      <c r="BG5" s="1008"/>
      <c r="BH5" s="1008"/>
      <c r="BI5" s="1017"/>
      <c r="BJ5" s="1017"/>
    </row>
    <row r="6" spans="1:62" s="1152" customFormat="1" ht="12" hidden="1" customHeight="1" x14ac:dyDescent="0.15">
      <c r="B6" s="773"/>
      <c r="E6" s="772"/>
      <c r="G6" s="417"/>
      <c r="H6" s="417"/>
      <c r="I6" s="417"/>
      <c r="J6" s="417"/>
      <c r="K6" s="417"/>
      <c r="L6" s="417"/>
      <c r="M6" s="417"/>
      <c r="N6" s="417"/>
      <c r="O6" s="417"/>
      <c r="P6" s="417"/>
      <c r="Q6" s="774"/>
      <c r="R6" s="774"/>
      <c r="S6" s="417"/>
      <c r="AE6" s="802">
        <f>god-2</f>
        <v>2024</v>
      </c>
      <c r="AF6" s="802">
        <f>god-2</f>
        <v>2024</v>
      </c>
      <c r="AG6" s="802">
        <f>god-2</f>
        <v>2024</v>
      </c>
      <c r="AH6" s="802">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1005"/>
      <c r="BG6" s="1005"/>
      <c r="BH6" s="1005"/>
      <c r="BI6" s="1016"/>
      <c r="BJ6" s="1016"/>
    </row>
    <row r="7" spans="1:62" s="417" customFormat="1" ht="12" hidden="1" customHeight="1" x14ac:dyDescent="0.15">
      <c r="A7" s="802"/>
      <c r="B7" s="773"/>
      <c r="C7" s="802"/>
      <c r="D7" s="802"/>
      <c r="E7" s="772"/>
      <c r="Q7" s="774"/>
      <c r="R7" s="774"/>
      <c r="AE7" s="417" t="str" cm="1">
        <f t="array" ref="AE7">AE25</f>
        <v>Принято органом регулирования</v>
      </c>
      <c r="AF7" s="417" t="str" cm="1">
        <f t="array" ref="AF7">AF25</f>
        <v>Факт по данным организации</v>
      </c>
      <c r="AG7" s="417" t="str" cm="1">
        <f t="array" ref="AG7">AG25</f>
        <v>Факт, принятый органом регулирования</v>
      </c>
      <c r="AH7" s="417" t="str" cm="1">
        <f t="array" ref="AH7">AH25</f>
        <v>Принято органом регулирования</v>
      </c>
      <c r="AI7" s="417" t="str" cm="1">
        <f t="array" ref="AI7">AI25</f>
        <v>Предложение организации</v>
      </c>
      <c r="AJ7" s="417" t="str" cm="1">
        <f t="array" ref="AJ7">AJ25</f>
        <v>Предложение организации</v>
      </c>
      <c r="AK7" s="417" t="str" cm="1">
        <f t="array" ref="AK7">AK25</f>
        <v>Предложение организации</v>
      </c>
      <c r="AL7" s="417" t="str" cm="1">
        <f t="array" ref="AL7">AL25</f>
        <v>Предложение организации</v>
      </c>
      <c r="AM7" s="417" t="str" cm="1">
        <f t="array" ref="AM7">AM25</f>
        <v>Предложение организации</v>
      </c>
      <c r="AN7" s="417" t="str" cm="1">
        <f t="array" ref="AN7">AN25</f>
        <v>Предложение организации</v>
      </c>
      <c r="AO7" s="417" t="str" cm="1">
        <f t="array" ref="AO7">AO25</f>
        <v>Предложение организации</v>
      </c>
      <c r="AP7" s="417" t="str" cm="1">
        <f t="array" ref="AP7">AP25</f>
        <v>Предложение организации</v>
      </c>
      <c r="AQ7" s="417" t="str" cm="1">
        <f t="array" ref="AQ7">AQ25</f>
        <v>Предложение организации</v>
      </c>
      <c r="AR7" s="417" t="str" cm="1">
        <f t="array" ref="AR7">AR25</f>
        <v>Предложение организации</v>
      </c>
      <c r="AS7" s="417" t="str" cm="1">
        <f t="array" ref="AS7">AS25</f>
        <v>Принято органом регулирования</v>
      </c>
      <c r="AT7" s="417" t="str" cm="1">
        <f t="array" ref="AT7">AT25</f>
        <v>Принято органом регулирования</v>
      </c>
      <c r="AU7" s="417" t="str" cm="1">
        <f t="array" ref="AU7">AU25</f>
        <v>Принято органом регулирования</v>
      </c>
      <c r="AV7" s="417" t="str" cm="1">
        <f t="array" ref="AV7">AV25</f>
        <v>Принято органом регулирования</v>
      </c>
      <c r="AW7" s="417" t="str" cm="1">
        <f t="array" ref="AW7">AW25</f>
        <v>Принято органом регулирования</v>
      </c>
      <c r="AX7" s="417" t="str" cm="1">
        <f t="array" ref="AX7">AX25</f>
        <v>Принято органом регулирования</v>
      </c>
      <c r="AY7" s="417" t="str" cm="1">
        <f t="array" ref="AY7">AY25</f>
        <v>Принято органом регулирования</v>
      </c>
      <c r="AZ7" s="417" t="str" cm="1">
        <f t="array" ref="AZ7">AZ25</f>
        <v>Принято органом регулирования</v>
      </c>
      <c r="BA7" s="417" t="str" cm="1">
        <f t="array" ref="BA7">BA25</f>
        <v>Принято органом регулирования</v>
      </c>
      <c r="BB7" s="417" t="str" cm="1">
        <f t="array" ref="BB7">BB25</f>
        <v>Принято органом регулирования</v>
      </c>
      <c r="BF7" s="1005"/>
      <c r="BG7" s="1005"/>
      <c r="BH7" s="1005"/>
      <c r="BI7" s="1016"/>
      <c r="BJ7" s="1016"/>
    </row>
    <row r="8" spans="1:62" s="417" customFormat="1" ht="12" hidden="1" customHeight="1" x14ac:dyDescent="0.15">
      <c r="A8" s="802"/>
      <c r="B8" s="773"/>
      <c r="C8" s="802"/>
      <c r="D8" s="802"/>
      <c r="E8" s="772"/>
      <c r="Q8" s="774"/>
      <c r="R8" s="774"/>
      <c r="BF8" s="1005"/>
      <c r="BG8" s="1005"/>
      <c r="BH8" s="1005"/>
      <c r="BI8" s="1016"/>
      <c r="BJ8" s="1016"/>
    </row>
    <row r="9" spans="1:62" s="1003" customFormat="1" ht="12" hidden="1" customHeight="1" x14ac:dyDescent="0.15">
      <c r="A9" s="1001" t="s">
        <v>461</v>
      </c>
      <c r="B9" s="1002"/>
      <c r="E9" s="1002"/>
      <c r="Q9" s="1004"/>
      <c r="R9" s="1004"/>
      <c r="AE9" s="1003">
        <f>god-2</f>
        <v>2024</v>
      </c>
      <c r="AF9" s="1003">
        <f>god-2</f>
        <v>2024</v>
      </c>
      <c r="AG9" s="1003">
        <f>god-2</f>
        <v>2024</v>
      </c>
      <c r="AH9" s="1003">
        <f>god-1</f>
        <v>2025</v>
      </c>
      <c r="AI9" s="1003" cm="1">
        <f t="array" ref="AI9">god</f>
        <v>2026</v>
      </c>
      <c r="AJ9" s="1003">
        <f>god+1</f>
        <v>2027</v>
      </c>
      <c r="AK9" s="1003">
        <f>god+2</f>
        <v>2028</v>
      </c>
      <c r="AL9" s="1003">
        <f>god+3</f>
        <v>2029</v>
      </c>
      <c r="AM9" s="1003">
        <f>god+4</f>
        <v>2030</v>
      </c>
      <c r="AN9" s="1003">
        <f>god+5</f>
        <v>2031</v>
      </c>
      <c r="AO9" s="1003">
        <f>god+6</f>
        <v>2032</v>
      </c>
      <c r="AP9" s="1003">
        <f>god+7</f>
        <v>2033</v>
      </c>
      <c r="AQ9" s="1003">
        <f>god+8</f>
        <v>2034</v>
      </c>
      <c r="AR9" s="1003">
        <f>god+9</f>
        <v>2035</v>
      </c>
      <c r="AS9" s="1003" cm="1">
        <f t="array" ref="AS9">god</f>
        <v>2026</v>
      </c>
      <c r="AT9" s="1003">
        <f>god+1</f>
        <v>2027</v>
      </c>
      <c r="AU9" s="1003">
        <f>god+2</f>
        <v>2028</v>
      </c>
      <c r="AV9" s="1003">
        <f>god+3</f>
        <v>2029</v>
      </c>
      <c r="AW9" s="1003">
        <f>god+4</f>
        <v>2030</v>
      </c>
      <c r="AX9" s="1003">
        <f>god+5</f>
        <v>2031</v>
      </c>
      <c r="AY9" s="1003">
        <f>god+6</f>
        <v>2032</v>
      </c>
      <c r="AZ9" s="1003">
        <f>god+7</f>
        <v>2033</v>
      </c>
      <c r="BA9" s="1003">
        <f>god+8</f>
        <v>2034</v>
      </c>
      <c r="BB9" s="1003">
        <f>god+9</f>
        <v>2035</v>
      </c>
      <c r="BF9" s="1005"/>
      <c r="BG9" s="1005"/>
      <c r="BH9" s="1005"/>
      <c r="BI9" s="1016"/>
      <c r="BJ9" s="1016"/>
    </row>
    <row r="10" spans="1:62" s="1003" customFormat="1" ht="12" hidden="1" customHeight="1" x14ac:dyDescent="0.15">
      <c r="A10" s="1001" t="s">
        <v>462</v>
      </c>
      <c r="B10" s="1002"/>
      <c r="E10" s="1002"/>
      <c r="Q10" s="1004"/>
      <c r="R10" s="1004"/>
      <c r="AE10" s="1003" t="str" cm="1">
        <f t="array" ref="AE10">AE25</f>
        <v>Принято органом регулирования</v>
      </c>
      <c r="AF10" s="1003" t="str" cm="1">
        <f t="array" ref="AF10">AF25</f>
        <v>Факт по данным организации</v>
      </c>
      <c r="AG10" s="1003" t="str" cm="1">
        <f t="array" ref="AG10">AG25</f>
        <v>Факт, принятый органом регулирования</v>
      </c>
      <c r="AH10" s="1003" t="str" cm="1">
        <f t="array" ref="AH10">AH25</f>
        <v>Принято органом регулирования</v>
      </c>
      <c r="AI10" s="1003" t="str" cm="1">
        <f t="array" ref="AI10">AI25</f>
        <v>Предложение организации</v>
      </c>
      <c r="AJ10" s="1003" t="str" cm="1">
        <f t="array" ref="AJ10">AJ25</f>
        <v>Предложение организации</v>
      </c>
      <c r="AK10" s="1003" t="str" cm="1">
        <f t="array" ref="AK10">AK25</f>
        <v>Предложение организации</v>
      </c>
      <c r="AL10" s="1003" t="str" cm="1">
        <f t="array" ref="AL10">AL25</f>
        <v>Предложение организации</v>
      </c>
      <c r="AM10" s="1003" t="str" cm="1">
        <f t="array" ref="AM10">AM25</f>
        <v>Предложение организации</v>
      </c>
      <c r="AN10" s="1003" t="str" cm="1">
        <f t="array" ref="AN10">AN25</f>
        <v>Предложение организации</v>
      </c>
      <c r="AO10" s="1003" t="str" cm="1">
        <f t="array" ref="AO10">AO25</f>
        <v>Предложение организации</v>
      </c>
      <c r="AP10" s="1003" t="str" cm="1">
        <f t="array" ref="AP10">AP25</f>
        <v>Предложение организации</v>
      </c>
      <c r="AQ10" s="1003" t="str" cm="1">
        <f t="array" ref="AQ10">AQ25</f>
        <v>Предложение организации</v>
      </c>
      <c r="AR10" s="1003" t="str" cm="1">
        <f t="array" ref="AR10">AR25</f>
        <v>Предложение организации</v>
      </c>
      <c r="AS10" s="1003" t="str" cm="1">
        <f t="array" ref="AS10">AS25</f>
        <v>Принято органом регулирования</v>
      </c>
      <c r="AT10" s="1003" t="str" cm="1">
        <f t="array" ref="AT10">AT25</f>
        <v>Принято органом регулирования</v>
      </c>
      <c r="AU10" s="1003" t="str" cm="1">
        <f t="array" ref="AU10">AU25</f>
        <v>Принято органом регулирования</v>
      </c>
      <c r="AV10" s="1003" t="str" cm="1">
        <f t="array" ref="AV10">AV25</f>
        <v>Принято органом регулирования</v>
      </c>
      <c r="AW10" s="1003" t="str" cm="1">
        <f t="array" ref="AW10">AW25</f>
        <v>Принято органом регулирования</v>
      </c>
      <c r="AX10" s="1003" t="str" cm="1">
        <f t="array" ref="AX10">AX25</f>
        <v>Принято органом регулирования</v>
      </c>
      <c r="AY10" s="1003" t="str" cm="1">
        <f t="array" ref="AY10">AY25</f>
        <v>Принято органом регулирования</v>
      </c>
      <c r="AZ10" s="1003" t="str" cm="1">
        <f t="array" ref="AZ10">AZ25</f>
        <v>Принято органом регулирования</v>
      </c>
      <c r="BA10" s="1003" t="str" cm="1">
        <f t="array" ref="BA10">BA25</f>
        <v>Принято органом регулирования</v>
      </c>
      <c r="BB10" s="1003" t="str" cm="1">
        <f t="array" ref="BB10">BB25</f>
        <v>Принято органом регулирования</v>
      </c>
      <c r="BF10" s="1005"/>
      <c r="BG10" s="1005"/>
      <c r="BH10" s="1005"/>
      <c r="BI10" s="1016"/>
      <c r="BJ10" s="1016"/>
    </row>
    <row r="11" spans="1:62" s="1003" customFormat="1" ht="12" hidden="1" customHeight="1" x14ac:dyDescent="0.15">
      <c r="A11" s="1001" t="s">
        <v>463</v>
      </c>
      <c r="B11" s="1002"/>
      <c r="E11" s="1002"/>
      <c r="G11" s="1006"/>
      <c r="H11" s="1006"/>
      <c r="I11" s="1006"/>
      <c r="J11" s="1006"/>
      <c r="K11" s="1006"/>
      <c r="L11" s="1006"/>
      <c r="M11" s="1006"/>
      <c r="N11" s="1006"/>
      <c r="O11" s="1006"/>
      <c r="P11" s="1006"/>
      <c r="Q11" s="1007"/>
      <c r="R11" s="1007"/>
      <c r="S11" s="1006"/>
      <c r="BC11" s="1003" t="str" cm="1">
        <f t="array" ref="BC11">BC24</f>
        <v>Ссылка на правовую норму (основание для принятия показателя в расчет тарифа)</v>
      </c>
      <c r="BF11" s="1005"/>
      <c r="BG11" s="1005"/>
      <c r="BH11" s="1005"/>
      <c r="BI11" s="1016"/>
      <c r="BJ11" s="1016"/>
    </row>
    <row r="12" spans="1:62" s="1003" customFormat="1" ht="12" hidden="1" customHeight="1" x14ac:dyDescent="0.15">
      <c r="A12" s="1001" t="s">
        <v>386</v>
      </c>
      <c r="B12" s="1002"/>
      <c r="E12" s="1002"/>
      <c r="G12" s="1006"/>
      <c r="H12" s="1006"/>
      <c r="I12" s="1006"/>
      <c r="J12" s="1006"/>
      <c r="K12" s="1006"/>
      <c r="L12" s="1006"/>
      <c r="M12" s="1006"/>
      <c r="N12" s="1006"/>
      <c r="O12" s="1006"/>
      <c r="P12" s="1006"/>
      <c r="Q12" s="1007"/>
      <c r="R12" s="1007"/>
      <c r="S12" s="1006"/>
      <c r="AC12" s="1003" t="s">
        <v>377</v>
      </c>
      <c r="BF12" s="1005"/>
      <c r="BG12" s="1005"/>
      <c r="BH12" s="1005"/>
      <c r="BI12" s="1016"/>
      <c r="BJ12" s="1016"/>
    </row>
    <row r="13" spans="1:62" s="1152" customFormat="1" ht="12" hidden="1" customHeight="1" x14ac:dyDescent="0.15">
      <c r="B13" s="773"/>
      <c r="E13" s="772"/>
      <c r="G13" s="417"/>
      <c r="H13" s="417"/>
      <c r="I13" s="417"/>
      <c r="J13" s="417"/>
      <c r="K13" s="417"/>
      <c r="L13" s="417"/>
      <c r="M13" s="417"/>
      <c r="N13" s="417"/>
      <c r="O13" s="417"/>
      <c r="P13" s="417"/>
      <c r="Q13" s="774"/>
      <c r="R13" s="774"/>
      <c r="S13" s="417"/>
      <c r="AI13" s="123"/>
      <c r="AJ13" s="123"/>
      <c r="AK13" s="123"/>
      <c r="AL13" s="123"/>
      <c r="AM13" s="123"/>
      <c r="AN13" s="123"/>
      <c r="AO13" s="123"/>
      <c r="AP13" s="123"/>
      <c r="AQ13" s="123"/>
      <c r="AR13" s="123"/>
      <c r="AS13" s="123"/>
      <c r="AT13" s="123"/>
      <c r="AU13" s="123"/>
      <c r="AV13" s="123"/>
      <c r="AW13" s="123"/>
      <c r="AX13" s="123"/>
      <c r="AY13" s="123"/>
      <c r="AZ13" s="123"/>
      <c r="BA13" s="123"/>
      <c r="BB13" s="123"/>
      <c r="BF13" s="1005"/>
      <c r="BG13" s="1005"/>
      <c r="BH13" s="1005"/>
      <c r="BI13" s="1016"/>
      <c r="BJ13" s="1016"/>
    </row>
    <row r="14" spans="1:62" s="1152" customFormat="1" ht="12" hidden="1" customHeight="1" x14ac:dyDescent="0.15">
      <c r="B14" s="773"/>
      <c r="E14" s="772"/>
      <c r="G14" s="417"/>
      <c r="H14" s="417"/>
      <c r="I14" s="417"/>
      <c r="J14" s="417"/>
      <c r="K14" s="417"/>
      <c r="L14" s="417"/>
      <c r="M14" s="417"/>
      <c r="N14" s="417"/>
      <c r="O14" s="417"/>
      <c r="P14" s="417"/>
      <c r="Q14" s="774"/>
      <c r="R14" s="774"/>
      <c r="S14" s="417"/>
      <c r="AI14" s="123"/>
      <c r="AJ14" s="123"/>
      <c r="AK14" s="123"/>
      <c r="AL14" s="123"/>
      <c r="AM14" s="123"/>
      <c r="AN14" s="123"/>
      <c r="AO14" s="123"/>
      <c r="AP14" s="123"/>
      <c r="AQ14" s="123"/>
      <c r="AR14" s="123"/>
      <c r="AS14" s="123"/>
      <c r="AT14" s="123"/>
      <c r="AU14" s="123"/>
      <c r="AV14" s="123"/>
      <c r="AW14" s="123"/>
      <c r="AX14" s="123"/>
      <c r="AY14" s="123"/>
      <c r="AZ14" s="123"/>
      <c r="BA14" s="123"/>
      <c r="BB14" s="123"/>
      <c r="BF14" s="1005"/>
      <c r="BG14" s="1005"/>
      <c r="BH14" s="1005"/>
      <c r="BI14" s="1016"/>
      <c r="BJ14" s="1016"/>
    </row>
    <row r="15" spans="1:62" s="1152" customFormat="1" ht="12" hidden="1" customHeight="1" x14ac:dyDescent="0.15">
      <c r="B15" s="773"/>
      <c r="E15" s="772"/>
      <c r="G15" s="417"/>
      <c r="H15" s="417"/>
      <c r="I15" s="417"/>
      <c r="J15" s="417"/>
      <c r="K15" s="417"/>
      <c r="L15" s="417"/>
      <c r="M15" s="417"/>
      <c r="N15" s="417"/>
      <c r="O15" s="417"/>
      <c r="P15" s="417"/>
      <c r="Q15" s="774"/>
      <c r="R15" s="774"/>
      <c r="S15" s="417"/>
      <c r="AI15" s="123"/>
      <c r="AJ15" s="123"/>
      <c r="AK15" s="123"/>
      <c r="AL15" s="123"/>
      <c r="AM15" s="123"/>
      <c r="AN15" s="123"/>
      <c r="AO15" s="123"/>
      <c r="AP15" s="123"/>
      <c r="AQ15" s="123"/>
      <c r="AR15" s="123"/>
      <c r="AS15" s="123"/>
      <c r="AT15" s="123"/>
      <c r="AU15" s="123"/>
      <c r="AV15" s="123"/>
      <c r="AW15" s="123"/>
      <c r="AX15" s="123"/>
      <c r="AY15" s="123"/>
      <c r="AZ15" s="123"/>
      <c r="BA15" s="123"/>
      <c r="BB15" s="123"/>
      <c r="BF15" s="1005"/>
      <c r="BG15" s="1005"/>
      <c r="BH15" s="1005"/>
      <c r="BI15" s="1016"/>
      <c r="BJ15" s="1016"/>
    </row>
    <row r="16" spans="1:62" s="1152" customFormat="1" ht="12" hidden="1" customHeight="1" x14ac:dyDescent="0.15">
      <c r="B16" s="773"/>
      <c r="E16" s="772"/>
      <c r="G16" s="417"/>
      <c r="H16" s="417"/>
      <c r="I16" s="417"/>
      <c r="J16" s="417"/>
      <c r="K16" s="417"/>
      <c r="L16" s="417"/>
      <c r="M16" s="417"/>
      <c r="N16" s="417"/>
      <c r="O16" s="417"/>
      <c r="P16" s="417"/>
      <c r="Q16" s="774"/>
      <c r="R16" s="774"/>
      <c r="S16" s="417"/>
      <c r="AI16" s="123"/>
      <c r="AJ16" s="123"/>
      <c r="AK16" s="123"/>
      <c r="AL16" s="123"/>
      <c r="AM16" s="123"/>
      <c r="AN16" s="123"/>
      <c r="AO16" s="123"/>
      <c r="AP16" s="123"/>
      <c r="AQ16" s="123"/>
      <c r="AR16" s="123"/>
      <c r="AS16" s="123"/>
      <c r="AT16" s="123"/>
      <c r="AU16" s="123"/>
      <c r="AV16" s="123"/>
      <c r="AW16" s="123"/>
      <c r="AX16" s="123"/>
      <c r="AY16" s="123"/>
      <c r="AZ16" s="123"/>
      <c r="BA16" s="123"/>
      <c r="BB16" s="123"/>
      <c r="BF16" s="1005"/>
      <c r="BG16" s="1005"/>
      <c r="BH16" s="1005"/>
      <c r="BI16" s="1016"/>
      <c r="BJ16" s="1016"/>
    </row>
    <row r="17" spans="1:62" s="1152" customFormat="1" ht="12" hidden="1" customHeight="1" x14ac:dyDescent="0.15">
      <c r="B17" s="773"/>
      <c r="E17" s="772"/>
      <c r="G17" s="417"/>
      <c r="H17" s="417"/>
      <c r="I17" s="417"/>
      <c r="J17" s="417"/>
      <c r="K17" s="417"/>
      <c r="L17" s="417"/>
      <c r="M17" s="417"/>
      <c r="N17" s="417"/>
      <c r="O17" s="417"/>
      <c r="P17" s="417"/>
      <c r="Q17" s="774"/>
      <c r="R17" s="774"/>
      <c r="S17" s="417"/>
      <c r="AX17" s="123"/>
      <c r="AY17" s="123"/>
      <c r="AZ17" s="123"/>
      <c r="BA17" s="123"/>
      <c r="BB17" s="123"/>
      <c r="BF17" s="1005"/>
      <c r="BG17" s="1005"/>
      <c r="BH17" s="1005"/>
      <c r="BI17" s="1016"/>
      <c r="BJ17" s="1016"/>
    </row>
    <row r="18" spans="1:62" s="1152" customFormat="1" ht="12" hidden="1" customHeight="1" x14ac:dyDescent="0.15">
      <c r="A18" s="802" t="s">
        <v>518</v>
      </c>
      <c r="B18" s="773"/>
      <c r="E18" s="772"/>
      <c r="G18" s="417"/>
      <c r="H18" s="417"/>
      <c r="I18" s="417"/>
      <c r="J18" s="417"/>
      <c r="K18" s="417"/>
      <c r="L18" s="417"/>
      <c r="M18" s="417"/>
      <c r="N18" s="417"/>
      <c r="O18" s="417"/>
      <c r="P18" s="417"/>
      <c r="Q18" s="774"/>
      <c r="R18" s="774"/>
      <c r="S18" s="417"/>
      <c r="AC18" s="802" t="s">
        <v>464</v>
      </c>
      <c r="BF18" s="1005"/>
      <c r="BG18" s="1005"/>
      <c r="BH18" s="1005"/>
      <c r="BI18" s="1016"/>
      <c r="BJ18" s="1016"/>
    </row>
    <row r="19" spans="1:62" s="1152" customFormat="1" ht="12" hidden="1" customHeight="1" x14ac:dyDescent="0.15">
      <c r="B19" s="773"/>
      <c r="E19" s="772"/>
      <c r="G19" s="417"/>
      <c r="H19" s="417"/>
      <c r="I19" s="417"/>
      <c r="J19" s="417"/>
      <c r="K19" s="417"/>
      <c r="L19" s="417"/>
      <c r="M19" s="417"/>
      <c r="N19" s="417"/>
      <c r="O19" s="417"/>
      <c r="P19" s="417"/>
      <c r="Q19" s="774"/>
      <c r="R19" s="774"/>
      <c r="S19" s="417"/>
      <c r="BF19" s="1005"/>
      <c r="BG19" s="1005"/>
      <c r="BH19" s="1005"/>
      <c r="BI19" s="1016"/>
      <c r="BJ19" s="1016"/>
    </row>
    <row r="20" spans="1:62" s="1152" customFormat="1" ht="12" hidden="1" customHeight="1" x14ac:dyDescent="0.15">
      <c r="B20" s="773"/>
      <c r="E20" s="772"/>
      <c r="G20" s="417"/>
      <c r="H20" s="417"/>
      <c r="I20" s="417"/>
      <c r="J20" s="417"/>
      <c r="K20" s="417"/>
      <c r="L20" s="417"/>
      <c r="M20" s="417"/>
      <c r="N20" s="417"/>
      <c r="O20" s="417"/>
      <c r="P20" s="417"/>
      <c r="Q20" s="774"/>
      <c r="R20" s="774"/>
      <c r="S20" s="417"/>
      <c r="BF20" s="1005"/>
      <c r="BG20" s="1005"/>
      <c r="BH20" s="1005"/>
      <c r="BI20" s="1016"/>
      <c r="BJ20" s="1016"/>
    </row>
    <row r="21" spans="1:62" ht="14.65" customHeight="1" x14ac:dyDescent="0.15">
      <c r="E21" s="772">
        <v>15</v>
      </c>
      <c r="AA21" s="691"/>
      <c r="AC21" s="785" t="str" cm="1">
        <f t="array" ref="AC21">tpl_title</f>
        <v>Кемеровская область / 2026 / ООО ХК "СДС - Энерго" (ИНН:4250003450, КПП:420501001) / ДПР: 2024-2028</v>
      </c>
    </row>
    <row r="22" spans="1:62" ht="19.5" customHeight="1" x14ac:dyDescent="0.15">
      <c r="E22" s="772">
        <v>20.100000000000001</v>
      </c>
      <c r="AB22" s="418" t="s">
        <v>51</v>
      </c>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35"/>
    </row>
    <row r="23" spans="1:62" ht="11.1" customHeight="1" x14ac:dyDescent="0.15">
      <c r="E23" s="772">
        <v>11.4</v>
      </c>
    </row>
    <row r="24" spans="1:62" s="167" customFormat="1" ht="14.65" customHeight="1" x14ac:dyDescent="0.15">
      <c r="A24" s="123"/>
      <c r="B24" s="659"/>
      <c r="C24" s="123"/>
      <c r="D24" s="123"/>
      <c r="E24" s="668">
        <v>15</v>
      </c>
      <c r="F24" s="123"/>
      <c r="G24" s="160"/>
      <c r="H24" s="160"/>
      <c r="I24" s="160"/>
      <c r="J24" s="160"/>
      <c r="K24" s="160"/>
      <c r="L24" s="160"/>
      <c r="M24" s="160"/>
      <c r="N24" s="160"/>
      <c r="O24" s="160"/>
      <c r="P24" s="160"/>
      <c r="Q24" s="612"/>
      <c r="R24" s="612"/>
      <c r="S24" s="160"/>
      <c r="T24" s="123"/>
      <c r="U24" s="123"/>
      <c r="V24" s="123"/>
      <c r="W24" s="123"/>
      <c r="X24" s="123"/>
      <c r="Y24" s="123"/>
      <c r="Z24" s="123"/>
      <c r="AB24" s="1558" t="s">
        <v>388</v>
      </c>
      <c r="AC24" s="1558" t="s">
        <v>464</v>
      </c>
      <c r="AD24" s="1558" t="s">
        <v>1171</v>
      </c>
      <c r="AE24" s="342" t="str">
        <f>god-2&amp;" год"</f>
        <v>2024 год</v>
      </c>
      <c r="AF24" s="1136" t="str">
        <f>god-2&amp;" год"</f>
        <v>2024 год</v>
      </c>
      <c r="AG24" s="342" t="str">
        <f>god-2&amp;" год"</f>
        <v>2024 год</v>
      </c>
      <c r="AH24" s="122" t="str">
        <f>god-1&amp;" год"</f>
        <v>2025 год</v>
      </c>
      <c r="AI24" s="1131" t="str">
        <f>god&amp;" год"</f>
        <v>2026 год</v>
      </c>
      <c r="AJ24" s="1131" t="str">
        <f>god+1&amp;" год"</f>
        <v>2027 год</v>
      </c>
      <c r="AK24" s="1131" t="str">
        <f>god+2&amp;" год"</f>
        <v>2028 год</v>
      </c>
      <c r="AL24" s="1131" t="str">
        <f>god+3&amp;" год"</f>
        <v>2029 год</v>
      </c>
      <c r="AM24" s="1131" t="str">
        <f>god+4&amp;" год"</f>
        <v>2030 год</v>
      </c>
      <c r="AN24" s="1131" t="str">
        <f>god+5&amp;" год"</f>
        <v>2031 год</v>
      </c>
      <c r="AO24" s="1131" t="str">
        <f>god+6&amp;" год"</f>
        <v>2032 год</v>
      </c>
      <c r="AP24" s="1131" t="str">
        <f>god+7&amp;" год"</f>
        <v>2033 год</v>
      </c>
      <c r="AQ24" s="1131" t="str">
        <f>god+8&amp;" год"</f>
        <v>2034 год</v>
      </c>
      <c r="AR24" s="1131"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73" t="s">
        <v>618</v>
      </c>
      <c r="BF24" s="971"/>
      <c r="BG24" s="971"/>
      <c r="BH24" s="971"/>
      <c r="BI24" s="974"/>
      <c r="BJ24" s="974"/>
    </row>
    <row r="25" spans="1:62" s="167" customFormat="1" ht="48.75" customHeight="1" x14ac:dyDescent="0.15">
      <c r="A25" s="123"/>
      <c r="B25" s="659"/>
      <c r="C25" s="123"/>
      <c r="D25" s="123"/>
      <c r="E25" s="668">
        <v>50.1</v>
      </c>
      <c r="F25" s="123"/>
      <c r="G25" s="160"/>
      <c r="H25" s="160"/>
      <c r="I25" s="160"/>
      <c r="J25" s="160"/>
      <c r="K25" s="160"/>
      <c r="L25" s="160"/>
      <c r="M25" s="160"/>
      <c r="N25" s="160"/>
      <c r="O25" s="160"/>
      <c r="P25" s="160"/>
      <c r="Q25" s="612"/>
      <c r="R25" s="612"/>
      <c r="S25" s="160"/>
      <c r="T25" s="123"/>
      <c r="U25" s="123"/>
      <c r="V25" s="123"/>
      <c r="W25" s="123"/>
      <c r="X25" s="123"/>
      <c r="Y25" s="123"/>
      <c r="Z25" s="123"/>
      <c r="AB25" s="1558"/>
      <c r="AC25" s="1558"/>
      <c r="AD25" s="1558"/>
      <c r="AE25" s="118" t="s">
        <v>404</v>
      </c>
      <c r="AF25" s="1131" t="s">
        <v>619</v>
      </c>
      <c r="AG25" s="118" t="s">
        <v>620</v>
      </c>
      <c r="AH25" s="118" t="s">
        <v>404</v>
      </c>
      <c r="AI25" s="1132" t="s">
        <v>405</v>
      </c>
      <c r="AJ25" s="1132" t="s">
        <v>405</v>
      </c>
      <c r="AK25" s="1132" t="s">
        <v>405</v>
      </c>
      <c r="AL25" s="1132" t="s">
        <v>405</v>
      </c>
      <c r="AM25" s="1132" t="s">
        <v>405</v>
      </c>
      <c r="AN25" s="1132" t="s">
        <v>405</v>
      </c>
      <c r="AO25" s="1132" t="s">
        <v>405</v>
      </c>
      <c r="AP25" s="1132" t="s">
        <v>405</v>
      </c>
      <c r="AQ25" s="1132" t="s">
        <v>405</v>
      </c>
      <c r="AR25" s="1132" t="s">
        <v>405</v>
      </c>
      <c r="AS25" s="343" t="s">
        <v>404</v>
      </c>
      <c r="AT25" s="343" t="s">
        <v>404</v>
      </c>
      <c r="AU25" s="343" t="s">
        <v>404</v>
      </c>
      <c r="AV25" s="343" t="s">
        <v>404</v>
      </c>
      <c r="AW25" s="343" t="s">
        <v>404</v>
      </c>
      <c r="AX25" s="343" t="s">
        <v>404</v>
      </c>
      <c r="AY25" s="343" t="s">
        <v>404</v>
      </c>
      <c r="AZ25" s="343" t="s">
        <v>404</v>
      </c>
      <c r="BA25" s="343" t="s">
        <v>404</v>
      </c>
      <c r="BB25" s="343" t="s">
        <v>404</v>
      </c>
      <c r="BC25" s="1573"/>
      <c r="BF25" s="971"/>
      <c r="BG25" s="971"/>
      <c r="BH25" s="971"/>
      <c r="BI25" s="974"/>
      <c r="BJ25" s="974"/>
    </row>
    <row r="26" spans="1:62" s="167" customFormat="1" ht="50.25" hidden="1" customHeight="1" x14ac:dyDescent="0.15">
      <c r="A26" s="123"/>
      <c r="B26" s="659"/>
      <c r="C26" s="123"/>
      <c r="D26" s="123"/>
      <c r="E26" s="668">
        <v>0</v>
      </c>
      <c r="F26" s="123"/>
      <c r="G26" s="160"/>
      <c r="H26" s="160"/>
      <c r="I26" s="160"/>
      <c r="J26" s="160"/>
      <c r="K26" s="160"/>
      <c r="L26" s="160"/>
      <c r="M26" s="160"/>
      <c r="N26" s="160"/>
      <c r="O26" s="160"/>
      <c r="P26" s="160"/>
      <c r="Q26" s="612"/>
      <c r="R26" s="612"/>
      <c r="S26" s="160"/>
      <c r="T26" s="123"/>
      <c r="U26" s="123"/>
      <c r="V26" s="123"/>
      <c r="W26" s="123"/>
      <c r="X26" s="123"/>
      <c r="Y26" s="123"/>
      <c r="Z26" s="123"/>
      <c r="AB26" s="427"/>
      <c r="AC26" s="428"/>
      <c r="AD26" s="428"/>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9"/>
      <c r="BF26" s="971"/>
      <c r="BG26" s="971"/>
      <c r="BH26" s="971"/>
      <c r="BI26" s="974"/>
      <c r="BJ26" s="974"/>
    </row>
    <row r="27" spans="1:62" s="167" customFormat="1" ht="11.1" hidden="1" customHeight="1" x14ac:dyDescent="0.15">
      <c r="E27" s="668">
        <v>11.4</v>
      </c>
      <c r="F27" s="769" cm="1">
        <f t="array" ref="F27">X27</f>
        <v>0</v>
      </c>
      <c r="T27" s="690" t="b">
        <f>X27&gt;0</f>
        <v>0</v>
      </c>
      <c r="V27" s="123" t="s">
        <v>313</v>
      </c>
      <c r="X27" s="1485">
        <v>0</v>
      </c>
      <c r="Z27" s="1483"/>
      <c r="AB27" s="234" t="str" cm="1">
        <f t="array" ref="AB27">INDEX('Общие сведения'!$AG$169:$AG$202,MATCH($F27,'Общие сведения'!$Z$169:$Z$202,0))</f>
        <v xml:space="preserve">Тариф 0 (Теплоснабжение) - </v>
      </c>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F27" s="971"/>
      <c r="BG27" s="971"/>
      <c r="BH27" s="971"/>
      <c r="BI27" s="974"/>
      <c r="BJ27" s="974"/>
    </row>
    <row r="28" spans="1:62" s="167" customFormat="1" ht="29.25" hidden="1" customHeight="1" x14ac:dyDescent="0.15">
      <c r="E28" s="668">
        <v>30</v>
      </c>
      <c r="F28" s="769" cm="1">
        <f t="array" aca="1" ref="F28" ca="1">OFFSET(G28,-1,-1)</f>
        <v>0</v>
      </c>
      <c r="T28" s="679" t="b" cm="1">
        <f t="array" ref="T28">T27</f>
        <v>0</v>
      </c>
      <c r="X28" s="1483"/>
      <c r="Z28" s="1483"/>
      <c r="AB28" s="249">
        <v>1</v>
      </c>
      <c r="AC28" s="231" t="s">
        <v>1267</v>
      </c>
      <c r="AD28" s="224" t="s">
        <v>830</v>
      </c>
      <c r="AE28" s="242">
        <f t="shared" ref="AE28:BB28" si="1">SUM(AE29:AE37)</f>
        <v>0</v>
      </c>
      <c r="AF28" s="242">
        <f t="shared" si="1"/>
        <v>0</v>
      </c>
      <c r="AG28" s="242">
        <f t="shared" si="1"/>
        <v>0</v>
      </c>
      <c r="AH28" s="242">
        <f t="shared" si="1"/>
        <v>0</v>
      </c>
      <c r="AI28" s="242">
        <f t="shared" si="1"/>
        <v>0</v>
      </c>
      <c r="AJ28" s="242">
        <f t="shared" si="1"/>
        <v>0</v>
      </c>
      <c r="AK28" s="242">
        <f t="shared" si="1"/>
        <v>0</v>
      </c>
      <c r="AL28" s="242">
        <f t="shared" si="1"/>
        <v>0</v>
      </c>
      <c r="AM28" s="242">
        <f t="shared" si="1"/>
        <v>0</v>
      </c>
      <c r="AN28" s="242">
        <f t="shared" si="1"/>
        <v>0</v>
      </c>
      <c r="AO28" s="242">
        <f t="shared" si="1"/>
        <v>0</v>
      </c>
      <c r="AP28" s="242">
        <f t="shared" si="1"/>
        <v>0</v>
      </c>
      <c r="AQ28" s="242">
        <f t="shared" si="1"/>
        <v>0</v>
      </c>
      <c r="AR28" s="242">
        <f t="shared" si="1"/>
        <v>0</v>
      </c>
      <c r="AS28" s="242">
        <f t="shared" si="1"/>
        <v>0</v>
      </c>
      <c r="AT28" s="242">
        <f t="shared" si="1"/>
        <v>0</v>
      </c>
      <c r="AU28" s="242">
        <f t="shared" si="1"/>
        <v>0</v>
      </c>
      <c r="AV28" s="242">
        <f t="shared" si="1"/>
        <v>0</v>
      </c>
      <c r="AW28" s="242">
        <f t="shared" si="1"/>
        <v>0</v>
      </c>
      <c r="AX28" s="242">
        <f t="shared" si="1"/>
        <v>0</v>
      </c>
      <c r="AY28" s="242">
        <f t="shared" si="1"/>
        <v>0</v>
      </c>
      <c r="AZ28" s="242">
        <f t="shared" si="1"/>
        <v>0</v>
      </c>
      <c r="BA28" s="242">
        <f t="shared" si="1"/>
        <v>0</v>
      </c>
      <c r="BB28" s="242">
        <f t="shared" si="1"/>
        <v>0</v>
      </c>
      <c r="BC28" s="25"/>
      <c r="BF28" s="971" t="s">
        <v>1268</v>
      </c>
      <c r="BG28" s="971"/>
      <c r="BH28" s="971"/>
      <c r="BI28" s="974"/>
      <c r="BJ28" s="974"/>
    </row>
    <row r="29" spans="1:62" s="167" customFormat="1" ht="58.5" hidden="1" customHeight="1" x14ac:dyDescent="0.15">
      <c r="E29" s="668">
        <v>60</v>
      </c>
      <c r="F29" s="769" cm="1">
        <f t="array" aca="1" ref="F29" ca="1">OFFSET(G29,-1,-1)</f>
        <v>0</v>
      </c>
      <c r="G29" s="612" t="s">
        <v>1269</v>
      </c>
      <c r="T29" s="679" t="b" cm="1">
        <f t="array" ref="T29">T28</f>
        <v>0</v>
      </c>
      <c r="X29" s="1483"/>
      <c r="Z29" s="1483"/>
      <c r="AB29" s="232" t="s">
        <v>473</v>
      </c>
      <c r="AC29" s="420" t="s">
        <v>1270</v>
      </c>
      <c r="AD29" s="102" t="s">
        <v>830</v>
      </c>
      <c r="AE29" s="26"/>
      <c r="AF29" s="59"/>
      <c r="AG29" s="59"/>
      <c r="AH29" s="59"/>
      <c r="AI29" s="244"/>
      <c r="AJ29" s="1276"/>
      <c r="AK29" s="1276"/>
      <c r="AL29" s="59"/>
      <c r="AM29" s="59"/>
      <c r="AN29" s="59"/>
      <c r="AO29" s="59"/>
      <c r="AP29" s="59"/>
      <c r="AQ29" s="59"/>
      <c r="AR29" s="59"/>
      <c r="AS29" s="244"/>
      <c r="AT29" s="1276"/>
      <c r="AU29" s="1276"/>
      <c r="AV29" s="59"/>
      <c r="AW29" s="59"/>
      <c r="AX29" s="59"/>
      <c r="AY29" s="59"/>
      <c r="AZ29" s="59"/>
      <c r="BA29" s="59"/>
      <c r="BB29" s="59"/>
      <c r="BC29" s="25"/>
      <c r="BF29" s="971" t="s">
        <v>1271</v>
      </c>
      <c r="BG29" s="971"/>
      <c r="BH29" s="971"/>
      <c r="BI29" s="974"/>
      <c r="BJ29" s="974"/>
    </row>
    <row r="30" spans="1:62" s="167" customFormat="1" ht="16.7" hidden="1" customHeight="1" x14ac:dyDescent="0.15">
      <c r="E30" s="668">
        <v>17.100000000000001</v>
      </c>
      <c r="F30" s="769" cm="1">
        <f t="array" aca="1" ref="F30" ca="1">OFFSET(G30,-1,-1)</f>
        <v>0</v>
      </c>
      <c r="G30" s="612" t="s">
        <v>1272</v>
      </c>
      <c r="H30" s="160" t="s">
        <v>1273</v>
      </c>
      <c r="T30" s="679" t="b" cm="1">
        <f t="array" ref="T30">T29</f>
        <v>0</v>
      </c>
      <c r="X30" s="1483"/>
      <c r="Z30" s="1483"/>
      <c r="AB30" s="232" t="s">
        <v>955</v>
      </c>
      <c r="AC30" s="420" t="s">
        <v>1274</v>
      </c>
      <c r="AD30" s="102" t="s">
        <v>830</v>
      </c>
      <c r="AE30" s="26"/>
      <c r="AF30" s="59"/>
      <c r="AG30" s="59"/>
      <c r="AH30" s="59"/>
      <c r="AI30" s="244"/>
      <c r="AJ30" s="1276"/>
      <c r="AK30" s="1276"/>
      <c r="AL30" s="59"/>
      <c r="AM30" s="59"/>
      <c r="AN30" s="59"/>
      <c r="AO30" s="59"/>
      <c r="AP30" s="59"/>
      <c r="AQ30" s="59"/>
      <c r="AR30" s="59"/>
      <c r="AS30" s="244"/>
      <c r="AT30" s="1276"/>
      <c r="AU30" s="1276"/>
      <c r="AV30" s="59"/>
      <c r="AW30" s="59"/>
      <c r="AX30" s="59"/>
      <c r="AY30" s="59"/>
      <c r="AZ30" s="59"/>
      <c r="BA30" s="59"/>
      <c r="BB30" s="59"/>
      <c r="BC30" s="25"/>
      <c r="BF30" s="971" t="s">
        <v>1275</v>
      </c>
      <c r="BG30" s="971"/>
      <c r="BH30" s="971"/>
      <c r="BI30" s="974"/>
      <c r="BJ30" s="974"/>
    </row>
    <row r="31" spans="1:62" s="167" customFormat="1" ht="16.7" hidden="1" customHeight="1" x14ac:dyDescent="0.15">
      <c r="E31" s="668">
        <v>17.100000000000001</v>
      </c>
      <c r="F31" s="769" cm="1">
        <f t="array" aca="1" ref="F31" ca="1">OFFSET(G31,-1,-1)</f>
        <v>0</v>
      </c>
      <c r="G31" s="612" t="s">
        <v>1276</v>
      </c>
      <c r="T31" s="679" t="b" cm="1">
        <f t="array" ref="T31">T30</f>
        <v>0</v>
      </c>
      <c r="X31" s="1483"/>
      <c r="Z31" s="1483"/>
      <c r="AB31" s="232" t="s">
        <v>957</v>
      </c>
      <c r="AC31" s="420" t="s">
        <v>1277</v>
      </c>
      <c r="AD31" s="102" t="s">
        <v>830</v>
      </c>
      <c r="AE31" s="26"/>
      <c r="AF31" s="59"/>
      <c r="AG31" s="59"/>
      <c r="AH31" s="59"/>
      <c r="AI31" s="244"/>
      <c r="AJ31" s="1276"/>
      <c r="AK31" s="1276"/>
      <c r="AL31" s="59"/>
      <c r="AM31" s="59"/>
      <c r="AN31" s="59"/>
      <c r="AO31" s="59"/>
      <c r="AP31" s="59"/>
      <c r="AQ31" s="59"/>
      <c r="AR31" s="59"/>
      <c r="AS31" s="244"/>
      <c r="AT31" s="1276"/>
      <c r="AU31" s="1276"/>
      <c r="AV31" s="59"/>
      <c r="AW31" s="59"/>
      <c r="AX31" s="59"/>
      <c r="AY31" s="59"/>
      <c r="AZ31" s="59"/>
      <c r="BA31" s="59"/>
      <c r="BB31" s="59"/>
      <c r="BC31" s="25"/>
      <c r="BF31" s="971" t="s">
        <v>1278</v>
      </c>
      <c r="BG31" s="971"/>
      <c r="BH31" s="971"/>
      <c r="BI31" s="974"/>
      <c r="BJ31" s="974"/>
    </row>
    <row r="32" spans="1:62" ht="16.7" hidden="1" customHeight="1" x14ac:dyDescent="0.15">
      <c r="E32" s="668">
        <v>17.100000000000001</v>
      </c>
      <c r="F32" s="769" cm="1">
        <f t="array" aca="1" ref="F32" ca="1">OFFSET(G32,-1,-1)</f>
        <v>0</v>
      </c>
      <c r="G32" s="612" t="s">
        <v>1272</v>
      </c>
      <c r="H32" s="160" t="s">
        <v>1272</v>
      </c>
      <c r="T32" s="679" t="b" cm="1">
        <f t="array" ref="T32">T31</f>
        <v>0</v>
      </c>
      <c r="X32" s="1485"/>
      <c r="Z32" s="1485"/>
      <c r="AB32" s="232" t="s">
        <v>961</v>
      </c>
      <c r="AC32" s="420" t="s">
        <v>1279</v>
      </c>
      <c r="AD32" s="102" t="s">
        <v>830</v>
      </c>
      <c r="AE32" s="60"/>
      <c r="AF32" s="60"/>
      <c r="AG32" s="60"/>
      <c r="AH32" s="60"/>
      <c r="AI32" s="245"/>
      <c r="AJ32" s="1277"/>
      <c r="AK32" s="1277"/>
      <c r="AL32" s="60"/>
      <c r="AM32" s="60"/>
      <c r="AN32" s="60"/>
      <c r="AO32" s="60"/>
      <c r="AP32" s="60"/>
      <c r="AQ32" s="60"/>
      <c r="AR32" s="60"/>
      <c r="AS32" s="245"/>
      <c r="AT32" s="1277"/>
      <c r="AU32" s="1277"/>
      <c r="AV32" s="60"/>
      <c r="AW32" s="60"/>
      <c r="AX32" s="60"/>
      <c r="AY32" s="60"/>
      <c r="AZ32" s="60"/>
      <c r="BA32" s="60"/>
      <c r="BB32" s="60"/>
      <c r="BC32" s="25"/>
      <c r="BF32" s="971" t="s">
        <v>598</v>
      </c>
    </row>
    <row r="33" spans="1:62" s="167" customFormat="1" ht="16.7" hidden="1" customHeight="1" x14ac:dyDescent="0.15">
      <c r="E33" s="668">
        <v>17.100000000000001</v>
      </c>
      <c r="F33" s="769" cm="1">
        <f t="array" aca="1" ref="F33" ca="1">OFFSET(G33,-1,-1)</f>
        <v>0</v>
      </c>
      <c r="G33" s="612" t="s">
        <v>1272</v>
      </c>
      <c r="H33" s="160" t="s">
        <v>1280</v>
      </c>
      <c r="T33" s="679" t="b" cm="1">
        <f t="array" ref="T33">T32</f>
        <v>0</v>
      </c>
      <c r="X33" s="1483"/>
      <c r="Z33" s="1483"/>
      <c r="AB33" s="232" t="s">
        <v>1067</v>
      </c>
      <c r="AC33" s="420" t="s">
        <v>1281</v>
      </c>
      <c r="AD33" s="102" t="s">
        <v>830</v>
      </c>
      <c r="AE33" s="26"/>
      <c r="AF33" s="26"/>
      <c r="AG33" s="26"/>
      <c r="AH33" s="26"/>
      <c r="AI33" s="243"/>
      <c r="AJ33" s="1224"/>
      <c r="AK33" s="1224"/>
      <c r="AL33" s="26"/>
      <c r="AM33" s="26"/>
      <c r="AN33" s="26"/>
      <c r="AO33" s="26"/>
      <c r="AP33" s="26"/>
      <c r="AQ33" s="26"/>
      <c r="AR33" s="26"/>
      <c r="AS33" s="243"/>
      <c r="AT33" s="1224"/>
      <c r="AU33" s="1224"/>
      <c r="AV33" s="26"/>
      <c r="AW33" s="26"/>
      <c r="AX33" s="26"/>
      <c r="AY33" s="26"/>
      <c r="AZ33" s="26"/>
      <c r="BA33" s="26"/>
      <c r="BB33" s="26"/>
      <c r="BC33" s="25"/>
      <c r="BF33" s="971" t="s">
        <v>594</v>
      </c>
      <c r="BG33" s="971"/>
      <c r="BH33" s="971"/>
      <c r="BI33" s="974"/>
      <c r="BJ33" s="974"/>
    </row>
    <row r="34" spans="1:62" s="167" customFormat="1" ht="16.7" hidden="1" customHeight="1" x14ac:dyDescent="0.15">
      <c r="E34" s="668">
        <v>17.100000000000001</v>
      </c>
      <c r="F34" s="769" cm="1">
        <f t="array" aca="1" ref="F34" ca="1">OFFSET(G34,-1,-1)</f>
        <v>0</v>
      </c>
      <c r="G34" s="612" t="s">
        <v>1272</v>
      </c>
      <c r="H34" s="160" t="s">
        <v>1282</v>
      </c>
      <c r="T34" s="679" t="b" cm="1">
        <f t="array" ref="T34">T33</f>
        <v>0</v>
      </c>
      <c r="X34" s="1483"/>
      <c r="Z34" s="1483"/>
      <c r="AB34" s="232" t="s">
        <v>1070</v>
      </c>
      <c r="AC34" s="420" t="s">
        <v>1283</v>
      </c>
      <c r="AD34" s="102" t="s">
        <v>830</v>
      </c>
      <c r="AE34" s="26"/>
      <c r="AF34" s="26"/>
      <c r="AG34" s="26"/>
      <c r="AH34" s="26"/>
      <c r="AI34" s="243"/>
      <c r="AJ34" s="1224"/>
      <c r="AK34" s="1224"/>
      <c r="AL34" s="26"/>
      <c r="AM34" s="26"/>
      <c r="AN34" s="26"/>
      <c r="AO34" s="26"/>
      <c r="AP34" s="26"/>
      <c r="AQ34" s="26"/>
      <c r="AR34" s="26"/>
      <c r="AS34" s="243"/>
      <c r="AT34" s="1224"/>
      <c r="AU34" s="1224"/>
      <c r="AV34" s="26"/>
      <c r="AW34" s="26"/>
      <c r="AX34" s="26"/>
      <c r="AY34" s="26"/>
      <c r="AZ34" s="26"/>
      <c r="BA34" s="26"/>
      <c r="BB34" s="26"/>
      <c r="BC34" s="25"/>
      <c r="BF34" s="971" t="s">
        <v>1284</v>
      </c>
      <c r="BG34" s="971"/>
      <c r="BH34" s="971"/>
      <c r="BI34" s="974"/>
      <c r="BJ34" s="974"/>
    </row>
    <row r="35" spans="1:62" s="167" customFormat="1" ht="16.7" hidden="1" customHeight="1" x14ac:dyDescent="0.15">
      <c r="E35" s="668">
        <v>17.100000000000001</v>
      </c>
      <c r="F35" s="769" cm="1">
        <f t="array" aca="1" ref="F35" ca="1">OFFSET(G35,-1,-1)</f>
        <v>0</v>
      </c>
      <c r="G35" s="612" t="s">
        <v>1285</v>
      </c>
      <c r="T35" s="679" t="b" cm="1">
        <f t="array" ref="T35">T34</f>
        <v>0</v>
      </c>
      <c r="X35" s="1483"/>
      <c r="Z35" s="1483"/>
      <c r="AB35" s="232" t="s">
        <v>1073</v>
      </c>
      <c r="AC35" s="420" t="s">
        <v>1286</v>
      </c>
      <c r="AD35" s="102" t="s">
        <v>830</v>
      </c>
      <c r="AE35" s="26"/>
      <c r="AF35" s="26"/>
      <c r="AG35" s="26"/>
      <c r="AH35" s="26"/>
      <c r="AI35" s="243"/>
      <c r="AJ35" s="1224"/>
      <c r="AK35" s="1224"/>
      <c r="AL35" s="26"/>
      <c r="AM35" s="26"/>
      <c r="AN35" s="26"/>
      <c r="AO35" s="26"/>
      <c r="AP35" s="26"/>
      <c r="AQ35" s="26"/>
      <c r="AR35" s="26"/>
      <c r="AS35" s="243"/>
      <c r="AT35" s="1224"/>
      <c r="AU35" s="1224"/>
      <c r="AV35" s="26"/>
      <c r="AW35" s="26"/>
      <c r="AX35" s="26"/>
      <c r="AY35" s="26"/>
      <c r="AZ35" s="26"/>
      <c r="BA35" s="26"/>
      <c r="BB35" s="26"/>
      <c r="BC35" s="25"/>
      <c r="BF35" s="971" t="s">
        <v>602</v>
      </c>
      <c r="BG35" s="971"/>
      <c r="BH35" s="971"/>
      <c r="BI35" s="974"/>
      <c r="BJ35" s="974"/>
    </row>
    <row r="36" spans="1:62" s="167" customFormat="1" ht="16.7" hidden="1" customHeight="1" x14ac:dyDescent="0.15">
      <c r="E36" s="668">
        <v>17.100000000000001</v>
      </c>
      <c r="F36" s="769" cm="1">
        <f t="array" aca="1" ref="F36" ca="1">OFFSET(G36,-1,-1)</f>
        <v>0</v>
      </c>
      <c r="G36" s="612" t="s">
        <v>1272</v>
      </c>
      <c r="H36" s="160" t="s">
        <v>1287</v>
      </c>
      <c r="T36" s="679" t="b" cm="1">
        <f t="array" ref="T36">T35</f>
        <v>0</v>
      </c>
      <c r="X36" s="1483"/>
      <c r="Z36" s="1483"/>
      <c r="AB36" s="232" t="s">
        <v>1076</v>
      </c>
      <c r="AC36" s="420" t="s">
        <v>1288</v>
      </c>
      <c r="AD36" s="102" t="s">
        <v>830</v>
      </c>
      <c r="AE36" s="26"/>
      <c r="AF36" s="26"/>
      <c r="AG36" s="26"/>
      <c r="AH36" s="26"/>
      <c r="AI36" s="243"/>
      <c r="AJ36" s="1224"/>
      <c r="AK36" s="1224"/>
      <c r="AL36" s="26"/>
      <c r="AM36" s="26"/>
      <c r="AN36" s="26"/>
      <c r="AO36" s="26"/>
      <c r="AP36" s="26"/>
      <c r="AQ36" s="26"/>
      <c r="AR36" s="26"/>
      <c r="AS36" s="243"/>
      <c r="AT36" s="1224"/>
      <c r="AU36" s="1224"/>
      <c r="AV36" s="26"/>
      <c r="AW36" s="26"/>
      <c r="AX36" s="26"/>
      <c r="AY36" s="26"/>
      <c r="AZ36" s="26"/>
      <c r="BA36" s="26"/>
      <c r="BB36" s="26"/>
      <c r="BC36" s="25"/>
      <c r="BF36" s="971" t="s">
        <v>1289</v>
      </c>
      <c r="BG36" s="971"/>
      <c r="BH36" s="971"/>
      <c r="BI36" s="974"/>
      <c r="BJ36" s="974"/>
    </row>
    <row r="37" spans="1:62" s="167" customFormat="1" ht="16.7" hidden="1" customHeight="1" x14ac:dyDescent="0.15">
      <c r="E37" s="668">
        <v>17.100000000000001</v>
      </c>
      <c r="F37" s="769" cm="1">
        <f t="array" aca="1" ref="F37" ca="1">OFFSET(G37,-1,-1)</f>
        <v>0</v>
      </c>
      <c r="G37" s="612" t="s">
        <v>1272</v>
      </c>
      <c r="H37" s="160" t="s">
        <v>1272</v>
      </c>
      <c r="T37" s="679" t="b" cm="1">
        <f t="array" ref="T37">T36</f>
        <v>0</v>
      </c>
      <c r="X37" s="1483"/>
      <c r="Z37" s="1483"/>
      <c r="AB37" s="232" t="s">
        <v>1290</v>
      </c>
      <c r="AC37" s="420" t="s">
        <v>1291</v>
      </c>
      <c r="AD37" s="102" t="s">
        <v>830</v>
      </c>
      <c r="AE37" s="305">
        <f t="shared" ref="AE37:BB37" si="2">SUM(AE38:AE40)</f>
        <v>0</v>
      </c>
      <c r="AF37" s="305">
        <f t="shared" si="2"/>
        <v>0</v>
      </c>
      <c r="AG37" s="305">
        <f t="shared" si="2"/>
        <v>0</v>
      </c>
      <c r="AH37" s="305">
        <f t="shared" si="2"/>
        <v>0</v>
      </c>
      <c r="AI37" s="305">
        <f t="shared" si="2"/>
        <v>0</v>
      </c>
      <c r="AJ37" s="305">
        <f t="shared" si="2"/>
        <v>0</v>
      </c>
      <c r="AK37" s="305">
        <f t="shared" si="2"/>
        <v>0</v>
      </c>
      <c r="AL37" s="305">
        <f t="shared" si="2"/>
        <v>0</v>
      </c>
      <c r="AM37" s="305">
        <f t="shared" si="2"/>
        <v>0</v>
      </c>
      <c r="AN37" s="305">
        <f t="shared" si="2"/>
        <v>0</v>
      </c>
      <c r="AO37" s="305">
        <f t="shared" si="2"/>
        <v>0</v>
      </c>
      <c r="AP37" s="305">
        <f t="shared" si="2"/>
        <v>0</v>
      </c>
      <c r="AQ37" s="305">
        <f t="shared" si="2"/>
        <v>0</v>
      </c>
      <c r="AR37" s="305">
        <f t="shared" si="2"/>
        <v>0</v>
      </c>
      <c r="AS37" s="305">
        <f t="shared" si="2"/>
        <v>0</v>
      </c>
      <c r="AT37" s="305">
        <f t="shared" si="2"/>
        <v>0</v>
      </c>
      <c r="AU37" s="305">
        <f t="shared" si="2"/>
        <v>0</v>
      </c>
      <c r="AV37" s="305">
        <f t="shared" si="2"/>
        <v>0</v>
      </c>
      <c r="AW37" s="305">
        <f t="shared" si="2"/>
        <v>0</v>
      </c>
      <c r="AX37" s="305">
        <f t="shared" si="2"/>
        <v>0</v>
      </c>
      <c r="AY37" s="305">
        <f t="shared" si="2"/>
        <v>0</v>
      </c>
      <c r="AZ37" s="305">
        <f t="shared" si="2"/>
        <v>0</v>
      </c>
      <c r="BA37" s="305">
        <f t="shared" si="2"/>
        <v>0</v>
      </c>
      <c r="BB37" s="305">
        <f t="shared" si="2"/>
        <v>0</v>
      </c>
      <c r="BC37" s="25"/>
      <c r="BF37" s="971" t="s">
        <v>1219</v>
      </c>
      <c r="BG37" s="971"/>
      <c r="BH37" s="971"/>
      <c r="BI37" s="974"/>
      <c r="BJ37" s="974"/>
    </row>
    <row r="38" spans="1:62" ht="17.25" hidden="1" customHeight="1" x14ac:dyDescent="0.15">
      <c r="E38" s="668">
        <v>0</v>
      </c>
      <c r="F38" s="769" cm="1">
        <f t="array" aca="1" ref="F38" ca="1">OFFSET(G38,-1,-1)</f>
        <v>0</v>
      </c>
      <c r="T38" s="679" t="b" cm="1">
        <f t="array" ref="T38">T37</f>
        <v>0</v>
      </c>
      <c r="X38" s="1485"/>
      <c r="Z38" s="1485"/>
      <c r="AB38" s="255"/>
      <c r="AC38" s="233"/>
      <c r="AD38" s="102"/>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102"/>
      <c r="BF38" s="971" t="str">
        <f>IF(AND(ISNUMBER(VALUE(TRIM(SUBSTITUTE(AB38,".","")))),TRIM(SUBSTITUTE(AB38,".",""))&lt;&gt;""),"P"&amp;SUBSTITUTE(AB38,".",""),"")</f>
        <v/>
      </c>
    </row>
    <row r="39" spans="1:62" s="167" customFormat="1" ht="16.7" hidden="1" customHeight="1" x14ac:dyDescent="0.15">
      <c r="E39" s="668">
        <v>17.100000000000001</v>
      </c>
      <c r="F39" s="769" cm="1">
        <f t="array" aca="1" ref="F39" ca="1">OFFSET(G39,-1,-1)</f>
        <v>0</v>
      </c>
      <c r="H39" s="160" cm="1">
        <f t="array" ref="H39">AC39</f>
        <v>0</v>
      </c>
      <c r="T39" s="679" t="b">
        <f ca="1">AND(OFFSET(U39,1,-1),Y39&gt;0)</f>
        <v>0</v>
      </c>
      <c r="W39" s="123" t="s">
        <v>237</v>
      </c>
      <c r="X39" s="1483"/>
      <c r="Y39" s="123">
        <v>0</v>
      </c>
      <c r="Z39" s="1483"/>
      <c r="AA39" s="764" t="s">
        <v>218</v>
      </c>
      <c r="AB39" s="102" t="str">
        <f>"1.9."&amp;Y39</f>
        <v>1.9.0</v>
      </c>
      <c r="AC39" s="61"/>
      <c r="AD39" s="102" t="s">
        <v>830</v>
      </c>
      <c r="AE39" s="26"/>
      <c r="AF39" s="59"/>
      <c r="AG39" s="59"/>
      <c r="AH39" s="59"/>
      <c r="AI39" s="244"/>
      <c r="AJ39" s="1276"/>
      <c r="AK39" s="1276"/>
      <c r="AL39" s="59"/>
      <c r="AM39" s="59"/>
      <c r="AN39" s="59"/>
      <c r="AO39" s="59"/>
      <c r="AP39" s="59"/>
      <c r="AQ39" s="59"/>
      <c r="AR39" s="59"/>
      <c r="AS39" s="244"/>
      <c r="AT39" s="1276"/>
      <c r="AU39" s="1276"/>
      <c r="AV39" s="59"/>
      <c r="AW39" s="59"/>
      <c r="AX39" s="59"/>
      <c r="AY39" s="59"/>
      <c r="AZ39" s="59"/>
      <c r="BA39" s="59"/>
      <c r="BB39" s="59"/>
      <c r="BC39" s="25"/>
      <c r="BF39" s="971" t="s">
        <v>1292</v>
      </c>
      <c r="BG39" s="971" t="s">
        <v>1293</v>
      </c>
      <c r="BH39" s="1018" cm="1">
        <f t="array" ref="BH39">AC39</f>
        <v>0</v>
      </c>
      <c r="BI39" s="974"/>
      <c r="BJ39" s="974" t="b">
        <v>1</v>
      </c>
    </row>
    <row r="40" spans="1:62" s="167" customFormat="1" ht="11.1" hidden="1" customHeight="1" x14ac:dyDescent="0.15">
      <c r="E40" s="668">
        <v>11.4</v>
      </c>
      <c r="F40" s="769" cm="1">
        <f t="array" aca="1" ref="F40" ca="1">OFFSET(G40,-1,-1)</f>
        <v>0</v>
      </c>
      <c r="T40" s="679" t="b" cm="1">
        <f t="array" ref="T40">T37</f>
        <v>0</v>
      </c>
      <c r="W40" s="312" t="s">
        <v>971</v>
      </c>
      <c r="X40" s="1483"/>
      <c r="Z40" s="1483"/>
      <c r="AB40" s="419"/>
      <c r="AC40" s="247" t="s">
        <v>239</v>
      </c>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8"/>
      <c r="BF40" s="971"/>
      <c r="BG40" s="971"/>
      <c r="BH40" s="971"/>
      <c r="BI40" s="974" t="s">
        <v>1293</v>
      </c>
      <c r="BJ40" s="974"/>
    </row>
    <row r="41" spans="1:62" s="1278" customFormat="1" ht="10.5" customHeight="1" x14ac:dyDescent="0.15">
      <c r="A41" s="167"/>
      <c r="B41" s="167"/>
      <c r="C41" s="167"/>
      <c r="D41" s="167"/>
      <c r="E41" s="668">
        <v>11.4</v>
      </c>
      <c r="F41" s="769" t="str" cm="1">
        <f t="array" ref="F41">X41</f>
        <v>1</v>
      </c>
      <c r="G41" s="167"/>
      <c r="H41" s="167"/>
      <c r="I41" s="167"/>
      <c r="J41" s="167"/>
      <c r="K41" s="167"/>
      <c r="L41" s="167"/>
      <c r="M41" s="167"/>
      <c r="N41" s="167"/>
      <c r="O41" s="167"/>
      <c r="P41" s="167"/>
      <c r="Q41" s="167"/>
      <c r="R41" s="167"/>
      <c r="S41" s="167"/>
      <c r="T41" s="690" t="b">
        <f>X41&gt;0</f>
        <v>1</v>
      </c>
      <c r="U41" s="167"/>
      <c r="V41" s="123" t="str" cm="1">
        <f t="array" ref="V41">ФОТ!$AB$52</f>
        <v>Тариф 1 (Теплоснабжение) - Тариф на тепловую энергию (мощность), поставляемую потребителям (Не определено)</v>
      </c>
      <c r="W41" s="167"/>
      <c r="X41" s="1485" t="s">
        <v>339</v>
      </c>
      <c r="Y41" s="167"/>
      <c r="Z41" s="1483"/>
      <c r="AA41" s="167"/>
      <c r="AB41" s="234" t="str" cm="1">
        <f t="array" ref="AB41">IF(ISBLANK(ФОТ!$AB$52),"",ФОТ!$AB$52)</f>
        <v>Тариф 1 (Теплоснабжение) - Тариф на тепловую энергию (мощность), поставляемую потребителям (Не определено)</v>
      </c>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167"/>
      <c r="BE41" s="167"/>
      <c r="BF41" s="971"/>
      <c r="BG41" s="971"/>
      <c r="BH41" s="971"/>
      <c r="BI41" s="974"/>
      <c r="BJ41" s="974"/>
    </row>
    <row r="42" spans="1:62" s="1279" customFormat="1" ht="29.25" customHeight="1" x14ac:dyDescent="0.15">
      <c r="A42" s="167"/>
      <c r="B42" s="167"/>
      <c r="C42" s="167"/>
      <c r="D42" s="167"/>
      <c r="E42" s="668">
        <v>30</v>
      </c>
      <c r="F42" s="769" t="str" cm="1">
        <f t="array" aca="1" ref="F42" ca="1">OFFSET(G42,-1,-1)</f>
        <v>1</v>
      </c>
      <c r="G42" s="167"/>
      <c r="H42" s="167"/>
      <c r="I42" s="167"/>
      <c r="J42" s="167"/>
      <c r="K42" s="167"/>
      <c r="L42" s="167"/>
      <c r="M42" s="167"/>
      <c r="N42" s="167"/>
      <c r="O42" s="167"/>
      <c r="P42" s="167"/>
      <c r="Q42" s="167"/>
      <c r="R42" s="167"/>
      <c r="S42" s="167"/>
      <c r="T42" s="679" t="b" cm="1">
        <f t="array" ref="T42">T41</f>
        <v>1</v>
      </c>
      <c r="U42" s="167"/>
      <c r="V42" s="167"/>
      <c r="W42" s="167"/>
      <c r="X42" s="1483"/>
      <c r="Y42" s="167"/>
      <c r="Z42" s="1483"/>
      <c r="AA42" s="167"/>
      <c r="AB42" s="249">
        <v>1</v>
      </c>
      <c r="AC42" s="231" t="s">
        <v>1267</v>
      </c>
      <c r="AD42" s="224" t="s">
        <v>830</v>
      </c>
      <c r="AE42" s="242">
        <f t="shared" ref="AE42:BB42" si="3">SUM(AE43:AE51)</f>
        <v>3473.42</v>
      </c>
      <c r="AF42" s="242">
        <f t="shared" si="3"/>
        <v>5707.96</v>
      </c>
      <c r="AG42" s="242">
        <f t="shared" si="3"/>
        <v>4232.37</v>
      </c>
      <c r="AH42" s="242">
        <f t="shared" si="3"/>
        <v>3029.35</v>
      </c>
      <c r="AI42" s="242">
        <f t="shared" si="3"/>
        <v>5673.1100000000006</v>
      </c>
      <c r="AJ42" s="242">
        <f t="shared" si="3"/>
        <v>0</v>
      </c>
      <c r="AK42" s="242">
        <f t="shared" si="3"/>
        <v>0</v>
      </c>
      <c r="AL42" s="242">
        <f t="shared" si="3"/>
        <v>0</v>
      </c>
      <c r="AM42" s="242">
        <f t="shared" si="3"/>
        <v>0</v>
      </c>
      <c r="AN42" s="242">
        <f t="shared" si="3"/>
        <v>0</v>
      </c>
      <c r="AO42" s="242">
        <f t="shared" si="3"/>
        <v>0</v>
      </c>
      <c r="AP42" s="242">
        <f t="shared" si="3"/>
        <v>0</v>
      </c>
      <c r="AQ42" s="242">
        <f t="shared" si="3"/>
        <v>0</v>
      </c>
      <c r="AR42" s="242">
        <f t="shared" si="3"/>
        <v>0</v>
      </c>
      <c r="AS42" s="242">
        <f t="shared" si="3"/>
        <v>4357.6500000000005</v>
      </c>
      <c r="AT42" s="242">
        <f t="shared" si="3"/>
        <v>0</v>
      </c>
      <c r="AU42" s="242">
        <f t="shared" si="3"/>
        <v>0</v>
      </c>
      <c r="AV42" s="242">
        <f t="shared" si="3"/>
        <v>0</v>
      </c>
      <c r="AW42" s="242">
        <f t="shared" si="3"/>
        <v>0</v>
      </c>
      <c r="AX42" s="242">
        <f t="shared" si="3"/>
        <v>0</v>
      </c>
      <c r="AY42" s="242">
        <f t="shared" si="3"/>
        <v>0</v>
      </c>
      <c r="AZ42" s="242">
        <f t="shared" si="3"/>
        <v>0</v>
      </c>
      <c r="BA42" s="242">
        <f t="shared" si="3"/>
        <v>0</v>
      </c>
      <c r="BB42" s="242">
        <f t="shared" si="3"/>
        <v>0</v>
      </c>
      <c r="BC42" s="1231"/>
      <c r="BD42" s="167"/>
      <c r="BE42" s="167"/>
      <c r="BF42" s="971" t="s">
        <v>1268</v>
      </c>
      <c r="BG42" s="971"/>
      <c r="BH42" s="971"/>
      <c r="BI42" s="974"/>
      <c r="BJ42" s="974"/>
    </row>
    <row r="43" spans="1:62" s="1280" customFormat="1" ht="58.5" customHeight="1" x14ac:dyDescent="0.15">
      <c r="A43" s="167"/>
      <c r="B43" s="167"/>
      <c r="C43" s="167"/>
      <c r="D43" s="167"/>
      <c r="E43" s="668">
        <v>60</v>
      </c>
      <c r="F43" s="769" t="str" cm="1">
        <f t="array" aca="1" ref="F43" ca="1">OFFSET(G43,-1,-1)</f>
        <v>1</v>
      </c>
      <c r="G43" s="612" t="s">
        <v>1269</v>
      </c>
      <c r="H43" s="167"/>
      <c r="I43" s="167"/>
      <c r="J43" s="167"/>
      <c r="K43" s="167"/>
      <c r="L43" s="167"/>
      <c r="M43" s="167"/>
      <c r="N43" s="167"/>
      <c r="O43" s="167"/>
      <c r="P43" s="167"/>
      <c r="Q43" s="167"/>
      <c r="R43" s="167"/>
      <c r="S43" s="167"/>
      <c r="T43" s="679" t="b" cm="1">
        <f t="array" ref="T43">T42</f>
        <v>1</v>
      </c>
      <c r="U43" s="167"/>
      <c r="V43" s="167"/>
      <c r="W43" s="167"/>
      <c r="X43" s="1483"/>
      <c r="Y43" s="167"/>
      <c r="Z43" s="1483"/>
      <c r="AA43" s="167"/>
      <c r="AB43" s="232" t="s">
        <v>473</v>
      </c>
      <c r="AC43" s="420" t="s">
        <v>1270</v>
      </c>
      <c r="AD43" s="102" t="s">
        <v>830</v>
      </c>
      <c r="AE43" s="1232">
        <v>22.52</v>
      </c>
      <c r="AF43" s="1275">
        <f>19.3+484.82</f>
        <v>504.12</v>
      </c>
      <c r="AG43" s="1275">
        <f>19.3+184.42</f>
        <v>203.72</v>
      </c>
      <c r="AH43" s="1275">
        <f>20.17+103.8</f>
        <v>123.97</v>
      </c>
      <c r="AI43" s="244">
        <f>37.59+96.77</f>
        <v>134.36000000000001</v>
      </c>
      <c r="AJ43" s="1276"/>
      <c r="AK43" s="1276"/>
      <c r="AL43" s="1275"/>
      <c r="AM43" s="1275"/>
      <c r="AN43" s="1275"/>
      <c r="AO43" s="1275"/>
      <c r="AP43" s="1275"/>
      <c r="AQ43" s="1275"/>
      <c r="AR43" s="1275"/>
      <c r="AS43" s="244">
        <f>19.3+106.68</f>
        <v>125.98</v>
      </c>
      <c r="AT43" s="1276"/>
      <c r="AU43" s="1276"/>
      <c r="AV43" s="1275"/>
      <c r="AW43" s="1275"/>
      <c r="AX43" s="1275"/>
      <c r="AY43" s="1275"/>
      <c r="AZ43" s="1275"/>
      <c r="BA43" s="1275"/>
      <c r="BB43" s="1275"/>
      <c r="BC43" s="1231"/>
      <c r="BD43" s="167"/>
      <c r="BE43" s="167"/>
      <c r="BF43" s="971" t="s">
        <v>1271</v>
      </c>
      <c r="BG43" s="971"/>
      <c r="BH43" s="971"/>
      <c r="BI43" s="974"/>
      <c r="BJ43" s="974"/>
    </row>
    <row r="44" spans="1:62" s="1281" customFormat="1" ht="16.5" customHeight="1" x14ac:dyDescent="0.15">
      <c r="A44" s="167"/>
      <c r="B44" s="167"/>
      <c r="C44" s="167"/>
      <c r="D44" s="167"/>
      <c r="E44" s="668">
        <v>17.100000000000001</v>
      </c>
      <c r="F44" s="769" t="str" cm="1">
        <f t="array" aca="1" ref="F44" ca="1">OFFSET(G44,-1,-1)</f>
        <v>1</v>
      </c>
      <c r="G44" s="612" t="s">
        <v>1272</v>
      </c>
      <c r="H44" s="160" t="s">
        <v>1273</v>
      </c>
      <c r="I44" s="167"/>
      <c r="J44" s="167"/>
      <c r="K44" s="167"/>
      <c r="L44" s="167"/>
      <c r="M44" s="167"/>
      <c r="N44" s="167"/>
      <c r="O44" s="167"/>
      <c r="P44" s="167"/>
      <c r="Q44" s="167"/>
      <c r="R44" s="167"/>
      <c r="S44" s="167"/>
      <c r="T44" s="679" t="b" cm="1">
        <f t="array" ref="T44">T43</f>
        <v>1</v>
      </c>
      <c r="U44" s="167"/>
      <c r="V44" s="167"/>
      <c r="W44" s="167"/>
      <c r="X44" s="1483"/>
      <c r="Y44" s="167"/>
      <c r="Z44" s="1483"/>
      <c r="AA44" s="167"/>
      <c r="AB44" s="232" t="s">
        <v>955</v>
      </c>
      <c r="AC44" s="420" t="s">
        <v>1274</v>
      </c>
      <c r="AD44" s="102" t="s">
        <v>830</v>
      </c>
      <c r="AE44" s="1232">
        <v>46.79</v>
      </c>
      <c r="AF44" s="1275">
        <v>44.81</v>
      </c>
      <c r="AG44" s="1275">
        <v>44.81</v>
      </c>
      <c r="AH44" s="1275">
        <v>47.5</v>
      </c>
      <c r="AI44" s="244">
        <v>52.68</v>
      </c>
      <c r="AJ44" s="1276"/>
      <c r="AK44" s="1276"/>
      <c r="AL44" s="1275"/>
      <c r="AM44" s="1275"/>
      <c r="AN44" s="1275"/>
      <c r="AO44" s="1275"/>
      <c r="AP44" s="1275"/>
      <c r="AQ44" s="1275"/>
      <c r="AR44" s="1275"/>
      <c r="AS44" s="244">
        <v>44.81</v>
      </c>
      <c r="AT44" s="1276"/>
      <c r="AU44" s="1276"/>
      <c r="AV44" s="1275"/>
      <c r="AW44" s="1275"/>
      <c r="AX44" s="1275"/>
      <c r="AY44" s="1275"/>
      <c r="AZ44" s="1275"/>
      <c r="BA44" s="1275"/>
      <c r="BB44" s="1275"/>
      <c r="BC44" s="1231"/>
      <c r="BD44" s="167"/>
      <c r="BE44" s="167"/>
      <c r="BF44" s="971" t="s">
        <v>1275</v>
      </c>
      <c r="BG44" s="971"/>
      <c r="BH44" s="971"/>
      <c r="BI44" s="974"/>
      <c r="BJ44" s="974"/>
    </row>
    <row r="45" spans="1:62" s="1282" customFormat="1" ht="16.5" customHeight="1" x14ac:dyDescent="0.15">
      <c r="A45" s="167"/>
      <c r="B45" s="167"/>
      <c r="C45" s="167"/>
      <c r="D45" s="167"/>
      <c r="E45" s="668">
        <v>17.100000000000001</v>
      </c>
      <c r="F45" s="769" t="str" cm="1">
        <f t="array" aca="1" ref="F45" ca="1">OFFSET(G45,-1,-1)</f>
        <v>1</v>
      </c>
      <c r="G45" s="612" t="s">
        <v>1276</v>
      </c>
      <c r="H45" s="167"/>
      <c r="I45" s="167"/>
      <c r="J45" s="167"/>
      <c r="K45" s="167"/>
      <c r="L45" s="167"/>
      <c r="M45" s="167"/>
      <c r="N45" s="167"/>
      <c r="O45" s="167"/>
      <c r="P45" s="167"/>
      <c r="Q45" s="167"/>
      <c r="R45" s="167"/>
      <c r="S45" s="167"/>
      <c r="T45" s="679" t="b" cm="1">
        <f t="array" ref="T45">T44</f>
        <v>1</v>
      </c>
      <c r="U45" s="167"/>
      <c r="V45" s="167"/>
      <c r="W45" s="167"/>
      <c r="X45" s="1483"/>
      <c r="Y45" s="167"/>
      <c r="Z45" s="1483"/>
      <c r="AA45" s="167"/>
      <c r="AB45" s="232" t="s">
        <v>957</v>
      </c>
      <c r="AC45" s="420" t="s">
        <v>1277</v>
      </c>
      <c r="AD45" s="102" t="s">
        <v>830</v>
      </c>
      <c r="AE45" s="1232">
        <v>26.72</v>
      </c>
      <c r="AF45" s="1275">
        <v>33.14</v>
      </c>
      <c r="AG45" s="1275">
        <v>25.09</v>
      </c>
      <c r="AH45" s="1275">
        <v>28.48</v>
      </c>
      <c r="AI45" s="244">
        <v>86.45</v>
      </c>
      <c r="AJ45" s="1276"/>
      <c r="AK45" s="1276"/>
      <c r="AL45" s="1275"/>
      <c r="AM45" s="1275"/>
      <c r="AN45" s="1275"/>
      <c r="AO45" s="1275"/>
      <c r="AP45" s="1275"/>
      <c r="AQ45" s="1275"/>
      <c r="AR45" s="1275"/>
      <c r="AS45" s="244">
        <v>25.09</v>
      </c>
      <c r="AT45" s="1276"/>
      <c r="AU45" s="1276"/>
      <c r="AV45" s="1275"/>
      <c r="AW45" s="1275"/>
      <c r="AX45" s="1275"/>
      <c r="AY45" s="1275"/>
      <c r="AZ45" s="1275"/>
      <c r="BA45" s="1275"/>
      <c r="BB45" s="1275"/>
      <c r="BC45" s="1231"/>
      <c r="BD45" s="167"/>
      <c r="BE45" s="167"/>
      <c r="BF45" s="971" t="s">
        <v>1278</v>
      </c>
      <c r="BG45" s="971"/>
      <c r="BH45" s="971"/>
      <c r="BI45" s="974"/>
      <c r="BJ45" s="974"/>
    </row>
    <row r="46" spans="1:62" s="1167" customFormat="1" ht="16.5" customHeight="1" x14ac:dyDescent="0.15">
      <c r="A46" s="1152"/>
      <c r="B46" s="773"/>
      <c r="C46" s="1152"/>
      <c r="D46" s="1152"/>
      <c r="E46" s="668">
        <v>17.100000000000001</v>
      </c>
      <c r="F46" s="769" t="str" cm="1">
        <f t="array" aca="1" ref="F46" ca="1">OFFSET(G46,-1,-1)</f>
        <v>1</v>
      </c>
      <c r="G46" s="612" t="s">
        <v>1272</v>
      </c>
      <c r="H46" s="160" t="s">
        <v>1272</v>
      </c>
      <c r="I46" s="417"/>
      <c r="J46" s="417"/>
      <c r="K46" s="417"/>
      <c r="L46" s="417"/>
      <c r="M46" s="417"/>
      <c r="N46" s="417"/>
      <c r="O46" s="417"/>
      <c r="P46" s="417"/>
      <c r="Q46" s="774"/>
      <c r="R46" s="774"/>
      <c r="S46" s="417"/>
      <c r="T46" s="679" t="b" cm="1">
        <f t="array" ref="T46">T45</f>
        <v>1</v>
      </c>
      <c r="U46" s="1152"/>
      <c r="V46" s="1152"/>
      <c r="W46" s="1152"/>
      <c r="X46" s="1485"/>
      <c r="Y46" s="1152"/>
      <c r="Z46" s="1485"/>
      <c r="AA46" s="167"/>
      <c r="AB46" s="232" t="s">
        <v>961</v>
      </c>
      <c r="AC46" s="420" t="s">
        <v>1279</v>
      </c>
      <c r="AD46" s="102" t="s">
        <v>830</v>
      </c>
      <c r="AE46" s="1283"/>
      <c r="AF46" s="1283"/>
      <c r="AG46" s="1283"/>
      <c r="AH46" s="1283"/>
      <c r="AI46" s="245"/>
      <c r="AJ46" s="1277"/>
      <c r="AK46" s="1277"/>
      <c r="AL46" s="1283"/>
      <c r="AM46" s="1283"/>
      <c r="AN46" s="1283"/>
      <c r="AO46" s="1283"/>
      <c r="AP46" s="1283"/>
      <c r="AQ46" s="1283"/>
      <c r="AR46" s="1283"/>
      <c r="AS46" s="245"/>
      <c r="AT46" s="1277"/>
      <c r="AU46" s="1277"/>
      <c r="AV46" s="1283"/>
      <c r="AW46" s="1283"/>
      <c r="AX46" s="1283"/>
      <c r="AY46" s="1283"/>
      <c r="AZ46" s="1283"/>
      <c r="BA46" s="1283"/>
      <c r="BB46" s="1283"/>
      <c r="BC46" s="1231"/>
      <c r="BD46" s="167"/>
      <c r="BE46" s="167"/>
      <c r="BF46" s="971" t="s">
        <v>598</v>
      </c>
      <c r="BG46" s="1005"/>
      <c r="BH46" s="1005"/>
      <c r="BI46" s="1016"/>
      <c r="BJ46" s="1016"/>
    </row>
    <row r="47" spans="1:62" s="1284" customFormat="1" ht="16.5" customHeight="1" x14ac:dyDescent="0.15">
      <c r="A47" s="167"/>
      <c r="B47" s="167"/>
      <c r="C47" s="167"/>
      <c r="D47" s="167"/>
      <c r="E47" s="668">
        <v>17.100000000000001</v>
      </c>
      <c r="F47" s="769" t="str" cm="1">
        <f t="array" aca="1" ref="F47" ca="1">OFFSET(G47,-1,-1)</f>
        <v>1</v>
      </c>
      <c r="G47" s="612" t="s">
        <v>1272</v>
      </c>
      <c r="H47" s="160" t="s">
        <v>1280</v>
      </c>
      <c r="I47" s="167"/>
      <c r="J47" s="167"/>
      <c r="K47" s="167"/>
      <c r="L47" s="167"/>
      <c r="M47" s="167"/>
      <c r="N47" s="167"/>
      <c r="O47" s="167"/>
      <c r="P47" s="167"/>
      <c r="Q47" s="167"/>
      <c r="R47" s="167"/>
      <c r="S47" s="167"/>
      <c r="T47" s="679" t="b" cm="1">
        <f t="array" ref="T47">T46</f>
        <v>1</v>
      </c>
      <c r="U47" s="167"/>
      <c r="V47" s="167"/>
      <c r="W47" s="167"/>
      <c r="X47" s="1483"/>
      <c r="Y47" s="167"/>
      <c r="Z47" s="1483"/>
      <c r="AA47" s="167"/>
      <c r="AB47" s="232" t="s">
        <v>1067</v>
      </c>
      <c r="AC47" s="420" t="s">
        <v>1281</v>
      </c>
      <c r="AD47" s="102" t="s">
        <v>830</v>
      </c>
      <c r="AE47" s="1232">
        <v>2909.16</v>
      </c>
      <c r="AF47" s="1232">
        <v>3490.52</v>
      </c>
      <c r="AG47" s="1232">
        <v>3490.52</v>
      </c>
      <c r="AH47" s="1232">
        <v>2829.4</v>
      </c>
      <c r="AI47" s="243">
        <v>4161.7700000000004</v>
      </c>
      <c r="AJ47" s="1224"/>
      <c r="AK47" s="1224"/>
      <c r="AL47" s="1232"/>
      <c r="AM47" s="1232"/>
      <c r="AN47" s="1232"/>
      <c r="AO47" s="1232"/>
      <c r="AP47" s="1232"/>
      <c r="AQ47" s="1232"/>
      <c r="AR47" s="1232"/>
      <c r="AS47" s="243">
        <v>4161.7700000000004</v>
      </c>
      <c r="AT47" s="1224"/>
      <c r="AU47" s="1224"/>
      <c r="AV47" s="1232"/>
      <c r="AW47" s="1232"/>
      <c r="AX47" s="1232"/>
      <c r="AY47" s="1232"/>
      <c r="AZ47" s="1232"/>
      <c r="BA47" s="1232"/>
      <c r="BB47" s="1232"/>
      <c r="BC47" s="1231"/>
      <c r="BD47" s="167"/>
      <c r="BE47" s="167"/>
      <c r="BF47" s="971" t="s">
        <v>594</v>
      </c>
      <c r="BG47" s="971"/>
      <c r="BH47" s="971"/>
      <c r="BI47" s="974"/>
      <c r="BJ47" s="974"/>
    </row>
    <row r="48" spans="1:62" s="1285" customFormat="1" ht="16.5" customHeight="1" x14ac:dyDescent="0.15">
      <c r="A48" s="167"/>
      <c r="B48" s="167"/>
      <c r="C48" s="167"/>
      <c r="D48" s="167"/>
      <c r="E48" s="668">
        <v>17.100000000000001</v>
      </c>
      <c r="F48" s="769" t="str" cm="1">
        <f t="array" aca="1" ref="F48" ca="1">OFFSET(G48,-1,-1)</f>
        <v>1</v>
      </c>
      <c r="G48" s="612" t="s">
        <v>1272</v>
      </c>
      <c r="H48" s="160" t="s">
        <v>1282</v>
      </c>
      <c r="I48" s="167"/>
      <c r="J48" s="167"/>
      <c r="K48" s="167"/>
      <c r="L48" s="167"/>
      <c r="M48" s="167"/>
      <c r="N48" s="167"/>
      <c r="O48" s="167"/>
      <c r="P48" s="167"/>
      <c r="Q48" s="167"/>
      <c r="R48" s="167"/>
      <c r="S48" s="167"/>
      <c r="T48" s="679" t="b" cm="1">
        <f t="array" ref="T48">T47</f>
        <v>1</v>
      </c>
      <c r="U48" s="167"/>
      <c r="V48" s="167"/>
      <c r="W48" s="167"/>
      <c r="X48" s="1483"/>
      <c r="Y48" s="167"/>
      <c r="Z48" s="1483"/>
      <c r="AA48" s="167"/>
      <c r="AB48" s="232" t="s">
        <v>1070</v>
      </c>
      <c r="AC48" s="420" t="s">
        <v>1283</v>
      </c>
      <c r="AD48" s="102" t="s">
        <v>830</v>
      </c>
      <c r="AE48" s="1232"/>
      <c r="AF48" s="1232"/>
      <c r="AG48" s="1232"/>
      <c r="AH48" s="1232"/>
      <c r="AI48" s="243"/>
      <c r="AJ48" s="1224"/>
      <c r="AK48" s="1224"/>
      <c r="AL48" s="1232"/>
      <c r="AM48" s="1232"/>
      <c r="AN48" s="1232"/>
      <c r="AO48" s="1232"/>
      <c r="AP48" s="1232"/>
      <c r="AQ48" s="1232"/>
      <c r="AR48" s="1232"/>
      <c r="AS48" s="243"/>
      <c r="AT48" s="1224"/>
      <c r="AU48" s="1224"/>
      <c r="AV48" s="1232"/>
      <c r="AW48" s="1232"/>
      <c r="AX48" s="1232"/>
      <c r="AY48" s="1232"/>
      <c r="AZ48" s="1232"/>
      <c r="BA48" s="1232"/>
      <c r="BB48" s="1232"/>
      <c r="BC48" s="1231"/>
      <c r="BD48" s="167"/>
      <c r="BE48" s="167"/>
      <c r="BF48" s="971" t="s">
        <v>1284</v>
      </c>
      <c r="BG48" s="971"/>
      <c r="BH48" s="971"/>
      <c r="BI48" s="974"/>
      <c r="BJ48" s="974"/>
    </row>
    <row r="49" spans="1:62" s="1286" customFormat="1" ht="16.5" customHeight="1" x14ac:dyDescent="0.15">
      <c r="A49" s="167"/>
      <c r="B49" s="167"/>
      <c r="C49" s="167"/>
      <c r="D49" s="167"/>
      <c r="E49" s="668">
        <v>17.100000000000001</v>
      </c>
      <c r="F49" s="769" t="str" cm="1">
        <f t="array" aca="1" ref="F49" ca="1">OFFSET(G49,-1,-1)</f>
        <v>1</v>
      </c>
      <c r="G49" s="612" t="s">
        <v>1285</v>
      </c>
      <c r="H49" s="167"/>
      <c r="I49" s="167"/>
      <c r="J49" s="167"/>
      <c r="K49" s="167"/>
      <c r="L49" s="167"/>
      <c r="M49" s="167"/>
      <c r="N49" s="167"/>
      <c r="O49" s="167"/>
      <c r="P49" s="167"/>
      <c r="Q49" s="167"/>
      <c r="R49" s="167"/>
      <c r="S49" s="167"/>
      <c r="T49" s="679" t="b" cm="1">
        <f t="array" ref="T49">T48</f>
        <v>1</v>
      </c>
      <c r="U49" s="167"/>
      <c r="V49" s="167"/>
      <c r="W49" s="167"/>
      <c r="X49" s="1483"/>
      <c r="Y49" s="167"/>
      <c r="Z49" s="1483"/>
      <c r="AA49" s="167"/>
      <c r="AB49" s="232" t="s">
        <v>1073</v>
      </c>
      <c r="AC49" s="420" t="s">
        <v>1286</v>
      </c>
      <c r="AD49" s="102" t="s">
        <v>830</v>
      </c>
      <c r="AE49" s="1232">
        <v>468.23</v>
      </c>
      <c r="AF49" s="1232">
        <v>1626.57</v>
      </c>
      <c r="AG49" s="1232">
        <v>468.23</v>
      </c>
      <c r="AH49" s="1232">
        <v>0</v>
      </c>
      <c r="AI49" s="243">
        <v>1225.8499999999999</v>
      </c>
      <c r="AJ49" s="1224"/>
      <c r="AK49" s="1224"/>
      <c r="AL49" s="1232"/>
      <c r="AM49" s="1232"/>
      <c r="AN49" s="1232"/>
      <c r="AO49" s="1232"/>
      <c r="AP49" s="1232"/>
      <c r="AQ49" s="1232"/>
      <c r="AR49" s="1232"/>
      <c r="AS49" s="243">
        <v>0</v>
      </c>
      <c r="AT49" s="1224"/>
      <c r="AU49" s="1224"/>
      <c r="AV49" s="1232"/>
      <c r="AW49" s="1232"/>
      <c r="AX49" s="1232"/>
      <c r="AY49" s="1232"/>
      <c r="AZ49" s="1232"/>
      <c r="BA49" s="1232"/>
      <c r="BB49" s="1232"/>
      <c r="BC49" s="1231"/>
      <c r="BD49" s="167"/>
      <c r="BE49" s="167"/>
      <c r="BF49" s="971" t="s">
        <v>602</v>
      </c>
      <c r="BG49" s="971"/>
      <c r="BH49" s="971"/>
      <c r="BI49" s="974"/>
      <c r="BJ49" s="974"/>
    </row>
    <row r="50" spans="1:62" s="1287" customFormat="1" ht="16.5" customHeight="1" x14ac:dyDescent="0.15">
      <c r="A50" s="167"/>
      <c r="B50" s="167"/>
      <c r="C50" s="167"/>
      <c r="D50" s="167"/>
      <c r="E50" s="668">
        <v>17.100000000000001</v>
      </c>
      <c r="F50" s="769" t="str" cm="1">
        <f t="array" aca="1" ref="F50" ca="1">OFFSET(G50,-1,-1)</f>
        <v>1</v>
      </c>
      <c r="G50" s="612" t="s">
        <v>1272</v>
      </c>
      <c r="H50" s="160" t="s">
        <v>1287</v>
      </c>
      <c r="I50" s="167"/>
      <c r="J50" s="167"/>
      <c r="K50" s="167"/>
      <c r="L50" s="167"/>
      <c r="M50" s="167"/>
      <c r="N50" s="167"/>
      <c r="O50" s="167"/>
      <c r="P50" s="167"/>
      <c r="Q50" s="167"/>
      <c r="R50" s="167"/>
      <c r="S50" s="167"/>
      <c r="T50" s="679" t="b" cm="1">
        <f t="array" ref="T50">T49</f>
        <v>1</v>
      </c>
      <c r="U50" s="167"/>
      <c r="V50" s="167"/>
      <c r="W50" s="167"/>
      <c r="X50" s="1483"/>
      <c r="Y50" s="167"/>
      <c r="Z50" s="1483"/>
      <c r="AA50" s="167"/>
      <c r="AB50" s="232" t="s">
        <v>1076</v>
      </c>
      <c r="AC50" s="420" t="s">
        <v>1288</v>
      </c>
      <c r="AD50" s="102" t="s">
        <v>830</v>
      </c>
      <c r="AE50" s="1232"/>
      <c r="AF50" s="1232"/>
      <c r="AG50" s="1232"/>
      <c r="AH50" s="1232"/>
      <c r="AI50" s="243"/>
      <c r="AJ50" s="1224"/>
      <c r="AK50" s="1224"/>
      <c r="AL50" s="1232"/>
      <c r="AM50" s="1232"/>
      <c r="AN50" s="1232"/>
      <c r="AO50" s="1232"/>
      <c r="AP50" s="1232"/>
      <c r="AQ50" s="1232"/>
      <c r="AR50" s="1232"/>
      <c r="AS50" s="243"/>
      <c r="AT50" s="1224"/>
      <c r="AU50" s="1224"/>
      <c r="AV50" s="1232"/>
      <c r="AW50" s="1232"/>
      <c r="AX50" s="1232"/>
      <c r="AY50" s="1232"/>
      <c r="AZ50" s="1232"/>
      <c r="BA50" s="1232"/>
      <c r="BB50" s="1232"/>
      <c r="BC50" s="1231"/>
      <c r="BD50" s="167"/>
      <c r="BE50" s="167"/>
      <c r="BF50" s="971" t="s">
        <v>1289</v>
      </c>
      <c r="BG50" s="971"/>
      <c r="BH50" s="971"/>
      <c r="BI50" s="974"/>
      <c r="BJ50" s="974"/>
    </row>
    <row r="51" spans="1:62" s="1288" customFormat="1" ht="16.5" customHeight="1" x14ac:dyDescent="0.15">
      <c r="A51" s="167"/>
      <c r="B51" s="167"/>
      <c r="C51" s="167"/>
      <c r="D51" s="167"/>
      <c r="E51" s="668">
        <v>17.100000000000001</v>
      </c>
      <c r="F51" s="769" t="str" cm="1">
        <f t="array" aca="1" ref="F51" ca="1">OFFSET(G51,-1,-1)</f>
        <v>1</v>
      </c>
      <c r="G51" s="612" t="s">
        <v>1272</v>
      </c>
      <c r="H51" s="160" t="s">
        <v>1272</v>
      </c>
      <c r="I51" s="167"/>
      <c r="J51" s="167"/>
      <c r="K51" s="167"/>
      <c r="L51" s="167"/>
      <c r="M51" s="167"/>
      <c r="N51" s="167"/>
      <c r="O51" s="167"/>
      <c r="P51" s="167"/>
      <c r="Q51" s="167"/>
      <c r="R51" s="167"/>
      <c r="S51" s="167"/>
      <c r="T51" s="679" t="b" cm="1">
        <f t="array" ref="T51">T50</f>
        <v>1</v>
      </c>
      <c r="U51" s="167"/>
      <c r="V51" s="167"/>
      <c r="W51" s="167"/>
      <c r="X51" s="1483"/>
      <c r="Y51" s="167"/>
      <c r="Z51" s="1483"/>
      <c r="AA51" s="167"/>
      <c r="AB51" s="232" t="s">
        <v>1290</v>
      </c>
      <c r="AC51" s="420" t="s">
        <v>1291</v>
      </c>
      <c r="AD51" s="102" t="s">
        <v>830</v>
      </c>
      <c r="AE51" s="305">
        <f t="shared" ref="AE51:BB51" si="4">SUM(AE52:AE55)</f>
        <v>0</v>
      </c>
      <c r="AF51" s="305">
        <f t="shared" si="4"/>
        <v>8.8000000000000007</v>
      </c>
      <c r="AG51" s="305">
        <f t="shared" si="4"/>
        <v>0</v>
      </c>
      <c r="AH51" s="305">
        <f t="shared" si="4"/>
        <v>0</v>
      </c>
      <c r="AI51" s="305">
        <f t="shared" si="4"/>
        <v>12</v>
      </c>
      <c r="AJ51" s="305">
        <f t="shared" si="4"/>
        <v>0</v>
      </c>
      <c r="AK51" s="305">
        <f t="shared" si="4"/>
        <v>0</v>
      </c>
      <c r="AL51" s="305">
        <f t="shared" si="4"/>
        <v>0</v>
      </c>
      <c r="AM51" s="305">
        <f t="shared" si="4"/>
        <v>0</v>
      </c>
      <c r="AN51" s="305">
        <f t="shared" si="4"/>
        <v>0</v>
      </c>
      <c r="AO51" s="305">
        <f t="shared" si="4"/>
        <v>0</v>
      </c>
      <c r="AP51" s="305">
        <f t="shared" si="4"/>
        <v>0</v>
      </c>
      <c r="AQ51" s="305">
        <f t="shared" si="4"/>
        <v>0</v>
      </c>
      <c r="AR51" s="305">
        <f t="shared" si="4"/>
        <v>0</v>
      </c>
      <c r="AS51" s="305">
        <f t="shared" si="4"/>
        <v>0</v>
      </c>
      <c r="AT51" s="305">
        <f t="shared" si="4"/>
        <v>0</v>
      </c>
      <c r="AU51" s="305">
        <f t="shared" si="4"/>
        <v>0</v>
      </c>
      <c r="AV51" s="305">
        <f t="shared" si="4"/>
        <v>0</v>
      </c>
      <c r="AW51" s="305">
        <f t="shared" si="4"/>
        <v>0</v>
      </c>
      <c r="AX51" s="305">
        <f t="shared" si="4"/>
        <v>0</v>
      </c>
      <c r="AY51" s="305">
        <f t="shared" si="4"/>
        <v>0</v>
      </c>
      <c r="AZ51" s="305">
        <f t="shared" si="4"/>
        <v>0</v>
      </c>
      <c r="BA51" s="305">
        <f t="shared" si="4"/>
        <v>0</v>
      </c>
      <c r="BB51" s="305">
        <f t="shared" si="4"/>
        <v>0</v>
      </c>
      <c r="BC51" s="1231"/>
      <c r="BD51" s="167"/>
      <c r="BE51" s="167"/>
      <c r="BF51" s="971" t="s">
        <v>1219</v>
      </c>
      <c r="BG51" s="971"/>
      <c r="BH51" s="971"/>
      <c r="BI51" s="974"/>
      <c r="BJ51" s="974"/>
    </row>
    <row r="52" spans="1:62" s="1167" customFormat="1" ht="17.25" hidden="1" customHeight="1" x14ac:dyDescent="0.15">
      <c r="A52" s="1152"/>
      <c r="B52" s="773"/>
      <c r="C52" s="1152"/>
      <c r="D52" s="1152"/>
      <c r="E52" s="668">
        <v>0</v>
      </c>
      <c r="F52" s="769" t="str" cm="1">
        <f t="array" aca="1" ref="F52" ca="1">OFFSET(G52,-1,-1)</f>
        <v>1</v>
      </c>
      <c r="G52" s="417"/>
      <c r="H52" s="417"/>
      <c r="I52" s="417"/>
      <c r="J52" s="417"/>
      <c r="K52" s="417"/>
      <c r="L52" s="417"/>
      <c r="M52" s="417"/>
      <c r="N52" s="417"/>
      <c r="O52" s="417"/>
      <c r="P52" s="417"/>
      <c r="Q52" s="774"/>
      <c r="R52" s="774"/>
      <c r="S52" s="417"/>
      <c r="T52" s="679" t="b" cm="1">
        <f t="array" ref="T52">T51</f>
        <v>1</v>
      </c>
      <c r="U52" s="1152"/>
      <c r="V52" s="1152"/>
      <c r="W52" s="1152"/>
      <c r="X52" s="1485"/>
      <c r="Y52" s="1152"/>
      <c r="Z52" s="1485"/>
      <c r="AA52" s="167"/>
      <c r="AB52" s="255"/>
      <c r="AC52" s="233"/>
      <c r="AD52" s="102"/>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102"/>
      <c r="BD52" s="167"/>
      <c r="BE52" s="167"/>
      <c r="BF52" s="971" t="str">
        <f>IF(AND(ISNUMBER(VALUE(TRIM(SUBSTITUTE(AB52,".","")))),TRIM(SUBSTITUTE(AB52,".",""))&lt;&gt;""),"P"&amp;SUBSTITUTE(AB52,".",""),"")</f>
        <v/>
      </c>
      <c r="BG52" s="1005"/>
      <c r="BH52" s="1005"/>
      <c r="BI52" s="1016"/>
      <c r="BJ52" s="1016"/>
    </row>
    <row r="53" spans="1:62" s="1289" customFormat="1" ht="16.5" hidden="1" customHeight="1" x14ac:dyDescent="0.15">
      <c r="E53" s="668">
        <v>17.100000000000001</v>
      </c>
      <c r="F53" s="769" t="str" cm="1">
        <f t="array" aca="1" ref="F53" ca="1">OFFSET(G53,-1,-1)</f>
        <v>1</v>
      </c>
      <c r="H53" s="160" cm="1">
        <f t="array" ref="H53">AC53</f>
        <v>0</v>
      </c>
      <c r="T53" s="679" t="b">
        <f ca="1">AND(OFFSET(U53,1,-1),Y53&gt;0)</f>
        <v>0</v>
      </c>
      <c r="W53" s="123" t="s">
        <v>237</v>
      </c>
      <c r="X53" s="1574"/>
      <c r="Y53" s="123">
        <v>0</v>
      </c>
      <c r="Z53" s="1574"/>
      <c r="AA53" s="764" t="s">
        <v>218</v>
      </c>
      <c r="AB53" s="102" t="str">
        <f>"1.9."&amp;Y53</f>
        <v>1.9.0</v>
      </c>
      <c r="AC53" s="61"/>
      <c r="AD53" s="102" t="s">
        <v>830</v>
      </c>
      <c r="AE53" s="26"/>
      <c r="AF53" s="59"/>
      <c r="AG53" s="59"/>
      <c r="AH53" s="59"/>
      <c r="AI53" s="244"/>
      <c r="AJ53" s="59"/>
      <c r="AK53" s="59"/>
      <c r="AL53" s="59"/>
      <c r="AM53" s="59"/>
      <c r="AN53" s="59"/>
      <c r="AO53" s="59"/>
      <c r="AP53" s="59"/>
      <c r="AQ53" s="59"/>
      <c r="AR53" s="59"/>
      <c r="AS53" s="244"/>
      <c r="AT53" s="59"/>
      <c r="AU53" s="59"/>
      <c r="AV53" s="59"/>
      <c r="AW53" s="59"/>
      <c r="AX53" s="59"/>
      <c r="AY53" s="59"/>
      <c r="AZ53" s="59"/>
      <c r="BA53" s="59"/>
      <c r="BB53" s="59"/>
      <c r="BC53" s="25"/>
      <c r="BF53" s="971" t="s">
        <v>1292</v>
      </c>
      <c r="BG53" s="971" t="s">
        <v>1293</v>
      </c>
      <c r="BH53" s="1018" cm="1">
        <f t="array" ref="BH53">AC53</f>
        <v>0</v>
      </c>
      <c r="BI53" s="974"/>
      <c r="BJ53" s="974" t="b">
        <v>1</v>
      </c>
    </row>
    <row r="54" spans="1:62" s="1290" customFormat="1" ht="16.5" customHeight="1" x14ac:dyDescent="0.15">
      <c r="A54" s="1291"/>
      <c r="B54" s="1291"/>
      <c r="C54" s="1291"/>
      <c r="D54" s="1291"/>
      <c r="E54" s="668">
        <v>17.100000000000001</v>
      </c>
      <c r="F54" s="769" t="str" cm="1">
        <f t="array" aca="1" ref="F54" ca="1">OFFSET(G54,-1,-1)</f>
        <v>1</v>
      </c>
      <c r="G54" s="1291"/>
      <c r="H54" s="160" t="str" cm="1">
        <f t="array" ref="H54">AC54</f>
        <v>Госпошлина</v>
      </c>
      <c r="I54" s="1291"/>
      <c r="J54" s="1291"/>
      <c r="K54" s="1291"/>
      <c r="L54" s="1291"/>
      <c r="M54" s="1291"/>
      <c r="N54" s="1291"/>
      <c r="O54" s="1291"/>
      <c r="P54" s="1291"/>
      <c r="Q54" s="1291"/>
      <c r="R54" s="1291"/>
      <c r="S54" s="1291"/>
      <c r="T54" s="679" t="b">
        <f ca="1">AND(OFFSET(U54,1,-1),Y54&gt;0)</f>
        <v>1</v>
      </c>
      <c r="U54" s="1291"/>
      <c r="V54" s="1291"/>
      <c r="W54" s="123"/>
      <c r="X54" s="1574"/>
      <c r="Y54" s="123" t="s">
        <v>339</v>
      </c>
      <c r="Z54" s="1574"/>
      <c r="AA54" s="764" t="s">
        <v>218</v>
      </c>
      <c r="AB54" s="102" t="str">
        <f>"1.9."&amp;Y54</f>
        <v>1.9.1</v>
      </c>
      <c r="AC54" s="1292" t="s">
        <v>1294</v>
      </c>
      <c r="AD54" s="102" t="s">
        <v>830</v>
      </c>
      <c r="AE54" s="1232"/>
      <c r="AF54" s="1275">
        <v>8.8000000000000007</v>
      </c>
      <c r="AG54" s="1275"/>
      <c r="AH54" s="1275"/>
      <c r="AI54" s="244">
        <v>12</v>
      </c>
      <c r="AJ54" s="1275"/>
      <c r="AK54" s="1275"/>
      <c r="AL54" s="1275"/>
      <c r="AM54" s="1275"/>
      <c r="AN54" s="1275"/>
      <c r="AO54" s="1275"/>
      <c r="AP54" s="1275"/>
      <c r="AQ54" s="1275"/>
      <c r="AR54" s="1275"/>
      <c r="AS54" s="244"/>
      <c r="AT54" s="1275"/>
      <c r="AU54" s="1275"/>
      <c r="AV54" s="1275"/>
      <c r="AW54" s="1275"/>
      <c r="AX54" s="1275"/>
      <c r="AY54" s="1275"/>
      <c r="AZ54" s="1275"/>
      <c r="BA54" s="1275"/>
      <c r="BB54" s="1275"/>
      <c r="BC54" s="1231"/>
      <c r="BD54" s="1291"/>
      <c r="BE54" s="1291"/>
      <c r="BF54" s="971" t="s">
        <v>1292</v>
      </c>
      <c r="BG54" s="971" t="s">
        <v>1293</v>
      </c>
      <c r="BH54" s="1018" t="str" cm="1">
        <f t="array" ref="BH54">AC54</f>
        <v>Госпошлина</v>
      </c>
      <c r="BI54" s="974"/>
      <c r="BJ54" s="974" t="b">
        <v>1</v>
      </c>
    </row>
    <row r="55" spans="1:62" s="1291" customFormat="1" ht="10.5" customHeight="1" x14ac:dyDescent="0.15">
      <c r="A55" s="167"/>
      <c r="B55" s="167"/>
      <c r="C55" s="167"/>
      <c r="D55" s="167"/>
      <c r="E55" s="668">
        <v>11.4</v>
      </c>
      <c r="F55" s="769" t="str" cm="1">
        <f t="array" aca="1" ref="F55" ca="1">OFFSET(G55,-1,-1)</f>
        <v>1</v>
      </c>
      <c r="G55" s="167"/>
      <c r="H55" s="167"/>
      <c r="I55" s="167"/>
      <c r="J55" s="167"/>
      <c r="K55" s="167"/>
      <c r="L55" s="167"/>
      <c r="M55" s="167"/>
      <c r="N55" s="167"/>
      <c r="O55" s="167"/>
      <c r="P55" s="167"/>
      <c r="Q55" s="167"/>
      <c r="R55" s="167"/>
      <c r="S55" s="167"/>
      <c r="T55" s="679" t="b" cm="1">
        <f t="array" ref="T55">T51</f>
        <v>1</v>
      </c>
      <c r="U55" s="167"/>
      <c r="V55" s="167"/>
      <c r="W55" s="312" t="s">
        <v>971</v>
      </c>
      <c r="X55" s="1483"/>
      <c r="Y55" s="167"/>
      <c r="Z55" s="1483"/>
      <c r="AA55" s="167"/>
      <c r="AB55" s="419"/>
      <c r="AC55" s="247" t="s">
        <v>239</v>
      </c>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8"/>
      <c r="BD55" s="167"/>
      <c r="BE55" s="167"/>
      <c r="BF55" s="971"/>
      <c r="BG55" s="971"/>
      <c r="BH55" s="971"/>
      <c r="BI55" s="974" t="s">
        <v>1293</v>
      </c>
      <c r="BJ55" s="974"/>
    </row>
    <row r="56" spans="1:62" ht="11.1" customHeight="1" x14ac:dyDescent="0.15">
      <c r="E56" s="772">
        <v>11.4</v>
      </c>
      <c r="U56" s="126" t="s">
        <v>239</v>
      </c>
      <c r="V56" s="119" t="s">
        <v>1295</v>
      </c>
      <c r="AB56" s="167"/>
    </row>
    <row r="57" spans="1:62" ht="11.25" hidden="1" customHeight="1" x14ac:dyDescent="0.15">
      <c r="E57" s="772">
        <v>0</v>
      </c>
    </row>
    <row r="58" spans="1:62" s="417" customFormat="1" ht="14.65" customHeight="1" x14ac:dyDescent="0.15">
      <c r="A58" s="123"/>
      <c r="B58" s="659"/>
      <c r="C58" s="123"/>
      <c r="D58" s="123"/>
      <c r="E58" s="668">
        <v>15</v>
      </c>
      <c r="F58" s="123"/>
      <c r="Q58" s="612"/>
      <c r="R58" s="612"/>
      <c r="T58" s="123"/>
      <c r="U58" s="123"/>
      <c r="V58" s="123"/>
      <c r="W58" s="123"/>
      <c r="X58" s="123"/>
      <c r="Y58" s="123"/>
      <c r="Z58" s="123"/>
      <c r="AB58" s="1558" t="s">
        <v>725</v>
      </c>
      <c r="AC58" s="1558"/>
      <c r="AD58" s="1558"/>
      <c r="AE58" s="1558"/>
      <c r="AF58" s="1558"/>
      <c r="AG58" s="1558"/>
      <c r="AH58" s="1558"/>
      <c r="AI58" s="1559"/>
      <c r="AJ58" s="1559"/>
      <c r="AK58" s="1559"/>
      <c r="AL58" s="1559"/>
      <c r="AM58" s="1559"/>
      <c r="AN58" s="1559"/>
      <c r="AO58" s="1559"/>
      <c r="AP58" s="1559"/>
      <c r="AQ58" s="1559"/>
      <c r="AR58" s="1559"/>
      <c r="AS58" s="1559"/>
      <c r="AT58" s="1559"/>
      <c r="AU58" s="1559"/>
      <c r="AV58" s="1559"/>
      <c r="AW58" s="1559"/>
      <c r="AX58" s="1559"/>
      <c r="AY58" s="1559"/>
      <c r="AZ58" s="1559"/>
      <c r="BA58" s="1559"/>
      <c r="BB58" s="1559"/>
      <c r="BC58" s="1559"/>
      <c r="BF58" s="971"/>
      <c r="BG58" s="971"/>
      <c r="BH58" s="971"/>
      <c r="BI58" s="974"/>
      <c r="BJ58" s="974"/>
    </row>
    <row r="59" spans="1:62" s="417" customFormat="1" ht="14.65" customHeight="1" x14ac:dyDescent="0.15">
      <c r="A59" s="123"/>
      <c r="B59" s="659"/>
      <c r="C59" s="123"/>
      <c r="D59" s="123"/>
      <c r="E59" s="668">
        <v>15</v>
      </c>
      <c r="F59" s="123"/>
      <c r="Q59" s="612"/>
      <c r="R59" s="612"/>
      <c r="T59" s="123"/>
      <c r="U59" s="123"/>
      <c r="V59" s="123"/>
      <c r="W59" s="123"/>
      <c r="X59" s="123"/>
      <c r="Y59" s="123"/>
      <c r="Z59" s="123"/>
      <c r="AA59" s="768"/>
      <c r="AB59" s="1560"/>
      <c r="AC59" s="1560"/>
      <c r="AD59" s="1560"/>
      <c r="AE59" s="1560"/>
      <c r="AF59" s="1560"/>
      <c r="AG59" s="1560"/>
      <c r="AH59" s="1560"/>
      <c r="AI59" s="1561"/>
      <c r="AJ59" s="1562"/>
      <c r="AK59" s="1562"/>
      <c r="AL59" s="1562"/>
      <c r="AM59" s="1562"/>
      <c r="AN59" s="1562"/>
      <c r="AO59" s="1562"/>
      <c r="AP59" s="1562"/>
      <c r="AQ59" s="1562"/>
      <c r="AR59" s="1562"/>
      <c r="AS59" s="1561"/>
      <c r="AT59" s="1562"/>
      <c r="AU59" s="1562"/>
      <c r="AV59" s="1562"/>
      <c r="AW59" s="1562"/>
      <c r="AX59" s="1562"/>
      <c r="AY59" s="1562"/>
      <c r="AZ59" s="1562"/>
      <c r="BA59" s="1562"/>
      <c r="BB59" s="1562"/>
      <c r="BC59" s="1561"/>
      <c r="BF59" s="971"/>
      <c r="BG59" s="971"/>
      <c r="BH59" s="971"/>
      <c r="BI59" s="974"/>
      <c r="BJ59" s="974"/>
    </row>
    <row r="60" spans="1:62" s="417" customFormat="1" ht="14.65" hidden="1" customHeight="1" x14ac:dyDescent="0.15">
      <c r="A60" s="123"/>
      <c r="B60" s="659"/>
      <c r="C60" s="123"/>
      <c r="D60" s="123"/>
      <c r="E60" s="668">
        <v>15</v>
      </c>
      <c r="F60" s="123"/>
      <c r="Q60" s="612"/>
      <c r="R60" s="612"/>
      <c r="T60" s="679" t="b">
        <f>ROW(W60)&gt;ROW(W$60)</f>
        <v>0</v>
      </c>
      <c r="U60" s="123"/>
      <c r="V60" s="126"/>
      <c r="W60" s="123" t="s">
        <v>237</v>
      </c>
      <c r="X60" s="123"/>
      <c r="Y60" s="123"/>
      <c r="Z60" s="123"/>
      <c r="AA60" s="764" t="s">
        <v>218</v>
      </c>
      <c r="AB60" s="1565"/>
      <c r="AC60" s="1565"/>
      <c r="AD60" s="1565"/>
      <c r="AE60" s="1565"/>
      <c r="AF60" s="1565"/>
      <c r="AG60" s="1565"/>
      <c r="AH60" s="1565"/>
      <c r="AI60" s="1561"/>
      <c r="AJ60" s="1562"/>
      <c r="AK60" s="1562"/>
      <c r="AL60" s="1562"/>
      <c r="AM60" s="1562"/>
      <c r="AN60" s="1562"/>
      <c r="AO60" s="1562"/>
      <c r="AP60" s="1562"/>
      <c r="AQ60" s="1562"/>
      <c r="AR60" s="1562"/>
      <c r="AS60" s="1561"/>
      <c r="AT60" s="1562"/>
      <c r="AU60" s="1562"/>
      <c r="AV60" s="1562"/>
      <c r="AW60" s="1562"/>
      <c r="AX60" s="1562"/>
      <c r="AY60" s="1562"/>
      <c r="AZ60" s="1562"/>
      <c r="BA60" s="1562"/>
      <c r="BB60" s="1562"/>
      <c r="BC60" s="1562"/>
      <c r="BF60" s="971"/>
      <c r="BG60" s="971"/>
      <c r="BH60" s="971"/>
      <c r="BI60" s="974"/>
      <c r="BJ60" s="974"/>
    </row>
    <row r="61" spans="1:62" s="417" customFormat="1" ht="14.65" customHeight="1" x14ac:dyDescent="0.15">
      <c r="A61" s="123"/>
      <c r="B61" s="659"/>
      <c r="C61" s="123"/>
      <c r="D61" s="123"/>
      <c r="E61" s="668">
        <v>15</v>
      </c>
      <c r="F61" s="123"/>
      <c r="Q61" s="612"/>
      <c r="R61" s="612"/>
      <c r="T61" s="123"/>
      <c r="U61" s="123"/>
      <c r="V61" s="123"/>
      <c r="W61" s="119" t="s">
        <v>1296</v>
      </c>
      <c r="X61" s="123"/>
      <c r="Y61" s="123"/>
      <c r="Z61" s="123"/>
      <c r="AB61" s="1500" t="s">
        <v>726</v>
      </c>
      <c r="AC61" s="1501"/>
      <c r="AD61" s="317"/>
      <c r="AE61" s="317"/>
      <c r="AF61" s="318"/>
      <c r="AG61" s="318"/>
      <c r="AH61" s="318"/>
      <c r="AI61" s="318"/>
      <c r="AJ61" s="318"/>
      <c r="AK61" s="318"/>
      <c r="AL61" s="318"/>
      <c r="AM61" s="318"/>
      <c r="AN61" s="318"/>
      <c r="AO61" s="318"/>
      <c r="AP61" s="318"/>
      <c r="AQ61" s="318"/>
      <c r="AR61" s="318"/>
      <c r="AS61" s="318"/>
      <c r="AT61" s="318"/>
      <c r="AU61" s="318"/>
      <c r="AV61" s="318"/>
      <c r="AW61" s="318"/>
      <c r="AX61" s="318"/>
      <c r="AY61" s="318"/>
      <c r="AZ61" s="318"/>
      <c r="BA61" s="318"/>
      <c r="BB61" s="318"/>
      <c r="BC61" s="319"/>
      <c r="BF61" s="971"/>
      <c r="BG61" s="971"/>
      <c r="BH61" s="971"/>
      <c r="BI61" s="974"/>
      <c r="BJ61" s="974"/>
    </row>
  </sheetData>
  <sheetProtection formatColumns="0" formatRows="0" insertRows="0" deleteColumns="0" deleteRows="0" sort="0" autoFilter="0"/>
  <mergeCells count="12">
    <mergeCell ref="X27:X40"/>
    <mergeCell ref="Z27:Z40"/>
    <mergeCell ref="AB61:AC61"/>
    <mergeCell ref="AB58:BC58"/>
    <mergeCell ref="AB59:BC59"/>
    <mergeCell ref="X41:X55"/>
    <mergeCell ref="Z41:Z55"/>
    <mergeCell ref="AB24:AB25"/>
    <mergeCell ref="AC24:AC25"/>
    <mergeCell ref="AD24:AD25"/>
    <mergeCell ref="BC24:BC25"/>
    <mergeCell ref="AB60:BC60"/>
  </mergeCells>
  <dataValidations count="2">
    <dataValidation allowBlank="1" showInputMessage="1" showErrorMessage="1" sqref="AI38:BB38 AI57:BC65517 AI52 AJ52 AK52 AL52 AM52 AN52 AO52 AP52 AQ52 AR52 AS52 AT52 AU52 AV52 AW52 AX52 AY52 AZ52 BA52 BB52" xr:uid="{00000000-0002-0000-1200-000000000000}"/>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200-000001000000}">
      <formula1>0</formula1>
      <formula2>9.99999999999999E+23</formula2>
    </dataValidation>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D243F-85F8-D4E8-73A5-522ACE854A68}">
  <sheetPr>
    <tabColor theme="0" tint="-4.9989318521683403E-2"/>
  </sheetPr>
  <dimension ref="A1:AG54"/>
  <sheetViews>
    <sheetView showGridLines="0" topLeftCell="AA21" workbookViewId="0">
      <selection activeCell="AA21" sqref="AA21"/>
    </sheetView>
  </sheetViews>
  <sheetFormatPr defaultColWidth="9.140625" defaultRowHeight="12.75" customHeight="1" x14ac:dyDescent="0.2"/>
  <cols>
    <col min="1" max="1" width="3.5703125" style="1150" hidden="1" customWidth="1"/>
    <col min="2" max="2" width="8.5703125" style="773" hidden="1" customWidth="1"/>
    <col min="3" max="4" width="3.5703125" style="1150" hidden="1" customWidth="1"/>
    <col min="5" max="5" width="8.42578125" style="772" hidden="1" customWidth="1"/>
    <col min="6" max="26" width="3.5703125" style="1150" hidden="1" customWidth="1"/>
    <col min="27" max="27" width="3" style="781" customWidth="1"/>
    <col min="28" max="28" width="11.140625" style="326" customWidth="1"/>
    <col min="29" max="29" width="32.28515625" style="326" customWidth="1"/>
    <col min="30" max="30" width="115.5703125" style="326" customWidth="1"/>
    <col min="31" max="31" width="3" style="326" customWidth="1"/>
    <col min="32" max="32" width="9.140625" style="326" hidden="1"/>
    <col min="33" max="33" width="18.7109375" style="693" hidden="1" customWidth="1"/>
  </cols>
  <sheetData>
    <row r="1" spans="1:31" s="1150" customFormat="1" ht="12" hidden="1" customHeight="1" x14ac:dyDescent="0.15">
      <c r="B1" s="659"/>
      <c r="E1" s="659"/>
    </row>
    <row r="2" spans="1:31" s="773" customFormat="1" ht="12" hidden="1" customHeight="1" x14ac:dyDescent="0.15">
      <c r="B2" s="758" t="s">
        <v>15</v>
      </c>
    </row>
    <row r="3" spans="1:31" s="1150" customFormat="1" ht="12" hidden="1" customHeight="1" x14ac:dyDescent="0.15">
      <c r="B3" s="659"/>
      <c r="E3" s="659"/>
    </row>
    <row r="4" spans="1:31" s="1150" customFormat="1" ht="12" hidden="1" customHeight="1" x14ac:dyDescent="0.15">
      <c r="B4" s="659"/>
      <c r="E4" s="659"/>
    </row>
    <row r="5" spans="1:31" s="772" customFormat="1" ht="12" hidden="1" customHeight="1" x14ac:dyDescent="0.15">
      <c r="A5" s="659"/>
      <c r="B5" s="659"/>
      <c r="C5" s="659"/>
      <c r="D5" s="659"/>
      <c r="E5" s="668" t="s">
        <v>16</v>
      </c>
      <c r="AA5" s="668">
        <v>3</v>
      </c>
      <c r="AB5" s="668">
        <v>11.13</v>
      </c>
      <c r="AC5" s="668">
        <v>32.25</v>
      </c>
      <c r="AD5" s="668">
        <v>115.5</v>
      </c>
      <c r="AE5" s="668">
        <v>3</v>
      </c>
    </row>
    <row r="6" spans="1:31" s="1150" customFormat="1" ht="12" hidden="1" customHeight="1" x14ac:dyDescent="0.15">
      <c r="B6" s="659"/>
      <c r="E6" s="668"/>
    </row>
    <row r="7" spans="1:31" s="804" customFormat="1" ht="12" hidden="1" customHeight="1" x14ac:dyDescent="0.15">
      <c r="A7" s="126"/>
      <c r="B7" s="659"/>
      <c r="C7" s="126"/>
      <c r="D7" s="126"/>
      <c r="E7" s="668"/>
    </row>
    <row r="8" spans="1:31" s="804" customFormat="1" ht="12" hidden="1" customHeight="1" x14ac:dyDescent="0.15">
      <c r="A8" s="126"/>
      <c r="B8" s="659"/>
      <c r="C8" s="126"/>
      <c r="D8" s="126"/>
      <c r="E8" s="668"/>
    </row>
    <row r="9" spans="1:31" s="1150" customFormat="1" ht="12" hidden="1" customHeight="1" x14ac:dyDescent="0.15">
      <c r="B9" s="659"/>
      <c r="E9" s="668"/>
    </row>
    <row r="10" spans="1:31" s="1150" customFormat="1" ht="12" hidden="1" customHeight="1" x14ac:dyDescent="0.15">
      <c r="B10" s="659"/>
      <c r="E10" s="668"/>
    </row>
    <row r="11" spans="1:31" s="1150" customFormat="1" ht="12" hidden="1" customHeight="1" x14ac:dyDescent="0.15">
      <c r="B11" s="659"/>
      <c r="E11" s="668"/>
    </row>
    <row r="12" spans="1:31" s="1150" customFormat="1" ht="12" hidden="1" customHeight="1" x14ac:dyDescent="0.15">
      <c r="B12" s="659"/>
      <c r="E12" s="668"/>
    </row>
    <row r="13" spans="1:31" s="1150" customFormat="1" ht="12" hidden="1" customHeight="1" x14ac:dyDescent="0.15">
      <c r="B13" s="659"/>
      <c r="E13" s="668"/>
    </row>
    <row r="14" spans="1:31" s="1150" customFormat="1" ht="12" hidden="1" customHeight="1" x14ac:dyDescent="0.15">
      <c r="B14" s="659"/>
      <c r="E14" s="668"/>
    </row>
    <row r="15" spans="1:31" s="1150" customFormat="1" ht="12" hidden="1" customHeight="1" x14ac:dyDescent="0.15">
      <c r="B15" s="659"/>
      <c r="E15" s="668"/>
    </row>
    <row r="16" spans="1:31" s="1150" customFormat="1" ht="12" hidden="1" customHeight="1" x14ac:dyDescent="0.15">
      <c r="B16" s="659"/>
      <c r="E16" s="668"/>
    </row>
    <row r="17" spans="1:33" s="1150" customFormat="1" ht="12" hidden="1" customHeight="1" x14ac:dyDescent="0.15">
      <c r="B17" s="659"/>
      <c r="E17" s="668"/>
    </row>
    <row r="18" spans="1:33" s="1150" customFormat="1" ht="12" hidden="1" customHeight="1" x14ac:dyDescent="0.15">
      <c r="B18" s="659"/>
      <c r="E18" s="668"/>
    </row>
    <row r="19" spans="1:33" s="1150" customFormat="1" ht="12" hidden="1" customHeight="1" x14ac:dyDescent="0.15">
      <c r="B19" s="659"/>
      <c r="E19" s="668"/>
    </row>
    <row r="20" spans="1:33" s="1150" customFormat="1" ht="12" hidden="1" customHeight="1" x14ac:dyDescent="0.15">
      <c r="B20" s="659"/>
      <c r="E20" s="668"/>
    </row>
    <row r="21" spans="1:33" s="781" customFormat="1" ht="12.95" customHeight="1" x14ac:dyDescent="0.15">
      <c r="A21" s="126"/>
      <c r="B21" s="659"/>
      <c r="C21" s="126"/>
      <c r="D21" s="126"/>
      <c r="E21" s="668">
        <v>13.2</v>
      </c>
      <c r="F21" s="126"/>
      <c r="G21" s="126"/>
      <c r="H21" s="126"/>
      <c r="I21" s="126"/>
      <c r="J21" s="126"/>
      <c r="K21" s="126"/>
      <c r="L21" s="126"/>
      <c r="M21" s="126"/>
      <c r="N21" s="126"/>
      <c r="O21" s="126"/>
      <c r="P21" s="126"/>
      <c r="Q21" s="126"/>
      <c r="R21" s="126"/>
      <c r="S21" s="126"/>
      <c r="T21" s="126"/>
      <c r="U21" s="126"/>
      <c r="V21" s="126"/>
      <c r="W21" s="126"/>
      <c r="X21" s="126"/>
      <c r="Y21" s="126"/>
      <c r="Z21" s="126"/>
      <c r="AA21" s="691"/>
      <c r="AG21" s="161"/>
    </row>
    <row r="22" spans="1:33" ht="24.2" customHeight="1" x14ac:dyDescent="0.2">
      <c r="E22" s="668">
        <v>24.9</v>
      </c>
      <c r="AB22" s="327" t="s">
        <v>17</v>
      </c>
      <c r="AC22" s="328"/>
      <c r="AD22" s="328"/>
    </row>
    <row r="23" spans="1:33" ht="16.149999999999999" customHeight="1" x14ac:dyDescent="0.2">
      <c r="E23" s="668">
        <v>16.5</v>
      </c>
      <c r="AB23" s="332" t="s">
        <v>18</v>
      </c>
    </row>
    <row r="24" spans="1:33" ht="34.35" customHeight="1" x14ac:dyDescent="0.2">
      <c r="B24" s="846" t="b">
        <v>1</v>
      </c>
      <c r="E24" s="668">
        <v>35.299999999999997</v>
      </c>
      <c r="H24" s="126">
        <v>2</v>
      </c>
      <c r="AB24" s="329" t="s">
        <v>19</v>
      </c>
      <c r="AC24" s="330" t="s">
        <v>20</v>
      </c>
      <c r="AD24" s="331" t="s">
        <v>21</v>
      </c>
    </row>
    <row r="25" spans="1:33" ht="37.35" customHeight="1" x14ac:dyDescent="0.2">
      <c r="B25" s="846" t="b">
        <v>1</v>
      </c>
      <c r="E25" s="668">
        <v>38.299999999999997</v>
      </c>
      <c r="H25" s="126">
        <f>IF(B24,H24+1,H24)</f>
        <v>3</v>
      </c>
      <c r="AB25" s="329" t="s">
        <v>19</v>
      </c>
      <c r="AC25" s="330" t="s">
        <v>22</v>
      </c>
      <c r="AD25" s="331" t="s">
        <v>23</v>
      </c>
    </row>
    <row r="26" spans="1:33" ht="27.2" customHeight="1" x14ac:dyDescent="0.2">
      <c r="B26" s="846" t="b">
        <v>1</v>
      </c>
      <c r="E26" s="668">
        <v>27.9</v>
      </c>
      <c r="H26" s="126">
        <f>IF(B25,H25+1,H25)</f>
        <v>4</v>
      </c>
      <c r="AB26" s="329" t="s">
        <v>19</v>
      </c>
      <c r="AC26" s="330" t="s">
        <v>24</v>
      </c>
      <c r="AD26" s="331" t="s">
        <v>25</v>
      </c>
    </row>
    <row r="27" spans="1:33" ht="27.2" customHeight="1" x14ac:dyDescent="0.2">
      <c r="B27" s="846" t="b">
        <f>AND(NOT(method_reg="Метод экономически обоснованных расходов"),NOT(method_reg="Метод сравнения аналогов"))</f>
        <v>1</v>
      </c>
      <c r="E27" s="668">
        <v>27.9</v>
      </c>
      <c r="H27" s="126">
        <f>IF(B26,H26+1,H26)</f>
        <v>5</v>
      </c>
      <c r="AB27" s="329" t="s">
        <v>19</v>
      </c>
      <c r="AC27" s="330" t="s">
        <v>26</v>
      </c>
      <c r="AD27" s="331" t="s">
        <v>27</v>
      </c>
    </row>
    <row r="28" spans="1:33" ht="27.2" customHeight="1" x14ac:dyDescent="0.2">
      <c r="B28" s="846" t="b">
        <f>NOT(method_reg="Метод сравнения аналогов")</f>
        <v>1</v>
      </c>
      <c r="E28" s="668">
        <v>27.9</v>
      </c>
      <c r="H28" s="126">
        <f>IF(B27,H27+1,H27)</f>
        <v>6</v>
      </c>
      <c r="AB28" s="329" t="s">
        <v>19</v>
      </c>
      <c r="AC28" s="330" t="s">
        <v>28</v>
      </c>
      <c r="AD28" s="331" t="s">
        <v>29</v>
      </c>
    </row>
    <row r="29" spans="1:33" ht="27.75" hidden="1" customHeight="1" x14ac:dyDescent="0.2">
      <c r="B29" s="846" t="b">
        <f>(method_reg="Метод сравнения аналогов")</f>
        <v>0</v>
      </c>
      <c r="H29" s="126">
        <f>IF(B28,H28+1,H28)</f>
        <v>7</v>
      </c>
      <c r="AB29" s="329" t="s">
        <v>30</v>
      </c>
      <c r="AC29" s="330" t="s">
        <v>31</v>
      </c>
      <c r="AD29" s="331" t="s">
        <v>29</v>
      </c>
    </row>
    <row r="30" spans="1:33" ht="27.2" customHeight="1" x14ac:dyDescent="0.2">
      <c r="B30" s="846" t="b" cm="1">
        <f t="array" ref="B30">'Баланс Пр'!$A$1</f>
        <v>1</v>
      </c>
      <c r="E30" s="668">
        <v>27.9</v>
      </c>
      <c r="H30" s="126" cm="1">
        <f t="array" ref="H30">IF(B29,H29+1,H29)</f>
        <v>7</v>
      </c>
      <c r="AB30" s="329" t="s">
        <v>19</v>
      </c>
      <c r="AC30" s="330" t="s">
        <v>32</v>
      </c>
      <c r="AD30" s="341" t="s">
        <v>33</v>
      </c>
    </row>
    <row r="31" spans="1:33" ht="27.2" hidden="1" customHeight="1" x14ac:dyDescent="0.2">
      <c r="B31" s="846" t="b" cm="1">
        <f t="array" ref="B31">'Баланс Тр'!$A$1</f>
        <v>0</v>
      </c>
      <c r="E31" s="668">
        <v>27.9</v>
      </c>
      <c r="H31" s="126">
        <f>IF(B30,H30+1,H30)</f>
        <v>8</v>
      </c>
      <c r="AB31" s="329" t="s">
        <v>30</v>
      </c>
      <c r="AC31" s="330" t="s">
        <v>34</v>
      </c>
      <c r="AD31" s="331" t="s">
        <v>35</v>
      </c>
    </row>
    <row r="32" spans="1:33" ht="27.2" customHeight="1" x14ac:dyDescent="0.2">
      <c r="B32" s="846" t="b">
        <f t="shared" ref="B32:B37" si="0">NOT(method_reg="Метод сравнения аналогов")</f>
        <v>1</v>
      </c>
      <c r="E32" s="668">
        <v>27.9</v>
      </c>
      <c r="H32" s="126" cm="1">
        <f t="array" ref="H32">IF(B31,H31+1,H31)</f>
        <v>8</v>
      </c>
      <c r="AB32" s="329" t="s">
        <v>19</v>
      </c>
      <c r="AC32" s="330" t="s">
        <v>36</v>
      </c>
      <c r="AD32" s="330" t="s">
        <v>37</v>
      </c>
    </row>
    <row r="33" spans="2:30" ht="27.2" customHeight="1" x14ac:dyDescent="0.2">
      <c r="B33" s="846" t="b">
        <f t="shared" si="0"/>
        <v>1</v>
      </c>
      <c r="E33" s="668">
        <v>27.9</v>
      </c>
      <c r="H33" s="126">
        <f t="shared" ref="H33:H38" si="1">IF(B32,H32+1,H32)</f>
        <v>9</v>
      </c>
      <c r="AB33" s="329" t="s">
        <v>19</v>
      </c>
      <c r="AC33" s="330" t="s">
        <v>38</v>
      </c>
      <c r="AD33" s="331" t="s">
        <v>39</v>
      </c>
    </row>
    <row r="34" spans="2:30" ht="27.2" customHeight="1" x14ac:dyDescent="0.2">
      <c r="B34" s="846" t="b">
        <f t="shared" si="0"/>
        <v>1</v>
      </c>
      <c r="E34" s="668">
        <v>27.9</v>
      </c>
      <c r="H34" s="126">
        <f t="shared" si="1"/>
        <v>10</v>
      </c>
      <c r="AB34" s="329" t="s">
        <v>19</v>
      </c>
      <c r="AC34" s="330" t="s">
        <v>40</v>
      </c>
      <c r="AD34" s="331" t="s">
        <v>41</v>
      </c>
    </row>
    <row r="35" spans="2:30" ht="27.2" customHeight="1" x14ac:dyDescent="0.2">
      <c r="B35" s="846" t="b">
        <f t="shared" si="0"/>
        <v>1</v>
      </c>
      <c r="E35" s="668">
        <v>27.9</v>
      </c>
      <c r="H35" s="126">
        <f t="shared" si="1"/>
        <v>11</v>
      </c>
      <c r="AB35" s="329" t="s">
        <v>19</v>
      </c>
      <c r="AC35" s="330" t="s">
        <v>42</v>
      </c>
      <c r="AD35" s="331" t="s">
        <v>43</v>
      </c>
    </row>
    <row r="36" spans="2:30" ht="27.2" customHeight="1" x14ac:dyDescent="0.2">
      <c r="B36" s="846" t="b">
        <f t="shared" si="0"/>
        <v>1</v>
      </c>
      <c r="E36" s="668">
        <v>27.9</v>
      </c>
      <c r="H36" s="126">
        <f t="shared" si="1"/>
        <v>12</v>
      </c>
      <c r="AB36" s="329" t="s">
        <v>19</v>
      </c>
      <c r="AC36" s="330" t="s">
        <v>44</v>
      </c>
      <c r="AD36" s="330" t="s">
        <v>45</v>
      </c>
    </row>
    <row r="37" spans="2:30" ht="27.2" customHeight="1" x14ac:dyDescent="0.2">
      <c r="B37" s="846" t="b">
        <f t="shared" si="0"/>
        <v>1</v>
      </c>
      <c r="E37" s="668">
        <v>27.9</v>
      </c>
      <c r="H37" s="126">
        <f t="shared" si="1"/>
        <v>13</v>
      </c>
      <c r="AB37" s="329" t="s">
        <v>19</v>
      </c>
      <c r="AC37" s="330" t="s">
        <v>46</v>
      </c>
      <c r="AD37" s="330" t="s">
        <v>47</v>
      </c>
    </row>
    <row r="38" spans="2:30" ht="27.2" hidden="1" customHeight="1" x14ac:dyDescent="0.2">
      <c r="B38" s="846" t="b">
        <f>AND(god=first_year,NOT(method_reg="Метод сравнения аналогов"))</f>
        <v>0</v>
      </c>
      <c r="E38" s="668">
        <v>27.9</v>
      </c>
      <c r="H38" s="126">
        <f t="shared" si="1"/>
        <v>14</v>
      </c>
      <c r="AB38" s="329" t="s">
        <v>30</v>
      </c>
      <c r="AC38" s="330" t="s">
        <v>48</v>
      </c>
      <c r="AD38" s="341" t="s">
        <v>49</v>
      </c>
    </row>
    <row r="39" spans="2:30" ht="27.2" customHeight="1" x14ac:dyDescent="0.2">
      <c r="B39" s="846" t="b">
        <f>NOT(method_reg="Метод сравнения аналогов")</f>
        <v>1</v>
      </c>
      <c r="E39" s="668">
        <v>27.8</v>
      </c>
      <c r="H39" s="126" cm="1">
        <f t="array" ref="H39">IF(B38,H38+1,H38)</f>
        <v>14</v>
      </c>
      <c r="AB39" s="329" t="s">
        <v>19</v>
      </c>
      <c r="AC39" s="330" t="s">
        <v>50</v>
      </c>
      <c r="AD39" s="330" t="s">
        <v>51</v>
      </c>
    </row>
    <row r="40" spans="2:30" ht="28.5" customHeight="1" x14ac:dyDescent="0.2">
      <c r="B40" s="846" t="b">
        <f>NOT(method_reg="Метод сравнения аналогов")</f>
        <v>1</v>
      </c>
      <c r="E40" s="668">
        <v>29.3</v>
      </c>
      <c r="H40" s="126">
        <f t="shared" ref="H40:H46" si="2">IF(B39,H39+1,H39)</f>
        <v>15</v>
      </c>
      <c r="AB40" s="329" t="s">
        <v>19</v>
      </c>
      <c r="AC40" s="330" t="s">
        <v>52</v>
      </c>
      <c r="AD40" s="331" t="s">
        <v>53</v>
      </c>
    </row>
    <row r="41" spans="2:30" ht="27.2" customHeight="1" x14ac:dyDescent="0.2">
      <c r="B41" s="846" t="b">
        <f>OR(method_reg="Метод индексации",method_reg="Метод обеспечения доходности инвестированного капитала")</f>
        <v>1</v>
      </c>
      <c r="E41" s="668">
        <v>27.9</v>
      </c>
      <c r="H41" s="126">
        <f t="shared" si="2"/>
        <v>16</v>
      </c>
      <c r="AB41" s="329" t="s">
        <v>19</v>
      </c>
      <c r="AC41" s="330" t="s">
        <v>54</v>
      </c>
      <c r="AD41" s="331" t="s">
        <v>55</v>
      </c>
    </row>
    <row r="42" spans="2:30" ht="27.2" customHeight="1" x14ac:dyDescent="0.2">
      <c r="B42" s="846" t="b">
        <f>OR(method_reg="Метод индексации",method_reg="Метод обеспечения доходности инвестированного капитала")</f>
        <v>1</v>
      </c>
      <c r="E42" s="668">
        <v>27.9</v>
      </c>
      <c r="H42" s="126">
        <f t="shared" si="2"/>
        <v>17</v>
      </c>
      <c r="AB42" s="329" t="s">
        <v>19</v>
      </c>
      <c r="AC42" s="330" t="s">
        <v>56</v>
      </c>
      <c r="AD42" s="331" t="s">
        <v>57</v>
      </c>
    </row>
    <row r="43" spans="2:30" ht="27.2" customHeight="1" x14ac:dyDescent="0.2">
      <c r="B43" s="846" t="b">
        <f>OR(method_reg="Метод индексации",method_reg="Метод обеспечения доходности инвестированного капитала")</f>
        <v>1</v>
      </c>
      <c r="E43" s="668">
        <v>27.9</v>
      </c>
      <c r="H43" s="126">
        <f t="shared" si="2"/>
        <v>18</v>
      </c>
      <c r="AB43" s="329" t="s">
        <v>19</v>
      </c>
      <c r="AC43" s="330" t="s">
        <v>58</v>
      </c>
      <c r="AD43" s="331" t="s">
        <v>59</v>
      </c>
    </row>
    <row r="44" spans="2:30" ht="27.2" customHeight="1" x14ac:dyDescent="0.2">
      <c r="B44" s="846" t="b">
        <f>OR(method_reg="Метод индексации",method_reg="Метод обеспечения доходности инвестированного капитала")</f>
        <v>1</v>
      </c>
      <c r="E44" s="668">
        <v>27.9</v>
      </c>
      <c r="H44" s="126">
        <f t="shared" si="2"/>
        <v>19</v>
      </c>
      <c r="AB44" s="329" t="s">
        <v>19</v>
      </c>
      <c r="AC44" s="330" t="s">
        <v>60</v>
      </c>
      <c r="AD44" s="331" t="s">
        <v>61</v>
      </c>
    </row>
    <row r="45" spans="2:30" ht="27.2" customHeight="1" x14ac:dyDescent="0.2">
      <c r="B45" s="846" t="b">
        <f>OR(method_reg="Метод индексации",method_reg="Метод обеспечения доходности инвестированного капитала")</f>
        <v>1</v>
      </c>
      <c r="E45" s="668">
        <v>27.9</v>
      </c>
      <c r="H45" s="126">
        <f t="shared" si="2"/>
        <v>20</v>
      </c>
      <c r="AB45" s="329" t="s">
        <v>19</v>
      </c>
      <c r="AC45" s="330" t="s">
        <v>62</v>
      </c>
      <c r="AD45" s="331" t="s">
        <v>63</v>
      </c>
    </row>
    <row r="46" spans="2:30" ht="27.2" hidden="1" customHeight="1" x14ac:dyDescent="0.2">
      <c r="B46" s="846" t="b">
        <f>method_reg="Метод экономически обоснованных расходов"</f>
        <v>0</v>
      </c>
      <c r="E46" s="668">
        <v>27.9</v>
      </c>
      <c r="H46" s="126">
        <f t="shared" si="2"/>
        <v>21</v>
      </c>
      <c r="AB46" s="329" t="s">
        <v>30</v>
      </c>
      <c r="AC46" s="330" t="s">
        <v>64</v>
      </c>
      <c r="AD46" s="330" t="s">
        <v>65</v>
      </c>
    </row>
    <row r="47" spans="2:30" ht="27.2" customHeight="1" x14ac:dyDescent="0.2">
      <c r="B47" s="846" t="b">
        <f>OR(method_reg="Метод индексации",method_reg="Метод обеспечения доходности инвестированного капитала")</f>
        <v>1</v>
      </c>
      <c r="E47" s="668">
        <v>27.9</v>
      </c>
      <c r="H47" s="126" cm="1">
        <f t="array" ref="H47">IF(B46,H46+1,H46)</f>
        <v>21</v>
      </c>
      <c r="AB47" s="329" t="s">
        <v>19</v>
      </c>
      <c r="AC47" s="330" t="s">
        <v>66</v>
      </c>
      <c r="AD47" s="331" t="s">
        <v>67</v>
      </c>
    </row>
    <row r="48" spans="2:30" ht="27.2" hidden="1" customHeight="1" x14ac:dyDescent="0.2">
      <c r="B48" s="846" t="b">
        <f>(method_reg="Метод сравнения аналогов")</f>
        <v>0</v>
      </c>
      <c r="E48" s="668">
        <v>27.9</v>
      </c>
      <c r="H48" s="126">
        <f>IF(B47,H47+1,H47)</f>
        <v>22</v>
      </c>
      <c r="AB48" s="329" t="s">
        <v>30</v>
      </c>
      <c r="AC48" s="330" t="s">
        <v>68</v>
      </c>
      <c r="AD48" s="341" t="s">
        <v>69</v>
      </c>
    </row>
    <row r="49" spans="2:30" ht="27.2" hidden="1" customHeight="1" x14ac:dyDescent="0.2">
      <c r="B49" s="846" t="b">
        <f>(method_reg="Метод сравнения аналогов")</f>
        <v>0</v>
      </c>
      <c r="E49" s="668">
        <v>27.9</v>
      </c>
      <c r="H49" s="126" cm="1">
        <f t="array" ref="H49">IF(B48,H48+1,H48)</f>
        <v>22</v>
      </c>
      <c r="AB49" s="329" t="s">
        <v>30</v>
      </c>
      <c r="AC49" s="330" t="s">
        <v>70</v>
      </c>
      <c r="AD49" s="341" t="s">
        <v>71</v>
      </c>
    </row>
    <row r="50" spans="2:30" ht="27.2" hidden="1" customHeight="1" x14ac:dyDescent="0.2">
      <c r="B50" s="846" t="b">
        <f>(method_reg="Метод сравнения аналогов")</f>
        <v>0</v>
      </c>
      <c r="E50" s="668">
        <v>27.9</v>
      </c>
      <c r="H50" s="126" cm="1">
        <f t="array" ref="H50">IF(B48,H48+1,H48)</f>
        <v>22</v>
      </c>
      <c r="AB50" s="329" t="s">
        <v>30</v>
      </c>
      <c r="AC50" s="330" t="s">
        <v>72</v>
      </c>
      <c r="AD50" s="331" t="s">
        <v>73</v>
      </c>
    </row>
    <row r="51" spans="2:30" ht="27.2" customHeight="1" x14ac:dyDescent="0.2">
      <c r="B51" s="846" t="b">
        <f>NOT(method_reg="Метод сравнения аналогов")</f>
        <v>1</v>
      </c>
      <c r="E51" s="668">
        <v>27.9</v>
      </c>
      <c r="H51" s="126">
        <f>IF(B47,H47+1,H47)</f>
        <v>22</v>
      </c>
      <c r="AB51" s="329" t="s">
        <v>19</v>
      </c>
      <c r="AC51" s="330" t="s">
        <v>74</v>
      </c>
      <c r="AD51" s="331" t="s">
        <v>75</v>
      </c>
    </row>
    <row r="52" spans="2:30" ht="27.2" customHeight="1" x14ac:dyDescent="0.2">
      <c r="B52" s="846" t="b">
        <f>NOT(method_reg="Метод сравнения аналогов")</f>
        <v>1</v>
      </c>
      <c r="E52" s="668">
        <v>27.9</v>
      </c>
      <c r="H52" s="126">
        <f>IF(B51,H51+1,H51)</f>
        <v>23</v>
      </c>
      <c r="AB52" s="329" t="s">
        <v>19</v>
      </c>
      <c r="AC52" s="330" t="s">
        <v>76</v>
      </c>
      <c r="AD52" s="331" t="s">
        <v>77</v>
      </c>
    </row>
    <row r="53" spans="2:30" ht="27.2" customHeight="1" x14ac:dyDescent="0.2">
      <c r="B53" s="846" t="b">
        <f>OR(method_reg="Метод индексации",method_reg="Метод обеспечения доходности инвестированного капитала")</f>
        <v>1</v>
      </c>
      <c r="E53" s="668">
        <v>27.9</v>
      </c>
      <c r="H53" s="126">
        <f>IF(B52,H52+1,H52)</f>
        <v>24</v>
      </c>
      <c r="AB53" s="329" t="s">
        <v>19</v>
      </c>
      <c r="AC53" s="330" t="s">
        <v>78</v>
      </c>
      <c r="AD53" s="330" t="s">
        <v>79</v>
      </c>
    </row>
    <row r="54" spans="2:30" ht="27.75" hidden="1" customHeight="1" x14ac:dyDescent="0.2">
      <c r="E54" s="668">
        <v>0</v>
      </c>
      <c r="AB54" s="329"/>
      <c r="AC54" s="330"/>
      <c r="AD54" s="33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0465-A598-D191-DA16-33A254B52338}">
  <sheetPr>
    <tabColor rgb="FF002060"/>
    <outlinePr summaryBelow="0" summaryRight="0"/>
  </sheetPr>
  <dimension ref="A1:BB49"/>
  <sheetViews>
    <sheetView showGridLines="0" workbookViewId="0">
      <pane xSplit="30" ySplit="26" topLeftCell="AE35" activePane="bottomRight" state="frozen"/>
      <selection pane="topRight" activeCell="AE1" sqref="AE1"/>
      <selection pane="bottomLeft" activeCell="A27" sqref="A27"/>
      <selection pane="bottomRight" activeCell="AO38" sqref="AO38"/>
    </sheetView>
  </sheetViews>
  <sheetFormatPr defaultColWidth="9.140625" defaultRowHeight="11.25" customHeight="1" x14ac:dyDescent="0.15"/>
  <cols>
    <col min="1" max="1" width="3.5703125" style="1152" hidden="1" customWidth="1"/>
    <col min="2" max="2" width="8.5703125" style="773" hidden="1" customWidth="1"/>
    <col min="3" max="4" width="3.5703125" style="1152" hidden="1" customWidth="1"/>
    <col min="5" max="5" width="8.42578125" style="772" hidden="1" customWidth="1"/>
    <col min="6" max="6" width="6.42578125" style="1152" hidden="1" customWidth="1"/>
    <col min="7" max="16" width="3.5703125" style="417" hidden="1" customWidth="1"/>
    <col min="17" max="18" width="3.5703125" style="774" hidden="1" customWidth="1"/>
    <col min="19" max="19" width="3.5703125" style="417" hidden="1" customWidth="1"/>
    <col min="20" max="20" width="8.425781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7" customWidth="1"/>
    <col min="28" max="28" width="6.140625" style="167" customWidth="1"/>
    <col min="29" max="29" width="50.140625" style="167" customWidth="1"/>
    <col min="30" max="30" width="10.140625" style="167" customWidth="1"/>
    <col min="31" max="31" width="12.5703125" style="167" customWidth="1"/>
    <col min="32" max="32" width="12.5703125" style="167" hidden="1" customWidth="1"/>
    <col min="33" max="33" width="18.140625" style="167" hidden="1" customWidth="1"/>
    <col min="34" max="40" width="12.5703125" style="167" hidden="1" customWidth="1"/>
    <col min="41" max="41" width="12.5703125" style="167" customWidth="1"/>
    <col min="42" max="50" width="12.5703125" style="167" hidden="1" customWidth="1"/>
    <col min="51" max="51" width="20.140625" style="167" customWidth="1"/>
    <col min="52" max="52" width="3" style="167" customWidth="1"/>
    <col min="53" max="53" width="9.140625" style="167" hidden="1"/>
    <col min="54" max="54" width="9.140625" style="992" hidden="1"/>
  </cols>
  <sheetData>
    <row r="1" spans="1:54" s="1152" customFormat="1" ht="12" hidden="1" customHeight="1" x14ac:dyDescent="0.15">
      <c r="B1" s="659"/>
      <c r="E1" s="659"/>
      <c r="F1" s="690" t="s">
        <v>83</v>
      </c>
      <c r="G1" s="160"/>
      <c r="H1" s="160"/>
      <c r="I1" s="160"/>
      <c r="J1" s="160"/>
      <c r="K1" s="160"/>
      <c r="L1" s="160"/>
      <c r="M1" s="160"/>
      <c r="N1" s="160"/>
      <c r="O1" s="160"/>
      <c r="P1" s="160"/>
      <c r="Q1" s="612"/>
      <c r="R1" s="612"/>
      <c r="S1" s="160"/>
      <c r="T1" s="679" t="s">
        <v>86</v>
      </c>
      <c r="U1" s="679" t="s">
        <v>91</v>
      </c>
      <c r="V1" s="679" t="s">
        <v>87</v>
      </c>
      <c r="W1" s="679" t="s">
        <v>88</v>
      </c>
      <c r="X1" s="679" t="s">
        <v>89</v>
      </c>
      <c r="Y1" s="690" t="s">
        <v>374</v>
      </c>
      <c r="Z1" s="679" t="s">
        <v>93</v>
      </c>
      <c r="AA1" s="690" t="s">
        <v>90</v>
      </c>
      <c r="AB1" s="690" t="s">
        <v>92</v>
      </c>
      <c r="BB1" s="948" t="s">
        <v>375</v>
      </c>
    </row>
    <row r="2" spans="1:54" s="773" customFormat="1" ht="12" hidden="1" customHeight="1" x14ac:dyDescent="0.15">
      <c r="B2" s="758" t="s">
        <v>15</v>
      </c>
      <c r="G2" s="776"/>
      <c r="H2" s="776"/>
      <c r="I2" s="776"/>
      <c r="J2" s="776"/>
      <c r="K2" s="776"/>
      <c r="L2" s="776"/>
      <c r="M2" s="776"/>
      <c r="N2" s="776"/>
      <c r="O2" s="776"/>
      <c r="P2" s="776"/>
      <c r="Q2" s="776"/>
      <c r="R2" s="776"/>
      <c r="S2" s="776"/>
      <c r="AE2" s="680" t="b">
        <f t="shared" ref="AE2:AX2" si="0">AE6&lt;=last_year_vis</f>
        <v>1</v>
      </c>
      <c r="AF2" s="680" t="b">
        <f t="shared" si="0"/>
        <v>0</v>
      </c>
      <c r="AG2" s="680" t="b">
        <f t="shared" si="0"/>
        <v>0</v>
      </c>
      <c r="AH2" s="680" t="b">
        <f t="shared" si="0"/>
        <v>0</v>
      </c>
      <c r="AI2" s="680" t="b">
        <f t="shared" si="0"/>
        <v>0</v>
      </c>
      <c r="AJ2" s="680" t="b">
        <f t="shared" si="0"/>
        <v>0</v>
      </c>
      <c r="AK2" s="680" t="b">
        <f t="shared" si="0"/>
        <v>0</v>
      </c>
      <c r="AL2" s="680" t="b">
        <f t="shared" si="0"/>
        <v>0</v>
      </c>
      <c r="AM2" s="680" t="b">
        <f t="shared" si="0"/>
        <v>0</v>
      </c>
      <c r="AN2" s="680" t="b">
        <f t="shared" si="0"/>
        <v>0</v>
      </c>
      <c r="AO2" s="680" t="b">
        <f t="shared" si="0"/>
        <v>1</v>
      </c>
      <c r="AP2" s="680" t="b">
        <f t="shared" si="0"/>
        <v>0</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BB2" s="947"/>
    </row>
    <row r="3" spans="1:54" s="1152" customFormat="1" ht="12" hidden="1" customHeight="1" x14ac:dyDescent="0.15">
      <c r="B3" s="659"/>
      <c r="E3" s="659"/>
      <c r="G3" s="160"/>
      <c r="H3" s="160"/>
      <c r="I3" s="160"/>
      <c r="J3" s="160"/>
      <c r="K3" s="160"/>
      <c r="L3" s="160"/>
      <c r="M3" s="160"/>
      <c r="N3" s="160"/>
      <c r="O3" s="160"/>
      <c r="P3" s="160"/>
      <c r="Q3" s="612"/>
      <c r="R3" s="612"/>
      <c r="S3" s="160"/>
      <c r="BB3" s="948"/>
    </row>
    <row r="4" spans="1:54" s="1152" customFormat="1" ht="12" hidden="1" customHeight="1" x14ac:dyDescent="0.15">
      <c r="B4" s="659"/>
      <c r="E4" s="659"/>
      <c r="G4" s="160"/>
      <c r="H4" s="160"/>
      <c r="I4" s="160"/>
      <c r="J4" s="160"/>
      <c r="K4" s="160"/>
      <c r="L4" s="160"/>
      <c r="M4" s="160"/>
      <c r="N4" s="160"/>
      <c r="O4" s="160"/>
      <c r="P4" s="160"/>
      <c r="Q4" s="612"/>
      <c r="R4" s="612"/>
      <c r="S4" s="160"/>
      <c r="BB4" s="948"/>
    </row>
    <row r="5" spans="1:54"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6.13</v>
      </c>
      <c r="AC5" s="668">
        <v>50.13</v>
      </c>
      <c r="AD5" s="668">
        <v>10.130000000000001</v>
      </c>
      <c r="AE5" s="668">
        <v>12.63</v>
      </c>
      <c r="AF5" s="668">
        <v>12.63</v>
      </c>
      <c r="AG5" s="668">
        <v>18.13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20.13</v>
      </c>
      <c r="AZ5" s="668">
        <v>3</v>
      </c>
      <c r="BB5" s="947"/>
    </row>
    <row r="6" spans="1:54" s="1152" customFormat="1" ht="12" hidden="1" customHeight="1" x14ac:dyDescent="0.15">
      <c r="B6" s="659"/>
      <c r="E6" s="668"/>
      <c r="G6" s="160"/>
      <c r="H6" s="160"/>
      <c r="I6" s="160"/>
      <c r="J6" s="160"/>
      <c r="K6" s="160"/>
      <c r="L6" s="160"/>
      <c r="M6" s="160"/>
      <c r="N6" s="160"/>
      <c r="O6" s="160"/>
      <c r="P6" s="160"/>
      <c r="Q6" s="612"/>
      <c r="R6" s="612"/>
      <c r="S6" s="160"/>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B6" s="948"/>
    </row>
    <row r="7" spans="1:54" s="417" customFormat="1" ht="12" hidden="1" customHeight="1" x14ac:dyDescent="0.15">
      <c r="A7" s="123"/>
      <c r="B7" s="659"/>
      <c r="C7" s="123"/>
      <c r="D7" s="123"/>
      <c r="E7" s="668"/>
      <c r="Q7" s="612"/>
      <c r="R7" s="612"/>
      <c r="AE7" s="160" t="str" cm="1">
        <f t="array" ref="AE7">AE25</f>
        <v>Предложения организации</v>
      </c>
      <c r="AF7" s="160" t="str" cm="1">
        <f t="array" ref="AF7">AF25</f>
        <v>Предложения организации</v>
      </c>
      <c r="AG7" s="160" t="str" cm="1">
        <f t="array" ref="AG7">AG25</f>
        <v>Предложения организации</v>
      </c>
      <c r="AH7" s="160" t="str" cm="1">
        <f t="array" ref="AH7">AH25</f>
        <v>Предложения организации</v>
      </c>
      <c r="AI7" s="160" t="str" cm="1">
        <f t="array" ref="AI7">AI25</f>
        <v>Предложения организации</v>
      </c>
      <c r="AJ7" s="160" t="str" cm="1">
        <f t="array" ref="AJ7">AJ25</f>
        <v>Предложения организации</v>
      </c>
      <c r="AK7" s="160" t="str" cm="1">
        <f t="array" ref="AK7">AK25</f>
        <v>Предложения организации</v>
      </c>
      <c r="AL7" s="160" t="str" cm="1">
        <f t="array" ref="AL7">AL25</f>
        <v>Предложения организации</v>
      </c>
      <c r="AM7" s="160" t="str" cm="1">
        <f t="array" ref="AM7">AM25</f>
        <v>Предложения организации</v>
      </c>
      <c r="AN7" s="160" t="str" cm="1">
        <f t="array" ref="AN7">AN25</f>
        <v>Предложения организации</v>
      </c>
      <c r="AO7" s="160" t="str" cm="1">
        <f t="array" ref="AO7">AO25</f>
        <v>Принято органом регулирования</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BB7" s="948"/>
    </row>
    <row r="8" spans="1:54" s="417" customFormat="1" ht="12" hidden="1" customHeight="1" x14ac:dyDescent="0.15">
      <c r="A8" s="123"/>
      <c r="B8" s="659"/>
      <c r="C8" s="123"/>
      <c r="D8" s="123"/>
      <c r="E8" s="668"/>
      <c r="Q8" s="612"/>
      <c r="R8" s="612"/>
      <c r="BB8" s="948"/>
    </row>
    <row r="9" spans="1:54" s="1003" customFormat="1" ht="12" hidden="1" customHeight="1" x14ac:dyDescent="0.15">
      <c r="A9" s="948" t="s">
        <v>461</v>
      </c>
      <c r="B9" s="941"/>
      <c r="E9" s="941"/>
      <c r="Q9" s="950"/>
      <c r="R9" s="950"/>
      <c r="AE9" s="949" cm="1">
        <f t="array" ref="AE9">god</f>
        <v>2026</v>
      </c>
      <c r="AF9" s="949">
        <f>god+1</f>
        <v>2027</v>
      </c>
      <c r="AG9" s="949">
        <f>god+2</f>
        <v>2028</v>
      </c>
      <c r="AH9" s="949">
        <f>god+3</f>
        <v>2029</v>
      </c>
      <c r="AI9" s="949">
        <f>god+4</f>
        <v>2030</v>
      </c>
      <c r="AJ9" s="949">
        <f>god+5</f>
        <v>2031</v>
      </c>
      <c r="AK9" s="949">
        <f>god+6</f>
        <v>2032</v>
      </c>
      <c r="AL9" s="949">
        <f>god+7</f>
        <v>2033</v>
      </c>
      <c r="AM9" s="949">
        <f>god+8</f>
        <v>2034</v>
      </c>
      <c r="AN9" s="949">
        <f>god+9</f>
        <v>2035</v>
      </c>
      <c r="AO9" s="949" cm="1">
        <f t="array" ref="AO9">god</f>
        <v>2026</v>
      </c>
      <c r="AP9" s="949">
        <f>god+1</f>
        <v>2027</v>
      </c>
      <c r="AQ9" s="949">
        <f>god+2</f>
        <v>2028</v>
      </c>
      <c r="AR9" s="949">
        <f>god+3</f>
        <v>2029</v>
      </c>
      <c r="AS9" s="949">
        <f>god+4</f>
        <v>2030</v>
      </c>
      <c r="AT9" s="949">
        <f>god+5</f>
        <v>2031</v>
      </c>
      <c r="AU9" s="949">
        <f>god+6</f>
        <v>2032</v>
      </c>
      <c r="AV9" s="949">
        <f>god+7</f>
        <v>2033</v>
      </c>
      <c r="AW9" s="949">
        <f>god+8</f>
        <v>2034</v>
      </c>
      <c r="AX9" s="949">
        <f>god+9</f>
        <v>2035</v>
      </c>
      <c r="BB9" s="948"/>
    </row>
    <row r="10" spans="1:54" s="1003" customFormat="1" ht="12" hidden="1" customHeight="1" x14ac:dyDescent="0.15">
      <c r="A10" s="948" t="s">
        <v>462</v>
      </c>
      <c r="B10" s="941"/>
      <c r="E10" s="941"/>
      <c r="Q10" s="950"/>
      <c r="R10" s="950"/>
      <c r="AE10" s="949" t="str" cm="1">
        <f t="array" ref="AE10">AE25</f>
        <v>Предложения организации</v>
      </c>
      <c r="AF10" s="949" t="str" cm="1">
        <f t="array" ref="AF10">AF25</f>
        <v>Предложения организации</v>
      </c>
      <c r="AG10" s="949" t="str" cm="1">
        <f t="array" ref="AG10">AG25</f>
        <v>Предложения организации</v>
      </c>
      <c r="AH10" s="949" t="str" cm="1">
        <f t="array" ref="AH10">AH25</f>
        <v>Предложения организации</v>
      </c>
      <c r="AI10" s="949" t="str" cm="1">
        <f t="array" ref="AI10">AI25</f>
        <v>Предложения организации</v>
      </c>
      <c r="AJ10" s="949" t="str" cm="1">
        <f t="array" ref="AJ10">AJ25</f>
        <v>Предложения организации</v>
      </c>
      <c r="AK10" s="949" t="str" cm="1">
        <f t="array" ref="AK10">AK25</f>
        <v>Предложения организации</v>
      </c>
      <c r="AL10" s="949" t="str" cm="1">
        <f t="array" ref="AL10">AL25</f>
        <v>Предложения организации</v>
      </c>
      <c r="AM10" s="949" t="str" cm="1">
        <f t="array" ref="AM10">AM25</f>
        <v>Предложения организации</v>
      </c>
      <c r="AN10" s="949" t="str" cm="1">
        <f t="array" ref="AN10">AN25</f>
        <v>Предложения организации</v>
      </c>
      <c r="AO10" s="949" t="str" cm="1">
        <f t="array" ref="AO10">AO25</f>
        <v>Принято органом регулирования</v>
      </c>
      <c r="AP10" s="949" t="str" cm="1">
        <f t="array" ref="AP10">AP25</f>
        <v>Принято органом регулирования</v>
      </c>
      <c r="AQ10" s="949" t="str" cm="1">
        <f t="array" ref="AQ10">AQ25</f>
        <v>Принято органом регулирования</v>
      </c>
      <c r="AR10" s="949" t="str" cm="1">
        <f t="array" ref="AR10">AR25</f>
        <v>Принято органом регулирования</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BB10" s="948"/>
    </row>
    <row r="11" spans="1:54" s="1003" customFormat="1" ht="12" hidden="1" customHeight="1" x14ac:dyDescent="0.15">
      <c r="A11" s="948" t="s">
        <v>463</v>
      </c>
      <c r="B11" s="941"/>
      <c r="E11" s="941"/>
      <c r="G11" s="957"/>
      <c r="H11" s="957"/>
      <c r="I11" s="957"/>
      <c r="J11" s="957"/>
      <c r="K11" s="957"/>
      <c r="L11" s="957"/>
      <c r="M11" s="957"/>
      <c r="N11" s="957"/>
      <c r="O11" s="957"/>
      <c r="P11" s="957"/>
      <c r="Q11" s="972"/>
      <c r="R11" s="972"/>
      <c r="S11" s="957"/>
      <c r="AY11" s="949" t="str" cm="1">
        <f t="array" ref="AY11">AY24</f>
        <v>Ссылка на правовую норму (основание для принятия показателя в расчет тарифа)</v>
      </c>
      <c r="BB11" s="948"/>
    </row>
    <row r="12" spans="1:54" s="1152" customFormat="1" ht="12" hidden="1" customHeight="1" x14ac:dyDescent="0.15">
      <c r="B12" s="659"/>
      <c r="E12" s="668"/>
      <c r="G12" s="160"/>
      <c r="H12" s="160"/>
      <c r="I12" s="160"/>
      <c r="J12" s="160"/>
      <c r="K12" s="160"/>
      <c r="L12" s="160"/>
      <c r="M12" s="160"/>
      <c r="N12" s="160"/>
      <c r="O12" s="160"/>
      <c r="P12" s="160"/>
      <c r="Q12" s="612"/>
      <c r="R12" s="612"/>
      <c r="S12" s="160"/>
      <c r="BB12" s="948"/>
    </row>
    <row r="13" spans="1:54" s="1152" customFormat="1" ht="12" hidden="1" customHeight="1" x14ac:dyDescent="0.15">
      <c r="B13" s="659"/>
      <c r="E13" s="668"/>
      <c r="G13" s="160"/>
      <c r="H13" s="160"/>
      <c r="I13" s="160"/>
      <c r="J13" s="160"/>
      <c r="K13" s="160"/>
      <c r="L13" s="160"/>
      <c r="M13" s="160"/>
      <c r="N13" s="160"/>
      <c r="O13" s="160"/>
      <c r="P13" s="160"/>
      <c r="Q13" s="612"/>
      <c r="R13" s="612"/>
      <c r="S13" s="160"/>
      <c r="BB13" s="948"/>
    </row>
    <row r="14" spans="1:54" s="1152" customFormat="1" ht="12" hidden="1" customHeight="1" x14ac:dyDescent="0.15">
      <c r="B14" s="659"/>
      <c r="E14" s="668"/>
      <c r="G14" s="160"/>
      <c r="H14" s="160"/>
      <c r="I14" s="160"/>
      <c r="J14" s="160"/>
      <c r="K14" s="160"/>
      <c r="L14" s="160"/>
      <c r="M14" s="160"/>
      <c r="N14" s="160"/>
      <c r="O14" s="160"/>
      <c r="P14" s="160"/>
      <c r="Q14" s="612"/>
      <c r="R14" s="612"/>
      <c r="S14" s="160"/>
      <c r="BB14" s="948"/>
    </row>
    <row r="15" spans="1:54" s="1152" customFormat="1" ht="12" hidden="1" customHeight="1" x14ac:dyDescent="0.15">
      <c r="B15" s="659"/>
      <c r="E15" s="668"/>
      <c r="G15" s="160"/>
      <c r="H15" s="160"/>
      <c r="I15" s="160"/>
      <c r="J15" s="160"/>
      <c r="K15" s="160"/>
      <c r="L15" s="160"/>
      <c r="M15" s="160"/>
      <c r="N15" s="160"/>
      <c r="O15" s="160"/>
      <c r="P15" s="160"/>
      <c r="Q15" s="612"/>
      <c r="R15" s="612"/>
      <c r="S15" s="160"/>
      <c r="BB15" s="948"/>
    </row>
    <row r="16" spans="1:54" s="1152" customFormat="1" ht="12" hidden="1" customHeight="1" x14ac:dyDescent="0.15">
      <c r="B16" s="659"/>
      <c r="E16" s="668"/>
      <c r="G16" s="160"/>
      <c r="H16" s="160"/>
      <c r="I16" s="160"/>
      <c r="J16" s="160"/>
      <c r="K16" s="160"/>
      <c r="L16" s="160"/>
      <c r="M16" s="160"/>
      <c r="N16" s="160"/>
      <c r="O16" s="160"/>
      <c r="P16" s="160"/>
      <c r="Q16" s="612"/>
      <c r="R16" s="612"/>
      <c r="S16" s="160"/>
      <c r="BB16" s="948"/>
    </row>
    <row r="17" spans="2:54" s="1152" customFormat="1" ht="12" hidden="1" customHeight="1" x14ac:dyDescent="0.15">
      <c r="B17" s="659"/>
      <c r="E17" s="668"/>
      <c r="G17" s="160"/>
      <c r="H17" s="160"/>
      <c r="I17" s="160"/>
      <c r="J17" s="160"/>
      <c r="K17" s="160"/>
      <c r="L17" s="160"/>
      <c r="M17" s="160"/>
      <c r="N17" s="160"/>
      <c r="O17" s="160"/>
      <c r="P17" s="160"/>
      <c r="Q17" s="612"/>
      <c r="R17" s="612"/>
      <c r="S17" s="160"/>
      <c r="BB17" s="948"/>
    </row>
    <row r="18" spans="2:54" s="1152" customFormat="1" ht="12" hidden="1" customHeight="1" x14ac:dyDescent="0.15">
      <c r="B18" s="659"/>
      <c r="E18" s="668"/>
      <c r="G18" s="160"/>
      <c r="H18" s="160"/>
      <c r="I18" s="160"/>
      <c r="J18" s="160"/>
      <c r="K18" s="160"/>
      <c r="L18" s="160"/>
      <c r="M18" s="160"/>
      <c r="N18" s="160"/>
      <c r="O18" s="160"/>
      <c r="P18" s="160"/>
      <c r="Q18" s="612"/>
      <c r="R18" s="612"/>
      <c r="S18" s="160"/>
      <c r="BB18" s="948"/>
    </row>
    <row r="19" spans="2:54" s="1152" customFormat="1" ht="12" hidden="1" customHeight="1" x14ac:dyDescent="0.15">
      <c r="B19" s="659"/>
      <c r="E19" s="668"/>
      <c r="G19" s="160"/>
      <c r="H19" s="160"/>
      <c r="I19" s="160"/>
      <c r="J19" s="160"/>
      <c r="K19" s="160"/>
      <c r="L19" s="160"/>
      <c r="M19" s="160"/>
      <c r="N19" s="160"/>
      <c r="O19" s="160"/>
      <c r="P19" s="160"/>
      <c r="Q19" s="612"/>
      <c r="R19" s="612"/>
      <c r="S19" s="160"/>
      <c r="BB19" s="948"/>
    </row>
    <row r="20" spans="2:54" s="1152" customFormat="1" ht="12" hidden="1" customHeight="1" x14ac:dyDescent="0.15">
      <c r="B20" s="659"/>
      <c r="E20" s="668"/>
      <c r="G20" s="160"/>
      <c r="H20" s="160"/>
      <c r="I20" s="160"/>
      <c r="J20" s="160"/>
      <c r="K20" s="160"/>
      <c r="L20" s="160"/>
      <c r="M20" s="160"/>
      <c r="N20" s="160"/>
      <c r="O20" s="160"/>
      <c r="P20" s="160"/>
      <c r="Q20" s="612"/>
      <c r="R20" s="612"/>
      <c r="S20" s="160"/>
      <c r="BB20" s="948"/>
    </row>
    <row r="21" spans="2:54" ht="14.65" customHeight="1" x14ac:dyDescent="0.15">
      <c r="E21" s="668">
        <v>15</v>
      </c>
      <c r="AA21" s="691"/>
      <c r="AB21" s="174"/>
      <c r="AC21" s="335" t="str" cm="1">
        <f t="array" ref="AC21">tpl_title</f>
        <v>Кемеровская область / 2026 / ООО ХК "СДС - Энерго" (ИНН:4250003450, КПП:420501001) / ДПР: 2024-2028</v>
      </c>
      <c r="AD21" s="174"/>
      <c r="AE21" s="174"/>
      <c r="AF21" s="174"/>
      <c r="AG21" s="174"/>
      <c r="AH21" s="174"/>
      <c r="AI21" s="174"/>
      <c r="AJ21" s="174"/>
      <c r="AK21" s="174"/>
      <c r="AL21" s="174"/>
      <c r="AM21" s="174"/>
      <c r="AN21" s="174"/>
      <c r="AO21" s="174"/>
      <c r="AP21" s="174"/>
      <c r="AQ21" s="174"/>
      <c r="AR21" s="174"/>
      <c r="AS21" s="174"/>
      <c r="AT21" s="174"/>
      <c r="AU21" s="174"/>
      <c r="AV21" s="174"/>
      <c r="AW21" s="174"/>
      <c r="AX21" s="174"/>
    </row>
    <row r="22" spans="2:54" ht="19.5" customHeight="1" x14ac:dyDescent="0.15">
      <c r="E22" s="668">
        <v>20.100000000000001</v>
      </c>
      <c r="AB22" s="325" t="s">
        <v>53</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row>
    <row r="23" spans="2:54" ht="11.1" customHeight="1" x14ac:dyDescent="0.15">
      <c r="E23" s="668">
        <v>11.3</v>
      </c>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row>
    <row r="24" spans="2:54" ht="21" customHeight="1" x14ac:dyDescent="0.15">
      <c r="E24" s="668">
        <v>21.6</v>
      </c>
      <c r="AB24" s="1490" t="s">
        <v>388</v>
      </c>
      <c r="AC24" s="1488" t="s">
        <v>747</v>
      </c>
      <c r="AD24" s="1488" t="s">
        <v>465</v>
      </c>
      <c r="AE24" s="1131" t="str">
        <f>god&amp;" год"</f>
        <v>2026 год</v>
      </c>
      <c r="AF24" s="1131" t="str">
        <f>god+1&amp;" год"</f>
        <v>2027 год</v>
      </c>
      <c r="AG24" s="1131" t="str">
        <f>god+2&amp;" год"</f>
        <v>2028 год</v>
      </c>
      <c r="AH24" s="1131" t="str">
        <f>god+3&amp;" год"</f>
        <v>2029 год</v>
      </c>
      <c r="AI24" s="1131" t="str">
        <f>god+4&amp;" год"</f>
        <v>2030 год</v>
      </c>
      <c r="AJ24" s="1131" t="str">
        <f>god+5&amp;" год"</f>
        <v>2031 год</v>
      </c>
      <c r="AK24" s="1131" t="str">
        <f>god+6&amp;" год"</f>
        <v>2032 год</v>
      </c>
      <c r="AL24" s="1131" t="str">
        <f>god+7&amp;" год"</f>
        <v>2033 год</v>
      </c>
      <c r="AM24" s="1131" t="str">
        <f>god+8&amp;" год"</f>
        <v>2034 год</v>
      </c>
      <c r="AN24" s="1131" t="str">
        <f>god+9&amp;" год"</f>
        <v>2035 год</v>
      </c>
      <c r="AO24" s="118" t="str">
        <f>god&amp;" год"</f>
        <v>2026 год</v>
      </c>
      <c r="AP24" s="118" t="str">
        <f>god+1&amp;" год"</f>
        <v>2027 год</v>
      </c>
      <c r="AQ24" s="118" t="str">
        <f>god+2&amp;" год"</f>
        <v>2028 год</v>
      </c>
      <c r="AR24" s="118" t="str">
        <f>god+3&amp;" год"</f>
        <v>2029 год</v>
      </c>
      <c r="AS24" s="118" t="str">
        <f>god+4&amp;" год"</f>
        <v>2030 год</v>
      </c>
      <c r="AT24" s="118" t="str">
        <f>god+5&amp;" год"</f>
        <v>2031 год</v>
      </c>
      <c r="AU24" s="118" t="str">
        <f>god+6&amp;" год"</f>
        <v>2032 год</v>
      </c>
      <c r="AV24" s="118" t="str">
        <f>god+7&amp;" год"</f>
        <v>2033 год</v>
      </c>
      <c r="AW24" s="118" t="str">
        <f>god+8&amp;" год"</f>
        <v>2034 год</v>
      </c>
      <c r="AX24" s="118" t="str">
        <f>god+9&amp;" год"</f>
        <v>2035 год</v>
      </c>
      <c r="AY24" s="1573" t="s">
        <v>618</v>
      </c>
    </row>
    <row r="25" spans="2:54" ht="56.45" customHeight="1" x14ac:dyDescent="0.15">
      <c r="E25" s="668">
        <v>57.8</v>
      </c>
      <c r="AB25" s="1490"/>
      <c r="AC25" s="1488"/>
      <c r="AD25" s="1488"/>
      <c r="AE25" s="1133" t="s">
        <v>1297</v>
      </c>
      <c r="AF25" s="1133" t="s">
        <v>1297</v>
      </c>
      <c r="AG25" s="1133" t="s">
        <v>1297</v>
      </c>
      <c r="AH25" s="1133" t="s">
        <v>1297</v>
      </c>
      <c r="AI25" s="1133" t="s">
        <v>1297</v>
      </c>
      <c r="AJ25" s="1133" t="s">
        <v>1297</v>
      </c>
      <c r="AK25" s="1133" t="s">
        <v>1297</v>
      </c>
      <c r="AL25" s="1133" t="s">
        <v>1297</v>
      </c>
      <c r="AM25" s="1133" t="s">
        <v>1297</v>
      </c>
      <c r="AN25" s="1133" t="s">
        <v>1297</v>
      </c>
      <c r="AO25" s="117" t="s">
        <v>404</v>
      </c>
      <c r="AP25" s="117" t="s">
        <v>404</v>
      </c>
      <c r="AQ25" s="117" t="s">
        <v>404</v>
      </c>
      <c r="AR25" s="117" t="s">
        <v>404</v>
      </c>
      <c r="AS25" s="117" t="s">
        <v>404</v>
      </c>
      <c r="AT25" s="117" t="s">
        <v>404</v>
      </c>
      <c r="AU25" s="117" t="s">
        <v>404</v>
      </c>
      <c r="AV25" s="117" t="s">
        <v>404</v>
      </c>
      <c r="AW25" s="117" t="s">
        <v>404</v>
      </c>
      <c r="AX25" s="117" t="s">
        <v>404</v>
      </c>
      <c r="AY25" s="1573"/>
    </row>
    <row r="26" spans="2:54" ht="57.75" hidden="1" customHeight="1" x14ac:dyDescent="0.15">
      <c r="E26" s="668">
        <v>0</v>
      </c>
      <c r="AB26" s="312"/>
      <c r="AC26" s="435"/>
      <c r="AD26" s="435"/>
      <c r="AE26" s="436"/>
      <c r="AF26" s="436"/>
      <c r="AG26" s="436"/>
      <c r="AH26" s="436"/>
      <c r="AI26" s="436"/>
      <c r="AJ26" s="436"/>
      <c r="AK26" s="436"/>
      <c r="AL26" s="436"/>
      <c r="AM26" s="436"/>
      <c r="AN26" s="436"/>
      <c r="AO26" s="436"/>
      <c r="AP26" s="436"/>
      <c r="AQ26" s="436"/>
      <c r="AR26" s="436"/>
      <c r="AS26" s="436"/>
      <c r="AT26" s="436"/>
      <c r="AU26" s="436"/>
      <c r="AV26" s="436"/>
      <c r="AW26" s="436"/>
      <c r="AX26" s="436"/>
      <c r="AY26" s="437"/>
    </row>
    <row r="27" spans="2:54" ht="16.5" hidden="1" customHeight="1" x14ac:dyDescent="0.15">
      <c r="E27" s="668">
        <v>17</v>
      </c>
      <c r="F27" s="769" cm="1">
        <f t="array" ref="F27">X27</f>
        <v>0</v>
      </c>
      <c r="T27" s="679" t="b">
        <f>X27&gt;0</f>
        <v>0</v>
      </c>
      <c r="V27" s="123" t="s">
        <v>313</v>
      </c>
      <c r="X27" s="1485">
        <v>0</v>
      </c>
      <c r="Z27" s="1485"/>
      <c r="AB27" s="263" t="str" cm="1">
        <f t="array" ref="AB27">INDEX('Общие сведения'!$AG$169:$AG$202,MATCH($F27,'Общие сведения'!$Z$169:$Z$202,0))</f>
        <v xml:space="preserve">Тариф 0 (Теплоснабжение) - </v>
      </c>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row>
    <row r="28" spans="2:54" s="262" customFormat="1" ht="16.5" hidden="1" customHeight="1" x14ac:dyDescent="0.15">
      <c r="E28" s="668">
        <v>17</v>
      </c>
      <c r="F28" s="769" cm="1">
        <f t="array" ref="F28">F27</f>
        <v>0</v>
      </c>
      <c r="T28" s="679" t="b" cm="1">
        <f t="array" ref="T28">T27</f>
        <v>0</v>
      </c>
      <c r="X28" s="1578"/>
      <c r="Z28" s="1578"/>
      <c r="AB28" s="268" t="s">
        <v>339</v>
      </c>
      <c r="AC28" s="111" t="s">
        <v>1298</v>
      </c>
      <c r="AD28" s="268" t="s">
        <v>830</v>
      </c>
      <c r="AE28" s="242">
        <f t="shared" ref="AE28:AX28" si="1">AE29+AE30+AE31</f>
        <v>0</v>
      </c>
      <c r="AF28" s="269">
        <f t="shared" si="1"/>
        <v>0</v>
      </c>
      <c r="AG28" s="269">
        <f t="shared" si="1"/>
        <v>0</v>
      </c>
      <c r="AH28" s="269">
        <f t="shared" si="1"/>
        <v>0</v>
      </c>
      <c r="AI28" s="269">
        <f t="shared" si="1"/>
        <v>0</v>
      </c>
      <c r="AJ28" s="269">
        <f t="shared" si="1"/>
        <v>0</v>
      </c>
      <c r="AK28" s="269">
        <f t="shared" si="1"/>
        <v>0</v>
      </c>
      <c r="AL28" s="269">
        <f t="shared" si="1"/>
        <v>0</v>
      </c>
      <c r="AM28" s="269">
        <f t="shared" si="1"/>
        <v>0</v>
      </c>
      <c r="AN28" s="269">
        <f t="shared" si="1"/>
        <v>0</v>
      </c>
      <c r="AO28" s="242">
        <f t="shared" si="1"/>
        <v>0</v>
      </c>
      <c r="AP28" s="269">
        <f t="shared" si="1"/>
        <v>0</v>
      </c>
      <c r="AQ28" s="269">
        <f t="shared" si="1"/>
        <v>0</v>
      </c>
      <c r="AR28" s="269">
        <f t="shared" si="1"/>
        <v>0</v>
      </c>
      <c r="AS28" s="269">
        <f t="shared" si="1"/>
        <v>0</v>
      </c>
      <c r="AT28" s="269">
        <f t="shared" si="1"/>
        <v>0</v>
      </c>
      <c r="AU28" s="269">
        <f t="shared" si="1"/>
        <v>0</v>
      </c>
      <c r="AV28" s="269">
        <f t="shared" si="1"/>
        <v>0</v>
      </c>
      <c r="AW28" s="269">
        <f t="shared" si="1"/>
        <v>0</v>
      </c>
      <c r="AX28" s="269">
        <f t="shared" si="1"/>
        <v>0</v>
      </c>
      <c r="AY28" s="25"/>
      <c r="BB28" s="992" t="s">
        <v>1299</v>
      </c>
    </row>
    <row r="29" spans="2:54" ht="16.5" hidden="1" customHeight="1" x14ac:dyDescent="0.15">
      <c r="E29" s="668">
        <v>17</v>
      </c>
      <c r="F29" s="769" cm="1">
        <f t="array" ref="F29">F28</f>
        <v>0</v>
      </c>
      <c r="T29" s="679" t="b" cm="1">
        <f t="array" ref="T29">T28</f>
        <v>0</v>
      </c>
      <c r="X29" s="1485"/>
      <c r="Z29" s="1485"/>
      <c r="AB29" s="121" t="s">
        <v>473</v>
      </c>
      <c r="AC29" s="112" t="s">
        <v>1300</v>
      </c>
      <c r="AD29" s="121" t="s">
        <v>830</v>
      </c>
      <c r="AE29" s="244"/>
      <c r="AF29" s="1293"/>
      <c r="AG29" s="1293"/>
      <c r="AH29" s="62"/>
      <c r="AI29" s="62"/>
      <c r="AJ29" s="62"/>
      <c r="AK29" s="62"/>
      <c r="AL29" s="62"/>
      <c r="AM29" s="62"/>
      <c r="AN29" s="62"/>
      <c r="AO29" s="244"/>
      <c r="AP29" s="1293"/>
      <c r="AQ29" s="1293"/>
      <c r="AR29" s="62"/>
      <c r="AS29" s="62"/>
      <c r="AT29" s="62"/>
      <c r="AU29" s="62"/>
      <c r="AV29" s="62"/>
      <c r="AW29" s="62"/>
      <c r="AX29" s="62"/>
      <c r="AY29" s="25"/>
      <c r="BB29" s="992" t="s">
        <v>1301</v>
      </c>
    </row>
    <row r="30" spans="2:54" ht="16.5" hidden="1" customHeight="1" x14ac:dyDescent="0.15">
      <c r="E30" s="668">
        <v>17</v>
      </c>
      <c r="F30" s="769" cm="1">
        <f t="array" ref="F30">F29</f>
        <v>0</v>
      </c>
      <c r="T30" s="679" t="b" cm="1">
        <f t="array" ref="T30">T29</f>
        <v>0</v>
      </c>
      <c r="X30" s="1485"/>
      <c r="Z30" s="1485"/>
      <c r="AB30" s="121" t="s">
        <v>955</v>
      </c>
      <c r="AC30" s="112" t="s">
        <v>1302</v>
      </c>
      <c r="AD30" s="121" t="s">
        <v>830</v>
      </c>
      <c r="AE30" s="244"/>
      <c r="AF30" s="1293"/>
      <c r="AG30" s="1293"/>
      <c r="AH30" s="62"/>
      <c r="AI30" s="62"/>
      <c r="AJ30" s="62"/>
      <c r="AK30" s="62"/>
      <c r="AL30" s="62"/>
      <c r="AM30" s="62"/>
      <c r="AN30" s="62"/>
      <c r="AO30" s="244"/>
      <c r="AP30" s="1293"/>
      <c r="AQ30" s="1293"/>
      <c r="AR30" s="62"/>
      <c r="AS30" s="62"/>
      <c r="AT30" s="62"/>
      <c r="AU30" s="62"/>
      <c r="AV30" s="62"/>
      <c r="AW30" s="62"/>
      <c r="AX30" s="62"/>
      <c r="AY30" s="25"/>
      <c r="BB30" s="992" t="s">
        <v>1303</v>
      </c>
    </row>
    <row r="31" spans="2:54" ht="33.4" hidden="1" customHeight="1" x14ac:dyDescent="0.15">
      <c r="E31" s="668">
        <v>34.200000000000003</v>
      </c>
      <c r="F31" s="769" cm="1">
        <f t="array" ref="F31">F30</f>
        <v>0</v>
      </c>
      <c r="T31" s="679" t="b" cm="1">
        <f t="array" ref="T31">T30</f>
        <v>0</v>
      </c>
      <c r="X31" s="1485"/>
      <c r="Z31" s="1485"/>
      <c r="AB31" s="121" t="s">
        <v>957</v>
      </c>
      <c r="AC31" s="112" t="s">
        <v>1304</v>
      </c>
      <c r="AD31" s="121" t="s">
        <v>830</v>
      </c>
      <c r="AE31" s="244"/>
      <c r="AF31" s="1293"/>
      <c r="AG31" s="1293"/>
      <c r="AH31" s="62"/>
      <c r="AI31" s="62"/>
      <c r="AJ31" s="62"/>
      <c r="AK31" s="62"/>
      <c r="AL31" s="62"/>
      <c r="AM31" s="62"/>
      <c r="AN31" s="62"/>
      <c r="AO31" s="244"/>
      <c r="AP31" s="1293"/>
      <c r="AQ31" s="1293"/>
      <c r="AR31" s="62"/>
      <c r="AS31" s="62"/>
      <c r="AT31" s="62"/>
      <c r="AU31" s="62"/>
      <c r="AV31" s="62"/>
      <c r="AW31" s="62"/>
      <c r="AX31" s="62"/>
      <c r="AY31" s="25"/>
      <c r="BB31" s="992" t="s">
        <v>1305</v>
      </c>
    </row>
    <row r="32" spans="2:54" ht="16.5" hidden="1" customHeight="1" x14ac:dyDescent="0.15">
      <c r="E32" s="668">
        <v>17</v>
      </c>
      <c r="F32" s="769" cm="1">
        <f t="array" ref="F32">F31</f>
        <v>0</v>
      </c>
      <c r="T32" s="679" t="b" cm="1">
        <f t="array" ref="T32">T31</f>
        <v>0</v>
      </c>
      <c r="X32" s="1485"/>
      <c r="Z32" s="1485"/>
      <c r="AB32" s="121" t="s">
        <v>426</v>
      </c>
      <c r="AC32" s="266" t="s">
        <v>1306</v>
      </c>
      <c r="AD32" s="121" t="s">
        <v>521</v>
      </c>
      <c r="AE32" s="931">
        <f ca="1">SUMIFS(Сценарии!AE$25:AE$83,Сценарии!$F$25:$F$83,$F32,Сценарии!$AC$25:$AC$83,"Индекс потребительских цен")</f>
        <v>0</v>
      </c>
      <c r="AF32" s="931">
        <f ca="1">SUMIFS(Сценарии!AF$25:AF$83,Сценарии!$F$25:$F$83,$F32,Сценарии!$AC$25:$AC$83,"Индекс потребительских цен")</f>
        <v>0</v>
      </c>
      <c r="AG32" s="931">
        <f ca="1">SUMIFS(Сценарии!AG$25:AG$83,Сценарии!$F$25:$F$83,$F32,Сценарии!$AC$25:$AC$83,"Индекс потребительских цен")</f>
        <v>0</v>
      </c>
      <c r="AH32" s="931">
        <f ca="1">SUMIFS(Сценарии!AH$25:AH$83,Сценарии!$F$25:$F$83,$F32,Сценарии!$AC$25:$AC$83,"Индекс потребительских цен")</f>
        <v>0</v>
      </c>
      <c r="AI32" s="931">
        <f ca="1">SUMIFS(Сценарии!AI$25:AI$83,Сценарии!$F$25:$F$83,$F32,Сценарии!$AC$25:$AC$83,"Индекс потребительских цен")</f>
        <v>0</v>
      </c>
      <c r="AJ32" s="931">
        <f ca="1">SUMIFS(Сценарии!AJ$25:AJ$83,Сценарии!$F$25:$F$83,$F32,Сценарии!$AC$25:$AC$83,"Индекс потребительских цен")</f>
        <v>0</v>
      </c>
      <c r="AK32" s="931">
        <f ca="1">SUMIFS(Сценарии!AK$25:AK$83,Сценарии!$F$25:$F$83,$F32,Сценарии!$AC$25:$AC$83,"Индекс потребительских цен")</f>
        <v>0</v>
      </c>
      <c r="AL32" s="931">
        <f ca="1">SUMIFS(Сценарии!AL$25:AL$83,Сценарии!$F$25:$F$83,$F32,Сценарии!$AC$25:$AC$83,"Индекс потребительских цен")</f>
        <v>0</v>
      </c>
      <c r="AM32" s="931">
        <f ca="1">SUMIFS(Сценарии!AM$25:AM$83,Сценарии!$F$25:$F$83,$F32,Сценарии!$AC$25:$AC$83,"Индекс потребительских цен")</f>
        <v>0</v>
      </c>
      <c r="AN32" s="931">
        <f ca="1">SUMIFS(Сценарии!AN$25:AN$83,Сценарии!$F$25:$F$83,$F32,Сценарии!$AC$25:$AC$83,"Индекс потребительских цен")</f>
        <v>0</v>
      </c>
      <c r="AO32" s="931">
        <f ca="1">SUMIFS(Сценарии!AO$25:AO$83,Сценарии!$F$25:$F$83,$F32,Сценарии!$AC$25:$AC$83,"Индекс потребительских цен")</f>
        <v>0</v>
      </c>
      <c r="AP32" s="931">
        <f ca="1">SUMIFS(Сценарии!AP$25:AP$83,Сценарии!$F$25:$F$83,$F32,Сценарии!$AC$25:$AC$83,"Индекс потребительских цен")</f>
        <v>0</v>
      </c>
      <c r="AQ32" s="931">
        <f ca="1">SUMIFS(Сценарии!AQ$25:AQ$83,Сценарии!$F$25:$F$83,$F32,Сценарии!$AC$25:$AC$83,"Индекс потребительских цен")</f>
        <v>0</v>
      </c>
      <c r="AR32" s="931">
        <f ca="1">SUMIFS(Сценарии!AR$25:AR$83,Сценарии!$F$25:$F$83,$F32,Сценарии!$AC$25:$AC$83,"Индекс потребительских цен")</f>
        <v>0</v>
      </c>
      <c r="AS32" s="931">
        <f ca="1">SUMIFS(Сценарии!AS$25:AS$83,Сценарии!$F$25:$F$83,$F32,Сценарии!$AC$25:$AC$83,"Индекс потребительских цен")</f>
        <v>0</v>
      </c>
      <c r="AT32" s="931">
        <f ca="1">SUMIFS(Сценарии!AT$25:AT$83,Сценарии!$F$25:$F$83,$F32,Сценарии!$AC$25:$AC$83,"Индекс потребительских цен")</f>
        <v>0</v>
      </c>
      <c r="AU32" s="931">
        <f ca="1">SUMIFS(Сценарии!AU$25:AU$83,Сценарии!$F$25:$F$83,$F32,Сценарии!$AC$25:$AC$83,"Индекс потребительских цен")</f>
        <v>0</v>
      </c>
      <c r="AV32" s="931">
        <f ca="1">SUMIFS(Сценарии!AV$25:AV$83,Сценарии!$F$25:$F$83,$F32,Сценарии!$AC$25:$AC$83,"Индекс потребительских цен")</f>
        <v>0</v>
      </c>
      <c r="AW32" s="931">
        <f ca="1">SUMIFS(Сценарии!AW$25:AW$83,Сценарии!$F$25:$F$83,$F32,Сценарии!$AC$25:$AC$83,"Индекс потребительских цен")</f>
        <v>0</v>
      </c>
      <c r="AX32" s="931">
        <f ca="1">SUMIFS(Сценарии!AX$25:AX$83,Сценарии!$F$25:$F$83,$F32,Сценарии!$AC$25:$AC$83,"Индекс потребительских цен")</f>
        <v>0</v>
      </c>
      <c r="AY32" s="25"/>
      <c r="BB32" s="992" t="s">
        <v>536</v>
      </c>
    </row>
    <row r="33" spans="1:54" ht="16.5" hidden="1" customHeight="1" x14ac:dyDescent="0.15">
      <c r="E33" s="668">
        <v>17</v>
      </c>
      <c r="F33" s="769" cm="1">
        <f t="array" ref="F33">F32</f>
        <v>0</v>
      </c>
      <c r="T33" s="679" t="b" cm="1">
        <f t="array" ref="T33">T32</f>
        <v>0</v>
      </c>
      <c r="X33" s="1485"/>
      <c r="Z33" s="1485"/>
      <c r="AB33" s="267">
        <v>3</v>
      </c>
      <c r="AC33" s="266" t="s">
        <v>1307</v>
      </c>
      <c r="AD33" s="121"/>
      <c r="AE33" s="322">
        <f ca="1">1+AE32%</f>
        <v>1</v>
      </c>
      <c r="AF33" s="1294">
        <f t="shared" ref="AF33:AN33" ca="1" si="2">AE33*(1+AF32%)</f>
        <v>1</v>
      </c>
      <c r="AG33" s="1294">
        <f t="shared" ca="1" si="2"/>
        <v>1</v>
      </c>
      <c r="AH33" s="63">
        <f t="shared" ca="1" si="2"/>
        <v>1</v>
      </c>
      <c r="AI33" s="63">
        <f t="shared" ca="1" si="2"/>
        <v>1</v>
      </c>
      <c r="AJ33" s="63">
        <f t="shared" ca="1" si="2"/>
        <v>1</v>
      </c>
      <c r="AK33" s="63">
        <f t="shared" ca="1" si="2"/>
        <v>1</v>
      </c>
      <c r="AL33" s="63">
        <f t="shared" ca="1" si="2"/>
        <v>1</v>
      </c>
      <c r="AM33" s="63">
        <f t="shared" ca="1" si="2"/>
        <v>1</v>
      </c>
      <c r="AN33" s="63">
        <f t="shared" ca="1" si="2"/>
        <v>1</v>
      </c>
      <c r="AO33" s="322">
        <f ca="1">1+AO32%</f>
        <v>1</v>
      </c>
      <c r="AP33" s="1294">
        <f t="shared" ref="AP33:AX33" ca="1" si="3">AO33*(1+AP32%)</f>
        <v>1</v>
      </c>
      <c r="AQ33" s="1294">
        <f t="shared" ca="1" si="3"/>
        <v>1</v>
      </c>
      <c r="AR33" s="63">
        <f t="shared" ca="1" si="3"/>
        <v>1</v>
      </c>
      <c r="AS33" s="63">
        <f t="shared" ca="1" si="3"/>
        <v>1</v>
      </c>
      <c r="AT33" s="63">
        <f t="shared" ca="1" si="3"/>
        <v>1</v>
      </c>
      <c r="AU33" s="63">
        <f t="shared" ca="1" si="3"/>
        <v>1</v>
      </c>
      <c r="AV33" s="63">
        <f t="shared" ca="1" si="3"/>
        <v>1</v>
      </c>
      <c r="AW33" s="63">
        <f t="shared" ca="1" si="3"/>
        <v>1</v>
      </c>
      <c r="AX33" s="63">
        <f t="shared" ca="1" si="3"/>
        <v>1</v>
      </c>
      <c r="AY33" s="25"/>
      <c r="BB33" s="992" t="s">
        <v>1308</v>
      </c>
    </row>
    <row r="34" spans="1:54" s="262" customFormat="1" ht="16.5" hidden="1" customHeight="1" x14ac:dyDescent="0.15">
      <c r="E34" s="668">
        <v>17</v>
      </c>
      <c r="F34" s="769" cm="1">
        <f t="array" ref="F34">F33</f>
        <v>0</v>
      </c>
      <c r="G34" s="612" t="s">
        <v>1309</v>
      </c>
      <c r="T34" s="679" t="b" cm="1">
        <f t="array" ref="T34">T33</f>
        <v>0</v>
      </c>
      <c r="X34" s="1578"/>
      <c r="Z34" s="1578"/>
      <c r="AB34" s="268" t="s">
        <v>437</v>
      </c>
      <c r="AC34" s="111" t="s">
        <v>1310</v>
      </c>
      <c r="AD34" s="268" t="s">
        <v>830</v>
      </c>
      <c r="AE34" s="242">
        <f t="shared" ref="AE34:AX34" ca="1" si="4">AE28*AE33</f>
        <v>0</v>
      </c>
      <c r="AF34" s="242">
        <f t="shared" ca="1" si="4"/>
        <v>0</v>
      </c>
      <c r="AG34" s="242">
        <f t="shared" ca="1" si="4"/>
        <v>0</v>
      </c>
      <c r="AH34" s="242">
        <f t="shared" ca="1" si="4"/>
        <v>0</v>
      </c>
      <c r="AI34" s="242">
        <f t="shared" ca="1" si="4"/>
        <v>0</v>
      </c>
      <c r="AJ34" s="242">
        <f t="shared" ca="1" si="4"/>
        <v>0</v>
      </c>
      <c r="AK34" s="242">
        <f t="shared" ca="1" si="4"/>
        <v>0</v>
      </c>
      <c r="AL34" s="242">
        <f t="shared" ca="1" si="4"/>
        <v>0</v>
      </c>
      <c r="AM34" s="242">
        <f t="shared" ca="1" si="4"/>
        <v>0</v>
      </c>
      <c r="AN34" s="242">
        <f t="shared" ca="1" si="4"/>
        <v>0</v>
      </c>
      <c r="AO34" s="242">
        <f t="shared" ca="1" si="4"/>
        <v>0</v>
      </c>
      <c r="AP34" s="242">
        <f t="shared" ca="1" si="4"/>
        <v>0</v>
      </c>
      <c r="AQ34" s="242">
        <f t="shared" ca="1" si="4"/>
        <v>0</v>
      </c>
      <c r="AR34" s="242">
        <f t="shared" ca="1" si="4"/>
        <v>0</v>
      </c>
      <c r="AS34" s="242">
        <f t="shared" ca="1" si="4"/>
        <v>0</v>
      </c>
      <c r="AT34" s="242">
        <f t="shared" ca="1" si="4"/>
        <v>0</v>
      </c>
      <c r="AU34" s="242">
        <f t="shared" ca="1" si="4"/>
        <v>0</v>
      </c>
      <c r="AV34" s="242">
        <f t="shared" ca="1" si="4"/>
        <v>0</v>
      </c>
      <c r="AW34" s="242">
        <f t="shared" ca="1" si="4"/>
        <v>0</v>
      </c>
      <c r="AX34" s="242">
        <f t="shared" ca="1" si="4"/>
        <v>0</v>
      </c>
      <c r="AY34" s="25"/>
      <c r="BB34" s="992" t="s">
        <v>1311</v>
      </c>
    </row>
    <row r="35" spans="1:54" s="1167" customFormat="1" ht="16.5" customHeight="1" x14ac:dyDescent="0.15">
      <c r="A35" s="1152"/>
      <c r="B35" s="773"/>
      <c r="C35" s="1152"/>
      <c r="D35" s="1152"/>
      <c r="E35" s="668">
        <v>17</v>
      </c>
      <c r="F35" s="769" t="str" cm="1">
        <f t="array" ref="F35">X35</f>
        <v>1</v>
      </c>
      <c r="G35" s="417"/>
      <c r="H35" s="417"/>
      <c r="I35" s="417"/>
      <c r="J35" s="417"/>
      <c r="K35" s="417"/>
      <c r="L35" s="417"/>
      <c r="M35" s="417"/>
      <c r="N35" s="417"/>
      <c r="O35" s="417"/>
      <c r="P35" s="417"/>
      <c r="Q35" s="774"/>
      <c r="R35" s="774"/>
      <c r="S35" s="417"/>
      <c r="T35" s="679" t="b">
        <f>X35&gt;0</f>
        <v>1</v>
      </c>
      <c r="U35" s="1152"/>
      <c r="V35" s="123" t="str" cm="1">
        <f t="array" ref="V35">Налоги!$AB$41</f>
        <v>Тариф 1 (Теплоснабжение) - Тариф на тепловую энергию (мощность), поставляемую потребителям (Не определено)</v>
      </c>
      <c r="W35" s="1152"/>
      <c r="X35" s="1485" t="s">
        <v>339</v>
      </c>
      <c r="Y35" s="1152"/>
      <c r="Z35" s="1485"/>
      <c r="AA35" s="167"/>
      <c r="AB35" s="263" t="str" cm="1">
        <f t="array" ref="AB35">IF(ISBLANK(Налоги!$AB$41),"",Налоги!$AB$41)</f>
        <v>Тариф 1 (Теплоснабжение) - Тариф на тепловую энергию (мощность), поставляемую потребителям (Не определено)</v>
      </c>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167"/>
      <c r="BA35" s="167"/>
      <c r="BB35" s="992"/>
    </row>
    <row r="36" spans="1:54" s="1295" customFormat="1" ht="16.5" customHeight="1" x14ac:dyDescent="0.15">
      <c r="A36" s="262"/>
      <c r="B36" s="262"/>
      <c r="C36" s="262"/>
      <c r="D36" s="262"/>
      <c r="E36" s="668">
        <v>17</v>
      </c>
      <c r="F36" s="769" t="str" cm="1">
        <f t="array" ref="F36">F35</f>
        <v>1</v>
      </c>
      <c r="G36" s="262"/>
      <c r="H36" s="262"/>
      <c r="I36" s="262"/>
      <c r="J36" s="262"/>
      <c r="K36" s="262"/>
      <c r="L36" s="262"/>
      <c r="M36" s="262"/>
      <c r="N36" s="262"/>
      <c r="O36" s="262"/>
      <c r="P36" s="262"/>
      <c r="Q36" s="262"/>
      <c r="R36" s="262"/>
      <c r="S36" s="262"/>
      <c r="T36" s="679" t="b" cm="1">
        <f t="array" ref="T36">T35</f>
        <v>1</v>
      </c>
      <c r="U36" s="262"/>
      <c r="V36" s="262"/>
      <c r="W36" s="262"/>
      <c r="X36" s="1578"/>
      <c r="Y36" s="262"/>
      <c r="Z36" s="1578"/>
      <c r="AA36" s="262"/>
      <c r="AB36" s="268" t="s">
        <v>339</v>
      </c>
      <c r="AC36" s="111" t="s">
        <v>1298</v>
      </c>
      <c r="AD36" s="268" t="s">
        <v>830</v>
      </c>
      <c r="AE36" s="242">
        <f t="shared" ref="AE36:AX36" si="5">AE37+AE38+AE39</f>
        <v>0</v>
      </c>
      <c r="AF36" s="269">
        <f t="shared" si="5"/>
        <v>0</v>
      </c>
      <c r="AG36" s="269">
        <f t="shared" si="5"/>
        <v>0</v>
      </c>
      <c r="AH36" s="269">
        <f t="shared" si="5"/>
        <v>0</v>
      </c>
      <c r="AI36" s="269">
        <f t="shared" si="5"/>
        <v>0</v>
      </c>
      <c r="AJ36" s="269">
        <f t="shared" si="5"/>
        <v>0</v>
      </c>
      <c r="AK36" s="269">
        <f t="shared" si="5"/>
        <v>0</v>
      </c>
      <c r="AL36" s="269">
        <f t="shared" si="5"/>
        <v>0</v>
      </c>
      <c r="AM36" s="269">
        <f t="shared" si="5"/>
        <v>0</v>
      </c>
      <c r="AN36" s="269">
        <f t="shared" si="5"/>
        <v>0</v>
      </c>
      <c r="AO36" s="242">
        <f t="shared" si="5"/>
        <v>0</v>
      </c>
      <c r="AP36" s="269">
        <f t="shared" si="5"/>
        <v>0</v>
      </c>
      <c r="AQ36" s="269">
        <f t="shared" si="5"/>
        <v>0</v>
      </c>
      <c r="AR36" s="269">
        <f t="shared" si="5"/>
        <v>0</v>
      </c>
      <c r="AS36" s="269">
        <f t="shared" si="5"/>
        <v>0</v>
      </c>
      <c r="AT36" s="269">
        <f t="shared" si="5"/>
        <v>0</v>
      </c>
      <c r="AU36" s="269">
        <f t="shared" si="5"/>
        <v>0</v>
      </c>
      <c r="AV36" s="269">
        <f t="shared" si="5"/>
        <v>0</v>
      </c>
      <c r="AW36" s="269">
        <f t="shared" si="5"/>
        <v>0</v>
      </c>
      <c r="AX36" s="269">
        <f t="shared" si="5"/>
        <v>0</v>
      </c>
      <c r="AY36" s="1231"/>
      <c r="AZ36" s="262"/>
      <c r="BA36" s="262"/>
      <c r="BB36" s="992" t="s">
        <v>1299</v>
      </c>
    </row>
    <row r="37" spans="1:54" s="1167" customFormat="1" ht="16.5" customHeight="1" x14ac:dyDescent="0.15">
      <c r="A37" s="1152"/>
      <c r="B37" s="773"/>
      <c r="C37" s="1152"/>
      <c r="D37" s="1152"/>
      <c r="E37" s="668">
        <v>17</v>
      </c>
      <c r="F37" s="769" t="str" cm="1">
        <f t="array" ref="F37">F36</f>
        <v>1</v>
      </c>
      <c r="G37" s="417"/>
      <c r="H37" s="417"/>
      <c r="I37" s="417"/>
      <c r="J37" s="417"/>
      <c r="K37" s="417"/>
      <c r="L37" s="417"/>
      <c r="M37" s="417"/>
      <c r="N37" s="417"/>
      <c r="O37" s="417"/>
      <c r="P37" s="417"/>
      <c r="Q37" s="774"/>
      <c r="R37" s="774"/>
      <c r="S37" s="417"/>
      <c r="T37" s="679" t="b" cm="1">
        <f t="array" ref="T37">T36</f>
        <v>1</v>
      </c>
      <c r="U37" s="1152"/>
      <c r="V37" s="1152"/>
      <c r="W37" s="1152"/>
      <c r="X37" s="1485"/>
      <c r="Y37" s="1152"/>
      <c r="Z37" s="1485"/>
      <c r="AA37" s="167"/>
      <c r="AB37" s="121" t="s">
        <v>473</v>
      </c>
      <c r="AC37" s="112" t="s">
        <v>1300</v>
      </c>
      <c r="AD37" s="121" t="s">
        <v>830</v>
      </c>
      <c r="AE37" s="244"/>
      <c r="AF37" s="1293"/>
      <c r="AG37" s="1293"/>
      <c r="AH37" s="1296"/>
      <c r="AI37" s="1296"/>
      <c r="AJ37" s="1296"/>
      <c r="AK37" s="1296"/>
      <c r="AL37" s="1296"/>
      <c r="AM37" s="1296"/>
      <c r="AN37" s="1296"/>
      <c r="AO37" s="244"/>
      <c r="AP37" s="1293"/>
      <c r="AQ37" s="1293"/>
      <c r="AR37" s="1296"/>
      <c r="AS37" s="1296"/>
      <c r="AT37" s="1296"/>
      <c r="AU37" s="1296"/>
      <c r="AV37" s="1296"/>
      <c r="AW37" s="1296"/>
      <c r="AX37" s="1296"/>
      <c r="AY37" s="1231"/>
      <c r="AZ37" s="167"/>
      <c r="BA37" s="167"/>
      <c r="BB37" s="992" t="s">
        <v>1301</v>
      </c>
    </row>
    <row r="38" spans="1:54" s="1167" customFormat="1" ht="16.5" customHeight="1" x14ac:dyDescent="0.15">
      <c r="A38" s="1152"/>
      <c r="B38" s="773"/>
      <c r="C38" s="1152"/>
      <c r="D38" s="1152"/>
      <c r="E38" s="668">
        <v>17</v>
      </c>
      <c r="F38" s="769" t="str" cm="1">
        <f t="array" ref="F38">F37</f>
        <v>1</v>
      </c>
      <c r="G38" s="417"/>
      <c r="H38" s="417"/>
      <c r="I38" s="417"/>
      <c r="J38" s="417"/>
      <c r="K38" s="417"/>
      <c r="L38" s="417"/>
      <c r="M38" s="417"/>
      <c r="N38" s="417"/>
      <c r="O38" s="417"/>
      <c r="P38" s="417"/>
      <c r="Q38" s="774"/>
      <c r="R38" s="774"/>
      <c r="S38" s="417"/>
      <c r="T38" s="679" t="b" cm="1">
        <f t="array" ref="T38">T37</f>
        <v>1</v>
      </c>
      <c r="U38" s="1152"/>
      <c r="V38" s="1152"/>
      <c r="W38" s="1152"/>
      <c r="X38" s="1485"/>
      <c r="Y38" s="1152"/>
      <c r="Z38" s="1485"/>
      <c r="AA38" s="167"/>
      <c r="AB38" s="121" t="s">
        <v>955</v>
      </c>
      <c r="AC38" s="112" t="s">
        <v>1302</v>
      </c>
      <c r="AD38" s="121" t="s">
        <v>830</v>
      </c>
      <c r="AE38" s="244"/>
      <c r="AF38" s="1293"/>
      <c r="AG38" s="1293"/>
      <c r="AH38" s="1296"/>
      <c r="AI38" s="1296"/>
      <c r="AJ38" s="1296"/>
      <c r="AK38" s="1296"/>
      <c r="AL38" s="1296"/>
      <c r="AM38" s="1296"/>
      <c r="AN38" s="1296"/>
      <c r="AO38" s="244"/>
      <c r="AP38" s="1293"/>
      <c r="AQ38" s="1293"/>
      <c r="AR38" s="1296"/>
      <c r="AS38" s="1296"/>
      <c r="AT38" s="1296"/>
      <c r="AU38" s="1296"/>
      <c r="AV38" s="1296"/>
      <c r="AW38" s="1296"/>
      <c r="AX38" s="1296"/>
      <c r="AY38" s="1231"/>
      <c r="AZ38" s="167"/>
      <c r="BA38" s="167"/>
      <c r="BB38" s="992" t="s">
        <v>1303</v>
      </c>
    </row>
    <row r="39" spans="1:54" s="1167" customFormat="1" ht="33" customHeight="1" x14ac:dyDescent="0.15">
      <c r="A39" s="1152"/>
      <c r="B39" s="773"/>
      <c r="C39" s="1152"/>
      <c r="D39" s="1152"/>
      <c r="E39" s="668">
        <v>34.200000000000003</v>
      </c>
      <c r="F39" s="769" t="str" cm="1">
        <f t="array" ref="F39">F38</f>
        <v>1</v>
      </c>
      <c r="G39" s="417"/>
      <c r="H39" s="417"/>
      <c r="I39" s="417"/>
      <c r="J39" s="417"/>
      <c r="K39" s="417"/>
      <c r="L39" s="417"/>
      <c r="M39" s="417"/>
      <c r="N39" s="417"/>
      <c r="O39" s="417"/>
      <c r="P39" s="417"/>
      <c r="Q39" s="774"/>
      <c r="R39" s="774"/>
      <c r="S39" s="417"/>
      <c r="T39" s="679" t="b" cm="1">
        <f t="array" ref="T39">T38</f>
        <v>1</v>
      </c>
      <c r="U39" s="1152"/>
      <c r="V39" s="1152"/>
      <c r="W39" s="1152"/>
      <c r="X39" s="1485"/>
      <c r="Y39" s="1152"/>
      <c r="Z39" s="1485"/>
      <c r="AA39" s="167"/>
      <c r="AB39" s="121" t="s">
        <v>957</v>
      </c>
      <c r="AC39" s="112" t="s">
        <v>1304</v>
      </c>
      <c r="AD39" s="121" t="s">
        <v>830</v>
      </c>
      <c r="AE39" s="244"/>
      <c r="AF39" s="1293"/>
      <c r="AG39" s="1293"/>
      <c r="AH39" s="1296"/>
      <c r="AI39" s="1296"/>
      <c r="AJ39" s="1296"/>
      <c r="AK39" s="1296"/>
      <c r="AL39" s="1296"/>
      <c r="AM39" s="1296"/>
      <c r="AN39" s="1296"/>
      <c r="AO39" s="244"/>
      <c r="AP39" s="1293"/>
      <c r="AQ39" s="1293"/>
      <c r="AR39" s="1296"/>
      <c r="AS39" s="1296"/>
      <c r="AT39" s="1296"/>
      <c r="AU39" s="1296"/>
      <c r="AV39" s="1296"/>
      <c r="AW39" s="1296"/>
      <c r="AX39" s="1296"/>
      <c r="AY39" s="1231"/>
      <c r="AZ39" s="167"/>
      <c r="BA39" s="167"/>
      <c r="BB39" s="992" t="s">
        <v>1305</v>
      </c>
    </row>
    <row r="40" spans="1:54" s="1167" customFormat="1" ht="16.5" customHeight="1" x14ac:dyDescent="0.15">
      <c r="A40" s="1152"/>
      <c r="B40" s="773"/>
      <c r="C40" s="1152"/>
      <c r="D40" s="1152"/>
      <c r="E40" s="668">
        <v>17</v>
      </c>
      <c r="F40" s="769" t="str" cm="1">
        <f t="array" ref="F40">F39</f>
        <v>1</v>
      </c>
      <c r="G40" s="417"/>
      <c r="H40" s="417"/>
      <c r="I40" s="417"/>
      <c r="J40" s="417"/>
      <c r="K40" s="417"/>
      <c r="L40" s="417"/>
      <c r="M40" s="417"/>
      <c r="N40" s="417"/>
      <c r="O40" s="417"/>
      <c r="P40" s="417"/>
      <c r="Q40" s="774"/>
      <c r="R40" s="774"/>
      <c r="S40" s="417"/>
      <c r="T40" s="679" t="b" cm="1">
        <f t="array" ref="T40">T39</f>
        <v>1</v>
      </c>
      <c r="U40" s="1152"/>
      <c r="V40" s="1152"/>
      <c r="W40" s="1152"/>
      <c r="X40" s="1485"/>
      <c r="Y40" s="1152"/>
      <c r="Z40" s="1485"/>
      <c r="AA40" s="167"/>
      <c r="AB40" s="121" t="s">
        <v>426</v>
      </c>
      <c r="AC40" s="266" t="s">
        <v>1306</v>
      </c>
      <c r="AD40" s="121" t="s">
        <v>521</v>
      </c>
      <c r="AE40" s="931">
        <f ca="1">SUMIFS(Сценарии!AE$25:AE$83,Сценарии!$F$25:$F$83,$F40,Сценарии!$AC$25:$AC$83,"Индекс потребительских цен")</f>
        <v>5.0999999999999996</v>
      </c>
      <c r="AF40" s="931">
        <f ca="1">SUMIFS(Сценарии!AF$25:AF$83,Сценарии!$F$25:$F$83,$F40,Сценарии!$AC$25:$AC$83,"Индекс потребительских цен")</f>
        <v>0</v>
      </c>
      <c r="AG40" s="931">
        <f ca="1">SUMIFS(Сценарии!AG$25:AG$83,Сценарии!$F$25:$F$83,$F40,Сценарии!$AC$25:$AC$83,"Индекс потребительских цен")</f>
        <v>0</v>
      </c>
      <c r="AH40" s="931">
        <f ca="1">SUMIFS(Сценарии!AH$25:AH$83,Сценарии!$F$25:$F$83,$F40,Сценарии!$AC$25:$AC$83,"Индекс потребительских цен")</f>
        <v>0</v>
      </c>
      <c r="AI40" s="931">
        <f ca="1">SUMIFS(Сценарии!AI$25:AI$83,Сценарии!$F$25:$F$83,$F40,Сценарии!$AC$25:$AC$83,"Индекс потребительских цен")</f>
        <v>0</v>
      </c>
      <c r="AJ40" s="931">
        <f ca="1">SUMIFS(Сценарии!AJ$25:AJ$83,Сценарии!$F$25:$F$83,$F40,Сценарии!$AC$25:$AC$83,"Индекс потребительских цен")</f>
        <v>0</v>
      </c>
      <c r="AK40" s="931">
        <f ca="1">SUMIFS(Сценарии!AK$25:AK$83,Сценарии!$F$25:$F$83,$F40,Сценарии!$AC$25:$AC$83,"Индекс потребительских цен")</f>
        <v>0</v>
      </c>
      <c r="AL40" s="931">
        <f ca="1">SUMIFS(Сценарии!AL$25:AL$83,Сценарии!$F$25:$F$83,$F40,Сценарии!$AC$25:$AC$83,"Индекс потребительских цен")</f>
        <v>0</v>
      </c>
      <c r="AM40" s="931">
        <f ca="1">SUMIFS(Сценарии!AM$25:AM$83,Сценарии!$F$25:$F$83,$F40,Сценарии!$AC$25:$AC$83,"Индекс потребительских цен")</f>
        <v>0</v>
      </c>
      <c r="AN40" s="931">
        <f ca="1">SUMIFS(Сценарии!AN$25:AN$83,Сценарии!$F$25:$F$83,$F40,Сценарии!$AC$25:$AC$83,"Индекс потребительских цен")</f>
        <v>0</v>
      </c>
      <c r="AO40" s="931">
        <f ca="1">SUMIFS(Сценарии!AO$25:AO$83,Сценарии!$F$25:$F$83,$F40,Сценарии!$AC$25:$AC$83,"Индекс потребительских цен")</f>
        <v>5.0999999999999996</v>
      </c>
      <c r="AP40" s="931">
        <f ca="1">SUMIFS(Сценарии!AP$25:AP$83,Сценарии!$F$25:$F$83,$F40,Сценарии!$AC$25:$AC$83,"Индекс потребительских цен")</f>
        <v>0</v>
      </c>
      <c r="AQ40" s="931">
        <f ca="1">SUMIFS(Сценарии!AQ$25:AQ$83,Сценарии!$F$25:$F$83,$F40,Сценарии!$AC$25:$AC$83,"Индекс потребительских цен")</f>
        <v>0</v>
      </c>
      <c r="AR40" s="931">
        <f ca="1">SUMIFS(Сценарии!AR$25:AR$83,Сценарии!$F$25:$F$83,$F40,Сценарии!$AC$25:$AC$83,"Индекс потребительских цен")</f>
        <v>0</v>
      </c>
      <c r="AS40" s="931">
        <f ca="1">SUMIFS(Сценарии!AS$25:AS$83,Сценарии!$F$25:$F$83,$F40,Сценарии!$AC$25:$AC$83,"Индекс потребительских цен")</f>
        <v>0</v>
      </c>
      <c r="AT40" s="931">
        <f ca="1">SUMIFS(Сценарии!AT$25:AT$83,Сценарии!$F$25:$F$83,$F40,Сценарии!$AC$25:$AC$83,"Индекс потребительских цен")</f>
        <v>0</v>
      </c>
      <c r="AU40" s="931">
        <f ca="1">SUMIFS(Сценарии!AU$25:AU$83,Сценарии!$F$25:$F$83,$F40,Сценарии!$AC$25:$AC$83,"Индекс потребительских цен")</f>
        <v>0</v>
      </c>
      <c r="AV40" s="931">
        <f ca="1">SUMIFS(Сценарии!AV$25:AV$83,Сценарии!$F$25:$F$83,$F40,Сценарии!$AC$25:$AC$83,"Индекс потребительских цен")</f>
        <v>0</v>
      </c>
      <c r="AW40" s="931">
        <f ca="1">SUMIFS(Сценарии!AW$25:AW$83,Сценарии!$F$25:$F$83,$F40,Сценарии!$AC$25:$AC$83,"Индекс потребительских цен")</f>
        <v>0</v>
      </c>
      <c r="AX40" s="931">
        <f ca="1">SUMIFS(Сценарии!AX$25:AX$83,Сценарии!$F$25:$F$83,$F40,Сценарии!$AC$25:$AC$83,"Индекс потребительских цен")</f>
        <v>0</v>
      </c>
      <c r="AY40" s="1231"/>
      <c r="AZ40" s="167"/>
      <c r="BA40" s="167"/>
      <c r="BB40" s="992" t="s">
        <v>536</v>
      </c>
    </row>
    <row r="41" spans="1:54" s="1167" customFormat="1" ht="16.5" customHeight="1" x14ac:dyDescent="0.15">
      <c r="A41" s="1152"/>
      <c r="B41" s="773"/>
      <c r="C41" s="1152"/>
      <c r="D41" s="1152"/>
      <c r="E41" s="668">
        <v>17</v>
      </c>
      <c r="F41" s="769" t="str" cm="1">
        <f t="array" ref="F41">F40</f>
        <v>1</v>
      </c>
      <c r="G41" s="417"/>
      <c r="H41" s="417"/>
      <c r="I41" s="417"/>
      <c r="J41" s="417"/>
      <c r="K41" s="417"/>
      <c r="L41" s="417"/>
      <c r="M41" s="417"/>
      <c r="N41" s="417"/>
      <c r="O41" s="417"/>
      <c r="P41" s="417"/>
      <c r="Q41" s="774"/>
      <c r="R41" s="774"/>
      <c r="S41" s="417"/>
      <c r="T41" s="679" t="b" cm="1">
        <f t="array" ref="T41">T40</f>
        <v>1</v>
      </c>
      <c r="U41" s="1152"/>
      <c r="V41" s="1152"/>
      <c r="W41" s="1152"/>
      <c r="X41" s="1485"/>
      <c r="Y41" s="1152"/>
      <c r="Z41" s="1485"/>
      <c r="AA41" s="167"/>
      <c r="AB41" s="267">
        <v>3</v>
      </c>
      <c r="AC41" s="266" t="s">
        <v>1307</v>
      </c>
      <c r="AD41" s="121"/>
      <c r="AE41" s="322">
        <f ca="1">1+AE40%</f>
        <v>1.0509999999999999</v>
      </c>
      <c r="AF41" s="1294">
        <f t="shared" ref="AF41:AN41" ca="1" si="6">AE41*(1+AF40%)</f>
        <v>1.0509999999999999</v>
      </c>
      <c r="AG41" s="1294">
        <f t="shared" ca="1" si="6"/>
        <v>1.0509999999999999</v>
      </c>
      <c r="AH41" s="1297">
        <f t="shared" ca="1" si="6"/>
        <v>1.0509999999999999</v>
      </c>
      <c r="AI41" s="1297">
        <f t="shared" ca="1" si="6"/>
        <v>1.0509999999999999</v>
      </c>
      <c r="AJ41" s="1297">
        <f t="shared" ca="1" si="6"/>
        <v>1.0509999999999999</v>
      </c>
      <c r="AK41" s="1297">
        <f t="shared" ca="1" si="6"/>
        <v>1.0509999999999999</v>
      </c>
      <c r="AL41" s="1297">
        <f t="shared" ca="1" si="6"/>
        <v>1.0509999999999999</v>
      </c>
      <c r="AM41" s="1297">
        <f t="shared" ca="1" si="6"/>
        <v>1.0509999999999999</v>
      </c>
      <c r="AN41" s="1297">
        <f t="shared" ca="1" si="6"/>
        <v>1.0509999999999999</v>
      </c>
      <c r="AO41" s="322">
        <f ca="1">1+AO40%</f>
        <v>1.0509999999999999</v>
      </c>
      <c r="AP41" s="1294">
        <f t="shared" ref="AP41:AX41" ca="1" si="7">AO41*(1+AP40%)</f>
        <v>1.0509999999999999</v>
      </c>
      <c r="AQ41" s="1294">
        <f t="shared" ca="1" si="7"/>
        <v>1.0509999999999999</v>
      </c>
      <c r="AR41" s="1297">
        <f t="shared" ca="1" si="7"/>
        <v>1.0509999999999999</v>
      </c>
      <c r="AS41" s="1297">
        <f t="shared" ca="1" si="7"/>
        <v>1.0509999999999999</v>
      </c>
      <c r="AT41" s="1297">
        <f t="shared" ca="1" si="7"/>
        <v>1.0509999999999999</v>
      </c>
      <c r="AU41" s="1297">
        <f t="shared" ca="1" si="7"/>
        <v>1.0509999999999999</v>
      </c>
      <c r="AV41" s="1297">
        <f t="shared" ca="1" si="7"/>
        <v>1.0509999999999999</v>
      </c>
      <c r="AW41" s="1297">
        <f t="shared" ca="1" si="7"/>
        <v>1.0509999999999999</v>
      </c>
      <c r="AX41" s="1297">
        <f t="shared" ca="1" si="7"/>
        <v>1.0509999999999999</v>
      </c>
      <c r="AY41" s="1231"/>
      <c r="AZ41" s="167"/>
      <c r="BA41" s="167"/>
      <c r="BB41" s="992" t="s">
        <v>1308</v>
      </c>
    </row>
    <row r="42" spans="1:54" s="1298" customFormat="1" ht="16.5" customHeight="1" x14ac:dyDescent="0.15">
      <c r="A42" s="262"/>
      <c r="B42" s="262"/>
      <c r="C42" s="262"/>
      <c r="D42" s="262"/>
      <c r="E42" s="668">
        <v>17</v>
      </c>
      <c r="F42" s="769" t="str" cm="1">
        <f t="array" ref="F42">F41</f>
        <v>1</v>
      </c>
      <c r="G42" s="612" t="s">
        <v>1309</v>
      </c>
      <c r="H42" s="262"/>
      <c r="I42" s="262"/>
      <c r="J42" s="262"/>
      <c r="K42" s="262"/>
      <c r="L42" s="262"/>
      <c r="M42" s="262"/>
      <c r="N42" s="262"/>
      <c r="O42" s="262"/>
      <c r="P42" s="262"/>
      <c r="Q42" s="262"/>
      <c r="R42" s="262"/>
      <c r="S42" s="262"/>
      <c r="T42" s="679" t="b" cm="1">
        <f t="array" ref="T42">T41</f>
        <v>1</v>
      </c>
      <c r="U42" s="262"/>
      <c r="V42" s="262"/>
      <c r="W42" s="262"/>
      <c r="X42" s="1578"/>
      <c r="Y42" s="262"/>
      <c r="Z42" s="1578"/>
      <c r="AA42" s="262"/>
      <c r="AB42" s="268" t="s">
        <v>437</v>
      </c>
      <c r="AC42" s="111" t="s">
        <v>1310</v>
      </c>
      <c r="AD42" s="268" t="s">
        <v>830</v>
      </c>
      <c r="AE42" s="242">
        <f t="shared" ref="AE42:AX42" ca="1" si="8">AE36*AE41</f>
        <v>0</v>
      </c>
      <c r="AF42" s="242">
        <f t="shared" ca="1" si="8"/>
        <v>0</v>
      </c>
      <c r="AG42" s="242">
        <f t="shared" ca="1" si="8"/>
        <v>0</v>
      </c>
      <c r="AH42" s="242">
        <f t="shared" ca="1" si="8"/>
        <v>0</v>
      </c>
      <c r="AI42" s="242">
        <f t="shared" ca="1" si="8"/>
        <v>0</v>
      </c>
      <c r="AJ42" s="242">
        <f t="shared" ca="1" si="8"/>
        <v>0</v>
      </c>
      <c r="AK42" s="242">
        <f t="shared" ca="1" si="8"/>
        <v>0</v>
      </c>
      <c r="AL42" s="242">
        <f t="shared" ca="1" si="8"/>
        <v>0</v>
      </c>
      <c r="AM42" s="242">
        <f t="shared" ca="1" si="8"/>
        <v>0</v>
      </c>
      <c r="AN42" s="242">
        <f t="shared" ca="1" si="8"/>
        <v>0</v>
      </c>
      <c r="AO42" s="242">
        <f t="shared" ca="1" si="8"/>
        <v>0</v>
      </c>
      <c r="AP42" s="242">
        <f t="shared" ca="1" si="8"/>
        <v>0</v>
      </c>
      <c r="AQ42" s="242">
        <f t="shared" ca="1" si="8"/>
        <v>0</v>
      </c>
      <c r="AR42" s="242">
        <f t="shared" ca="1" si="8"/>
        <v>0</v>
      </c>
      <c r="AS42" s="242">
        <f t="shared" ca="1" si="8"/>
        <v>0</v>
      </c>
      <c r="AT42" s="242">
        <f t="shared" ca="1" si="8"/>
        <v>0</v>
      </c>
      <c r="AU42" s="242">
        <f t="shared" ca="1" si="8"/>
        <v>0</v>
      </c>
      <c r="AV42" s="242">
        <f t="shared" ca="1" si="8"/>
        <v>0</v>
      </c>
      <c r="AW42" s="242">
        <f t="shared" ca="1" si="8"/>
        <v>0</v>
      </c>
      <c r="AX42" s="242">
        <f t="shared" ca="1" si="8"/>
        <v>0</v>
      </c>
      <c r="AY42" s="1231"/>
      <c r="AZ42" s="262"/>
      <c r="BA42" s="262"/>
      <c r="BB42" s="992" t="s">
        <v>1311</v>
      </c>
    </row>
    <row r="43" spans="1:54" ht="11.1" customHeight="1" x14ac:dyDescent="0.15">
      <c r="E43" s="668">
        <v>11.4</v>
      </c>
      <c r="U43" s="126" t="s">
        <v>239</v>
      </c>
      <c r="V43" s="119" t="s">
        <v>1312</v>
      </c>
    </row>
    <row r="44" spans="1:54" ht="11.25" hidden="1" customHeight="1" x14ac:dyDescent="0.15">
      <c r="E44" s="668">
        <v>0</v>
      </c>
    </row>
    <row r="45" spans="1:54" ht="14.65" customHeight="1" x14ac:dyDescent="0.15">
      <c r="E45" s="668">
        <v>15</v>
      </c>
      <c r="AB45" s="1558" t="s">
        <v>725</v>
      </c>
      <c r="AC45" s="1558"/>
      <c r="AD45" s="1558"/>
      <c r="AE45" s="1558"/>
      <c r="AF45" s="1558"/>
      <c r="AG45" s="1558"/>
      <c r="AH45" s="1558"/>
      <c r="AI45" s="1558"/>
      <c r="AJ45" s="1558"/>
      <c r="AK45" s="1558"/>
      <c r="AL45" s="1558"/>
      <c r="AM45" s="1558"/>
      <c r="AN45" s="1558"/>
      <c r="AO45" s="1558"/>
      <c r="AP45" s="1558"/>
      <c r="AQ45" s="1558"/>
      <c r="AR45" s="1558"/>
      <c r="AS45" s="1558"/>
      <c r="AT45" s="1558"/>
      <c r="AU45" s="1558"/>
      <c r="AV45" s="1558"/>
      <c r="AW45" s="1558"/>
      <c r="AX45" s="1559"/>
      <c r="AY45" s="1559"/>
    </row>
    <row r="46" spans="1:54" ht="14.65" customHeight="1" x14ac:dyDescent="0.15">
      <c r="E46" s="668">
        <v>15</v>
      </c>
      <c r="AA46" s="768"/>
      <c r="AB46" s="1579"/>
      <c r="AC46" s="1576"/>
      <c r="AD46" s="1576"/>
      <c r="AE46" s="1576"/>
      <c r="AF46" s="1576"/>
      <c r="AG46" s="1576"/>
      <c r="AH46" s="1576"/>
      <c r="AI46" s="1576"/>
      <c r="AJ46" s="1576"/>
      <c r="AK46" s="1576"/>
      <c r="AL46" s="1576"/>
      <c r="AM46" s="1576"/>
      <c r="AN46" s="1576"/>
      <c r="AO46" s="1576"/>
      <c r="AP46" s="1576"/>
      <c r="AQ46" s="1576"/>
      <c r="AR46" s="1576"/>
      <c r="AS46" s="1576"/>
      <c r="AT46" s="1576"/>
      <c r="AU46" s="1576"/>
      <c r="AV46" s="1576"/>
      <c r="AW46" s="1576"/>
      <c r="AX46" s="1577"/>
      <c r="AY46" s="1577"/>
    </row>
    <row r="47" spans="1:54" ht="14.65" hidden="1" customHeight="1" x14ac:dyDescent="0.15">
      <c r="E47" s="668">
        <v>15</v>
      </c>
      <c r="T47" s="679" t="b">
        <f>ROW(W47)&gt;ROW(W$47)</f>
        <v>0</v>
      </c>
      <c r="W47" s="123" t="s">
        <v>237</v>
      </c>
      <c r="AA47" s="764" t="s">
        <v>218</v>
      </c>
      <c r="AB47" s="1575"/>
      <c r="AC47" s="1576"/>
      <c r="AD47" s="1576"/>
      <c r="AE47" s="1576"/>
      <c r="AF47" s="1576"/>
      <c r="AG47" s="1576"/>
      <c r="AH47" s="1576"/>
      <c r="AI47" s="1576"/>
      <c r="AJ47" s="1576"/>
      <c r="AK47" s="1576"/>
      <c r="AL47" s="1576"/>
      <c r="AM47" s="1576"/>
      <c r="AN47" s="1576"/>
      <c r="AO47" s="1576"/>
      <c r="AP47" s="1576"/>
      <c r="AQ47" s="1576"/>
      <c r="AR47" s="1576"/>
      <c r="AS47" s="1576"/>
      <c r="AT47" s="1576"/>
      <c r="AU47" s="1576"/>
      <c r="AV47" s="1576"/>
      <c r="AW47" s="1576"/>
      <c r="AX47" s="1577"/>
      <c r="AY47" s="1577"/>
    </row>
    <row r="48" spans="1:54" ht="14.65" customHeight="1" x14ac:dyDescent="0.15">
      <c r="E48" s="668">
        <v>15</v>
      </c>
      <c r="W48" s="119" t="s">
        <v>238</v>
      </c>
      <c r="AA48" s="160"/>
      <c r="AB48" s="1500" t="s">
        <v>726</v>
      </c>
      <c r="AC48" s="1501"/>
      <c r="AD48" s="317"/>
      <c r="AE48" s="317"/>
      <c r="AF48" s="317"/>
      <c r="AG48" s="317"/>
      <c r="AH48" s="317"/>
      <c r="AI48" s="317"/>
      <c r="AJ48" s="317"/>
      <c r="AK48" s="317"/>
      <c r="AL48" s="317"/>
      <c r="AM48" s="317"/>
      <c r="AN48" s="317"/>
      <c r="AO48" s="317"/>
      <c r="AP48" s="317"/>
      <c r="AQ48" s="317"/>
      <c r="AR48" s="317"/>
      <c r="AS48" s="317"/>
      <c r="AT48" s="317"/>
      <c r="AU48" s="317"/>
      <c r="AV48" s="317"/>
      <c r="AW48" s="317"/>
      <c r="AX48" s="317"/>
      <c r="AY48" s="290"/>
    </row>
    <row r="49" spans="52:52" ht="11.25" customHeight="1" x14ac:dyDescent="0.15">
      <c r="AZ49" s="148"/>
    </row>
  </sheetData>
  <sheetProtection formatColumns="0" formatRows="0" insertRows="0" deleteColumns="0" deleteRows="0" sort="0" autoFilter="0"/>
  <mergeCells count="12">
    <mergeCell ref="Z27:Z34"/>
    <mergeCell ref="X27:X34"/>
    <mergeCell ref="AB48:AC48"/>
    <mergeCell ref="AB45:AY45"/>
    <mergeCell ref="AB46:AY46"/>
    <mergeCell ref="Z35:Z42"/>
    <mergeCell ref="X35:X42"/>
    <mergeCell ref="AB24:AB25"/>
    <mergeCell ref="AC24:AC25"/>
    <mergeCell ref="AD24:AD25"/>
    <mergeCell ref="AY24:AY25"/>
    <mergeCell ref="AB47:AY47"/>
  </mergeCells>
  <dataValidations count="1">
    <dataValidation allowBlank="1" showInputMessage="1" showErrorMessage="1" sqref="AY45:AY47" xr:uid="{00000000-0002-0000-13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6AF7A-E818-363F-72B8-5AE4F98C3CB8}">
  <sheetPr>
    <tabColor rgb="FF92D050"/>
    <outlinePr summaryBelow="0" summaryRight="0"/>
    <pageSetUpPr fitToPage="1"/>
  </sheetPr>
  <dimension ref="A1:AV81"/>
  <sheetViews>
    <sheetView showGridLines="0" workbookViewId="0">
      <pane xSplit="30" ySplit="26" topLeftCell="AH51" activePane="bottomRight" state="frozen"/>
      <selection pane="topRight" activeCell="AE1" sqref="AE1"/>
      <selection pane="bottomLeft" activeCell="A27" sqref="A27"/>
      <selection pane="bottomRight" activeCell="AI65" sqref="AI65"/>
    </sheetView>
  </sheetViews>
  <sheetFormatPr defaultColWidth="9.140625" defaultRowHeight="11.25" customHeight="1" x14ac:dyDescent="0.15"/>
  <cols>
    <col min="1" max="1" width="3.5703125" style="175" hidden="1" customWidth="1"/>
    <col min="2" max="2" width="8.5703125" style="773" hidden="1" customWidth="1"/>
    <col min="3" max="4" width="3.5703125" style="175" hidden="1" customWidth="1"/>
    <col min="5" max="5" width="8.42578125" style="772"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7" customWidth="1"/>
    <col min="28" max="28" width="8.140625" style="175" customWidth="1"/>
    <col min="29" max="29" width="50.140625" style="176" customWidth="1"/>
    <col min="30" max="30" width="14.42578125" style="175" customWidth="1"/>
    <col min="31" max="33" width="12.5703125" style="177" customWidth="1"/>
    <col min="34" max="34" width="19.140625" style="177" customWidth="1"/>
    <col min="35" max="35" width="12.5703125" style="177" customWidth="1"/>
    <col min="36" max="37" width="12.5703125" style="177" hidden="1" customWidth="1"/>
    <col min="38" max="38" width="38.140625" style="177" hidden="1" customWidth="1"/>
    <col min="39" max="39" width="19" style="177" customWidth="1"/>
    <col min="40" max="40" width="17.28515625" style="177" customWidth="1"/>
    <col min="41" max="41" width="31.28515625" style="177" customWidth="1"/>
    <col min="42" max="42" width="3" style="177" customWidth="1"/>
    <col min="43" max="43" width="9.140625" style="177" hidden="1"/>
    <col min="44" max="46" width="9.140625" style="1021" hidden="1"/>
    <col min="47" max="48" width="9.140625" style="1022" hidden="1"/>
  </cols>
  <sheetData>
    <row r="1" spans="1:48" s="175" customFormat="1" ht="12" hidden="1" customHeight="1" x14ac:dyDescent="0.15">
      <c r="B1" s="659"/>
      <c r="E1" s="659"/>
      <c r="F1" s="690" t="s">
        <v>83</v>
      </c>
      <c r="G1" s="177"/>
      <c r="H1" s="177"/>
      <c r="I1" s="177"/>
      <c r="J1" s="177"/>
      <c r="K1" s="177"/>
      <c r="L1" s="177"/>
      <c r="M1" s="177"/>
      <c r="N1" s="177"/>
      <c r="O1" s="177"/>
      <c r="P1" s="177"/>
      <c r="Q1" s="140"/>
      <c r="R1" s="140"/>
      <c r="S1" s="177"/>
      <c r="T1" s="679" t="s">
        <v>86</v>
      </c>
      <c r="U1" s="679" t="s">
        <v>91</v>
      </c>
      <c r="V1" s="679" t="s">
        <v>87</v>
      </c>
      <c r="W1" s="679" t="s">
        <v>88</v>
      </c>
      <c r="X1" s="679" t="s">
        <v>89</v>
      </c>
      <c r="Y1" s="690" t="s">
        <v>374</v>
      </c>
      <c r="Z1" s="679" t="s">
        <v>93</v>
      </c>
      <c r="AA1" s="690" t="s">
        <v>90</v>
      </c>
      <c r="AB1" s="690" t="s">
        <v>92</v>
      </c>
      <c r="AC1" s="690" t="s">
        <v>92</v>
      </c>
      <c r="AR1" s="1021" t="s">
        <v>375</v>
      </c>
      <c r="AS1" s="1021" t="s">
        <v>376</v>
      </c>
      <c r="AT1" s="1021" t="s">
        <v>377</v>
      </c>
      <c r="AU1" s="1022" t="s">
        <v>380</v>
      </c>
      <c r="AV1" s="1022" t="s">
        <v>381</v>
      </c>
    </row>
    <row r="2" spans="1:48" s="773" customFormat="1" ht="12" hidden="1" customHeight="1" x14ac:dyDescent="0.15">
      <c r="B2" s="758" t="s">
        <v>15</v>
      </c>
      <c r="G2" s="776"/>
      <c r="H2" s="776"/>
      <c r="I2" s="776"/>
      <c r="J2" s="776"/>
      <c r="K2" s="776"/>
      <c r="L2" s="776"/>
      <c r="M2" s="776"/>
      <c r="N2" s="776"/>
      <c r="O2" s="776"/>
      <c r="P2" s="776"/>
      <c r="Q2" s="776"/>
      <c r="R2" s="776"/>
      <c r="S2" s="776"/>
      <c r="AC2" s="663"/>
      <c r="AJ2" s="680" t="b">
        <f>god=first_year</f>
        <v>0</v>
      </c>
      <c r="AK2" s="680" t="b" cm="1">
        <f t="array" ref="AK2">AJ2</f>
        <v>0</v>
      </c>
      <c r="AL2" s="680" t="b" cm="1">
        <f t="array" ref="AL2">AK2</f>
        <v>0</v>
      </c>
      <c r="AR2" s="963"/>
      <c r="AS2" s="963"/>
      <c r="AT2" s="963"/>
      <c r="AU2" s="975"/>
      <c r="AV2" s="975"/>
    </row>
    <row r="3" spans="1:48" s="175" customFormat="1" ht="12" hidden="1" customHeight="1" x14ac:dyDescent="0.15">
      <c r="B3" s="659"/>
      <c r="E3" s="659"/>
      <c r="G3" s="177"/>
      <c r="H3" s="177"/>
      <c r="I3" s="177"/>
      <c r="J3" s="177"/>
      <c r="K3" s="177"/>
      <c r="L3" s="177"/>
      <c r="M3" s="177"/>
      <c r="N3" s="177"/>
      <c r="O3" s="177"/>
      <c r="P3" s="177"/>
      <c r="Q3" s="140"/>
      <c r="R3" s="140"/>
      <c r="S3" s="177"/>
      <c r="T3" s="123"/>
      <c r="U3" s="123"/>
      <c r="V3" s="123"/>
      <c r="W3" s="123"/>
      <c r="X3" s="123"/>
      <c r="Y3" s="123"/>
      <c r="Z3" s="123"/>
      <c r="AC3" s="179"/>
      <c r="AR3" s="1021"/>
      <c r="AS3" s="1021"/>
      <c r="AT3" s="1021"/>
      <c r="AU3" s="1022"/>
      <c r="AV3" s="1022"/>
    </row>
    <row r="4" spans="1:48" s="175" customFormat="1" ht="12" hidden="1" customHeight="1" x14ac:dyDescent="0.15">
      <c r="B4" s="659"/>
      <c r="E4" s="659"/>
      <c r="G4" s="177"/>
      <c r="H4" s="177"/>
      <c r="I4" s="177"/>
      <c r="J4" s="177"/>
      <c r="K4" s="177"/>
      <c r="L4" s="177"/>
      <c r="M4" s="177"/>
      <c r="N4" s="177"/>
      <c r="O4" s="177"/>
      <c r="P4" s="177"/>
      <c r="Q4" s="140"/>
      <c r="R4" s="140"/>
      <c r="S4" s="177"/>
      <c r="T4" s="123"/>
      <c r="U4" s="123"/>
      <c r="V4" s="123"/>
      <c r="W4" s="123"/>
      <c r="X4" s="123"/>
      <c r="Y4" s="123"/>
      <c r="Z4" s="123"/>
      <c r="AC4" s="179"/>
      <c r="AR4" s="1021"/>
      <c r="AS4" s="1021"/>
      <c r="AT4" s="1021"/>
      <c r="AU4" s="1022"/>
      <c r="AV4" s="1022"/>
    </row>
    <row r="5" spans="1:48"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12.63</v>
      </c>
      <c r="AF5" s="668">
        <v>12.63</v>
      </c>
      <c r="AG5" s="668">
        <v>12.63</v>
      </c>
      <c r="AH5" s="668">
        <v>19.13</v>
      </c>
      <c r="AI5" s="668">
        <v>12.63</v>
      </c>
      <c r="AJ5" s="668">
        <v>12.63</v>
      </c>
      <c r="AK5" s="668">
        <v>12.63</v>
      </c>
      <c r="AL5" s="668">
        <v>38.130000000000003</v>
      </c>
      <c r="AM5" s="668">
        <v>19</v>
      </c>
      <c r="AN5" s="668">
        <v>17.25</v>
      </c>
      <c r="AO5" s="668">
        <v>31.25</v>
      </c>
      <c r="AP5" s="668">
        <v>3</v>
      </c>
      <c r="AR5" s="963"/>
      <c r="AS5" s="963"/>
      <c r="AT5" s="963"/>
      <c r="AU5" s="975"/>
      <c r="AV5" s="975"/>
    </row>
    <row r="6" spans="1:48" s="175" customFormat="1" ht="12" hidden="1" customHeight="1" x14ac:dyDescent="0.15">
      <c r="B6" s="659"/>
      <c r="E6" s="668"/>
      <c r="G6" s="177"/>
      <c r="H6" s="177"/>
      <c r="I6" s="177"/>
      <c r="J6" s="177"/>
      <c r="K6" s="177"/>
      <c r="L6" s="177"/>
      <c r="M6" s="177"/>
      <c r="N6" s="177"/>
      <c r="O6" s="177"/>
      <c r="P6" s="177"/>
      <c r="Q6" s="140"/>
      <c r="R6" s="140"/>
      <c r="S6" s="177"/>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cm="1">
        <f t="array" ref="AK6">god</f>
        <v>2026</v>
      </c>
      <c r="AL6" s="123" cm="1">
        <f t="array" ref="AL6">god</f>
        <v>2026</v>
      </c>
      <c r="AR6" s="1021"/>
      <c r="AS6" s="1021"/>
      <c r="AT6" s="1021"/>
      <c r="AU6" s="1022"/>
      <c r="AV6" s="1022"/>
    </row>
    <row r="7" spans="1:48" ht="12" hidden="1" customHeight="1" x14ac:dyDescent="0.15">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$AK$25</f>
        <v>Принято органом регулирования</v>
      </c>
      <c r="AL7" s="160"/>
    </row>
    <row r="8" spans="1:48" ht="12" hidden="1" customHeight="1" x14ac:dyDescent="0.15">
      <c r="F8" s="177"/>
      <c r="T8" s="160"/>
      <c r="U8" s="160"/>
      <c r="V8" s="160"/>
      <c r="W8" s="160"/>
      <c r="X8" s="160"/>
      <c r="Y8" s="160"/>
      <c r="Z8" s="160"/>
      <c r="AB8" s="177"/>
      <c r="AD8" s="177"/>
      <c r="AE8" s="160" t="str">
        <f t="shared" ref="AE8:AK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2024отклонение факта по данным организации к факту принятому органом регулирования</v>
      </c>
      <c r="AI8" s="160" t="str">
        <f t="shared" si="0"/>
        <v>2025Принято органом регулирования</v>
      </c>
      <c r="AJ8" s="160" t="str">
        <f t="shared" si="0"/>
        <v>2026Предложение организации</v>
      </c>
      <c r="AK8" s="160" t="str">
        <f t="shared" si="0"/>
        <v>2026Принято органом регулирования</v>
      </c>
      <c r="AL8" s="160"/>
    </row>
    <row r="9" spans="1:48" s="1020" customFormat="1" ht="12" hidden="1" customHeight="1" x14ac:dyDescent="0.15">
      <c r="A9" s="948" t="s">
        <v>461</v>
      </c>
      <c r="B9" s="941"/>
      <c r="E9" s="941"/>
      <c r="Q9" s="998"/>
      <c r="R9" s="998"/>
      <c r="T9" s="949"/>
      <c r="U9" s="949"/>
      <c r="V9" s="949"/>
      <c r="W9" s="949"/>
      <c r="X9" s="949"/>
      <c r="Y9" s="949"/>
      <c r="Z9" s="949"/>
      <c r="AE9" s="1020">
        <f>god-2</f>
        <v>2024</v>
      </c>
      <c r="AF9" s="1020">
        <f>god-2</f>
        <v>2024</v>
      </c>
      <c r="AG9" s="1020">
        <f>god-2</f>
        <v>2024</v>
      </c>
      <c r="AH9" s="1020">
        <f>god-2</f>
        <v>2024</v>
      </c>
      <c r="AI9" s="1020">
        <f>god-1</f>
        <v>2025</v>
      </c>
      <c r="AJ9" s="1020" cm="1">
        <f t="array" ref="AJ9">god</f>
        <v>2026</v>
      </c>
      <c r="AK9" s="1020" cm="1">
        <f t="array" ref="AK9">god</f>
        <v>2026</v>
      </c>
      <c r="AL9" s="1020" cm="1">
        <f t="array" ref="AL9">god</f>
        <v>2026</v>
      </c>
      <c r="AR9" s="1021"/>
      <c r="AS9" s="1021"/>
      <c r="AT9" s="1021"/>
      <c r="AU9" s="1022"/>
      <c r="AV9" s="1022"/>
    </row>
    <row r="10" spans="1:48" s="1020" customFormat="1" ht="12" hidden="1" customHeight="1" x14ac:dyDescent="0.15">
      <c r="A10" s="948" t="s">
        <v>462</v>
      </c>
      <c r="B10" s="941"/>
      <c r="E10" s="941"/>
      <c r="Q10" s="998"/>
      <c r="R10" s="998"/>
      <c r="T10" s="949"/>
      <c r="U10" s="949"/>
      <c r="V10" s="949"/>
      <c r="W10" s="949"/>
      <c r="X10" s="949"/>
      <c r="Y10" s="949"/>
      <c r="Z10" s="949"/>
      <c r="AE10" s="1020" t="str" cm="1">
        <f t="array" ref="AE10">AE25</f>
        <v>Принято органом регулирования</v>
      </c>
      <c r="AF10" s="1020" t="str" cm="1">
        <f t="array" ref="AF10">AF25</f>
        <v>Факт по данным организации</v>
      </c>
      <c r="AG10" s="1020" t="str" cm="1">
        <f t="array" ref="AG10">AG25</f>
        <v>Факт, принятый органом регулирования</v>
      </c>
      <c r="AH10" s="1020" t="str" cm="1">
        <f t="array" ref="AH10">AH25</f>
        <v>отклонение факта по данным организации к факту принятому органом регулирования</v>
      </c>
      <c r="AI10" s="1020" t="str" cm="1">
        <f t="array" ref="AI10">AI25</f>
        <v>Принято органом регулирования</v>
      </c>
      <c r="AJ10" s="1020" t="str" cm="1">
        <f t="array" ref="AJ10">AJ25</f>
        <v>Предложение организации</v>
      </c>
      <c r="AK10" s="1020" t="str" cm="1">
        <f t="array" ref="AK10">AK25</f>
        <v>Принято органом регулирования</v>
      </c>
      <c r="AL10" s="1020"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1"/>
      <c r="AS10" s="1021"/>
      <c r="AT10" s="1021"/>
      <c r="AU10" s="1022"/>
      <c r="AV10" s="1022"/>
    </row>
    <row r="11" spans="1:48" s="1020" customFormat="1" ht="12" hidden="1" customHeight="1" x14ac:dyDescent="0.15">
      <c r="A11" s="948" t="s">
        <v>463</v>
      </c>
      <c r="B11" s="941"/>
      <c r="E11" s="941"/>
      <c r="G11" s="1023"/>
      <c r="H11" s="1023"/>
      <c r="I11" s="1023"/>
      <c r="J11" s="1023"/>
      <c r="K11" s="1023"/>
      <c r="L11" s="1023"/>
      <c r="M11" s="1023"/>
      <c r="N11" s="1023"/>
      <c r="O11" s="1023"/>
      <c r="P11" s="1023"/>
      <c r="Q11" s="1000"/>
      <c r="R11" s="1000"/>
      <c r="S11" s="1023"/>
      <c r="T11" s="949"/>
      <c r="U11" s="949"/>
      <c r="V11" s="949"/>
      <c r="W11" s="949"/>
      <c r="X11" s="949"/>
      <c r="Y11" s="949"/>
      <c r="Z11" s="949"/>
      <c r="AC11" s="1024"/>
      <c r="AM11" s="1020" t="str" cm="1">
        <f t="array" ref="AM11">AM24</f>
        <v>Указание на подтверждающие документы / URL-ссылка на копии подтверждающих документов</v>
      </c>
      <c r="AN11" s="1020" t="str" cm="1">
        <f t="array" ref="AN11">AN24</f>
        <v>Ссылка на правовую норму (основание для принятия показателя в расчет тарифа)</v>
      </c>
      <c r="AO11" s="1020"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1"/>
      <c r="AS11" s="1021"/>
      <c r="AT11" s="1021"/>
      <c r="AU11" s="1022"/>
      <c r="AV11" s="1022"/>
    </row>
    <row r="12" spans="1:48" s="1020" customFormat="1" ht="12" hidden="1" customHeight="1" x14ac:dyDescent="0.15">
      <c r="A12" s="948" t="s">
        <v>386</v>
      </c>
      <c r="B12" s="941"/>
      <c r="E12" s="941"/>
      <c r="G12" s="1023"/>
      <c r="H12" s="1023"/>
      <c r="I12" s="1023"/>
      <c r="J12" s="1023"/>
      <c r="K12" s="1023"/>
      <c r="L12" s="1023"/>
      <c r="M12" s="1023"/>
      <c r="N12" s="1023"/>
      <c r="O12" s="1023"/>
      <c r="P12" s="1023"/>
      <c r="Q12" s="1000"/>
      <c r="R12" s="1000"/>
      <c r="S12" s="1023"/>
      <c r="T12" s="949"/>
      <c r="U12" s="949"/>
      <c r="V12" s="949"/>
      <c r="W12" s="949"/>
      <c r="X12" s="949"/>
      <c r="Y12" s="949"/>
      <c r="Z12" s="949"/>
      <c r="AC12" s="1024" t="s">
        <v>377</v>
      </c>
      <c r="AR12" s="1021"/>
      <c r="AS12" s="1021"/>
      <c r="AT12" s="1021"/>
      <c r="AU12" s="1022"/>
      <c r="AV12" s="1022"/>
    </row>
    <row r="13" spans="1:48" s="175" customFormat="1" ht="12" hidden="1" customHeight="1" x14ac:dyDescent="0.15">
      <c r="B13" s="659"/>
      <c r="E13" s="668"/>
      <c r="G13" s="177"/>
      <c r="H13" s="177"/>
      <c r="I13" s="177"/>
      <c r="J13" s="177"/>
      <c r="K13" s="177"/>
      <c r="L13" s="177"/>
      <c r="M13" s="177"/>
      <c r="N13" s="177"/>
      <c r="O13" s="177"/>
      <c r="P13" s="177"/>
      <c r="Q13" s="140"/>
      <c r="R13" s="140"/>
      <c r="S13" s="177"/>
      <c r="T13" s="123"/>
      <c r="U13" s="123"/>
      <c r="V13" s="123"/>
      <c r="W13" s="123"/>
      <c r="X13" s="123"/>
      <c r="Y13" s="123"/>
      <c r="Z13" s="123"/>
      <c r="AC13" s="179"/>
      <c r="AR13" s="1021"/>
      <c r="AS13" s="1021"/>
      <c r="AT13" s="1021"/>
      <c r="AU13" s="1022"/>
      <c r="AV13" s="1022"/>
    </row>
    <row r="14" spans="1:48" s="175" customFormat="1" ht="12" hidden="1" customHeight="1" x14ac:dyDescent="0.15">
      <c r="B14" s="659"/>
      <c r="E14" s="668"/>
      <c r="G14" s="177"/>
      <c r="H14" s="177"/>
      <c r="I14" s="177"/>
      <c r="J14" s="177"/>
      <c r="K14" s="177"/>
      <c r="L14" s="177"/>
      <c r="M14" s="177"/>
      <c r="N14" s="177"/>
      <c r="O14" s="177"/>
      <c r="P14" s="177"/>
      <c r="Q14" s="140"/>
      <c r="R14" s="140"/>
      <c r="S14" s="177"/>
      <c r="T14" s="123"/>
      <c r="U14" s="123"/>
      <c r="V14" s="123"/>
      <c r="W14" s="123"/>
      <c r="X14" s="123"/>
      <c r="Y14" s="123"/>
      <c r="Z14" s="123"/>
      <c r="AC14" s="179"/>
      <c r="AR14" s="1021"/>
      <c r="AS14" s="1021"/>
      <c r="AT14" s="1021"/>
      <c r="AU14" s="1022"/>
      <c r="AV14" s="1022"/>
    </row>
    <row r="15" spans="1:48" s="175" customFormat="1" ht="12" hidden="1" customHeight="1" x14ac:dyDescent="0.15">
      <c r="B15" s="659"/>
      <c r="E15" s="668"/>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R15" s="1021"/>
      <c r="AS15" s="1021"/>
      <c r="AT15" s="1021"/>
      <c r="AU15" s="1022"/>
      <c r="AV15" s="1022"/>
    </row>
    <row r="16" spans="1:48" s="175" customFormat="1" ht="12" hidden="1" customHeight="1" x14ac:dyDescent="0.15">
      <c r="B16" s="659"/>
      <c r="E16" s="668"/>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R16" s="1021"/>
      <c r="AS16" s="1021"/>
      <c r="AT16" s="1021"/>
      <c r="AU16" s="1022"/>
      <c r="AV16" s="1022"/>
    </row>
    <row r="17" spans="1:48" s="175" customFormat="1" ht="12" hidden="1" customHeight="1" x14ac:dyDescent="0.15">
      <c r="B17" s="659"/>
      <c r="E17" s="668"/>
      <c r="G17" s="177"/>
      <c r="H17" s="177"/>
      <c r="I17" s="177"/>
      <c r="J17" s="177"/>
      <c r="K17" s="177"/>
      <c r="L17" s="177"/>
      <c r="M17" s="177"/>
      <c r="N17" s="177"/>
      <c r="O17" s="177"/>
      <c r="P17" s="177"/>
      <c r="Q17" s="140"/>
      <c r="R17" s="140"/>
      <c r="S17" s="177"/>
      <c r="T17" s="123"/>
      <c r="U17" s="123"/>
      <c r="V17" s="123"/>
      <c r="W17" s="123"/>
      <c r="X17" s="123"/>
      <c r="Y17" s="123"/>
      <c r="Z17" s="123"/>
      <c r="AC17" s="179"/>
      <c r="AJ17" s="123"/>
      <c r="AK17" s="123"/>
      <c r="AL17" s="123"/>
      <c r="AR17" s="1021"/>
      <c r="AS17" s="1021"/>
      <c r="AT17" s="1021"/>
      <c r="AU17" s="1022"/>
      <c r="AV17" s="1022"/>
    </row>
    <row r="18" spans="1:48" s="175" customFormat="1" ht="12" hidden="1" customHeight="1" x14ac:dyDescent="0.15">
      <c r="A18" s="175" t="s">
        <v>518</v>
      </c>
      <c r="B18" s="659"/>
      <c r="E18" s="668"/>
      <c r="G18" s="177"/>
      <c r="H18" s="177"/>
      <c r="I18" s="177"/>
      <c r="J18" s="177"/>
      <c r="K18" s="177"/>
      <c r="L18" s="177"/>
      <c r="M18" s="177"/>
      <c r="N18" s="177"/>
      <c r="O18" s="177"/>
      <c r="P18" s="177"/>
      <c r="Q18" s="140"/>
      <c r="R18" s="140"/>
      <c r="S18" s="177"/>
      <c r="T18" s="123"/>
      <c r="U18" s="123"/>
      <c r="V18" s="123"/>
      <c r="W18" s="123"/>
      <c r="X18" s="123"/>
      <c r="Y18" s="123"/>
      <c r="Z18" s="123"/>
      <c r="AC18" s="179" t="s">
        <v>464</v>
      </c>
      <c r="AR18" s="1021"/>
      <c r="AS18" s="1021"/>
      <c r="AT18" s="1021"/>
      <c r="AU18" s="1022"/>
      <c r="AV18" s="1022"/>
    </row>
    <row r="19" spans="1:48" s="175" customFormat="1" ht="12" hidden="1" customHeight="1" x14ac:dyDescent="0.15">
      <c r="B19" s="659"/>
      <c r="E19" s="668"/>
      <c r="G19" s="177"/>
      <c r="H19" s="177"/>
      <c r="I19" s="177"/>
      <c r="J19" s="177"/>
      <c r="K19" s="177"/>
      <c r="L19" s="177"/>
      <c r="M19" s="177"/>
      <c r="N19" s="177"/>
      <c r="O19" s="177"/>
      <c r="P19" s="177"/>
      <c r="Q19" s="140"/>
      <c r="R19" s="140"/>
      <c r="S19" s="177"/>
      <c r="T19" s="123"/>
      <c r="U19" s="123"/>
      <c r="V19" s="123"/>
      <c r="W19" s="123"/>
      <c r="X19" s="123"/>
      <c r="Y19" s="123"/>
      <c r="Z19" s="123"/>
      <c r="AC19" s="179"/>
      <c r="AR19" s="1021"/>
      <c r="AS19" s="1021"/>
      <c r="AT19" s="1021"/>
      <c r="AU19" s="1022"/>
      <c r="AV19" s="1022"/>
    </row>
    <row r="20" spans="1:48" s="175" customFormat="1" ht="11.1" hidden="1" customHeight="1" x14ac:dyDescent="0.15">
      <c r="B20" s="659"/>
      <c r="E20" s="668">
        <v>11.4</v>
      </c>
      <c r="G20" s="177"/>
      <c r="H20" s="177"/>
      <c r="I20" s="177"/>
      <c r="J20" s="177"/>
      <c r="K20" s="177"/>
      <c r="L20" s="177"/>
      <c r="M20" s="177"/>
      <c r="N20" s="177"/>
      <c r="O20" s="177"/>
      <c r="P20" s="177"/>
      <c r="Q20" s="140"/>
      <c r="R20" s="140"/>
      <c r="S20" s="177"/>
      <c r="T20" s="123"/>
      <c r="U20" s="123"/>
      <c r="V20" s="123"/>
      <c r="W20" s="123"/>
      <c r="X20" s="123"/>
      <c r="Y20" s="123"/>
      <c r="Z20" s="123"/>
      <c r="AC20" s="179"/>
      <c r="AR20" s="1021"/>
      <c r="AS20" s="1021"/>
      <c r="AT20" s="1021"/>
      <c r="AU20" s="1022"/>
      <c r="AV20" s="1022"/>
    </row>
    <row r="21" spans="1:48" ht="14.65" customHeight="1" x14ac:dyDescent="0.15">
      <c r="E21" s="668">
        <v>15</v>
      </c>
      <c r="AA21" s="691"/>
      <c r="AB21" s="177"/>
      <c r="AC21" s="335" t="str" cm="1">
        <f t="array" ref="AC21">tpl_title</f>
        <v>Кемеровская область / 2026 / ООО ХК "СДС - Энерго" (ИНН:4250003450, КПП:420501001) / ДПР: 2024-2028</v>
      </c>
      <c r="AD21" s="177"/>
    </row>
    <row r="22" spans="1:48" s="1153" customFormat="1" ht="19.5" customHeight="1" x14ac:dyDescent="0.15">
      <c r="A22" s="130"/>
      <c r="B22" s="659"/>
      <c r="C22" s="130"/>
      <c r="D22" s="130"/>
      <c r="E22" s="668">
        <v>20.100000000000001</v>
      </c>
      <c r="F22" s="130"/>
      <c r="Q22" s="140"/>
      <c r="R22" s="140"/>
      <c r="T22" s="126"/>
      <c r="U22" s="126"/>
      <c r="V22" s="126"/>
      <c r="W22" s="126"/>
      <c r="X22" s="126"/>
      <c r="Y22" s="126"/>
      <c r="Z22" s="126"/>
      <c r="AB22" s="325" t="s">
        <v>55</v>
      </c>
      <c r="AC22" s="270"/>
      <c r="AD22" s="270"/>
      <c r="AE22" s="270"/>
      <c r="AF22" s="270"/>
      <c r="AG22" s="270"/>
      <c r="AH22" s="270"/>
      <c r="AI22" s="270"/>
      <c r="AJ22" s="270"/>
      <c r="AK22" s="270"/>
      <c r="AL22" s="270"/>
      <c r="AM22" s="270"/>
      <c r="AN22" s="270"/>
      <c r="AO22" s="270"/>
      <c r="AR22" s="979"/>
      <c r="AS22" s="979"/>
      <c r="AT22" s="979"/>
      <c r="AU22" s="980"/>
      <c r="AV22" s="980"/>
    </row>
    <row r="23" spans="1:48" s="1153" customFormat="1" ht="9.9499999999999993" customHeight="1" x14ac:dyDescent="0.15">
      <c r="A23" s="130"/>
      <c r="B23" s="659"/>
      <c r="C23" s="130"/>
      <c r="D23" s="130"/>
      <c r="E23" s="668">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R23" s="979"/>
      <c r="AS23" s="979"/>
      <c r="AT23" s="979"/>
      <c r="AU23" s="980"/>
      <c r="AV23" s="980"/>
    </row>
    <row r="24" spans="1:48" s="176" customFormat="1" ht="24.2" customHeight="1" x14ac:dyDescent="0.15">
      <c r="A24" s="179"/>
      <c r="B24" s="663"/>
      <c r="C24" s="179"/>
      <c r="D24" s="179"/>
      <c r="E24" s="674">
        <v>24.8</v>
      </c>
      <c r="F24" s="179"/>
      <c r="Q24" s="778"/>
      <c r="R24" s="778"/>
      <c r="T24" s="119"/>
      <c r="U24" s="119"/>
      <c r="V24" s="119"/>
      <c r="W24" s="119"/>
      <c r="X24" s="119"/>
      <c r="Y24" s="119"/>
      <c r="Z24" s="119"/>
      <c r="AB24" s="1581" t="s">
        <v>388</v>
      </c>
      <c r="AC24" s="1581" t="s">
        <v>464</v>
      </c>
      <c r="AD24" s="1581" t="s">
        <v>465</v>
      </c>
      <c r="AE24" s="208" t="str">
        <f>god-2&amp;" год"</f>
        <v>2024 год</v>
      </c>
      <c r="AF24" s="1137" t="str">
        <f>god-2&amp;" год"</f>
        <v>2024 год</v>
      </c>
      <c r="AG24" s="208" t="str">
        <f>god-2&amp;" год"</f>
        <v>2024 год</v>
      </c>
      <c r="AH24" s="208" t="str">
        <f>god-2&amp;" год"</f>
        <v>2024 год</v>
      </c>
      <c r="AI24" s="117" t="str">
        <f>god-1&amp;" год"</f>
        <v>2025 год</v>
      </c>
      <c r="AJ24" s="1131" t="str">
        <f>god&amp;" год"</f>
        <v>2026 год</v>
      </c>
      <c r="AK24" s="118" t="str">
        <f>god&amp;" год"</f>
        <v>2026 год</v>
      </c>
      <c r="AL24" s="118" t="str">
        <f>god&amp;" год"</f>
        <v>2026 год</v>
      </c>
      <c r="AM24" s="1580" t="s">
        <v>1313</v>
      </c>
      <c r="AN24" s="1580" t="s">
        <v>618</v>
      </c>
      <c r="AO24" s="1580" t="s">
        <v>1314</v>
      </c>
      <c r="AR24" s="1021"/>
      <c r="AS24" s="1025"/>
      <c r="AT24" s="1025"/>
      <c r="AU24" s="1026"/>
      <c r="AV24" s="1026"/>
    </row>
    <row r="25" spans="1:48" s="176" customFormat="1" ht="44.65" customHeight="1" x14ac:dyDescent="0.15">
      <c r="A25" s="179"/>
      <c r="B25" s="663"/>
      <c r="C25" s="179"/>
      <c r="D25" s="179"/>
      <c r="E25" s="674">
        <v>45.8</v>
      </c>
      <c r="F25" s="179"/>
      <c r="Q25" s="778"/>
      <c r="R25" s="778"/>
      <c r="T25" s="119"/>
      <c r="U25" s="119"/>
      <c r="V25" s="119"/>
      <c r="W25" s="119"/>
      <c r="X25" s="119"/>
      <c r="Y25" s="119"/>
      <c r="Z25" s="119"/>
      <c r="AB25" s="1581"/>
      <c r="AC25" s="1581"/>
      <c r="AD25" s="1581"/>
      <c r="AE25" s="117" t="s">
        <v>404</v>
      </c>
      <c r="AF25" s="1133" t="s">
        <v>619</v>
      </c>
      <c r="AG25" s="117" t="s">
        <v>620</v>
      </c>
      <c r="AH25" s="208" t="s">
        <v>1315</v>
      </c>
      <c r="AI25" s="117" t="s">
        <v>404</v>
      </c>
      <c r="AJ25" s="1132" t="s">
        <v>405</v>
      </c>
      <c r="AK25" s="343" t="s">
        <v>404</v>
      </c>
      <c r="AL25" s="208" t="s">
        <v>1316</v>
      </c>
      <c r="AM25" s="1580"/>
      <c r="AN25" s="1580"/>
      <c r="AO25" s="1580"/>
      <c r="AR25" s="1021"/>
      <c r="AS25" s="1025"/>
      <c r="AT25" s="1025"/>
      <c r="AU25" s="1026"/>
      <c r="AV25" s="1026"/>
    </row>
    <row r="26" spans="1:48" s="176" customFormat="1" ht="45.75" hidden="1" customHeight="1" x14ac:dyDescent="0.15">
      <c r="A26" s="179"/>
      <c r="B26" s="663"/>
      <c r="C26" s="179"/>
      <c r="D26" s="179"/>
      <c r="E26" s="674">
        <v>0</v>
      </c>
      <c r="F26" s="179"/>
      <c r="Q26" s="778"/>
      <c r="R26" s="778"/>
      <c r="T26" s="119"/>
      <c r="U26" s="119"/>
      <c r="V26" s="119"/>
      <c r="W26" s="119"/>
      <c r="X26" s="119"/>
      <c r="Y26" s="119"/>
      <c r="Z26" s="119"/>
      <c r="AB26" s="588"/>
      <c r="AC26" s="589"/>
      <c r="AD26" s="589"/>
      <c r="AE26" s="119"/>
      <c r="AF26" s="119"/>
      <c r="AG26" s="119"/>
      <c r="AH26" s="179"/>
      <c r="AI26" s="119"/>
      <c r="AJ26" s="119"/>
      <c r="AK26" s="119"/>
      <c r="AL26" s="179"/>
      <c r="AM26" s="179"/>
      <c r="AN26" s="179"/>
      <c r="AO26" s="179"/>
      <c r="AR26" s="1021"/>
      <c r="AS26" s="1025"/>
      <c r="AT26" s="1025"/>
      <c r="AU26" s="1026"/>
      <c r="AV26" s="1026"/>
    </row>
    <row r="27" spans="1:48" s="167" customFormat="1" ht="13.7" hidden="1" customHeight="1" x14ac:dyDescent="0.15">
      <c r="E27" s="668">
        <v>14.1</v>
      </c>
      <c r="F27" s="769" cm="1">
        <f t="array" ref="F27">X27</f>
        <v>0</v>
      </c>
      <c r="G27" s="140"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90" t="b">
        <f>X27&gt;0</f>
        <v>0</v>
      </c>
      <c r="V27" s="123" t="s">
        <v>313</v>
      </c>
      <c r="X27" s="1485">
        <v>0</v>
      </c>
      <c r="Z27" s="1483"/>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R27" s="971"/>
      <c r="AS27" s="971"/>
      <c r="AT27" s="971"/>
      <c r="AU27" s="974"/>
      <c r="AV27" s="974"/>
    </row>
    <row r="28" spans="1:48" s="181" customFormat="1" ht="13.7" hidden="1" customHeight="1" x14ac:dyDescent="0.15">
      <c r="E28" s="674">
        <v>14.1</v>
      </c>
      <c r="F28" s="769" cm="1">
        <f t="array" aca="1" ref="F28" ca="1">OFFSET(G28,-1,-1)</f>
        <v>0</v>
      </c>
      <c r="G28" s="778" t="s">
        <v>1317</v>
      </c>
      <c r="T28" s="679" t="b" cm="1">
        <f t="array" ref="T28">T27</f>
        <v>0</v>
      </c>
      <c r="X28" s="1584"/>
      <c r="Z28" s="1584"/>
      <c r="AB28" s="1582" t="s">
        <v>1318</v>
      </c>
      <c r="AC28" s="1583"/>
      <c r="AD28" s="249" t="s">
        <v>830</v>
      </c>
      <c r="AE28" s="64">
        <f ca="1">SUM(AE29:AE33)+SUM(AE39:AE43)+AE47</f>
        <v>0</v>
      </c>
      <c r="AF28" s="64">
        <f ca="1">SUM(AF29:AF33)+SUM(AF39:AF43)+AF47</f>
        <v>0</v>
      </c>
      <c r="AG28" s="64">
        <f ca="1">SUM(AG29:AG33)+SUM(AG39:AG43)+AG47</f>
        <v>0</v>
      </c>
      <c r="AH28" s="64">
        <f t="shared" ref="AH28:AH43" ca="1" si="1">AG28-AF28</f>
        <v>0</v>
      </c>
      <c r="AI28" s="64">
        <f ca="1">SUM(AI29:AI33)+SUM(AI39:AI43)+AI47</f>
        <v>0</v>
      </c>
      <c r="AJ28" s="64">
        <f ca="1">SUM(AJ29:AJ33)+SUM(AJ39:AJ43)+AJ47</f>
        <v>0</v>
      </c>
      <c r="AK28" s="64">
        <f ca="1">SUM(AK29:AK33)+SUM(AK39:AK43)+AK47</f>
        <v>0</v>
      </c>
      <c r="AL28" s="252">
        <f t="shared" ref="AL28:AL43" ca="1" si="2">IF(AI28=0,0,(AK28-AI28)/AI28*100)</f>
        <v>0</v>
      </c>
      <c r="AM28" s="25"/>
      <c r="AN28" s="25"/>
      <c r="AO28" s="25"/>
      <c r="AR28" s="1021" t="s">
        <v>1319</v>
      </c>
      <c r="AS28" s="1027"/>
      <c r="AT28" s="1027"/>
      <c r="AU28" s="1028"/>
      <c r="AV28" s="1028"/>
    </row>
    <row r="29" spans="1:48" ht="29.25" hidden="1" customHeight="1" x14ac:dyDescent="0.15">
      <c r="E29" s="668">
        <v>30</v>
      </c>
      <c r="F29" s="769" cm="1">
        <f t="array" aca="1" ref="F29" ca="1">OFFSET(G29,-1,-1)</f>
        <v>0</v>
      </c>
      <c r="T29" s="679" t="b" cm="1">
        <f t="array" ref="T29">T28</f>
        <v>0</v>
      </c>
      <c r="X29" s="1485"/>
      <c r="Z29" s="1485"/>
      <c r="AB29" s="108">
        <v>1</v>
      </c>
      <c r="AC29" s="116" t="s">
        <v>1320</v>
      </c>
      <c r="AD29" s="460" t="s">
        <v>1044</v>
      </c>
      <c r="AE29" s="65"/>
      <c r="AF29" s="65"/>
      <c r="AG29" s="65"/>
      <c r="AH29" s="316">
        <f t="shared" si="1"/>
        <v>0</v>
      </c>
      <c r="AI29" s="65"/>
      <c r="AJ29" s="65"/>
      <c r="AK29" s="65"/>
      <c r="AL29" s="253">
        <f t="shared" si="2"/>
        <v>0</v>
      </c>
      <c r="AM29" s="25"/>
      <c r="AN29" s="25"/>
      <c r="AO29" s="25"/>
      <c r="AR29" s="1021" t="s">
        <v>1321</v>
      </c>
    </row>
    <row r="30" spans="1:48" s="180" customFormat="1" ht="14.65" hidden="1" customHeight="1" x14ac:dyDescent="0.15">
      <c r="E30" s="674">
        <v>15</v>
      </c>
      <c r="F30" s="769" cm="1">
        <f t="array" aca="1" ref="F30" ca="1">OFFSET(G30,-1,-1)</f>
        <v>0</v>
      </c>
      <c r="T30" s="679" t="b" cm="1">
        <f t="array" ref="T30">T29</f>
        <v>0</v>
      </c>
      <c r="X30" s="1585"/>
      <c r="Z30" s="1585"/>
      <c r="AB30" s="108">
        <v>2</v>
      </c>
      <c r="AC30" s="116" t="s">
        <v>1322</v>
      </c>
      <c r="AD30" s="460" t="s">
        <v>1044</v>
      </c>
      <c r="AE30" s="65"/>
      <c r="AF30" s="65"/>
      <c r="AG30" s="65"/>
      <c r="AH30" s="253">
        <f t="shared" si="1"/>
        <v>0</v>
      </c>
      <c r="AI30" s="65"/>
      <c r="AJ30" s="65"/>
      <c r="AK30" s="65"/>
      <c r="AL30" s="253">
        <f t="shared" si="2"/>
        <v>0</v>
      </c>
      <c r="AM30" s="25"/>
      <c r="AN30" s="25"/>
      <c r="AO30" s="25"/>
      <c r="AR30" s="1021" t="s">
        <v>1323</v>
      </c>
      <c r="AS30" s="1027"/>
      <c r="AT30" s="1027"/>
      <c r="AU30" s="1028"/>
      <c r="AV30" s="1028"/>
    </row>
    <row r="31" spans="1:48" ht="14.65" hidden="1" customHeight="1" x14ac:dyDescent="0.15">
      <c r="E31" s="668">
        <v>15</v>
      </c>
      <c r="F31" s="769" cm="1">
        <f t="array" aca="1" ref="F31" ca="1">OFFSET(G31,-1,-1)</f>
        <v>0</v>
      </c>
      <c r="G31" s="140" t="s">
        <v>48</v>
      </c>
      <c r="T31" s="679" t="b" cm="1">
        <f t="array" ref="T31">T30</f>
        <v>0</v>
      </c>
      <c r="X31" s="1485"/>
      <c r="Z31" s="1485"/>
      <c r="AB31" s="108">
        <v>3</v>
      </c>
      <c r="AC31" s="115" t="s">
        <v>49</v>
      </c>
      <c r="AD31" s="411" t="s">
        <v>1044</v>
      </c>
      <c r="AE31" s="50">
        <f ca="1">SUMIFS(ФОТ!AE$26:AE$77,ФОТ!$F$26:$F$77,$F31,ФОТ!$G$26:$G$77,$G31)</f>
        <v>0</v>
      </c>
      <c r="AF31" s="50">
        <f ca="1">SUMIFS(ФОТ!AF$26:AF$77,ФОТ!$F$26:$F$77,$F31,ФОТ!$G$26:$G$77,$G31)</f>
        <v>0</v>
      </c>
      <c r="AG31" s="50">
        <f ca="1">SUMIFS(ФОТ!AG$26:AG$77,ФОТ!$F$26:$F$77,$F31,ФОТ!$G$26:$G$77,$G31)</f>
        <v>0</v>
      </c>
      <c r="AH31" s="253">
        <f t="shared" ca="1" si="1"/>
        <v>0</v>
      </c>
      <c r="AI31" s="50">
        <f ca="1">SUMIFS(ФОТ!AH$26:AH$77,ФОТ!$F$26:$F$77,$F31,ФОТ!$G$26:$G$77,$G31)</f>
        <v>0</v>
      </c>
      <c r="AJ31" s="253">
        <f ca="1">SUMIFS(ФОТ!AI$26:AI$77,ФОТ!$F$26:$F$77,$F31,ФОТ!$G$26:$G$77,$G31)</f>
        <v>0</v>
      </c>
      <c r="AK31" s="253">
        <f ca="1">SUMIFS(ФОТ!AJ$26:AJ$77,ФОТ!$F$26:$F$77,$F31,ФОТ!$G$26:$G$77,$G31)</f>
        <v>0</v>
      </c>
      <c r="AL31" s="253">
        <f t="shared" ca="1" si="2"/>
        <v>0</v>
      </c>
      <c r="AM31" s="25"/>
      <c r="AN31" s="25"/>
      <c r="AO31" s="25"/>
      <c r="AR31" s="1021" t="s">
        <v>1324</v>
      </c>
    </row>
    <row r="32" spans="1:48" ht="52.7" hidden="1" customHeight="1" x14ac:dyDescent="0.15">
      <c r="E32" s="668">
        <v>54</v>
      </c>
      <c r="F32" s="769" cm="1">
        <f t="array" aca="1" ref="F32" ca="1">OFFSET(G32,-1,-1)</f>
        <v>0</v>
      </c>
      <c r="T32" s="679" t="b" cm="1">
        <f t="array" ref="T32">T31</f>
        <v>0</v>
      </c>
      <c r="X32" s="1485"/>
      <c r="Z32" s="1485"/>
      <c r="AB32" s="108">
        <v>4</v>
      </c>
      <c r="AC32" s="116" t="s">
        <v>1325</v>
      </c>
      <c r="AD32" s="411" t="s">
        <v>1044</v>
      </c>
      <c r="AE32" s="50"/>
      <c r="AF32" s="50"/>
      <c r="AG32" s="50"/>
      <c r="AH32" s="253">
        <f t="shared" si="1"/>
        <v>0</v>
      </c>
      <c r="AI32" s="50"/>
      <c r="AJ32" s="50"/>
      <c r="AK32" s="50"/>
      <c r="AL32" s="253">
        <f t="shared" si="2"/>
        <v>0</v>
      </c>
      <c r="AM32" s="25"/>
      <c r="AN32" s="25"/>
      <c r="AO32" s="25"/>
      <c r="AR32" s="1021" t="s">
        <v>1326</v>
      </c>
    </row>
    <row r="33" spans="5:48" ht="30.75" hidden="1" customHeight="1" x14ac:dyDescent="0.15">
      <c r="E33" s="668">
        <v>31.5</v>
      </c>
      <c r="F33" s="769" cm="1">
        <f t="array" aca="1" ref="F33" ca="1">OFFSET(G33,-1,-1)</f>
        <v>0</v>
      </c>
      <c r="T33" s="679" t="b" cm="1">
        <f t="array" ref="T33">T32</f>
        <v>0</v>
      </c>
      <c r="X33" s="1485"/>
      <c r="Z33" s="1485"/>
      <c r="AB33" s="108">
        <v>5</v>
      </c>
      <c r="AC33" s="116" t="s">
        <v>1327</v>
      </c>
      <c r="AD33" s="411" t="s">
        <v>1044</v>
      </c>
      <c r="AE33" s="253">
        <f>SUM(AE34:AE38)</f>
        <v>0</v>
      </c>
      <c r="AF33" s="253">
        <f>SUM(AF34:AF38)</f>
        <v>0</v>
      </c>
      <c r="AG33" s="50">
        <f>SUM(AG34:AG38)</f>
        <v>0</v>
      </c>
      <c r="AH33" s="253">
        <f t="shared" si="1"/>
        <v>0</v>
      </c>
      <c r="AI33" s="253">
        <f>SUM(AI34:AI38)</f>
        <v>0</v>
      </c>
      <c r="AJ33" s="253">
        <f>SUM(AJ34:AJ38)</f>
        <v>0</v>
      </c>
      <c r="AK33" s="253">
        <f>SUM(AK34:AK38)</f>
        <v>0</v>
      </c>
      <c r="AL33" s="253">
        <f t="shared" si="2"/>
        <v>0</v>
      </c>
      <c r="AM33" s="25"/>
      <c r="AN33" s="25"/>
      <c r="AO33" s="25"/>
      <c r="AR33" s="1021" t="s">
        <v>1328</v>
      </c>
    </row>
    <row r="34" spans="5:48" ht="14.65" hidden="1" customHeight="1" x14ac:dyDescent="0.15">
      <c r="E34" s="668">
        <v>15</v>
      </c>
      <c r="F34" s="769" cm="1">
        <f t="array" aca="1" ref="F34" ca="1">OFFSET(G34,-1,-1)</f>
        <v>0</v>
      </c>
      <c r="T34" s="679" t="b" cm="1">
        <f t="array" ref="T34">T33</f>
        <v>0</v>
      </c>
      <c r="X34" s="1485"/>
      <c r="Z34" s="1485"/>
      <c r="AB34" s="108" t="s">
        <v>776</v>
      </c>
      <c r="AC34" s="116" t="s">
        <v>1329</v>
      </c>
      <c r="AD34" s="411" t="s">
        <v>1044</v>
      </c>
      <c r="AE34" s="50"/>
      <c r="AF34" s="50"/>
      <c r="AG34" s="50"/>
      <c r="AH34" s="253">
        <f t="shared" si="1"/>
        <v>0</v>
      </c>
      <c r="AI34" s="50"/>
      <c r="AJ34" s="50"/>
      <c r="AK34" s="50"/>
      <c r="AL34" s="253">
        <f t="shared" si="2"/>
        <v>0</v>
      </c>
      <c r="AM34" s="25"/>
      <c r="AN34" s="25"/>
      <c r="AO34" s="25"/>
      <c r="AR34" s="1021" t="s">
        <v>1330</v>
      </c>
    </row>
    <row r="35" spans="5:48" ht="14.65" hidden="1" customHeight="1" x14ac:dyDescent="0.15">
      <c r="E35" s="668">
        <v>15</v>
      </c>
      <c r="F35" s="769" cm="1">
        <f t="array" aca="1" ref="F35" ca="1">OFFSET(G35,-1,-1)</f>
        <v>0</v>
      </c>
      <c r="T35" s="679" t="b" cm="1">
        <f t="array" ref="T35">T34</f>
        <v>0</v>
      </c>
      <c r="X35" s="1485"/>
      <c r="Z35" s="1485"/>
      <c r="AB35" s="108" t="s">
        <v>1331</v>
      </c>
      <c r="AC35" s="116" t="s">
        <v>1332</v>
      </c>
      <c r="AD35" s="411" t="s">
        <v>1044</v>
      </c>
      <c r="AE35" s="50"/>
      <c r="AF35" s="50"/>
      <c r="AG35" s="50"/>
      <c r="AH35" s="253">
        <f t="shared" si="1"/>
        <v>0</v>
      </c>
      <c r="AI35" s="50"/>
      <c r="AJ35" s="50"/>
      <c r="AK35" s="50"/>
      <c r="AL35" s="253">
        <f t="shared" si="2"/>
        <v>0</v>
      </c>
      <c r="AM35" s="25"/>
      <c r="AN35" s="25"/>
      <c r="AO35" s="25"/>
      <c r="AR35" s="1021" t="s">
        <v>1333</v>
      </c>
    </row>
    <row r="36" spans="5:48" ht="14.65" hidden="1" customHeight="1" x14ac:dyDescent="0.15">
      <c r="E36" s="668">
        <v>15</v>
      </c>
      <c r="F36" s="769" cm="1">
        <f t="array" aca="1" ref="F36" ca="1">OFFSET(G36,-1,-1)</f>
        <v>0</v>
      </c>
      <c r="T36" s="679" t="b" cm="1">
        <f t="array" ref="T36">T35</f>
        <v>0</v>
      </c>
      <c r="X36" s="1485"/>
      <c r="Z36" s="1485"/>
      <c r="AB36" s="108" t="s">
        <v>1334</v>
      </c>
      <c r="AC36" s="116" t="s">
        <v>1335</v>
      </c>
      <c r="AD36" s="411" t="s">
        <v>1044</v>
      </c>
      <c r="AE36" s="50"/>
      <c r="AF36" s="50"/>
      <c r="AG36" s="50"/>
      <c r="AH36" s="253">
        <f t="shared" si="1"/>
        <v>0</v>
      </c>
      <c r="AI36" s="50"/>
      <c r="AJ36" s="50"/>
      <c r="AK36" s="50"/>
      <c r="AL36" s="253">
        <f t="shared" si="2"/>
        <v>0</v>
      </c>
      <c r="AM36" s="25"/>
      <c r="AN36" s="25"/>
      <c r="AO36" s="25"/>
      <c r="AR36" s="1021" t="s">
        <v>1336</v>
      </c>
    </row>
    <row r="37" spans="5:48" ht="23.45" hidden="1" customHeight="1" x14ac:dyDescent="0.15">
      <c r="E37" s="668">
        <v>24</v>
      </c>
      <c r="F37" s="769" cm="1">
        <f t="array" aca="1" ref="F37" ca="1">OFFSET(G37,-1,-1)</f>
        <v>0</v>
      </c>
      <c r="T37" s="679" t="b" cm="1">
        <f t="array" ref="T37">T36</f>
        <v>0</v>
      </c>
      <c r="X37" s="1485"/>
      <c r="Z37" s="1485"/>
      <c r="AB37" s="108" t="s">
        <v>1337</v>
      </c>
      <c r="AC37" s="116" t="s">
        <v>1338</v>
      </c>
      <c r="AD37" s="411" t="s">
        <v>1044</v>
      </c>
      <c r="AE37" s="50"/>
      <c r="AF37" s="50"/>
      <c r="AG37" s="50"/>
      <c r="AH37" s="253">
        <f t="shared" si="1"/>
        <v>0</v>
      </c>
      <c r="AI37" s="50"/>
      <c r="AJ37" s="50"/>
      <c r="AK37" s="50"/>
      <c r="AL37" s="253">
        <f t="shared" si="2"/>
        <v>0</v>
      </c>
      <c r="AM37" s="25"/>
      <c r="AN37" s="25"/>
      <c r="AO37" s="25"/>
      <c r="AR37" s="1021" t="s">
        <v>1339</v>
      </c>
    </row>
    <row r="38" spans="5:48" ht="14.65" hidden="1" customHeight="1" x14ac:dyDescent="0.15">
      <c r="E38" s="668">
        <v>15</v>
      </c>
      <c r="F38" s="769" cm="1">
        <f t="array" aca="1" ref="F38" ca="1">OFFSET(G38,-1,-1)</f>
        <v>0</v>
      </c>
      <c r="T38" s="679" t="b" cm="1">
        <f t="array" ref="T38">T37</f>
        <v>0</v>
      </c>
      <c r="X38" s="1485"/>
      <c r="Z38" s="1485"/>
      <c r="AB38" s="108" t="s">
        <v>1340</v>
      </c>
      <c r="AC38" s="116" t="s">
        <v>1341</v>
      </c>
      <c r="AD38" s="411" t="s">
        <v>1044</v>
      </c>
      <c r="AE38" s="50"/>
      <c r="AF38" s="50"/>
      <c r="AG38" s="50"/>
      <c r="AH38" s="253">
        <f t="shared" si="1"/>
        <v>0</v>
      </c>
      <c r="AI38" s="50"/>
      <c r="AJ38" s="50"/>
      <c r="AK38" s="50"/>
      <c r="AL38" s="253">
        <f t="shared" si="2"/>
        <v>0</v>
      </c>
      <c r="AM38" s="25"/>
      <c r="AN38" s="25"/>
      <c r="AO38" s="25"/>
      <c r="AR38" s="1021" t="s">
        <v>1342</v>
      </c>
    </row>
    <row r="39" spans="5:48" s="182" customFormat="1" ht="14.65" hidden="1" customHeight="1" x14ac:dyDescent="0.15">
      <c r="E39" s="668">
        <v>15</v>
      </c>
      <c r="F39" s="769" cm="1">
        <f t="array" aca="1" ref="F39" ca="1">OFFSET(G39,-1,-1)</f>
        <v>0</v>
      </c>
      <c r="T39" s="679" t="b" cm="1">
        <f t="array" ref="T39">T38</f>
        <v>0</v>
      </c>
      <c r="X39" s="1586"/>
      <c r="Z39" s="1586"/>
      <c r="AB39" s="108" t="s">
        <v>445</v>
      </c>
      <c r="AC39" s="116" t="s">
        <v>1343</v>
      </c>
      <c r="AD39" s="411" t="s">
        <v>1044</v>
      </c>
      <c r="AE39" s="50"/>
      <c r="AF39" s="50"/>
      <c r="AG39" s="50"/>
      <c r="AH39" s="253">
        <f t="shared" si="1"/>
        <v>0</v>
      </c>
      <c r="AI39" s="50"/>
      <c r="AJ39" s="50"/>
      <c r="AK39" s="50"/>
      <c r="AL39" s="253">
        <f t="shared" si="2"/>
        <v>0</v>
      </c>
      <c r="AM39" s="25"/>
      <c r="AN39" s="25"/>
      <c r="AO39" s="25"/>
      <c r="AR39" s="1021" t="s">
        <v>1344</v>
      </c>
      <c r="AS39" s="1029"/>
      <c r="AT39" s="1029"/>
      <c r="AU39" s="1030"/>
      <c r="AV39" s="1030"/>
    </row>
    <row r="40" spans="5:48" ht="14.65" hidden="1" customHeight="1" x14ac:dyDescent="0.15">
      <c r="E40" s="668">
        <v>15</v>
      </c>
      <c r="F40" s="769" cm="1">
        <f t="array" aca="1" ref="F40" ca="1">OFFSET(G40,-1,-1)</f>
        <v>0</v>
      </c>
      <c r="T40" s="679" t="b" cm="1">
        <f t="array" ref="T40">T39</f>
        <v>0</v>
      </c>
      <c r="X40" s="1485"/>
      <c r="Z40" s="1485"/>
      <c r="AB40" s="108" t="s">
        <v>449</v>
      </c>
      <c r="AC40" s="116" t="s">
        <v>1345</v>
      </c>
      <c r="AD40" s="411" t="s">
        <v>1044</v>
      </c>
      <c r="AE40" s="50"/>
      <c r="AF40" s="50"/>
      <c r="AG40" s="50"/>
      <c r="AH40" s="253">
        <f t="shared" si="1"/>
        <v>0</v>
      </c>
      <c r="AI40" s="50"/>
      <c r="AJ40" s="50"/>
      <c r="AK40" s="50"/>
      <c r="AL40" s="253">
        <f t="shared" si="2"/>
        <v>0</v>
      </c>
      <c r="AM40" s="25"/>
      <c r="AN40" s="25"/>
      <c r="AO40" s="25"/>
      <c r="AR40" s="1021" t="s">
        <v>1346</v>
      </c>
    </row>
    <row r="41" spans="5:48" ht="14.65" hidden="1" customHeight="1" x14ac:dyDescent="0.15">
      <c r="E41" s="668">
        <v>15</v>
      </c>
      <c r="F41" s="769" cm="1">
        <f t="array" aca="1" ref="F41" ca="1">OFFSET(G41,-1,-1)</f>
        <v>0</v>
      </c>
      <c r="G41" s="140" t="s">
        <v>1189</v>
      </c>
      <c r="T41" s="679" t="b" cm="1">
        <f t="array" ref="T41">T40</f>
        <v>0</v>
      </c>
      <c r="X41" s="1485"/>
      <c r="Z41" s="1485"/>
      <c r="AB41" s="108" t="s">
        <v>455</v>
      </c>
      <c r="AC41" s="115" t="s">
        <v>1347</v>
      </c>
      <c r="AD41" s="411" t="s">
        <v>1044</v>
      </c>
      <c r="AE41" s="253">
        <f ca="1">SUMIFS(Аренда!AE$26:AE$51,Аренда!$F$26:$F$51,$F41,Аренда!$G$26:$G$51,$G41)</f>
        <v>0</v>
      </c>
      <c r="AF41" s="253">
        <f ca="1">SUMIFS(Аренда!AF$26:AF$51,Аренда!$F$26:$F$51,$F41,Аренда!$G$26:$G$51,$G41)</f>
        <v>0</v>
      </c>
      <c r="AG41" s="50">
        <f ca="1">SUMIFS(Аренда!AG$26:AG$51,Аренда!$F$26:$F$51,$F41,Аренда!$G$26:$G$51,$G41)</f>
        <v>0</v>
      </c>
      <c r="AH41" s="253">
        <f t="shared" ca="1" si="1"/>
        <v>0</v>
      </c>
      <c r="AI41" s="253">
        <f ca="1">SUMIFS(Аренда!AH$26:AH$51,Аренда!$F$26:$F$51,$F41,Аренда!$G$26:$G$51,$G41)</f>
        <v>0</v>
      </c>
      <c r="AJ41" s="253">
        <f ca="1">SUMIFS(Аренда!AI$26:AI$51,Аренда!$F$26:$F$51,$F41,Аренда!$G$26:$G$51,$G41)</f>
        <v>0</v>
      </c>
      <c r="AK41" s="253">
        <f ca="1">SUMIFS(Аренда!AS$26:AS$51,Аренда!$F$26:$F$51,$F41,Аренда!$G$26:$G$51,$G41)</f>
        <v>0</v>
      </c>
      <c r="AL41" s="253">
        <f t="shared" ca="1" si="2"/>
        <v>0</v>
      </c>
      <c r="AM41" s="25"/>
      <c r="AN41" s="25"/>
      <c r="AO41" s="25"/>
      <c r="AR41" s="1021" t="s">
        <v>1348</v>
      </c>
    </row>
    <row r="42" spans="5:48" s="182" customFormat="1" ht="14.65" hidden="1" customHeight="1" x14ac:dyDescent="0.15">
      <c r="E42" s="668">
        <v>15</v>
      </c>
      <c r="F42" s="769" cm="1">
        <f t="array" aca="1" ref="F42" ca="1">OFFSET(G42,-1,-1)</f>
        <v>0</v>
      </c>
      <c r="G42" s="140" t="s">
        <v>1176</v>
      </c>
      <c r="T42" s="679" t="b" cm="1">
        <f t="array" ref="T42">T41</f>
        <v>0</v>
      </c>
      <c r="X42" s="1586"/>
      <c r="Z42" s="1586"/>
      <c r="AB42" s="108" t="s">
        <v>689</v>
      </c>
      <c r="AC42" s="115" t="s">
        <v>1349</v>
      </c>
      <c r="AD42" s="411" t="s">
        <v>1044</v>
      </c>
      <c r="AE42" s="253">
        <f ca="1">SUMIFS(Аренда!AE$26:AE$51,Аренда!$F$26:$F$51,$F42,Аренда!$G$26:$G$51,$G42)</f>
        <v>0</v>
      </c>
      <c r="AF42" s="253">
        <f ca="1">SUMIFS(Аренда!AF$26:AF$51,Аренда!$F$26:$F$51,$F42,Аренда!$G$26:$G$51,$G42)</f>
        <v>0</v>
      </c>
      <c r="AG42" s="50">
        <f ca="1">SUMIFS(Аренда!AG$26:AG$51,Аренда!$F$26:$F$51,$F42,Аренда!$G$26:$G$51,$G42)</f>
        <v>0</v>
      </c>
      <c r="AH42" s="253">
        <f t="shared" ca="1" si="1"/>
        <v>0</v>
      </c>
      <c r="AI42" s="253">
        <f ca="1">SUMIFS(Аренда!AH$26:AH$51,Аренда!$F$26:$F$51,$F42,Аренда!$G$26:$G$51,$G42)</f>
        <v>0</v>
      </c>
      <c r="AJ42" s="253">
        <f ca="1">SUMIFS(Аренда!AI$26:AI$51,Аренда!$F$26:$F$51,$F42,Аренда!$G$26:$G$51,$G42)</f>
        <v>0</v>
      </c>
      <c r="AK42" s="253">
        <f ca="1">SUMIFS(Аренда!AS$26:AS$51,Аренда!$F$26:$F$51,$F42,Аренда!$G$26:$G$51,$G42)</f>
        <v>0</v>
      </c>
      <c r="AL42" s="253">
        <f t="shared" ca="1" si="2"/>
        <v>0</v>
      </c>
      <c r="AM42" s="25"/>
      <c r="AN42" s="25"/>
      <c r="AO42" s="25"/>
      <c r="AR42" s="1021" t="s">
        <v>1179</v>
      </c>
      <c r="AS42" s="1029"/>
      <c r="AT42" s="1029"/>
      <c r="AU42" s="1030"/>
      <c r="AV42" s="1030"/>
    </row>
    <row r="43" spans="5:48" ht="29.25" hidden="1" customHeight="1" x14ac:dyDescent="0.15">
      <c r="E43" s="668">
        <v>30</v>
      </c>
      <c r="F43" s="769" cm="1">
        <f t="array" aca="1" ref="F43" ca="1">OFFSET(G43,-1,-1)</f>
        <v>0</v>
      </c>
      <c r="T43" s="679" t="b" cm="1">
        <f t="array" ref="T43">T42</f>
        <v>0</v>
      </c>
      <c r="X43" s="1485"/>
      <c r="Z43" s="1485"/>
      <c r="AB43" s="108" t="s">
        <v>713</v>
      </c>
      <c r="AC43" s="116" t="s">
        <v>1350</v>
      </c>
      <c r="AD43" s="411" t="s">
        <v>1044</v>
      </c>
      <c r="AE43" s="253">
        <f>SUM(AE44:AE46)</f>
        <v>0</v>
      </c>
      <c r="AF43" s="253">
        <f>SUM(AF44:AF46)</f>
        <v>0</v>
      </c>
      <c r="AG43" s="50">
        <f>SUM(AG44:AG46)</f>
        <v>0</v>
      </c>
      <c r="AH43" s="253">
        <f t="shared" si="1"/>
        <v>0</v>
      </c>
      <c r="AI43" s="253">
        <f>SUM(AI44:AI46)</f>
        <v>0</v>
      </c>
      <c r="AJ43" s="253">
        <f>SUM(AJ44:AJ46)</f>
        <v>0</v>
      </c>
      <c r="AK43" s="253">
        <f>SUM(AK44:AK46)</f>
        <v>0</v>
      </c>
      <c r="AL43" s="253">
        <f t="shared" si="2"/>
        <v>0</v>
      </c>
      <c r="AM43" s="25"/>
      <c r="AN43" s="25"/>
      <c r="AO43" s="25"/>
      <c r="AR43" s="1021" t="s">
        <v>1292</v>
      </c>
    </row>
    <row r="44" spans="5:48" ht="11.25" hidden="1" customHeight="1" x14ac:dyDescent="0.15">
      <c r="E44" s="668">
        <v>0</v>
      </c>
      <c r="F44" s="769" cm="1">
        <f t="array" aca="1" ref="F44" ca="1">OFFSET(G44,-1,-1)</f>
        <v>0</v>
      </c>
      <c r="T44" s="679" t="b" cm="1">
        <f t="array" ref="T44">T43</f>
        <v>0</v>
      </c>
      <c r="X44" s="1485"/>
      <c r="Z44" s="1485"/>
      <c r="AB44" s="108"/>
      <c r="AC44" s="113"/>
      <c r="AD44" s="411"/>
      <c r="AE44" s="411"/>
      <c r="AF44" s="411"/>
      <c r="AG44" s="411"/>
      <c r="AH44" s="411"/>
      <c r="AI44" s="411"/>
      <c r="AJ44" s="411"/>
      <c r="AK44" s="411"/>
      <c r="AL44" s="411"/>
      <c r="AM44" s="120"/>
      <c r="AN44" s="120"/>
      <c r="AO44" s="120"/>
      <c r="AR44" s="1021" t="str">
        <f>IF(AND(ISNUMBER(VALUE(TRIM(SUBSTITUTE(AB44,".","")))),TRIM(SUBSTITUTE(AB44,".",""))&lt;&gt;""),"P"&amp;SUBSTITUTE(AB44,".",""),"")</f>
        <v/>
      </c>
    </row>
    <row r="45" spans="5:48" ht="14.65" hidden="1" customHeight="1" x14ac:dyDescent="0.15">
      <c r="E45" s="668">
        <v>15</v>
      </c>
      <c r="F45" s="769" cm="1">
        <f t="array" aca="1" ref="F45" ca="1">OFFSET(G45,-1,-1)</f>
        <v>0</v>
      </c>
      <c r="T45" s="679" t="b">
        <f ca="1">AND(F45&gt;0,Y45&gt;0)</f>
        <v>0</v>
      </c>
      <c r="W45" s="123" t="s">
        <v>237</v>
      </c>
      <c r="X45" s="1485"/>
      <c r="Y45" s="123">
        <v>0</v>
      </c>
      <c r="Z45" s="1485"/>
      <c r="AA45" s="916" t="s">
        <v>218</v>
      </c>
      <c r="AB45" s="531" t="str">
        <f>"10."&amp;Y45</f>
        <v>10.0</v>
      </c>
      <c r="AC45" s="66"/>
      <c r="AD45" s="416" t="s">
        <v>1044</v>
      </c>
      <c r="AE45" s="67"/>
      <c r="AF45" s="67"/>
      <c r="AG45" s="67"/>
      <c r="AH45" s="456">
        <f>AG45-AF45</f>
        <v>0</v>
      </c>
      <c r="AI45" s="67"/>
      <c r="AJ45" s="67"/>
      <c r="AK45" s="67"/>
      <c r="AL45" s="456">
        <f>IF(AI45=0,0,(AK45-AI45)/AI45*100)</f>
        <v>0</v>
      </c>
      <c r="AM45" s="20"/>
      <c r="AN45" s="20"/>
      <c r="AO45" s="20"/>
      <c r="AR45" s="1021" t="s">
        <v>1292</v>
      </c>
      <c r="AS45" s="1021" t="s">
        <v>1221</v>
      </c>
      <c r="AT45" s="1031" cm="1">
        <f t="array" ref="AT45">AC45</f>
        <v>0</v>
      </c>
      <c r="AV45" s="1022" t="b">
        <v>1</v>
      </c>
    </row>
    <row r="46" spans="5:48" ht="13.7" hidden="1" customHeight="1" x14ac:dyDescent="0.15">
      <c r="E46" s="668">
        <v>14.1</v>
      </c>
      <c r="F46" s="769" cm="1">
        <f t="array" aca="1" ref="F46" ca="1">OFFSET(G46,-1,-1)</f>
        <v>0</v>
      </c>
      <c r="T46" s="679" t="b">
        <f ca="1">F46&gt;0</f>
        <v>0</v>
      </c>
      <c r="W46" s="312" t="s">
        <v>532</v>
      </c>
      <c r="X46" s="1485"/>
      <c r="Z46" s="1485"/>
      <c r="AB46" s="604"/>
      <c r="AC46" s="608" t="s">
        <v>239</v>
      </c>
      <c r="AD46" s="605"/>
      <c r="AE46" s="606"/>
      <c r="AF46" s="606"/>
      <c r="AG46" s="606"/>
      <c r="AH46" s="606"/>
      <c r="AI46" s="606"/>
      <c r="AJ46" s="606"/>
      <c r="AK46" s="606"/>
      <c r="AL46" s="606"/>
      <c r="AM46" s="900"/>
      <c r="AN46" s="900"/>
      <c r="AO46" s="901"/>
      <c r="AR46" s="1021" t="str">
        <f>IF(AND(ISNUMBER(VALUE(TRIM(SUBSTITUTE(AB46,".","")))),TRIM(SUBSTITUTE(AB46,".",""))&lt;&gt;""),"P"&amp;SUBSTITUTE(AB46,".",""),"")</f>
        <v/>
      </c>
      <c r="AU46" s="1022" t="s">
        <v>1221</v>
      </c>
    </row>
    <row r="47" spans="5:48" ht="13.7" hidden="1" customHeight="1" x14ac:dyDescent="0.15">
      <c r="E47" s="668">
        <v>14.1</v>
      </c>
      <c r="F47" s="769" cm="1">
        <f t="array" aca="1" ref="F47" ca="1">OFFSET(G47,-1,-1)</f>
        <v>0</v>
      </c>
      <c r="T47" s="679" t="b">
        <f ca="1">F47&gt;0</f>
        <v>0</v>
      </c>
      <c r="X47" s="1485"/>
      <c r="Z47" s="1485"/>
      <c r="AB47" s="532" t="s">
        <v>721</v>
      </c>
      <c r="AC47" s="603" t="s">
        <v>1351</v>
      </c>
      <c r="AD47" s="460" t="s">
        <v>1044</v>
      </c>
      <c r="AE47" s="534">
        <f>SUM(AE48:AE50)</f>
        <v>0</v>
      </c>
      <c r="AF47" s="534">
        <f>SUM(AF48:AF50)</f>
        <v>0</v>
      </c>
      <c r="AG47" s="68">
        <f>SUM(AG48:AG50)</f>
        <v>0</v>
      </c>
      <c r="AH47" s="534">
        <f>AG47-AF47</f>
        <v>0</v>
      </c>
      <c r="AI47" s="534">
        <f>SUM(AI48:AI50)</f>
        <v>0</v>
      </c>
      <c r="AJ47" s="534">
        <f>SUM(AJ48:AJ50)</f>
        <v>0</v>
      </c>
      <c r="AK47" s="534">
        <f>SUM(AK48:AK50)</f>
        <v>0</v>
      </c>
      <c r="AL47" s="534">
        <f>IF(AI47=0,0,(AK47-AI47)/AI47*100)</f>
        <v>0</v>
      </c>
      <c r="AM47" s="32"/>
      <c r="AN47" s="32"/>
      <c r="AO47" s="32"/>
      <c r="AR47" s="1021" t="s">
        <v>1352</v>
      </c>
    </row>
    <row r="48" spans="5:48" ht="11.25" hidden="1" customHeight="1" x14ac:dyDescent="0.15">
      <c r="E48" s="668">
        <v>0</v>
      </c>
      <c r="F48" s="769" cm="1">
        <f t="array" aca="1" ref="F48" ca="1">OFFSET(G48,-1,-1)</f>
        <v>0</v>
      </c>
      <c r="T48" s="679" t="b">
        <f ca="1">F48&gt;0</f>
        <v>0</v>
      </c>
      <c r="X48" s="1485"/>
      <c r="Z48" s="1485"/>
      <c r="AB48" s="531"/>
      <c r="AC48" s="553"/>
      <c r="AD48" s="554"/>
      <c r="AE48" s="411"/>
      <c r="AF48" s="411"/>
      <c r="AG48" s="411"/>
      <c r="AI48" s="411"/>
      <c r="AJ48" s="411"/>
      <c r="AK48" s="411"/>
      <c r="AR48" s="1021" t="str">
        <f>IF(AND(ISNUMBER(VALUE(TRIM(SUBSTITUTE(AB48,".","")))),TRIM(SUBSTITUTE(AB48,".",""))&lt;&gt;""),"P"&amp;SUBSTITUTE(AB48,".",""),"")</f>
        <v/>
      </c>
    </row>
    <row r="49" spans="1:48" ht="13.7" hidden="1" customHeight="1" x14ac:dyDescent="0.15">
      <c r="E49" s="668">
        <v>14.1</v>
      </c>
      <c r="F49" s="769" cm="1">
        <f t="array" aca="1" ref="F49" ca="1">OFFSET(G49,-1,-1)</f>
        <v>0</v>
      </c>
      <c r="T49" s="679" t="b">
        <f ca="1">AND(F49&gt;0,Y49&gt;0)</f>
        <v>0</v>
      </c>
      <c r="W49" s="123" t="s">
        <v>237</v>
      </c>
      <c r="X49" s="1485"/>
      <c r="Y49" s="123">
        <v>0</v>
      </c>
      <c r="Z49" s="1485"/>
      <c r="AA49" s="916" t="s">
        <v>218</v>
      </c>
      <c r="AB49" s="531" t="str">
        <f>"11."&amp;Y49</f>
        <v>11.0</v>
      </c>
      <c r="AC49" s="61"/>
      <c r="AD49" s="121" t="s">
        <v>1044</v>
      </c>
      <c r="AE49" s="50"/>
      <c r="AF49" s="50"/>
      <c r="AG49" s="50"/>
      <c r="AH49" s="253">
        <f>AG49-AF49</f>
        <v>0</v>
      </c>
      <c r="AI49" s="50"/>
      <c r="AJ49" s="50"/>
      <c r="AK49" s="50"/>
      <c r="AL49" s="253">
        <f>IF(AI49=0,0,(AK49-AI49)/AI49*100)</f>
        <v>0</v>
      </c>
      <c r="AM49" s="25"/>
      <c r="AN49" s="25"/>
      <c r="AO49" s="25"/>
      <c r="AR49" s="1021" t="s">
        <v>1352</v>
      </c>
      <c r="AS49" s="1021" t="s">
        <v>1353</v>
      </c>
      <c r="AT49" s="1031" cm="1">
        <f t="array" ref="AT49">AC49</f>
        <v>0</v>
      </c>
      <c r="AV49" s="1022" t="b">
        <v>1</v>
      </c>
    </row>
    <row r="50" spans="1:48" ht="13.7" hidden="1" customHeight="1" x14ac:dyDescent="0.15">
      <c r="E50" s="668">
        <v>14.1</v>
      </c>
      <c r="F50" s="769" cm="1">
        <f t="array" aca="1" ref="F50" ca="1">OFFSET(G50,-1,-1)</f>
        <v>0</v>
      </c>
      <c r="T50" s="679" t="b">
        <f ca="1">F50&gt;0</f>
        <v>0</v>
      </c>
      <c r="W50" s="312" t="s">
        <v>1354</v>
      </c>
      <c r="X50" s="1485"/>
      <c r="Z50" s="1485"/>
      <c r="AB50" s="604"/>
      <c r="AC50" s="608" t="s">
        <v>239</v>
      </c>
      <c r="AD50" s="605"/>
      <c r="AE50" s="607"/>
      <c r="AF50" s="607"/>
      <c r="AG50" s="607"/>
      <c r="AH50" s="607"/>
      <c r="AI50" s="607"/>
      <c r="AJ50" s="607"/>
      <c r="AK50" s="607"/>
      <c r="AL50" s="607"/>
      <c r="AM50" s="607"/>
      <c r="AN50" s="607"/>
      <c r="AO50" s="607"/>
      <c r="AU50" s="1022" t="s">
        <v>1353</v>
      </c>
    </row>
    <row r="51" spans="1:48" s="1291" customFormat="1" ht="13.5" customHeight="1" x14ac:dyDescent="0.15">
      <c r="A51" s="167"/>
      <c r="B51" s="167"/>
      <c r="C51" s="167"/>
      <c r="D51" s="167"/>
      <c r="E51" s="668">
        <v>14.1</v>
      </c>
      <c r="F51" s="769" t="str" cm="1">
        <f t="array" ref="F51">X51</f>
        <v>1</v>
      </c>
      <c r="G51" s="140" t="str" cm="1">
        <f t="array" ref="G51">INDEX('Общие сведения'!$AK$169:$AK$202,MATCH($F51,'Общие сведения'!$Z$169:$Z$202,0))</f>
        <v>одноставочный</v>
      </c>
      <c r="H51" s="167"/>
      <c r="I51" s="160" t="str" cm="1">
        <f t="array" ref="I51">INDEX('Общие сведения'!$AE$169:$AE$202,MATCH($F51,'Общие сведения'!$Z$169:$Z$202,0))</f>
        <v>Теплоснабжение</v>
      </c>
      <c r="J51" s="167"/>
      <c r="K51" s="167"/>
      <c r="L51" s="167"/>
      <c r="M51" s="167"/>
      <c r="N51" s="167"/>
      <c r="O51" s="167"/>
      <c r="P51" s="167"/>
      <c r="Q51" s="167"/>
      <c r="R51" s="167"/>
      <c r="S51" s="167"/>
      <c r="T51" s="690" t="b">
        <f>X51&gt;0</f>
        <v>1</v>
      </c>
      <c r="U51" s="167"/>
      <c r="V51" s="123" t="str" cm="1">
        <f t="array" ref="V51">Экономия_корр!$AB$35</f>
        <v>Тариф 1 (Теплоснабжение) - Тариф на тепловую энергию (мощность), поставляемую потребителям (Не определено)</v>
      </c>
      <c r="W51" s="167"/>
      <c r="X51" s="1485" t="s">
        <v>339</v>
      </c>
      <c r="Y51" s="167"/>
      <c r="Z51" s="1483"/>
      <c r="AA51" s="167"/>
      <c r="AB51" s="271" t="str" cm="1">
        <f t="array" ref="AB51">IF(ISBLANK(Экономия_корр!$AB$35),"",Экономия_корр!$AB$35)</f>
        <v>Тариф 1 (Теплоснабжение) - Тариф на тепловую энергию (мощность), поставляемую потребителям (Не определено)</v>
      </c>
      <c r="AC51" s="272"/>
      <c r="AD51" s="272"/>
      <c r="AE51" s="272"/>
      <c r="AF51" s="272"/>
      <c r="AG51" s="272"/>
      <c r="AH51" s="272"/>
      <c r="AI51" s="272"/>
      <c r="AJ51" s="272"/>
      <c r="AK51" s="272"/>
      <c r="AL51" s="272"/>
      <c r="AM51" s="272"/>
      <c r="AN51" s="272"/>
      <c r="AO51" s="272"/>
      <c r="AP51" s="167"/>
      <c r="AQ51" s="167"/>
      <c r="AR51" s="971"/>
      <c r="AS51" s="971"/>
      <c r="AT51" s="971"/>
      <c r="AU51" s="974"/>
      <c r="AV51" s="974"/>
    </row>
    <row r="52" spans="1:48" s="1299" customFormat="1" ht="13.5" customHeight="1" x14ac:dyDescent="0.15">
      <c r="A52" s="181"/>
      <c r="B52" s="181"/>
      <c r="C52" s="181"/>
      <c r="D52" s="181"/>
      <c r="E52" s="674">
        <v>14.1</v>
      </c>
      <c r="F52" s="769" t="str" cm="1">
        <f t="array" aca="1" ref="F52" ca="1">OFFSET(G52,-1,-1)</f>
        <v>1</v>
      </c>
      <c r="G52" s="778" t="s">
        <v>1317</v>
      </c>
      <c r="H52" s="181"/>
      <c r="I52" s="181"/>
      <c r="J52" s="181"/>
      <c r="K52" s="181"/>
      <c r="L52" s="181"/>
      <c r="M52" s="181"/>
      <c r="N52" s="181"/>
      <c r="O52" s="181"/>
      <c r="P52" s="181"/>
      <c r="Q52" s="181"/>
      <c r="R52" s="181"/>
      <c r="S52" s="181"/>
      <c r="T52" s="679" t="b" cm="1">
        <f t="array" ref="T52">T51</f>
        <v>1</v>
      </c>
      <c r="U52" s="181"/>
      <c r="V52" s="181"/>
      <c r="W52" s="181"/>
      <c r="X52" s="1584"/>
      <c r="Y52" s="181"/>
      <c r="Z52" s="1584"/>
      <c r="AA52" s="181"/>
      <c r="AB52" s="1582" t="s">
        <v>1318</v>
      </c>
      <c r="AC52" s="1583"/>
      <c r="AD52" s="249" t="s">
        <v>830</v>
      </c>
      <c r="AE52" s="1300">
        <f ca="1">SUM(AE53:AE57)+SUM(AE63:AE67)+AE72</f>
        <v>160906.03393550339</v>
      </c>
      <c r="AF52" s="1300">
        <f ca="1">SUM(AF53:AF57)+SUM(AF63:AF67)+AF72</f>
        <v>173169.05414999998</v>
      </c>
      <c r="AG52" s="1300">
        <f ca="1">SUM(AG53:AG57)+SUM(AG63:AG67)+AG72</f>
        <v>160906.02270972016</v>
      </c>
      <c r="AH52" s="1300">
        <f t="shared" ref="AH52:AH67" ca="1" si="3">AG52-AF52</f>
        <v>-12263.031440279825</v>
      </c>
      <c r="AI52" s="1300">
        <f ca="1">SUM(AI53:AI57)+SUM(AI63:AI67)+AI72</f>
        <v>177612.67650402567</v>
      </c>
      <c r="AJ52" s="1300">
        <f ca="1">SUM(AJ53:AJ57)+SUM(AJ63:AJ67)+AJ72</f>
        <v>6231.19</v>
      </c>
      <c r="AK52" s="1300">
        <f ca="1">SUM(AK53:AK57)+SUM(AK63:AK67)+AK72</f>
        <v>6231.19</v>
      </c>
      <c r="AL52" s="252">
        <f t="shared" ref="AL52:AL67" ca="1" si="4">IF(AI52=0,0,(AK52-AI52)/AI52*100)</f>
        <v>-96.491697483169915</v>
      </c>
      <c r="AM52" s="1231"/>
      <c r="AN52" s="1231"/>
      <c r="AO52" s="1231"/>
      <c r="AP52" s="181"/>
      <c r="AQ52" s="181"/>
      <c r="AR52" s="1021" t="s">
        <v>1319</v>
      </c>
      <c r="AS52" s="1027"/>
      <c r="AT52" s="1027"/>
      <c r="AU52" s="1028"/>
      <c r="AV52" s="1028"/>
    </row>
    <row r="53" spans="1:48" s="1167" customFormat="1" ht="29.25" customHeight="1" x14ac:dyDescent="0.15">
      <c r="A53" s="175"/>
      <c r="B53" s="773"/>
      <c r="C53" s="175"/>
      <c r="D53" s="175"/>
      <c r="E53" s="668">
        <v>30</v>
      </c>
      <c r="F53" s="769" t="str" cm="1">
        <f t="array" aca="1" ref="F53" ca="1">OFFSET(G53,-1,-1)</f>
        <v>1</v>
      </c>
      <c r="G53" s="177"/>
      <c r="H53" s="177"/>
      <c r="I53" s="177"/>
      <c r="J53" s="177"/>
      <c r="K53" s="177"/>
      <c r="L53" s="177"/>
      <c r="M53" s="177"/>
      <c r="N53" s="177"/>
      <c r="O53" s="177"/>
      <c r="P53" s="177"/>
      <c r="Q53" s="140"/>
      <c r="R53" s="140"/>
      <c r="S53" s="177"/>
      <c r="T53" s="679" t="b" cm="1">
        <f t="array" ref="T53">T52</f>
        <v>1</v>
      </c>
      <c r="U53" s="1152"/>
      <c r="V53" s="1152"/>
      <c r="W53" s="1152"/>
      <c r="X53" s="1485"/>
      <c r="Y53" s="1152"/>
      <c r="Z53" s="1485"/>
      <c r="AA53" s="177"/>
      <c r="AB53" s="108">
        <v>1</v>
      </c>
      <c r="AC53" s="116" t="s">
        <v>1320</v>
      </c>
      <c r="AD53" s="460" t="s">
        <v>1044</v>
      </c>
      <c r="AE53" s="1301">
        <v>4906.9679999999998</v>
      </c>
      <c r="AF53" s="1301">
        <v>4719.34</v>
      </c>
      <c r="AG53" s="1301">
        <v>4906.9675825000004</v>
      </c>
      <c r="AH53" s="316">
        <f t="shared" si="3"/>
        <v>187.62758250000024</v>
      </c>
      <c r="AI53" s="1301">
        <v>5416.4513627082897</v>
      </c>
      <c r="AJ53" s="1301"/>
      <c r="AK53" s="1301"/>
      <c r="AL53" s="253">
        <f t="shared" si="4"/>
        <v>-100</v>
      </c>
      <c r="AM53" s="1231"/>
      <c r="AN53" s="1231"/>
      <c r="AO53" s="1231"/>
      <c r="AP53" s="177"/>
      <c r="AQ53" s="177"/>
      <c r="AR53" s="1021" t="s">
        <v>1321</v>
      </c>
      <c r="AS53" s="1021"/>
      <c r="AT53" s="1021"/>
      <c r="AU53" s="1022"/>
      <c r="AV53" s="1022"/>
    </row>
    <row r="54" spans="1:48" s="1302" customFormat="1" ht="14.25" customHeight="1" x14ac:dyDescent="0.15">
      <c r="A54" s="180"/>
      <c r="B54" s="180"/>
      <c r="C54" s="180"/>
      <c r="D54" s="180"/>
      <c r="E54" s="674">
        <v>15</v>
      </c>
      <c r="F54" s="769" t="str" cm="1">
        <f t="array" aca="1" ref="F54" ca="1">OFFSET(G54,-1,-1)</f>
        <v>1</v>
      </c>
      <c r="G54" s="180"/>
      <c r="H54" s="180"/>
      <c r="I54" s="180"/>
      <c r="J54" s="180"/>
      <c r="K54" s="180"/>
      <c r="L54" s="180"/>
      <c r="M54" s="180"/>
      <c r="N54" s="180"/>
      <c r="O54" s="180"/>
      <c r="P54" s="180"/>
      <c r="Q54" s="180"/>
      <c r="R54" s="180"/>
      <c r="S54" s="180"/>
      <c r="T54" s="679" t="b" cm="1">
        <f t="array" ref="T54">T53</f>
        <v>1</v>
      </c>
      <c r="U54" s="180"/>
      <c r="V54" s="180"/>
      <c r="W54" s="180"/>
      <c r="X54" s="1585"/>
      <c r="Y54" s="180"/>
      <c r="Z54" s="1585"/>
      <c r="AA54" s="180"/>
      <c r="AB54" s="108">
        <v>2</v>
      </c>
      <c r="AC54" s="116" t="s">
        <v>1322</v>
      </c>
      <c r="AD54" s="460" t="s">
        <v>1044</v>
      </c>
      <c r="AE54" s="1301">
        <v>23629.98</v>
      </c>
      <c r="AF54" s="1301">
        <v>24111.89</v>
      </c>
      <c r="AG54" s="1301">
        <v>23629.98</v>
      </c>
      <c r="AH54" s="253">
        <f t="shared" si="3"/>
        <v>-481.90999999999985</v>
      </c>
      <c r="AI54" s="1301">
        <v>26083.448732824301</v>
      </c>
      <c r="AJ54" s="1301"/>
      <c r="AK54" s="1301"/>
      <c r="AL54" s="253">
        <f t="shared" si="4"/>
        <v>-100</v>
      </c>
      <c r="AM54" s="1231"/>
      <c r="AN54" s="1231"/>
      <c r="AO54" s="1231"/>
      <c r="AP54" s="180"/>
      <c r="AQ54" s="180"/>
      <c r="AR54" s="1021" t="s">
        <v>1323</v>
      </c>
      <c r="AS54" s="1027"/>
      <c r="AT54" s="1027"/>
      <c r="AU54" s="1028"/>
      <c r="AV54" s="1028"/>
    </row>
    <row r="55" spans="1:48" s="1167" customFormat="1" ht="14.25" customHeight="1" x14ac:dyDescent="0.15">
      <c r="A55" s="175"/>
      <c r="B55" s="773"/>
      <c r="C55" s="175"/>
      <c r="D55" s="175"/>
      <c r="E55" s="668">
        <v>15</v>
      </c>
      <c r="F55" s="769" t="str" cm="1">
        <f t="array" aca="1" ref="F55" ca="1">OFFSET(G55,-1,-1)</f>
        <v>1</v>
      </c>
      <c r="G55" s="140" t="s">
        <v>48</v>
      </c>
      <c r="H55" s="177"/>
      <c r="I55" s="177"/>
      <c r="J55" s="177"/>
      <c r="K55" s="177"/>
      <c r="L55" s="177"/>
      <c r="M55" s="177"/>
      <c r="N55" s="177"/>
      <c r="O55" s="177"/>
      <c r="P55" s="177"/>
      <c r="Q55" s="140"/>
      <c r="R55" s="140"/>
      <c r="S55" s="177"/>
      <c r="T55" s="679" t="b" cm="1">
        <f t="array" ref="T55">T54</f>
        <v>1</v>
      </c>
      <c r="U55" s="1152"/>
      <c r="V55" s="1152"/>
      <c r="W55" s="1152"/>
      <c r="X55" s="1485"/>
      <c r="Y55" s="1152"/>
      <c r="Z55" s="1485"/>
      <c r="AA55" s="177"/>
      <c r="AB55" s="108">
        <v>3</v>
      </c>
      <c r="AC55" s="115" t="s">
        <v>49</v>
      </c>
      <c r="AD55" s="411" t="s">
        <v>1044</v>
      </c>
      <c r="AE55" s="1266">
        <v>100579.27208448001</v>
      </c>
      <c r="AF55" s="1266">
        <v>112658.37</v>
      </c>
      <c r="AG55" s="1266">
        <v>100579.27208448001</v>
      </c>
      <c r="AH55" s="253">
        <f t="shared" si="3"/>
        <v>-12079.097915519989</v>
      </c>
      <c r="AI55" s="1266">
        <v>111022.28131383601</v>
      </c>
      <c r="AJ55" s="253">
        <f ca="1">SUMIFS(ФОТ!AI$26:AI$77,ФОТ!$F$26:$F$77,$F55,ФОТ!$G$26:$G$77,$G55)</f>
        <v>0</v>
      </c>
      <c r="AK55" s="253">
        <f ca="1">SUMIFS(ФОТ!AJ$26:AJ$77,ФОТ!$F$26:$F$77,$F55,ФОТ!$G$26:$G$77,$G55)</f>
        <v>0</v>
      </c>
      <c r="AL55" s="253">
        <f t="shared" ca="1" si="4"/>
        <v>-100</v>
      </c>
      <c r="AM55" s="1231"/>
      <c r="AN55" s="1231"/>
      <c r="AO55" s="1231"/>
      <c r="AP55" s="177"/>
      <c r="AQ55" s="177"/>
      <c r="AR55" s="1021" t="s">
        <v>1324</v>
      </c>
      <c r="AS55" s="1021"/>
      <c r="AT55" s="1021"/>
      <c r="AU55" s="1022"/>
      <c r="AV55" s="1022"/>
    </row>
    <row r="56" spans="1:48" s="1167" customFormat="1" ht="52.5" customHeight="1" x14ac:dyDescent="0.15">
      <c r="A56" s="175"/>
      <c r="B56" s="773"/>
      <c r="C56" s="175"/>
      <c r="D56" s="175"/>
      <c r="E56" s="668">
        <v>54</v>
      </c>
      <c r="F56" s="769" t="str" cm="1">
        <f t="array" aca="1" ref="F56" ca="1">OFFSET(G56,-1,-1)</f>
        <v>1</v>
      </c>
      <c r="G56" s="177"/>
      <c r="H56" s="177"/>
      <c r="I56" s="177"/>
      <c r="J56" s="177"/>
      <c r="K56" s="177"/>
      <c r="L56" s="177"/>
      <c r="M56" s="177"/>
      <c r="N56" s="177"/>
      <c r="O56" s="177"/>
      <c r="P56" s="177"/>
      <c r="Q56" s="140"/>
      <c r="R56" s="140"/>
      <c r="S56" s="177"/>
      <c r="T56" s="679" t="b" cm="1">
        <f t="array" ref="T56">T55</f>
        <v>1</v>
      </c>
      <c r="U56" s="1152"/>
      <c r="V56" s="1152"/>
      <c r="W56" s="1152"/>
      <c r="X56" s="1485"/>
      <c r="Y56" s="1152"/>
      <c r="Z56" s="1485"/>
      <c r="AA56" s="177"/>
      <c r="AB56" s="108">
        <v>4</v>
      </c>
      <c r="AC56" s="116" t="s">
        <v>1325</v>
      </c>
      <c r="AD56" s="411" t="s">
        <v>1044</v>
      </c>
      <c r="AE56" s="1266">
        <v>3362.30385102336</v>
      </c>
      <c r="AF56" s="1266">
        <v>4866.68</v>
      </c>
      <c r="AG56" s="1266">
        <v>3362.30385102336</v>
      </c>
      <c r="AH56" s="253">
        <f t="shared" si="3"/>
        <v>-1504.3761489766403</v>
      </c>
      <c r="AI56" s="1266">
        <v>3711.40729371525</v>
      </c>
      <c r="AJ56" s="1266"/>
      <c r="AK56" s="1266"/>
      <c r="AL56" s="253">
        <f t="shared" si="4"/>
        <v>-100</v>
      </c>
      <c r="AM56" s="1231"/>
      <c r="AN56" s="1231"/>
      <c r="AO56" s="1231"/>
      <c r="AP56" s="177"/>
      <c r="AQ56" s="177"/>
      <c r="AR56" s="1021" t="s">
        <v>1326</v>
      </c>
      <c r="AS56" s="1021"/>
      <c r="AT56" s="1021"/>
      <c r="AU56" s="1022"/>
      <c r="AV56" s="1022"/>
    </row>
    <row r="57" spans="1:48" s="1167" customFormat="1" ht="30" customHeight="1" x14ac:dyDescent="0.15">
      <c r="A57" s="175"/>
      <c r="B57" s="773"/>
      <c r="C57" s="175"/>
      <c r="D57" s="175"/>
      <c r="E57" s="668">
        <v>31.5</v>
      </c>
      <c r="F57" s="769" t="str" cm="1">
        <f t="array" aca="1" ref="F57" ca="1">OFFSET(G57,-1,-1)</f>
        <v>1</v>
      </c>
      <c r="G57" s="177"/>
      <c r="H57" s="177"/>
      <c r="I57" s="177"/>
      <c r="J57" s="177"/>
      <c r="K57" s="177"/>
      <c r="L57" s="177"/>
      <c r="M57" s="177"/>
      <c r="N57" s="177"/>
      <c r="O57" s="177"/>
      <c r="P57" s="177"/>
      <c r="Q57" s="140"/>
      <c r="R57" s="140"/>
      <c r="S57" s="177"/>
      <c r="T57" s="679" t="b" cm="1">
        <f t="array" ref="T57">T56</f>
        <v>1</v>
      </c>
      <c r="U57" s="1152"/>
      <c r="V57" s="1152"/>
      <c r="W57" s="1152"/>
      <c r="X57" s="1485"/>
      <c r="Y57" s="1152"/>
      <c r="Z57" s="1485"/>
      <c r="AA57" s="177"/>
      <c r="AB57" s="108">
        <v>5</v>
      </c>
      <c r="AC57" s="116" t="s">
        <v>1327</v>
      </c>
      <c r="AD57" s="411" t="s">
        <v>1044</v>
      </c>
      <c r="AE57" s="253">
        <f>SUM(AE58:AE62)</f>
        <v>11569.25</v>
      </c>
      <c r="AF57" s="253">
        <f>SUM(AF58:AF62)</f>
        <v>9727.68</v>
      </c>
      <c r="AG57" s="1266">
        <f>SUM(AG58:AG62)</f>
        <v>11569.25</v>
      </c>
      <c r="AH57" s="253">
        <f t="shared" si="3"/>
        <v>1841.5699999999997</v>
      </c>
      <c r="AI57" s="253">
        <f>SUM(AI58:AI62)</f>
        <v>12770.469515938123</v>
      </c>
      <c r="AJ57" s="253">
        <f>SUM(AJ58:AJ62)</f>
        <v>0</v>
      </c>
      <c r="AK57" s="253">
        <f>SUM(AK58:AK62)</f>
        <v>0</v>
      </c>
      <c r="AL57" s="253">
        <f t="shared" si="4"/>
        <v>-100</v>
      </c>
      <c r="AM57" s="1231"/>
      <c r="AN57" s="1231"/>
      <c r="AO57" s="1231"/>
      <c r="AP57" s="177"/>
      <c r="AQ57" s="177"/>
      <c r="AR57" s="1021" t="s">
        <v>1328</v>
      </c>
      <c r="AS57" s="1021"/>
      <c r="AT57" s="1021"/>
      <c r="AU57" s="1022"/>
      <c r="AV57" s="1022"/>
    </row>
    <row r="58" spans="1:48" s="1167" customFormat="1" ht="14.25" customHeight="1" x14ac:dyDescent="0.15">
      <c r="A58" s="175"/>
      <c r="B58" s="773"/>
      <c r="C58" s="175"/>
      <c r="D58" s="175"/>
      <c r="E58" s="668">
        <v>15</v>
      </c>
      <c r="F58" s="769" t="str" cm="1">
        <f t="array" aca="1" ref="F58" ca="1">OFFSET(G58,-1,-1)</f>
        <v>1</v>
      </c>
      <c r="G58" s="177"/>
      <c r="H58" s="177"/>
      <c r="I58" s="177"/>
      <c r="J58" s="177"/>
      <c r="K58" s="177"/>
      <c r="L58" s="177"/>
      <c r="M58" s="177"/>
      <c r="N58" s="177"/>
      <c r="O58" s="177"/>
      <c r="P58" s="177"/>
      <c r="Q58" s="140"/>
      <c r="R58" s="140"/>
      <c r="S58" s="177"/>
      <c r="T58" s="679" t="b" cm="1">
        <f t="array" ref="T58">T57</f>
        <v>1</v>
      </c>
      <c r="U58" s="1152"/>
      <c r="V58" s="1152"/>
      <c r="W58" s="1152"/>
      <c r="X58" s="1485"/>
      <c r="Y58" s="1152"/>
      <c r="Z58" s="1485"/>
      <c r="AA58" s="177"/>
      <c r="AB58" s="108" t="s">
        <v>776</v>
      </c>
      <c r="AC58" s="116" t="s">
        <v>1329</v>
      </c>
      <c r="AD58" s="411" t="s">
        <v>1044</v>
      </c>
      <c r="AE58" s="1266">
        <v>672.22</v>
      </c>
      <c r="AF58" s="1266">
        <v>552.59</v>
      </c>
      <c r="AG58" s="1266">
        <v>672.22</v>
      </c>
      <c r="AH58" s="253">
        <f t="shared" si="3"/>
        <v>119.63</v>
      </c>
      <c r="AI58" s="1266">
        <v>742.01568969500397</v>
      </c>
      <c r="AJ58" s="1266"/>
      <c r="AK58" s="1266"/>
      <c r="AL58" s="253">
        <f t="shared" si="4"/>
        <v>-100</v>
      </c>
      <c r="AM58" s="1231"/>
      <c r="AN58" s="1231"/>
      <c r="AO58" s="1231"/>
      <c r="AP58" s="177"/>
      <c r="AQ58" s="177"/>
      <c r="AR58" s="1021" t="s">
        <v>1330</v>
      </c>
      <c r="AS58" s="1021"/>
      <c r="AT58" s="1021"/>
      <c r="AU58" s="1022"/>
      <c r="AV58" s="1022"/>
    </row>
    <row r="59" spans="1:48" s="1167" customFormat="1" ht="14.25" customHeight="1" x14ac:dyDescent="0.15">
      <c r="A59" s="175"/>
      <c r="B59" s="773"/>
      <c r="C59" s="175"/>
      <c r="D59" s="175"/>
      <c r="E59" s="668">
        <v>15</v>
      </c>
      <c r="F59" s="769" t="str" cm="1">
        <f t="array" aca="1" ref="F59" ca="1">OFFSET(G59,-1,-1)</f>
        <v>1</v>
      </c>
      <c r="G59" s="177"/>
      <c r="H59" s="177"/>
      <c r="I59" s="177"/>
      <c r="J59" s="177"/>
      <c r="K59" s="177"/>
      <c r="L59" s="177"/>
      <c r="M59" s="177"/>
      <c r="N59" s="177"/>
      <c r="O59" s="177"/>
      <c r="P59" s="177"/>
      <c r="Q59" s="140"/>
      <c r="R59" s="140"/>
      <c r="S59" s="177"/>
      <c r="T59" s="679" t="b" cm="1">
        <f t="array" ref="T59">T58</f>
        <v>1</v>
      </c>
      <c r="U59" s="1152"/>
      <c r="V59" s="1152"/>
      <c r="W59" s="1152"/>
      <c r="X59" s="1485"/>
      <c r="Y59" s="1152"/>
      <c r="Z59" s="1485"/>
      <c r="AA59" s="177"/>
      <c r="AB59" s="108" t="s">
        <v>1331</v>
      </c>
      <c r="AC59" s="116" t="s">
        <v>1332</v>
      </c>
      <c r="AD59" s="411" t="s">
        <v>1044</v>
      </c>
      <c r="AE59" s="1266">
        <v>5692.78</v>
      </c>
      <c r="AF59" s="1266">
        <v>5610.32</v>
      </c>
      <c r="AG59" s="1266">
        <v>5692.78</v>
      </c>
      <c r="AH59" s="253">
        <f t="shared" si="3"/>
        <v>82.460000000000036</v>
      </c>
      <c r="AI59" s="1266">
        <v>6283.8536163487097</v>
      </c>
      <c r="AJ59" s="1266"/>
      <c r="AK59" s="1266"/>
      <c r="AL59" s="253">
        <f t="shared" si="4"/>
        <v>-100</v>
      </c>
      <c r="AM59" s="1231"/>
      <c r="AN59" s="1231"/>
      <c r="AO59" s="1231"/>
      <c r="AP59" s="177"/>
      <c r="AQ59" s="177"/>
      <c r="AR59" s="1021" t="s">
        <v>1333</v>
      </c>
      <c r="AS59" s="1021"/>
      <c r="AT59" s="1021"/>
      <c r="AU59" s="1022"/>
      <c r="AV59" s="1022"/>
    </row>
    <row r="60" spans="1:48" s="1167" customFormat="1" ht="14.25" customHeight="1" x14ac:dyDescent="0.15">
      <c r="A60" s="175"/>
      <c r="B60" s="773"/>
      <c r="C60" s="175"/>
      <c r="D60" s="175"/>
      <c r="E60" s="668">
        <v>15</v>
      </c>
      <c r="F60" s="769" t="str" cm="1">
        <f t="array" aca="1" ref="F60" ca="1">OFFSET(G60,-1,-1)</f>
        <v>1</v>
      </c>
      <c r="G60" s="177"/>
      <c r="H60" s="177"/>
      <c r="I60" s="177"/>
      <c r="J60" s="177"/>
      <c r="K60" s="177"/>
      <c r="L60" s="177"/>
      <c r="M60" s="177"/>
      <c r="N60" s="177"/>
      <c r="O60" s="177"/>
      <c r="P60" s="177"/>
      <c r="Q60" s="140"/>
      <c r="R60" s="140"/>
      <c r="S60" s="177"/>
      <c r="T60" s="679" t="b" cm="1">
        <f t="array" ref="T60">T59</f>
        <v>1</v>
      </c>
      <c r="U60" s="1152"/>
      <c r="V60" s="1152"/>
      <c r="W60" s="1152"/>
      <c r="X60" s="1485"/>
      <c r="Y60" s="1152"/>
      <c r="Z60" s="1485"/>
      <c r="AA60" s="177"/>
      <c r="AB60" s="108" t="s">
        <v>1334</v>
      </c>
      <c r="AC60" s="116" t="s">
        <v>1335</v>
      </c>
      <c r="AD60" s="411" t="s">
        <v>1044</v>
      </c>
      <c r="AE60" s="1266"/>
      <c r="AF60" s="1266"/>
      <c r="AG60" s="1266"/>
      <c r="AH60" s="253">
        <f t="shared" si="3"/>
        <v>0</v>
      </c>
      <c r="AI60" s="1266"/>
      <c r="AJ60" s="1266"/>
      <c r="AK60" s="1266"/>
      <c r="AL60" s="253">
        <f t="shared" si="4"/>
        <v>0</v>
      </c>
      <c r="AM60" s="1231"/>
      <c r="AN60" s="1231"/>
      <c r="AO60" s="1231"/>
      <c r="AP60" s="177"/>
      <c r="AQ60" s="177"/>
      <c r="AR60" s="1021" t="s">
        <v>1336</v>
      </c>
      <c r="AS60" s="1021"/>
      <c r="AT60" s="1021"/>
      <c r="AU60" s="1022"/>
      <c r="AV60" s="1022"/>
    </row>
    <row r="61" spans="1:48" s="1167" customFormat="1" ht="23.25" customHeight="1" x14ac:dyDescent="0.15">
      <c r="A61" s="175"/>
      <c r="B61" s="773"/>
      <c r="C61" s="175"/>
      <c r="D61" s="175"/>
      <c r="E61" s="668">
        <v>24</v>
      </c>
      <c r="F61" s="769" t="str" cm="1">
        <f t="array" aca="1" ref="F61" ca="1">OFFSET(G61,-1,-1)</f>
        <v>1</v>
      </c>
      <c r="G61" s="177"/>
      <c r="H61" s="177"/>
      <c r="I61" s="177"/>
      <c r="J61" s="177"/>
      <c r="K61" s="177"/>
      <c r="L61" s="177"/>
      <c r="M61" s="177"/>
      <c r="N61" s="177"/>
      <c r="O61" s="177"/>
      <c r="P61" s="177"/>
      <c r="Q61" s="140"/>
      <c r="R61" s="140"/>
      <c r="S61" s="177"/>
      <c r="T61" s="679" t="b" cm="1">
        <f t="array" ref="T61">T60</f>
        <v>1</v>
      </c>
      <c r="U61" s="1152"/>
      <c r="V61" s="1152"/>
      <c r="W61" s="1152"/>
      <c r="X61" s="1485"/>
      <c r="Y61" s="1152"/>
      <c r="Z61" s="1485"/>
      <c r="AA61" s="177"/>
      <c r="AB61" s="108" t="s">
        <v>1337</v>
      </c>
      <c r="AC61" s="116" t="s">
        <v>1338</v>
      </c>
      <c r="AD61" s="411" t="s">
        <v>1044</v>
      </c>
      <c r="AE61" s="1266">
        <v>2122.2399999999998</v>
      </c>
      <c r="AF61" s="1266">
        <v>2062.89</v>
      </c>
      <c r="AG61" s="1266">
        <v>2122.2399999999998</v>
      </c>
      <c r="AH61" s="253">
        <f t="shared" si="3"/>
        <v>59.349999999999909</v>
      </c>
      <c r="AI61" s="1266">
        <v>2342.5892971026201</v>
      </c>
      <c r="AJ61" s="1266"/>
      <c r="AK61" s="1266"/>
      <c r="AL61" s="253">
        <f t="shared" si="4"/>
        <v>-100</v>
      </c>
      <c r="AM61" s="1231"/>
      <c r="AN61" s="1231"/>
      <c r="AO61" s="1231"/>
      <c r="AP61" s="177"/>
      <c r="AQ61" s="177"/>
      <c r="AR61" s="1021" t="s">
        <v>1339</v>
      </c>
      <c r="AS61" s="1021"/>
      <c r="AT61" s="1021"/>
      <c r="AU61" s="1022"/>
      <c r="AV61" s="1022"/>
    </row>
    <row r="62" spans="1:48" s="1167" customFormat="1" ht="14.25" customHeight="1" x14ac:dyDescent="0.15">
      <c r="A62" s="175"/>
      <c r="B62" s="773"/>
      <c r="C62" s="175"/>
      <c r="D62" s="175"/>
      <c r="E62" s="668">
        <v>15</v>
      </c>
      <c r="F62" s="769" t="str" cm="1">
        <f t="array" aca="1" ref="F62" ca="1">OFFSET(G62,-1,-1)</f>
        <v>1</v>
      </c>
      <c r="G62" s="177"/>
      <c r="H62" s="177"/>
      <c r="I62" s="177"/>
      <c r="J62" s="177"/>
      <c r="K62" s="177"/>
      <c r="L62" s="177"/>
      <c r="M62" s="177"/>
      <c r="N62" s="177"/>
      <c r="O62" s="177"/>
      <c r="P62" s="177"/>
      <c r="Q62" s="140"/>
      <c r="R62" s="140"/>
      <c r="S62" s="177"/>
      <c r="T62" s="679" t="b" cm="1">
        <f t="array" ref="T62">T61</f>
        <v>1</v>
      </c>
      <c r="U62" s="1152"/>
      <c r="V62" s="1152"/>
      <c r="W62" s="1152"/>
      <c r="X62" s="1485"/>
      <c r="Y62" s="1152"/>
      <c r="Z62" s="1485"/>
      <c r="AA62" s="177"/>
      <c r="AB62" s="108" t="s">
        <v>1340</v>
      </c>
      <c r="AC62" s="116" t="s">
        <v>1341</v>
      </c>
      <c r="AD62" s="411" t="s">
        <v>1044</v>
      </c>
      <c r="AE62" s="1266">
        <v>3082.01</v>
      </c>
      <c r="AF62" s="1266">
        <v>1501.88</v>
      </c>
      <c r="AG62" s="1266">
        <v>3082.01</v>
      </c>
      <c r="AH62" s="253">
        <f t="shared" si="3"/>
        <v>1580.13</v>
      </c>
      <c r="AI62" s="1266">
        <v>3402.0109127917899</v>
      </c>
      <c r="AJ62" s="1266"/>
      <c r="AK62" s="1266"/>
      <c r="AL62" s="253">
        <f t="shared" si="4"/>
        <v>-100</v>
      </c>
      <c r="AM62" s="1231"/>
      <c r="AN62" s="1231"/>
      <c r="AO62" s="1231"/>
      <c r="AP62" s="177"/>
      <c r="AQ62" s="177"/>
      <c r="AR62" s="1021" t="s">
        <v>1342</v>
      </c>
      <c r="AS62" s="1021"/>
      <c r="AT62" s="1021"/>
      <c r="AU62" s="1022"/>
      <c r="AV62" s="1022"/>
    </row>
    <row r="63" spans="1:48" s="1303" customFormat="1" ht="14.25" customHeight="1" x14ac:dyDescent="0.15">
      <c r="A63" s="182"/>
      <c r="B63" s="182"/>
      <c r="C63" s="182"/>
      <c r="D63" s="182"/>
      <c r="E63" s="668">
        <v>15</v>
      </c>
      <c r="F63" s="769" t="str" cm="1">
        <f t="array" aca="1" ref="F63" ca="1">OFFSET(G63,-1,-1)</f>
        <v>1</v>
      </c>
      <c r="G63" s="182"/>
      <c r="H63" s="182"/>
      <c r="I63" s="182"/>
      <c r="J63" s="182"/>
      <c r="K63" s="182"/>
      <c r="L63" s="182"/>
      <c r="M63" s="182"/>
      <c r="N63" s="182"/>
      <c r="O63" s="182"/>
      <c r="P63" s="182"/>
      <c r="Q63" s="182"/>
      <c r="R63" s="182"/>
      <c r="S63" s="182"/>
      <c r="T63" s="679" t="b" cm="1">
        <f t="array" ref="T63">T62</f>
        <v>1</v>
      </c>
      <c r="U63" s="182"/>
      <c r="V63" s="182"/>
      <c r="W63" s="182"/>
      <c r="X63" s="1586"/>
      <c r="Y63" s="182"/>
      <c r="Z63" s="1586"/>
      <c r="AA63" s="182"/>
      <c r="AB63" s="108" t="s">
        <v>445</v>
      </c>
      <c r="AC63" s="116" t="s">
        <v>1343</v>
      </c>
      <c r="AD63" s="411" t="s">
        <v>1044</v>
      </c>
      <c r="AE63" s="1266">
        <v>116.5</v>
      </c>
      <c r="AF63" s="1266">
        <v>288.3</v>
      </c>
      <c r="AG63" s="1266">
        <v>116.5</v>
      </c>
      <c r="AH63" s="253">
        <f t="shared" si="3"/>
        <v>-171.8</v>
      </c>
      <c r="AI63" s="1266">
        <v>128.59603678776</v>
      </c>
      <c r="AJ63" s="1266"/>
      <c r="AK63" s="1266"/>
      <c r="AL63" s="253">
        <f t="shared" si="4"/>
        <v>-100</v>
      </c>
      <c r="AM63" s="1231"/>
      <c r="AN63" s="1231"/>
      <c r="AO63" s="1231"/>
      <c r="AP63" s="182"/>
      <c r="AQ63" s="182"/>
      <c r="AR63" s="1021" t="s">
        <v>1344</v>
      </c>
      <c r="AS63" s="1029"/>
      <c r="AT63" s="1029"/>
      <c r="AU63" s="1030"/>
      <c r="AV63" s="1030"/>
    </row>
    <row r="64" spans="1:48" s="1167" customFormat="1" ht="14.25" customHeight="1" x14ac:dyDescent="0.15">
      <c r="A64" s="175"/>
      <c r="B64" s="773"/>
      <c r="C64" s="175"/>
      <c r="D64" s="175"/>
      <c r="E64" s="668">
        <v>15</v>
      </c>
      <c r="F64" s="769" t="str" cm="1">
        <f t="array" aca="1" ref="F64" ca="1">OFFSET(G64,-1,-1)</f>
        <v>1</v>
      </c>
      <c r="G64" s="177"/>
      <c r="H64" s="177"/>
      <c r="I64" s="177"/>
      <c r="J64" s="177"/>
      <c r="K64" s="177"/>
      <c r="L64" s="177"/>
      <c r="M64" s="177"/>
      <c r="N64" s="177"/>
      <c r="O64" s="177"/>
      <c r="P64" s="177"/>
      <c r="Q64" s="140"/>
      <c r="R64" s="140"/>
      <c r="S64" s="177"/>
      <c r="T64" s="679" t="b" cm="1">
        <f t="array" ref="T64">T63</f>
        <v>1</v>
      </c>
      <c r="U64" s="1152"/>
      <c r="V64" s="1152"/>
      <c r="W64" s="1152"/>
      <c r="X64" s="1485"/>
      <c r="Y64" s="1152"/>
      <c r="Z64" s="1485"/>
      <c r="AA64" s="177"/>
      <c r="AB64" s="108" t="s">
        <v>449</v>
      </c>
      <c r="AC64" s="116" t="s">
        <v>1345</v>
      </c>
      <c r="AD64" s="411" t="s">
        <v>1044</v>
      </c>
      <c r="AE64" s="1266">
        <v>903.35</v>
      </c>
      <c r="AF64" s="1266">
        <v>1801.98</v>
      </c>
      <c r="AG64" s="1266">
        <v>903.35</v>
      </c>
      <c r="AH64" s="253">
        <f t="shared" si="3"/>
        <v>-898.63</v>
      </c>
      <c r="AI64" s="1266">
        <v>997.14360371006899</v>
      </c>
      <c r="AJ64" s="1266"/>
      <c r="AK64" s="1266"/>
      <c r="AL64" s="253">
        <f t="shared" si="4"/>
        <v>-100</v>
      </c>
      <c r="AM64" s="1231"/>
      <c r="AN64" s="1231"/>
      <c r="AO64" s="1231"/>
      <c r="AP64" s="177"/>
      <c r="AQ64" s="177"/>
      <c r="AR64" s="1021" t="s">
        <v>1346</v>
      </c>
      <c r="AS64" s="1021"/>
      <c r="AT64" s="1021"/>
      <c r="AU64" s="1022"/>
      <c r="AV64" s="1022"/>
    </row>
    <row r="65" spans="1:48" s="1167" customFormat="1" ht="14.25" customHeight="1" x14ac:dyDescent="0.15">
      <c r="A65" s="175"/>
      <c r="B65" s="773"/>
      <c r="C65" s="175"/>
      <c r="D65" s="175"/>
      <c r="E65" s="668">
        <v>15</v>
      </c>
      <c r="F65" s="769" t="str" cm="1">
        <f t="array" aca="1" ref="F65" ca="1">OFFSET(G65,-1,-1)</f>
        <v>1</v>
      </c>
      <c r="G65" s="140" t="s">
        <v>1189</v>
      </c>
      <c r="H65" s="177"/>
      <c r="I65" s="177"/>
      <c r="J65" s="177"/>
      <c r="K65" s="177"/>
      <c r="L65" s="177"/>
      <c r="M65" s="177"/>
      <c r="N65" s="177"/>
      <c r="O65" s="177"/>
      <c r="P65" s="177"/>
      <c r="Q65" s="140"/>
      <c r="R65" s="140"/>
      <c r="S65" s="177"/>
      <c r="T65" s="679" t="b" cm="1">
        <f t="array" ref="T65">T64</f>
        <v>1</v>
      </c>
      <c r="U65" s="1152"/>
      <c r="V65" s="1152"/>
      <c r="W65" s="1152"/>
      <c r="X65" s="1485"/>
      <c r="Y65" s="1152"/>
      <c r="Z65" s="1485"/>
      <c r="AA65" s="177"/>
      <c r="AB65" s="108" t="s">
        <v>455</v>
      </c>
      <c r="AC65" s="115" t="s">
        <v>1347</v>
      </c>
      <c r="AD65" s="411" t="s">
        <v>1044</v>
      </c>
      <c r="AE65" s="253">
        <f ca="1">SUMIFS(Аренда!AE$26:AE$51,Аренда!$F$26:$F$51,$F65,Аренда!$G$26:$G$51,$G65)</f>
        <v>0</v>
      </c>
      <c r="AF65" s="253">
        <f ca="1">SUMIFS(Аренда!AF$26:AF$51,Аренда!$F$26:$F$51,$F65,Аренда!$G$26:$G$51,$G65)</f>
        <v>0</v>
      </c>
      <c r="AG65" s="1266">
        <f ca="1">SUMIFS(Аренда!AG$26:AG$51,Аренда!$F$26:$F$51,$F65,Аренда!$G$26:$G$51,$G65)</f>
        <v>0</v>
      </c>
      <c r="AH65" s="253">
        <f t="shared" ca="1" si="3"/>
        <v>0</v>
      </c>
      <c r="AI65" s="253">
        <f ca="1">SUMIFS(Аренда!AH$26:AH$51,Аренда!$F$26:$F$51,$F65,Аренда!$G$26:$G$51,$G65)</f>
        <v>0</v>
      </c>
      <c r="AJ65" s="253">
        <f ca="1">SUMIFS(Аренда!AI$26:AI$51,Аренда!$F$26:$F$51,$F65,Аренда!$G$26:$G$51,$G65)</f>
        <v>0</v>
      </c>
      <c r="AK65" s="253">
        <f ca="1">SUMIFS(Аренда!AS$26:AS$51,Аренда!$F$26:$F$51,$F65,Аренда!$G$26:$G$51,$G65)</f>
        <v>0</v>
      </c>
      <c r="AL65" s="253">
        <f t="shared" ca="1" si="4"/>
        <v>0</v>
      </c>
      <c r="AM65" s="1231"/>
      <c r="AN65" s="1231"/>
      <c r="AO65" s="1231"/>
      <c r="AP65" s="177"/>
      <c r="AQ65" s="177"/>
      <c r="AR65" s="1021" t="s">
        <v>1348</v>
      </c>
      <c r="AS65" s="1021"/>
      <c r="AT65" s="1021"/>
      <c r="AU65" s="1022"/>
      <c r="AV65" s="1022"/>
    </row>
    <row r="66" spans="1:48" s="1304" customFormat="1" ht="14.25" customHeight="1" x14ac:dyDescent="0.15">
      <c r="A66" s="182"/>
      <c r="B66" s="182"/>
      <c r="C66" s="182"/>
      <c r="D66" s="182"/>
      <c r="E66" s="668">
        <v>15</v>
      </c>
      <c r="F66" s="769" t="str" cm="1">
        <f t="array" aca="1" ref="F66" ca="1">OFFSET(G66,-1,-1)</f>
        <v>1</v>
      </c>
      <c r="G66" s="140" t="s">
        <v>1176</v>
      </c>
      <c r="H66" s="182"/>
      <c r="I66" s="182"/>
      <c r="J66" s="182"/>
      <c r="K66" s="182"/>
      <c r="L66" s="182"/>
      <c r="M66" s="182"/>
      <c r="N66" s="182"/>
      <c r="O66" s="182"/>
      <c r="P66" s="182"/>
      <c r="Q66" s="182"/>
      <c r="R66" s="182"/>
      <c r="S66" s="182"/>
      <c r="T66" s="679" t="b" cm="1">
        <f t="array" ref="T66">T65</f>
        <v>1</v>
      </c>
      <c r="U66" s="182"/>
      <c r="V66" s="182"/>
      <c r="W66" s="182"/>
      <c r="X66" s="1586"/>
      <c r="Y66" s="182"/>
      <c r="Z66" s="1586"/>
      <c r="AA66" s="182"/>
      <c r="AB66" s="108" t="s">
        <v>689</v>
      </c>
      <c r="AC66" s="115" t="s">
        <v>1349</v>
      </c>
      <c r="AD66" s="411" t="s">
        <v>1044</v>
      </c>
      <c r="AE66" s="253">
        <f ca="1">SUMIFS(Аренда!AE$26:AE$51,Аренда!$F$26:$F$51,$F66,Аренда!$G$26:$G$51,$G66)</f>
        <v>5416.81</v>
      </c>
      <c r="AF66" s="253">
        <f ca="1">SUMIFS(Аренда!AF$26:AF$51,Аренда!$F$26:$F$51,$F66,Аренда!$G$26:$G$51,$G66)</f>
        <v>6254.3941500000001</v>
      </c>
      <c r="AG66" s="1266">
        <f ca="1">SUMIFS(Аренда!AG$26:AG$51,Аренда!$F$26:$F$51,$F66,Аренда!$G$26:$G$51,$G66)</f>
        <v>5416.81</v>
      </c>
      <c r="AH66" s="253">
        <f t="shared" ca="1" si="3"/>
        <v>-837.58414999999968</v>
      </c>
      <c r="AI66" s="253">
        <f ca="1">SUMIFS(Аренда!AH$26:AH$51,Аренда!$F$26:$F$51,$F66,Аренда!$G$26:$G$51,$G66)</f>
        <v>5979.23</v>
      </c>
      <c r="AJ66" s="253">
        <f ca="1">SUMIFS(Аренда!AI$26:AI$51,Аренда!$F$26:$F$51,$F66,Аренда!$G$26:$G$51,$G66)</f>
        <v>6231.19</v>
      </c>
      <c r="AK66" s="253">
        <f ca="1">SUMIFS(Аренда!AS$26:AS$51,Аренда!$F$26:$F$51,$F66,Аренда!$G$26:$G$51,$G66)</f>
        <v>6231.19</v>
      </c>
      <c r="AL66" s="253">
        <f t="shared" ca="1" si="4"/>
        <v>4.2139205215387276</v>
      </c>
      <c r="AM66" s="1231"/>
      <c r="AN66" s="1231"/>
      <c r="AO66" s="1231"/>
      <c r="AP66" s="182"/>
      <c r="AQ66" s="182"/>
      <c r="AR66" s="1021" t="s">
        <v>1179</v>
      </c>
      <c r="AS66" s="1029"/>
      <c r="AT66" s="1029"/>
      <c r="AU66" s="1030"/>
      <c r="AV66" s="1030"/>
    </row>
    <row r="67" spans="1:48" s="1167" customFormat="1" ht="29.25" customHeight="1" x14ac:dyDescent="0.15">
      <c r="A67" s="175"/>
      <c r="B67" s="773"/>
      <c r="C67" s="175"/>
      <c r="D67" s="175"/>
      <c r="E67" s="668">
        <v>30</v>
      </c>
      <c r="F67" s="769" t="str" cm="1">
        <f t="array" aca="1" ref="F67" ca="1">OFFSET(G67,-1,-1)</f>
        <v>1</v>
      </c>
      <c r="G67" s="177"/>
      <c r="H67" s="177"/>
      <c r="I67" s="177"/>
      <c r="J67" s="177"/>
      <c r="K67" s="177"/>
      <c r="L67" s="177"/>
      <c r="M67" s="177"/>
      <c r="N67" s="177"/>
      <c r="O67" s="177"/>
      <c r="P67" s="177"/>
      <c r="Q67" s="140"/>
      <c r="R67" s="140"/>
      <c r="S67" s="177"/>
      <c r="T67" s="679" t="b" cm="1">
        <f t="array" ref="T67">T66</f>
        <v>1</v>
      </c>
      <c r="U67" s="1152"/>
      <c r="V67" s="1152"/>
      <c r="W67" s="1152"/>
      <c r="X67" s="1485"/>
      <c r="Y67" s="1152"/>
      <c r="Z67" s="1485"/>
      <c r="AA67" s="177"/>
      <c r="AB67" s="108" t="s">
        <v>713</v>
      </c>
      <c r="AC67" s="116" t="s">
        <v>1350</v>
      </c>
      <c r="AD67" s="411" t="s">
        <v>1044</v>
      </c>
      <c r="AE67" s="253">
        <f>SUM(AE68:AE71)</f>
        <v>10421.6</v>
      </c>
      <c r="AF67" s="253">
        <f>SUM(AF68:AF71)</f>
        <v>8740.42</v>
      </c>
      <c r="AG67" s="1266">
        <f>SUM(AG68:AG71)</f>
        <v>10421.589191716799</v>
      </c>
      <c r="AH67" s="253">
        <f t="shared" si="3"/>
        <v>1681.1691917167991</v>
      </c>
      <c r="AI67" s="253">
        <f>SUM(AI68:AI71)</f>
        <v>11503.6486445059</v>
      </c>
      <c r="AJ67" s="253">
        <f>SUM(AJ68:AJ71)</f>
        <v>0</v>
      </c>
      <c r="AK67" s="253">
        <f>SUM(AK68:AK71)</f>
        <v>0</v>
      </c>
      <c r="AL67" s="253">
        <f t="shared" si="4"/>
        <v>-100</v>
      </c>
      <c r="AM67" s="1231"/>
      <c r="AN67" s="1231"/>
      <c r="AO67" s="1231"/>
      <c r="AP67" s="177"/>
      <c r="AQ67" s="177"/>
      <c r="AR67" s="1021" t="s">
        <v>1292</v>
      </c>
      <c r="AS67" s="1021"/>
      <c r="AT67" s="1021"/>
      <c r="AU67" s="1022"/>
      <c r="AV67" s="1022"/>
    </row>
    <row r="68" spans="1:48" s="1167" customFormat="1" ht="11.25" hidden="1" customHeight="1" x14ac:dyDescent="0.15">
      <c r="A68" s="175"/>
      <c r="B68" s="773"/>
      <c r="C68" s="175"/>
      <c r="D68" s="175"/>
      <c r="E68" s="668">
        <v>0</v>
      </c>
      <c r="F68" s="769" t="str" cm="1">
        <f t="array" aca="1" ref="F68" ca="1">OFFSET(G68,-1,-1)</f>
        <v>1</v>
      </c>
      <c r="G68" s="177"/>
      <c r="H68" s="177"/>
      <c r="I68" s="177"/>
      <c r="J68" s="177"/>
      <c r="K68" s="177"/>
      <c r="L68" s="177"/>
      <c r="M68" s="177"/>
      <c r="N68" s="177"/>
      <c r="O68" s="177"/>
      <c r="P68" s="177"/>
      <c r="Q68" s="140"/>
      <c r="R68" s="140"/>
      <c r="S68" s="177"/>
      <c r="T68" s="679" t="b" cm="1">
        <f t="array" ref="T68">T67</f>
        <v>1</v>
      </c>
      <c r="U68" s="1152"/>
      <c r="V68" s="1152"/>
      <c r="W68" s="1152"/>
      <c r="X68" s="1485"/>
      <c r="Y68" s="1152"/>
      <c r="Z68" s="1485"/>
      <c r="AA68" s="177"/>
      <c r="AB68" s="108"/>
      <c r="AC68" s="113"/>
      <c r="AD68" s="411"/>
      <c r="AE68" s="411"/>
      <c r="AF68" s="411"/>
      <c r="AG68" s="411"/>
      <c r="AH68" s="411"/>
      <c r="AI68" s="411"/>
      <c r="AJ68" s="411"/>
      <c r="AK68" s="411"/>
      <c r="AL68" s="411"/>
      <c r="AM68" s="120"/>
      <c r="AN68" s="120"/>
      <c r="AO68" s="120"/>
      <c r="AP68" s="177"/>
      <c r="AQ68" s="177"/>
      <c r="AR68" s="1021" t="str">
        <f>IF(AND(ISNUMBER(VALUE(TRIM(SUBSTITUTE(AB68,".","")))),TRIM(SUBSTITUTE(AB68,".",""))&lt;&gt;""),"P"&amp;SUBSTITUTE(AB68,".",""),"")</f>
        <v/>
      </c>
      <c r="AS68" s="1021"/>
      <c r="AT68" s="1021"/>
      <c r="AU68" s="1022"/>
      <c r="AV68" s="1022"/>
    </row>
    <row r="69" spans="1:48" s="1167" customFormat="1" ht="14.25" hidden="1" customHeight="1" x14ac:dyDescent="0.15">
      <c r="E69" s="668">
        <v>15</v>
      </c>
      <c r="F69" s="769" t="str" cm="1">
        <f t="array" aca="1" ref="F69" ca="1">OFFSET(G69,-1,-1)</f>
        <v>1</v>
      </c>
      <c r="T69" s="679" t="b">
        <f ca="1">AND(F69&gt;0,Y69&gt;0)</f>
        <v>0</v>
      </c>
      <c r="W69" s="123" t="s">
        <v>237</v>
      </c>
      <c r="X69" s="1481"/>
      <c r="Y69" s="123">
        <v>0</v>
      </c>
      <c r="Z69" s="1481"/>
      <c r="AA69" s="916" t="s">
        <v>218</v>
      </c>
      <c r="AB69" s="531" t="str">
        <f>"10."&amp;Y69</f>
        <v>10.0</v>
      </c>
      <c r="AC69" s="66"/>
      <c r="AD69" s="416" t="s">
        <v>1044</v>
      </c>
      <c r="AE69" s="67"/>
      <c r="AF69" s="67"/>
      <c r="AG69" s="67"/>
      <c r="AH69" s="456">
        <f>AG69-AF69</f>
        <v>0</v>
      </c>
      <c r="AI69" s="67"/>
      <c r="AJ69" s="67"/>
      <c r="AK69" s="67"/>
      <c r="AL69" s="456">
        <f>IF(AI69=0,0,(AK69-AI69)/AI69*100)</f>
        <v>0</v>
      </c>
      <c r="AM69" s="20"/>
      <c r="AN69" s="20"/>
      <c r="AO69" s="20"/>
      <c r="AR69" s="1021" t="s">
        <v>1292</v>
      </c>
      <c r="AS69" s="1021" t="s">
        <v>1221</v>
      </c>
      <c r="AT69" s="1031" cm="1">
        <f t="array" ref="AT69">AC69</f>
        <v>0</v>
      </c>
      <c r="AU69" s="1022"/>
      <c r="AV69" s="1022" t="b">
        <v>1</v>
      </c>
    </row>
    <row r="70" spans="1:48" s="1167" customFormat="1" ht="14.25" customHeight="1" x14ac:dyDescent="0.15">
      <c r="E70" s="668">
        <v>15</v>
      </c>
      <c r="F70" s="769" t="str" cm="1">
        <f t="array" aca="1" ref="F70" ca="1">OFFSET(G70,-1,-1)</f>
        <v>1</v>
      </c>
      <c r="T70" s="679" t="b">
        <f ca="1">AND(F70&gt;0,Y70&gt;0)</f>
        <v>1</v>
      </c>
      <c r="W70" s="123"/>
      <c r="X70" s="1481"/>
      <c r="Y70" s="123" t="s">
        <v>339</v>
      </c>
      <c r="Z70" s="1481"/>
      <c r="AA70" s="916" t="s">
        <v>218</v>
      </c>
      <c r="AB70" s="531" t="str">
        <f>"10."&amp;Y70</f>
        <v>10.1</v>
      </c>
      <c r="AC70" s="1305" t="s">
        <v>1355</v>
      </c>
      <c r="AD70" s="416" t="s">
        <v>1044</v>
      </c>
      <c r="AE70" s="1306">
        <v>10421.6</v>
      </c>
      <c r="AF70" s="1306">
        <v>8740.42</v>
      </c>
      <c r="AG70" s="1306">
        <v>10421.589191716799</v>
      </c>
      <c r="AH70" s="456">
        <f>AG70-AF70</f>
        <v>1681.1691917167991</v>
      </c>
      <c r="AI70" s="1306">
        <v>11503.6486445059</v>
      </c>
      <c r="AJ70" s="1306"/>
      <c r="AK70" s="1306"/>
      <c r="AL70" s="456">
        <f>IF(AI70=0,0,(AK70-AI70)/AI70*100)</f>
        <v>-100</v>
      </c>
      <c r="AM70" s="1237"/>
      <c r="AN70" s="1237"/>
      <c r="AO70" s="1237"/>
      <c r="AR70" s="1021" t="s">
        <v>1292</v>
      </c>
      <c r="AS70" s="1021" t="s">
        <v>1221</v>
      </c>
      <c r="AT70" s="1031" t="str" cm="1">
        <f t="array" ref="AT70">AC70</f>
        <v>Другие расходы</v>
      </c>
      <c r="AU70" s="1022"/>
      <c r="AV70" s="1022" t="b">
        <v>1</v>
      </c>
    </row>
    <row r="71" spans="1:48" s="1167" customFormat="1" ht="13.5" customHeight="1" x14ac:dyDescent="0.15">
      <c r="A71" s="175"/>
      <c r="B71" s="773"/>
      <c r="C71" s="175"/>
      <c r="D71" s="175"/>
      <c r="E71" s="668">
        <v>14.1</v>
      </c>
      <c r="F71" s="769" t="str" cm="1">
        <f t="array" aca="1" ref="F71" ca="1">OFFSET(G71,-1,-1)</f>
        <v>1</v>
      </c>
      <c r="G71" s="177"/>
      <c r="H71" s="177"/>
      <c r="I71" s="177"/>
      <c r="J71" s="177"/>
      <c r="K71" s="177"/>
      <c r="L71" s="177"/>
      <c r="M71" s="177"/>
      <c r="N71" s="177"/>
      <c r="O71" s="177"/>
      <c r="P71" s="177"/>
      <c r="Q71" s="140"/>
      <c r="R71" s="140"/>
      <c r="S71" s="177"/>
      <c r="T71" s="679" t="b">
        <f ca="1">F71&gt;0</f>
        <v>1</v>
      </c>
      <c r="U71" s="1152"/>
      <c r="V71" s="1152"/>
      <c r="W71" s="312" t="s">
        <v>532</v>
      </c>
      <c r="X71" s="1485"/>
      <c r="Y71" s="1152"/>
      <c r="Z71" s="1485"/>
      <c r="AA71" s="177"/>
      <c r="AB71" s="604"/>
      <c r="AC71" s="608" t="s">
        <v>239</v>
      </c>
      <c r="AD71" s="605"/>
      <c r="AE71" s="606"/>
      <c r="AF71" s="606"/>
      <c r="AG71" s="606"/>
      <c r="AH71" s="606"/>
      <c r="AI71" s="606"/>
      <c r="AJ71" s="606"/>
      <c r="AK71" s="606"/>
      <c r="AL71" s="606"/>
      <c r="AM71" s="900"/>
      <c r="AN71" s="900"/>
      <c r="AO71" s="901"/>
      <c r="AP71" s="177"/>
      <c r="AQ71" s="177"/>
      <c r="AR71" s="1021" t="str">
        <f>IF(AND(ISNUMBER(VALUE(TRIM(SUBSTITUTE(AB71,".","")))),TRIM(SUBSTITUTE(AB71,".",""))&lt;&gt;""),"P"&amp;SUBSTITUTE(AB71,".",""),"")</f>
        <v/>
      </c>
      <c r="AS71" s="1021"/>
      <c r="AT71" s="1021"/>
      <c r="AU71" s="1022" t="s">
        <v>1221</v>
      </c>
      <c r="AV71" s="1022"/>
    </row>
    <row r="72" spans="1:48" s="1167" customFormat="1" ht="13.5" customHeight="1" x14ac:dyDescent="0.15">
      <c r="A72" s="175"/>
      <c r="B72" s="773"/>
      <c r="C72" s="175"/>
      <c r="D72" s="175"/>
      <c r="E72" s="668">
        <v>14.1</v>
      </c>
      <c r="F72" s="769" t="str" cm="1">
        <f t="array" aca="1" ref="F72" ca="1">OFFSET(G72,-1,-1)</f>
        <v>1</v>
      </c>
      <c r="G72" s="177"/>
      <c r="H72" s="177"/>
      <c r="I72" s="177"/>
      <c r="J72" s="177"/>
      <c r="K72" s="177"/>
      <c r="L72" s="177"/>
      <c r="M72" s="177"/>
      <c r="N72" s="177"/>
      <c r="O72" s="177"/>
      <c r="P72" s="177"/>
      <c r="Q72" s="140"/>
      <c r="R72" s="140"/>
      <c r="S72" s="177"/>
      <c r="T72" s="679" t="b">
        <f ca="1">F72&gt;0</f>
        <v>1</v>
      </c>
      <c r="U72" s="1152"/>
      <c r="V72" s="1152"/>
      <c r="W72" s="1152"/>
      <c r="X72" s="1485"/>
      <c r="Y72" s="1152"/>
      <c r="Z72" s="1485"/>
      <c r="AA72" s="177"/>
      <c r="AB72" s="532" t="s">
        <v>721</v>
      </c>
      <c r="AC72" s="603" t="s">
        <v>1351</v>
      </c>
      <c r="AD72" s="460" t="s">
        <v>1044</v>
      </c>
      <c r="AE72" s="534">
        <f>SUM(AE73:AE75)</f>
        <v>0</v>
      </c>
      <c r="AF72" s="534">
        <f>SUM(AF73:AF75)</f>
        <v>0</v>
      </c>
      <c r="AG72" s="1307">
        <f>SUM(AG73:AG75)</f>
        <v>0</v>
      </c>
      <c r="AH72" s="534">
        <f>AG72-AF72</f>
        <v>0</v>
      </c>
      <c r="AI72" s="534">
        <f>SUM(AI73:AI75)</f>
        <v>0</v>
      </c>
      <c r="AJ72" s="534">
        <f>SUM(AJ73:AJ75)</f>
        <v>0</v>
      </c>
      <c r="AK72" s="534">
        <f>SUM(AK73:AK75)</f>
        <v>0</v>
      </c>
      <c r="AL72" s="534">
        <f>IF(AI72=0,0,(AK72-AI72)/AI72*100)</f>
        <v>0</v>
      </c>
      <c r="AM72" s="1239"/>
      <c r="AN72" s="1239"/>
      <c r="AO72" s="1239"/>
      <c r="AP72" s="177"/>
      <c r="AQ72" s="177"/>
      <c r="AR72" s="1021" t="s">
        <v>1352</v>
      </c>
      <c r="AS72" s="1021"/>
      <c r="AT72" s="1021"/>
      <c r="AU72" s="1022"/>
      <c r="AV72" s="1022"/>
    </row>
    <row r="73" spans="1:48" s="1167" customFormat="1" ht="11.25" hidden="1" customHeight="1" x14ac:dyDescent="0.15">
      <c r="A73" s="175"/>
      <c r="B73" s="773"/>
      <c r="C73" s="175"/>
      <c r="D73" s="175"/>
      <c r="E73" s="668">
        <v>0</v>
      </c>
      <c r="F73" s="769" t="str" cm="1">
        <f t="array" aca="1" ref="F73" ca="1">OFFSET(G73,-1,-1)</f>
        <v>1</v>
      </c>
      <c r="G73" s="177"/>
      <c r="H73" s="177"/>
      <c r="I73" s="177"/>
      <c r="J73" s="177"/>
      <c r="K73" s="177"/>
      <c r="L73" s="177"/>
      <c r="M73" s="177"/>
      <c r="N73" s="177"/>
      <c r="O73" s="177"/>
      <c r="P73" s="177"/>
      <c r="Q73" s="140"/>
      <c r="R73" s="140"/>
      <c r="S73" s="177"/>
      <c r="T73" s="679" t="b">
        <f ca="1">F73&gt;0</f>
        <v>1</v>
      </c>
      <c r="U73" s="1152"/>
      <c r="V73" s="1152"/>
      <c r="W73" s="1152"/>
      <c r="X73" s="1485"/>
      <c r="Y73" s="1152"/>
      <c r="Z73" s="1485"/>
      <c r="AA73" s="177"/>
      <c r="AB73" s="531"/>
      <c r="AC73" s="553"/>
      <c r="AD73" s="554"/>
      <c r="AE73" s="411"/>
      <c r="AF73" s="411"/>
      <c r="AG73" s="411"/>
      <c r="AH73" s="177"/>
      <c r="AI73" s="411"/>
      <c r="AJ73" s="411"/>
      <c r="AK73" s="411"/>
      <c r="AL73" s="177"/>
      <c r="AM73" s="177"/>
      <c r="AN73" s="177"/>
      <c r="AO73" s="177"/>
      <c r="AP73" s="177"/>
      <c r="AQ73" s="177"/>
      <c r="AR73" s="1021" t="str">
        <f>IF(AND(ISNUMBER(VALUE(TRIM(SUBSTITUTE(AB73,".","")))),TRIM(SUBSTITUTE(AB73,".",""))&lt;&gt;""),"P"&amp;SUBSTITUTE(AB73,".",""),"")</f>
        <v/>
      </c>
      <c r="AS73" s="1021"/>
      <c r="AT73" s="1021"/>
      <c r="AU73" s="1022"/>
      <c r="AV73" s="1022"/>
    </row>
    <row r="74" spans="1:48" s="1167" customFormat="1" ht="13.5" hidden="1" customHeight="1" x14ac:dyDescent="0.15">
      <c r="A74" s="175"/>
      <c r="B74" s="773"/>
      <c r="C74" s="175"/>
      <c r="D74" s="175"/>
      <c r="E74" s="668">
        <v>14.1</v>
      </c>
      <c r="F74" s="769" t="str" cm="1">
        <f t="array" aca="1" ref="F74" ca="1">OFFSET(G74,-1,-1)</f>
        <v>1</v>
      </c>
      <c r="G74" s="177"/>
      <c r="H74" s="177"/>
      <c r="I74" s="177"/>
      <c r="J74" s="177"/>
      <c r="K74" s="177"/>
      <c r="L74" s="177"/>
      <c r="M74" s="177"/>
      <c r="N74" s="177"/>
      <c r="O74" s="177"/>
      <c r="P74" s="177"/>
      <c r="Q74" s="140"/>
      <c r="R74" s="140"/>
      <c r="S74" s="177"/>
      <c r="T74" s="679" t="b">
        <f ca="1">AND(F74&gt;0,Y74&gt;0)</f>
        <v>0</v>
      </c>
      <c r="U74" s="1152"/>
      <c r="V74" s="1152"/>
      <c r="W74" s="123" t="s">
        <v>237</v>
      </c>
      <c r="X74" s="1485"/>
      <c r="Y74" s="123">
        <v>0</v>
      </c>
      <c r="Z74" s="1485"/>
      <c r="AA74" s="916" t="s">
        <v>218</v>
      </c>
      <c r="AB74" s="531" t="str">
        <f>"11."&amp;Y74</f>
        <v>11.0</v>
      </c>
      <c r="AC74" s="61"/>
      <c r="AD74" s="121" t="s">
        <v>1044</v>
      </c>
      <c r="AE74" s="50"/>
      <c r="AF74" s="50"/>
      <c r="AG74" s="50"/>
      <c r="AH74" s="253">
        <f>AG74-AF74</f>
        <v>0</v>
      </c>
      <c r="AI74" s="50"/>
      <c r="AJ74" s="50"/>
      <c r="AK74" s="50"/>
      <c r="AL74" s="253">
        <f>IF(AI74=0,0,(AK74-AI74)/AI74*100)</f>
        <v>0</v>
      </c>
      <c r="AM74" s="25"/>
      <c r="AN74" s="25"/>
      <c r="AO74" s="25"/>
      <c r="AP74" s="177"/>
      <c r="AQ74" s="177"/>
      <c r="AR74" s="1021" t="s">
        <v>1352</v>
      </c>
      <c r="AS74" s="1021" t="s">
        <v>1353</v>
      </c>
      <c r="AT74" s="1031" cm="1">
        <f t="array" ref="AT74">AC74</f>
        <v>0</v>
      </c>
      <c r="AU74" s="1022"/>
      <c r="AV74" s="1022" t="b">
        <v>1</v>
      </c>
    </row>
    <row r="75" spans="1:48" s="1167" customFormat="1" ht="13.5" customHeight="1" x14ac:dyDescent="0.15">
      <c r="A75" s="175"/>
      <c r="B75" s="773"/>
      <c r="C75" s="175"/>
      <c r="D75" s="175"/>
      <c r="E75" s="668">
        <v>14.1</v>
      </c>
      <c r="F75" s="769" t="str" cm="1">
        <f t="array" aca="1" ref="F75" ca="1">OFFSET(G75,-1,-1)</f>
        <v>1</v>
      </c>
      <c r="G75" s="177"/>
      <c r="H75" s="177"/>
      <c r="I75" s="177"/>
      <c r="J75" s="177"/>
      <c r="K75" s="177"/>
      <c r="L75" s="177"/>
      <c r="M75" s="177"/>
      <c r="N75" s="177"/>
      <c r="O75" s="177"/>
      <c r="P75" s="177"/>
      <c r="Q75" s="140"/>
      <c r="R75" s="140"/>
      <c r="S75" s="177"/>
      <c r="T75" s="679" t="b">
        <f ca="1">F75&gt;0</f>
        <v>1</v>
      </c>
      <c r="U75" s="1152"/>
      <c r="V75" s="1152"/>
      <c r="W75" s="312" t="s">
        <v>1354</v>
      </c>
      <c r="X75" s="1485"/>
      <c r="Y75" s="1152"/>
      <c r="Z75" s="1485"/>
      <c r="AA75" s="177"/>
      <c r="AB75" s="604"/>
      <c r="AC75" s="608" t="s">
        <v>239</v>
      </c>
      <c r="AD75" s="605"/>
      <c r="AE75" s="607"/>
      <c r="AF75" s="607"/>
      <c r="AG75" s="607"/>
      <c r="AH75" s="607"/>
      <c r="AI75" s="607"/>
      <c r="AJ75" s="607"/>
      <c r="AK75" s="607"/>
      <c r="AL75" s="607"/>
      <c r="AM75" s="607"/>
      <c r="AN75" s="607"/>
      <c r="AO75" s="607"/>
      <c r="AP75" s="177"/>
      <c r="AQ75" s="177"/>
      <c r="AR75" s="1021"/>
      <c r="AS75" s="1021"/>
      <c r="AT75" s="1021"/>
      <c r="AU75" s="1022" t="s">
        <v>1353</v>
      </c>
      <c r="AV75" s="1022"/>
    </row>
    <row r="76" spans="1:48" ht="9.9499999999999993" customHeight="1" x14ac:dyDescent="0.15">
      <c r="E76" s="668">
        <v>10.199999999999999</v>
      </c>
      <c r="U76" s="126" t="s">
        <v>239</v>
      </c>
      <c r="V76" s="119" t="s">
        <v>1356</v>
      </c>
    </row>
    <row r="77" spans="1:48" ht="11.25" hidden="1" customHeight="1" x14ac:dyDescent="0.15">
      <c r="E77" s="668">
        <v>0</v>
      </c>
    </row>
    <row r="78" spans="1:48" ht="14.65" customHeight="1" x14ac:dyDescent="0.15">
      <c r="E78" s="668">
        <v>15</v>
      </c>
      <c r="AB78" s="1558" t="s">
        <v>725</v>
      </c>
      <c r="AC78" s="1558"/>
      <c r="AD78" s="1558"/>
      <c r="AE78" s="1558"/>
      <c r="AF78" s="1558"/>
      <c r="AG78" s="1558"/>
      <c r="AH78" s="1558"/>
      <c r="AI78" s="1558"/>
      <c r="AJ78" s="1558"/>
      <c r="AK78" s="1558"/>
      <c r="AL78" s="1558"/>
      <c r="AM78" s="1558"/>
      <c r="AN78" s="1558"/>
      <c r="AO78" s="1558"/>
    </row>
    <row r="79" spans="1:48" ht="14.65" customHeight="1" x14ac:dyDescent="0.15">
      <c r="E79" s="668">
        <v>15</v>
      </c>
      <c r="AA79" s="768"/>
      <c r="AB79" s="1579"/>
      <c r="AC79" s="1576"/>
      <c r="AD79" s="1576"/>
      <c r="AE79" s="1576"/>
      <c r="AF79" s="1576"/>
      <c r="AG79" s="1576"/>
      <c r="AH79" s="1576"/>
      <c r="AI79" s="1576"/>
      <c r="AJ79" s="1576"/>
      <c r="AK79" s="1576"/>
      <c r="AL79" s="1576"/>
      <c r="AM79" s="1576"/>
      <c r="AN79" s="1576"/>
      <c r="AO79" s="1576"/>
    </row>
    <row r="80" spans="1:48" ht="14.65" hidden="1" customHeight="1" x14ac:dyDescent="0.15">
      <c r="E80" s="668">
        <v>15</v>
      </c>
      <c r="T80" s="679" t="b">
        <f>ROW(W80)&gt;ROW(W$80)</f>
        <v>0</v>
      </c>
      <c r="W80" s="123" t="s">
        <v>237</v>
      </c>
      <c r="AA80" s="764" t="s">
        <v>218</v>
      </c>
      <c r="AB80" s="1575"/>
      <c r="AC80" s="1576"/>
      <c r="AD80" s="1576"/>
      <c r="AE80" s="1576"/>
      <c r="AF80" s="1576"/>
      <c r="AG80" s="1576"/>
      <c r="AH80" s="1576"/>
      <c r="AI80" s="1576"/>
      <c r="AJ80" s="1576"/>
      <c r="AK80" s="1576"/>
      <c r="AL80" s="1576"/>
      <c r="AM80" s="1576"/>
      <c r="AN80" s="1576"/>
      <c r="AO80" s="1576"/>
    </row>
    <row r="81" spans="5:41" ht="14.65" customHeight="1" x14ac:dyDescent="0.15">
      <c r="E81" s="668">
        <v>15</v>
      </c>
      <c r="W81" s="119" t="s">
        <v>238</v>
      </c>
      <c r="AA81" s="160"/>
      <c r="AB81" s="1500" t="s">
        <v>726</v>
      </c>
      <c r="AC81" s="1501"/>
      <c r="AD81" s="317"/>
      <c r="AE81" s="317"/>
      <c r="AF81" s="317"/>
      <c r="AG81" s="317"/>
      <c r="AH81" s="317"/>
      <c r="AI81" s="317"/>
      <c r="AJ81" s="317"/>
      <c r="AK81" s="317"/>
      <c r="AL81" s="317"/>
      <c r="AM81" s="317"/>
      <c r="AN81" s="317"/>
      <c r="AO81" s="290"/>
    </row>
  </sheetData>
  <sheetProtection formatColumns="0" formatRows="0" insertRows="0" deleteColumns="0" deleteRows="0" sort="0" autoFilter="0"/>
  <mergeCells count="16">
    <mergeCell ref="X27:X50"/>
    <mergeCell ref="Z27:Z50"/>
    <mergeCell ref="AB78:AO78"/>
    <mergeCell ref="AB79:AO79"/>
    <mergeCell ref="AB81:AC81"/>
    <mergeCell ref="AB28:AC28"/>
    <mergeCell ref="X51:X75"/>
    <mergeCell ref="Z51:Z75"/>
    <mergeCell ref="AO24:AO25"/>
    <mergeCell ref="AB80:AO80"/>
    <mergeCell ref="AB24:AB25"/>
    <mergeCell ref="AC24:AC25"/>
    <mergeCell ref="AD24:AD25"/>
    <mergeCell ref="AM24:AM25"/>
    <mergeCell ref="AN24:AN25"/>
    <mergeCell ref="AB52:AC5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1F338-F9C8-9C08-37F8-F96948F69DB8}">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T44" sqref="AT44"/>
    </sheetView>
  </sheetViews>
  <sheetFormatPr defaultColWidth="9.140625" defaultRowHeight="11.25" customHeight="1" x14ac:dyDescent="0.15"/>
  <cols>
    <col min="1" max="1" width="3.5703125" style="175" hidden="1" customWidth="1"/>
    <col min="2" max="2" width="8.5703125" style="773" hidden="1" customWidth="1"/>
    <col min="3" max="4" width="3.5703125" style="175" hidden="1" customWidth="1"/>
    <col min="5" max="5" width="8.42578125" style="772"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7" customWidth="1"/>
    <col min="28" max="28" width="8.140625" style="175" customWidth="1"/>
    <col min="29" max="29" width="58.140625" style="176" customWidth="1"/>
    <col min="30" max="30" width="14.42578125" style="175" customWidth="1"/>
    <col min="31" max="33" width="13.28515625" style="177" hidden="1" customWidth="1"/>
    <col min="34" max="34" width="26.28515625" style="177" hidden="1"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19" hidden="1"/>
  </cols>
  <sheetData>
    <row r="1" spans="1:71" s="175" customFormat="1" ht="12" hidden="1" customHeight="1" x14ac:dyDescent="0.15">
      <c r="B1" s="659"/>
      <c r="E1" s="659"/>
      <c r="F1" s="690" t="s">
        <v>83</v>
      </c>
      <c r="G1" s="177"/>
      <c r="H1" s="177"/>
      <c r="I1" s="177"/>
      <c r="J1" s="177"/>
      <c r="K1" s="177"/>
      <c r="L1" s="177"/>
      <c r="M1" s="177"/>
      <c r="N1" s="177"/>
      <c r="O1" s="177"/>
      <c r="P1" s="177"/>
      <c r="Q1" s="140"/>
      <c r="R1" s="140"/>
      <c r="S1" s="177"/>
      <c r="T1" s="679" t="s">
        <v>86</v>
      </c>
      <c r="U1" s="679" t="s">
        <v>91</v>
      </c>
      <c r="V1" s="679" t="s">
        <v>87</v>
      </c>
      <c r="W1" s="679" t="s">
        <v>88</v>
      </c>
      <c r="X1" s="679" t="s">
        <v>89</v>
      </c>
      <c r="Y1" s="690" t="s">
        <v>374</v>
      </c>
      <c r="Z1" s="679" t="s">
        <v>93</v>
      </c>
      <c r="AA1" s="690" t="s">
        <v>90</v>
      </c>
      <c r="AB1" s="690" t="s">
        <v>92</v>
      </c>
      <c r="AC1" s="179"/>
      <c r="BS1" s="1019" t="s">
        <v>375</v>
      </c>
    </row>
    <row r="2" spans="1:71" s="773" customFormat="1" ht="12" hidden="1" customHeight="1" x14ac:dyDescent="0.15">
      <c r="B2" s="758" t="s">
        <v>15</v>
      </c>
      <c r="G2" s="776"/>
      <c r="H2" s="776"/>
      <c r="I2" s="776"/>
      <c r="J2" s="776"/>
      <c r="K2" s="776"/>
      <c r="L2" s="776"/>
      <c r="M2" s="776"/>
      <c r="N2" s="776"/>
      <c r="O2" s="776"/>
      <c r="P2" s="776"/>
      <c r="Q2" s="776"/>
      <c r="R2" s="776"/>
      <c r="S2" s="776"/>
      <c r="AC2" s="663"/>
      <c r="AJ2" s="680" t="b">
        <f t="shared" ref="AJ2:BM2" si="0">AJ6&lt;=last_year_vis</f>
        <v>1</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0</v>
      </c>
      <c r="AT2" s="680" t="b">
        <f t="shared" si="0"/>
        <v>1</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1</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si="0"/>
        <v>0</v>
      </c>
      <c r="BS2" s="947"/>
    </row>
    <row r="3" spans="1:71" s="175" customFormat="1" ht="12" hidden="1" customHeight="1" x14ac:dyDescent="0.15">
      <c r="B3" s="659"/>
      <c r="E3" s="659"/>
      <c r="G3" s="177"/>
      <c r="H3" s="177"/>
      <c r="I3" s="177"/>
      <c r="J3" s="177"/>
      <c r="K3" s="177"/>
      <c r="L3" s="177"/>
      <c r="M3" s="177"/>
      <c r="N3" s="177"/>
      <c r="O3" s="177"/>
      <c r="P3" s="177"/>
      <c r="Q3" s="140"/>
      <c r="R3" s="140"/>
      <c r="S3" s="177"/>
      <c r="T3" s="123"/>
      <c r="U3" s="123"/>
      <c r="V3" s="123"/>
      <c r="W3" s="123"/>
      <c r="X3" s="123"/>
      <c r="Y3" s="123"/>
      <c r="Z3" s="123"/>
      <c r="AC3" s="179"/>
      <c r="BS3" s="1019"/>
    </row>
    <row r="4" spans="1:71" s="175" customFormat="1" ht="12" hidden="1" customHeight="1" x14ac:dyDescent="0.15">
      <c r="B4" s="659"/>
      <c r="E4" s="659"/>
      <c r="G4" s="177"/>
      <c r="H4" s="177"/>
      <c r="I4" s="177"/>
      <c r="J4" s="177"/>
      <c r="K4" s="177"/>
      <c r="L4" s="177"/>
      <c r="M4" s="177"/>
      <c r="N4" s="177"/>
      <c r="O4" s="177"/>
      <c r="P4" s="177"/>
      <c r="Q4" s="140"/>
      <c r="R4" s="140"/>
      <c r="S4" s="177"/>
      <c r="T4" s="123"/>
      <c r="U4" s="123"/>
      <c r="V4" s="123"/>
      <c r="W4" s="123"/>
      <c r="X4" s="123"/>
      <c r="Y4" s="123"/>
      <c r="Z4" s="123"/>
      <c r="AC4" s="179"/>
      <c r="BS4" s="1019"/>
    </row>
    <row r="5" spans="1:71"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0</v>
      </c>
      <c r="AF5" s="668">
        <v>0</v>
      </c>
      <c r="AG5" s="668">
        <v>0</v>
      </c>
      <c r="AH5" s="668">
        <v>0</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12.63</v>
      </c>
      <c r="BD5" s="668">
        <v>12.63</v>
      </c>
      <c r="BE5" s="668">
        <v>12.63</v>
      </c>
      <c r="BF5" s="668">
        <v>12.63</v>
      </c>
      <c r="BG5" s="668">
        <v>12.63</v>
      </c>
      <c r="BH5" s="668">
        <v>12.63</v>
      </c>
      <c r="BI5" s="668">
        <v>12.63</v>
      </c>
      <c r="BJ5" s="668">
        <v>12.63</v>
      </c>
      <c r="BK5" s="668">
        <v>12.63</v>
      </c>
      <c r="BL5" s="668">
        <v>12.63</v>
      </c>
      <c r="BM5" s="668">
        <v>12.63</v>
      </c>
      <c r="BN5" s="668">
        <v>19</v>
      </c>
      <c r="BO5" s="668">
        <v>17.25</v>
      </c>
      <c r="BP5" s="668">
        <v>31.25</v>
      </c>
      <c r="BQ5" s="668">
        <v>3</v>
      </c>
      <c r="BS5" s="947"/>
    </row>
    <row r="6" spans="1:71" s="175" customFormat="1" ht="12" hidden="1" customHeight="1" x14ac:dyDescent="0.15">
      <c r="B6" s="659"/>
      <c r="E6" s="668"/>
      <c r="G6" s="177"/>
      <c r="H6" s="177"/>
      <c r="I6" s="177"/>
      <c r="J6" s="177"/>
      <c r="K6" s="177"/>
      <c r="L6" s="177"/>
      <c r="M6" s="177"/>
      <c r="N6" s="177"/>
      <c r="O6" s="177"/>
      <c r="P6" s="177"/>
      <c r="Q6" s="140"/>
      <c r="R6" s="140"/>
      <c r="S6" s="177"/>
      <c r="T6" s="123"/>
      <c r="U6" s="123"/>
      <c r="V6" s="123"/>
      <c r="W6" s="123"/>
      <c r="X6" s="123"/>
      <c r="Y6" s="123"/>
      <c r="Z6" s="123"/>
      <c r="AC6" s="179"/>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19"/>
    </row>
    <row r="7" spans="1:71" ht="12" hidden="1" customHeight="1" x14ac:dyDescent="0.15">
      <c r="F7" s="177"/>
      <c r="T7" s="160"/>
      <c r="U7" s="160"/>
      <c r="V7" s="160"/>
      <c r="W7" s="160"/>
      <c r="X7" s="160"/>
      <c r="Y7" s="160"/>
      <c r="Z7" s="160"/>
      <c r="AB7" s="177"/>
      <c r="AD7" s="177"/>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row>
    <row r="8" spans="1:71" ht="12" hidden="1" customHeight="1" x14ac:dyDescent="0.15">
      <c r="F8" s="177"/>
      <c r="T8" s="160"/>
      <c r="U8" s="160"/>
      <c r="V8" s="160"/>
      <c r="W8" s="160"/>
      <c r="X8" s="160"/>
      <c r="Y8" s="160"/>
      <c r="Z8" s="160"/>
      <c r="AB8" s="177"/>
      <c r="AD8" s="177"/>
      <c r="AI8" s="160" t="str">
        <f t="shared" ref="AI8:BC8" si="1">AI6&amp;AI7</f>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row>
    <row r="9" spans="1:71" s="1020" customFormat="1" ht="12" hidden="1" customHeight="1" x14ac:dyDescent="0.15">
      <c r="A9" s="948" t="s">
        <v>461</v>
      </c>
      <c r="B9" s="941"/>
      <c r="E9" s="941"/>
      <c r="Q9" s="998"/>
      <c r="R9" s="998"/>
      <c r="T9" s="949"/>
      <c r="U9" s="949"/>
      <c r="V9" s="949"/>
      <c r="W9" s="949"/>
      <c r="X9" s="949"/>
      <c r="Y9" s="949"/>
      <c r="Z9" s="949"/>
      <c r="AI9" s="1020">
        <f>god-1</f>
        <v>2025</v>
      </c>
      <c r="AJ9" s="1020" cm="1">
        <f t="array" ref="AJ9">god</f>
        <v>2026</v>
      </c>
      <c r="AK9" s="1020">
        <f>god+1</f>
        <v>2027</v>
      </c>
      <c r="AL9" s="1020">
        <f>god+2</f>
        <v>2028</v>
      </c>
      <c r="AM9" s="1020">
        <f>god+3</f>
        <v>2029</v>
      </c>
      <c r="AN9" s="1020">
        <f>god+4</f>
        <v>2030</v>
      </c>
      <c r="AO9" s="1020">
        <f>god+5</f>
        <v>2031</v>
      </c>
      <c r="AP9" s="1020">
        <f>god+6</f>
        <v>2032</v>
      </c>
      <c r="AQ9" s="1020">
        <f>god+7</f>
        <v>2033</v>
      </c>
      <c r="AR9" s="1020">
        <f>god+8</f>
        <v>2034</v>
      </c>
      <c r="AS9" s="1020">
        <f>god+9</f>
        <v>2035</v>
      </c>
      <c r="AT9" s="1020" cm="1">
        <f t="array" ref="AT9">god</f>
        <v>2026</v>
      </c>
      <c r="AU9" s="1020">
        <f>god+1</f>
        <v>2027</v>
      </c>
      <c r="AV9" s="1020">
        <f>god+2</f>
        <v>2028</v>
      </c>
      <c r="AW9" s="1020">
        <f>god+3</f>
        <v>2029</v>
      </c>
      <c r="AX9" s="1020">
        <f>god+4</f>
        <v>2030</v>
      </c>
      <c r="AY9" s="1020">
        <f>god+5</f>
        <v>2031</v>
      </c>
      <c r="AZ9" s="1020">
        <f>god+6</f>
        <v>2032</v>
      </c>
      <c r="BA9" s="1020">
        <f>god+7</f>
        <v>2033</v>
      </c>
      <c r="BB9" s="1020">
        <f>god+8</f>
        <v>2034</v>
      </c>
      <c r="BC9" s="1020">
        <f>god+9</f>
        <v>2035</v>
      </c>
      <c r="BD9" s="1020" cm="1">
        <f t="array" ref="BD9">god</f>
        <v>2026</v>
      </c>
      <c r="BE9" s="1020">
        <f>god+1</f>
        <v>2027</v>
      </c>
      <c r="BF9" s="1020">
        <f>god+2</f>
        <v>2028</v>
      </c>
      <c r="BG9" s="1020">
        <f>god+3</f>
        <v>2029</v>
      </c>
      <c r="BH9" s="1020">
        <f>god+4</f>
        <v>2030</v>
      </c>
      <c r="BI9" s="1020">
        <f>god+5</f>
        <v>2031</v>
      </c>
      <c r="BJ9" s="1020">
        <f>god+6</f>
        <v>2032</v>
      </c>
      <c r="BK9" s="1020">
        <f>god+7</f>
        <v>2033</v>
      </c>
      <c r="BL9" s="1020">
        <f>god+8</f>
        <v>2034</v>
      </c>
      <c r="BM9" s="1020">
        <f>god+9</f>
        <v>2035</v>
      </c>
      <c r="BS9" s="1019"/>
    </row>
    <row r="10" spans="1:71" s="1020" customFormat="1" ht="12" hidden="1" customHeight="1" x14ac:dyDescent="0.15">
      <c r="A10" s="948" t="s">
        <v>462</v>
      </c>
      <c r="B10" s="941"/>
      <c r="E10" s="941"/>
      <c r="Q10" s="998"/>
      <c r="R10" s="998"/>
      <c r="T10" s="949"/>
      <c r="U10" s="949"/>
      <c r="V10" s="949"/>
      <c r="W10" s="949"/>
      <c r="X10" s="949"/>
      <c r="Y10" s="949"/>
      <c r="Z10" s="949"/>
      <c r="AI10" s="1020" t="str" cm="1">
        <f t="array" ref="AI10">AI25</f>
        <v>Принято органом регулирования</v>
      </c>
      <c r="AJ10" s="1020" t="str" cm="1">
        <f t="array" ref="AJ10">AJ25</f>
        <v>Предложение организации</v>
      </c>
      <c r="AK10" s="1020" t="str" cm="1">
        <f t="array" ref="AK10">AK25</f>
        <v>Предложение организации</v>
      </c>
      <c r="AL10" s="1020" t="str" cm="1">
        <f t="array" ref="AL10">AL25</f>
        <v>Предложение организации</v>
      </c>
      <c r="AM10" s="1020" t="str" cm="1">
        <f t="array" ref="AM10">AM25</f>
        <v>Предложение организации</v>
      </c>
      <c r="AN10" s="1020" t="str" cm="1">
        <f t="array" ref="AN10">AN25</f>
        <v>Предложение организации</v>
      </c>
      <c r="AO10" s="1020" t="str" cm="1">
        <f t="array" ref="AO10">AO25</f>
        <v>Предложение организации</v>
      </c>
      <c r="AP10" s="1020" t="str" cm="1">
        <f t="array" ref="AP10">AP25</f>
        <v>Предложение организации</v>
      </c>
      <c r="AQ10" s="1020" t="str" cm="1">
        <f t="array" ref="AQ10">AQ25</f>
        <v>Предложение организации</v>
      </c>
      <c r="AR10" s="1020" t="str" cm="1">
        <f t="array" ref="AR10">AR25</f>
        <v>Предложение организации</v>
      </c>
      <c r="AS10" s="1020" t="str" cm="1">
        <f t="array" ref="AS10">AS25</f>
        <v>Предложение организации</v>
      </c>
      <c r="AT10" s="1020" t="str" cm="1">
        <f t="array" ref="AT10">AT25</f>
        <v>Принято органом регулирования</v>
      </c>
      <c r="AU10" s="1020" t="str" cm="1">
        <f t="array" ref="AU10">AU25</f>
        <v>Принято органом регулирования</v>
      </c>
      <c r="AV10" s="1020" t="str" cm="1">
        <f t="array" ref="AV10">AV25</f>
        <v>Принято органом регулирования</v>
      </c>
      <c r="AW10" s="1020" t="str" cm="1">
        <f t="array" ref="AW10">AW25</f>
        <v>Принято органом регулирования</v>
      </c>
      <c r="AX10" s="1020" t="str" cm="1">
        <f t="array" ref="AX10">AX25</f>
        <v>Принято органом регулирования</v>
      </c>
      <c r="AY10" s="1020" t="str" cm="1">
        <f t="array" ref="AY10">AY25</f>
        <v>Принято органом регулирования</v>
      </c>
      <c r="AZ10" s="1020" t="str" cm="1">
        <f t="array" ref="AZ10">AZ25</f>
        <v>Принято органом регулирования</v>
      </c>
      <c r="BA10" s="1020" t="str" cm="1">
        <f t="array" ref="BA10">BA25</f>
        <v>Принято органом регулирования</v>
      </c>
      <c r="BB10" s="1020" t="str" cm="1">
        <f t="array" ref="BB10">BB25</f>
        <v>Принято органом регулирования</v>
      </c>
      <c r="BC10" s="1020" t="str" cm="1">
        <f t="array" ref="BC10">BC25</f>
        <v>Принято органом регулирования</v>
      </c>
      <c r="BS10" s="1019"/>
    </row>
    <row r="11" spans="1:71" s="1020" customFormat="1" ht="12" hidden="1" customHeight="1" x14ac:dyDescent="0.15">
      <c r="A11" s="948" t="s">
        <v>463</v>
      </c>
      <c r="B11" s="941"/>
      <c r="E11" s="941"/>
      <c r="G11" s="1023"/>
      <c r="H11" s="1023"/>
      <c r="I11" s="1023"/>
      <c r="J11" s="1023"/>
      <c r="K11" s="1023"/>
      <c r="L11" s="1023"/>
      <c r="M11" s="1023"/>
      <c r="N11" s="1023"/>
      <c r="O11" s="1023"/>
      <c r="P11" s="1023"/>
      <c r="Q11" s="1000"/>
      <c r="R11" s="1000"/>
      <c r="S11" s="1023"/>
      <c r="T11" s="949"/>
      <c r="U11" s="949"/>
      <c r="V11" s="949"/>
      <c r="W11" s="949"/>
      <c r="X11" s="949"/>
      <c r="Y11" s="949"/>
      <c r="Z11" s="949"/>
      <c r="AC11" s="1024"/>
      <c r="BN11" s="1020" t="str" cm="1">
        <f t="array" ref="BN11">BN24</f>
        <v>Указание на подтверждающие документы / URL-ссылка на копии подтверждающих документов</v>
      </c>
      <c r="BO11" s="1020" t="str" cm="1">
        <f t="array" ref="BO11">BO24</f>
        <v>Ссылка на правовую норму (основание для принятия показателя в расчет тарифа)</v>
      </c>
      <c r="BP11" s="102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9"/>
    </row>
    <row r="12" spans="1:71" s="175" customFormat="1" ht="12" hidden="1" customHeight="1" x14ac:dyDescent="0.15">
      <c r="B12" s="659"/>
      <c r="E12" s="668"/>
      <c r="G12" s="177"/>
      <c r="H12" s="177"/>
      <c r="I12" s="177"/>
      <c r="J12" s="177"/>
      <c r="K12" s="177"/>
      <c r="L12" s="177"/>
      <c r="M12" s="177"/>
      <c r="N12" s="177"/>
      <c r="O12" s="177"/>
      <c r="P12" s="177"/>
      <c r="Q12" s="140"/>
      <c r="R12" s="140"/>
      <c r="S12" s="177"/>
      <c r="T12" s="123"/>
      <c r="U12" s="123"/>
      <c r="V12" s="123"/>
      <c r="W12" s="123"/>
      <c r="X12" s="123"/>
      <c r="Y12" s="123"/>
      <c r="Z12" s="123"/>
      <c r="AC12" s="179"/>
      <c r="AE12" s="175">
        <f>god-2</f>
        <v>2024</v>
      </c>
      <c r="AF12" s="175">
        <f>god-2</f>
        <v>2024</v>
      </c>
      <c r="AG12" s="175">
        <f>god-2</f>
        <v>2024</v>
      </c>
      <c r="AH12" s="175">
        <f>god-2</f>
        <v>2024</v>
      </c>
      <c r="BS12" s="1019"/>
    </row>
    <row r="13" spans="1:71" s="175" customFormat="1" ht="12" hidden="1" customHeight="1" x14ac:dyDescent="0.15">
      <c r="B13" s="659"/>
      <c r="E13" s="668"/>
      <c r="G13" s="177"/>
      <c r="H13" s="177"/>
      <c r="I13" s="177"/>
      <c r="J13" s="177"/>
      <c r="K13" s="177"/>
      <c r="L13" s="177"/>
      <c r="M13" s="177"/>
      <c r="N13" s="177"/>
      <c r="O13" s="177"/>
      <c r="P13" s="177"/>
      <c r="Q13" s="140"/>
      <c r="R13" s="140"/>
      <c r="S13" s="177"/>
      <c r="T13" s="123"/>
      <c r="U13" s="123"/>
      <c r="V13" s="123"/>
      <c r="W13" s="123"/>
      <c r="X13" s="123"/>
      <c r="Y13" s="123"/>
      <c r="Z13" s="123"/>
      <c r="AC13" s="179"/>
      <c r="AE13" s="123" t="str" cm="1">
        <f t="array" ref="AE13">AE25</f>
        <v>Принято органом регулирования</v>
      </c>
      <c r="AF13" s="123" t="str" cm="1">
        <f t="array" ref="AF13">AF25</f>
        <v>Факт по данным организации</v>
      </c>
      <c r="AG13" s="123" t="str" cm="1">
        <f t="array" ref="AG13">AG25</f>
        <v>Факт, принятый органом регулирования</v>
      </c>
      <c r="AH13" s="123" t="str" cm="1">
        <f t="array" ref="AH13">AH25</f>
        <v>отклонение факта по данным организации к факту принятому органом регулирования</v>
      </c>
      <c r="BI13" s="123"/>
      <c r="BJ13" s="123"/>
      <c r="BK13" s="123"/>
      <c r="BL13" s="123"/>
      <c r="BM13" s="123"/>
      <c r="BS13" s="1019"/>
    </row>
    <row r="14" spans="1:71" s="175" customFormat="1" ht="12" hidden="1" customHeight="1" x14ac:dyDescent="0.15">
      <c r="B14" s="659"/>
      <c r="E14" s="668"/>
      <c r="G14" s="177"/>
      <c r="H14" s="177"/>
      <c r="I14" s="177"/>
      <c r="J14" s="177"/>
      <c r="K14" s="177"/>
      <c r="L14" s="177"/>
      <c r="M14" s="177"/>
      <c r="N14" s="177"/>
      <c r="O14" s="177"/>
      <c r="P14" s="177"/>
      <c r="Q14" s="140"/>
      <c r="R14" s="140"/>
      <c r="S14" s="177"/>
      <c r="T14" s="123"/>
      <c r="U14" s="123"/>
      <c r="V14" s="123"/>
      <c r="W14" s="123"/>
      <c r="X14" s="123"/>
      <c r="Y14" s="123"/>
      <c r="Z14" s="123"/>
      <c r="AC14" s="179"/>
      <c r="AE14" s="123" t="str">
        <f>AE12&amp;AE13</f>
        <v>2024Принято органом регулирования</v>
      </c>
      <c r="AF14" s="123" t="str">
        <f>AF12&amp;AF13</f>
        <v>2024Факт по данным организации</v>
      </c>
      <c r="AG14" s="123" t="str">
        <f>AG12&amp;AG13</f>
        <v>2024Факт, принятый органом регулирования</v>
      </c>
      <c r="AH14" s="123" t="str">
        <f>AH12&amp;AH13</f>
        <v>2024отклонение факта по данным организации к факту принятому органом регулирования</v>
      </c>
      <c r="BI14" s="123"/>
      <c r="BJ14" s="123"/>
      <c r="BK14" s="123"/>
      <c r="BL14" s="123"/>
      <c r="BM14" s="123"/>
      <c r="BS14" s="1019"/>
    </row>
    <row r="15" spans="1:71" s="175" customFormat="1" ht="12" hidden="1" customHeight="1" x14ac:dyDescent="0.15">
      <c r="B15" s="659"/>
      <c r="E15" s="668"/>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19"/>
    </row>
    <row r="16" spans="1:71" s="175" customFormat="1" ht="12" hidden="1" customHeight="1" x14ac:dyDescent="0.15">
      <c r="B16" s="659"/>
      <c r="E16" s="668"/>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19"/>
    </row>
    <row r="17" spans="1:71" s="175" customFormat="1" ht="12" hidden="1" customHeight="1" x14ac:dyDescent="0.15">
      <c r="B17" s="659"/>
      <c r="E17" s="668"/>
      <c r="G17" s="177"/>
      <c r="H17" s="177"/>
      <c r="I17" s="177"/>
      <c r="J17" s="177"/>
      <c r="K17" s="177"/>
      <c r="L17" s="177"/>
      <c r="M17" s="177"/>
      <c r="N17" s="177"/>
      <c r="O17" s="177"/>
      <c r="P17" s="177"/>
      <c r="Q17" s="140"/>
      <c r="R17" s="140"/>
      <c r="S17" s="177"/>
      <c r="T17" s="123"/>
      <c r="U17" s="123"/>
      <c r="V17" s="123"/>
      <c r="W17" s="123"/>
      <c r="X17" s="123"/>
      <c r="Y17" s="123"/>
      <c r="Z17" s="123"/>
      <c r="AC17" s="179"/>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S17" s="1019"/>
    </row>
    <row r="18" spans="1:71" s="175" customFormat="1" ht="12" hidden="1" customHeight="1" x14ac:dyDescent="0.15">
      <c r="B18" s="659"/>
      <c r="E18" s="668"/>
      <c r="G18" s="177"/>
      <c r="H18" s="177"/>
      <c r="I18" s="177"/>
      <c r="J18" s="177"/>
      <c r="K18" s="177"/>
      <c r="L18" s="177"/>
      <c r="M18" s="177"/>
      <c r="N18" s="177"/>
      <c r="O18" s="177"/>
      <c r="P18" s="177"/>
      <c r="Q18" s="140"/>
      <c r="R18" s="140"/>
      <c r="S18" s="177"/>
      <c r="T18" s="123"/>
      <c r="U18" s="123"/>
      <c r="V18" s="123"/>
      <c r="W18" s="123"/>
      <c r="X18" s="123"/>
      <c r="Y18" s="123"/>
      <c r="Z18" s="123"/>
      <c r="AC18" s="179"/>
      <c r="BI18" s="123"/>
      <c r="BJ18" s="123"/>
      <c r="BK18" s="123"/>
      <c r="BL18" s="123"/>
      <c r="BM18" s="123"/>
      <c r="BS18" s="1019"/>
    </row>
    <row r="19" spans="1:71" s="175" customFormat="1" ht="12" hidden="1" customHeight="1" x14ac:dyDescent="0.15">
      <c r="B19" s="659"/>
      <c r="E19" s="668"/>
      <c r="G19" s="177"/>
      <c r="H19" s="177"/>
      <c r="I19" s="177"/>
      <c r="J19" s="177"/>
      <c r="K19" s="177"/>
      <c r="L19" s="177"/>
      <c r="M19" s="177"/>
      <c r="N19" s="177"/>
      <c r="O19" s="177"/>
      <c r="P19" s="177"/>
      <c r="Q19" s="140"/>
      <c r="R19" s="140"/>
      <c r="S19" s="177"/>
      <c r="T19" s="123"/>
      <c r="U19" s="123"/>
      <c r="V19" s="123"/>
      <c r="W19" s="123"/>
      <c r="X19" s="123"/>
      <c r="Y19" s="123"/>
      <c r="Z19" s="123"/>
      <c r="AC19" s="179"/>
      <c r="BS19" s="1019"/>
    </row>
    <row r="20" spans="1:71" s="175" customFormat="1" ht="11.1" hidden="1" customHeight="1" x14ac:dyDescent="0.15">
      <c r="B20" s="659"/>
      <c r="E20" s="668">
        <v>11.4</v>
      </c>
      <c r="G20" s="177"/>
      <c r="H20" s="177"/>
      <c r="I20" s="177"/>
      <c r="J20" s="177"/>
      <c r="K20" s="177"/>
      <c r="L20" s="177"/>
      <c r="M20" s="177"/>
      <c r="N20" s="177"/>
      <c r="O20" s="177"/>
      <c r="P20" s="177"/>
      <c r="Q20" s="140"/>
      <c r="R20" s="140"/>
      <c r="S20" s="177"/>
      <c r="T20" s="123"/>
      <c r="U20" s="123"/>
      <c r="V20" s="123"/>
      <c r="W20" s="123"/>
      <c r="X20" s="123"/>
      <c r="Y20" s="123"/>
      <c r="Z20" s="123"/>
      <c r="AC20" s="179"/>
      <c r="BS20" s="1019"/>
    </row>
    <row r="21" spans="1:71" ht="14.65" customHeight="1" x14ac:dyDescent="0.15">
      <c r="E21" s="668">
        <v>15</v>
      </c>
      <c r="AA21" s="691"/>
      <c r="AB21" s="177"/>
      <c r="AC21" s="335" t="str" cm="1">
        <f t="array" ref="AC21">tpl_title</f>
        <v>Кемеровская область / 2026 / ООО ХК "СДС - Энерго" (ИНН:4250003450, КПП:420501001) / ДПР: 2024-2028</v>
      </c>
      <c r="AD21" s="177"/>
    </row>
    <row r="22" spans="1:71" s="1153" customFormat="1" ht="19.5" customHeight="1" x14ac:dyDescent="0.15">
      <c r="A22" s="130"/>
      <c r="B22" s="659"/>
      <c r="C22" s="130"/>
      <c r="D22" s="130"/>
      <c r="E22" s="668">
        <v>20.100000000000001</v>
      </c>
      <c r="F22" s="130"/>
      <c r="Q22" s="140"/>
      <c r="R22" s="140"/>
      <c r="T22" s="126"/>
      <c r="U22" s="126"/>
      <c r="V22" s="126"/>
      <c r="W22" s="126"/>
      <c r="X22" s="126"/>
      <c r="Y22" s="126"/>
      <c r="Z22" s="126"/>
      <c r="AB22" s="325" t="s">
        <v>57</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1009"/>
    </row>
    <row r="23" spans="1:71" s="1153" customFormat="1" ht="9.9499999999999993" customHeight="1" x14ac:dyDescent="0.15">
      <c r="A23" s="130"/>
      <c r="B23" s="659"/>
      <c r="C23" s="130"/>
      <c r="D23" s="130"/>
      <c r="E23" s="668">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1009"/>
    </row>
    <row r="24" spans="1:71" s="176" customFormat="1" ht="24.2" customHeight="1" x14ac:dyDescent="0.15">
      <c r="A24" s="179"/>
      <c r="B24" s="663"/>
      <c r="C24" s="179"/>
      <c r="D24" s="179"/>
      <c r="E24" s="674">
        <v>24.8</v>
      </c>
      <c r="F24" s="179"/>
      <c r="Q24" s="778"/>
      <c r="R24" s="778"/>
      <c r="T24" s="119"/>
      <c r="U24" s="119"/>
      <c r="V24" s="119"/>
      <c r="W24" s="119"/>
      <c r="X24" s="119"/>
      <c r="Y24" s="119"/>
      <c r="Z24" s="119"/>
      <c r="AB24" s="1587" t="s">
        <v>388</v>
      </c>
      <c r="AC24" s="1587" t="s">
        <v>464</v>
      </c>
      <c r="AD24" s="1587" t="s">
        <v>465</v>
      </c>
      <c r="AE24" s="117" t="str">
        <f>god-2&amp;" год"</f>
        <v>2024 год</v>
      </c>
      <c r="AF24" s="117" t="str">
        <f>god-2&amp;" год"</f>
        <v>2024 год</v>
      </c>
      <c r="AG24" s="117" t="str">
        <f>god-2&amp;" год"</f>
        <v>2024 год</v>
      </c>
      <c r="AH24" s="117" t="str">
        <f>god-2&amp;" год"</f>
        <v>2024 год</v>
      </c>
      <c r="AI24" s="117" t="str">
        <f>god-1&amp;" год"</f>
        <v>2025 год</v>
      </c>
      <c r="AJ24" s="1131" t="str">
        <f>god&amp;" год"</f>
        <v>2026 год</v>
      </c>
      <c r="AK24" s="1131" t="str">
        <f>god+1&amp;" год"</f>
        <v>2027 год</v>
      </c>
      <c r="AL24" s="1131" t="str">
        <f>god+2&amp;" год"</f>
        <v>2028 год</v>
      </c>
      <c r="AM24" s="1131" t="str">
        <f>god+3&amp;" год"</f>
        <v>2029 год</v>
      </c>
      <c r="AN24" s="1131" t="str">
        <f>god+4&amp;" год"</f>
        <v>2030 год</v>
      </c>
      <c r="AO24" s="1131" t="str">
        <f>god+5&amp;" год"</f>
        <v>2031 год</v>
      </c>
      <c r="AP24" s="1131" t="str">
        <f>god+6&amp;" год"</f>
        <v>2032 год</v>
      </c>
      <c r="AQ24" s="1131" t="str">
        <f>god+7&amp;" год"</f>
        <v>2033 год</v>
      </c>
      <c r="AR24" s="1131" t="str">
        <f>god+8&amp;" год"</f>
        <v>2034 год</v>
      </c>
      <c r="AS24" s="1131"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580" t="s">
        <v>1313</v>
      </c>
      <c r="BO24" s="1580" t="s">
        <v>618</v>
      </c>
      <c r="BP24" s="1580" t="s">
        <v>1314</v>
      </c>
      <c r="BQ24" s="179"/>
      <c r="BS24" s="1019"/>
    </row>
    <row r="25" spans="1:71" s="176" customFormat="1" ht="44.65" customHeight="1" x14ac:dyDescent="0.15">
      <c r="A25" s="179"/>
      <c r="B25" s="663"/>
      <c r="C25" s="179"/>
      <c r="D25" s="179"/>
      <c r="E25" s="674">
        <v>45.8</v>
      </c>
      <c r="F25" s="179"/>
      <c r="Q25" s="778"/>
      <c r="R25" s="778"/>
      <c r="T25" s="119"/>
      <c r="U25" s="119"/>
      <c r="V25" s="119"/>
      <c r="W25" s="119"/>
      <c r="X25" s="119"/>
      <c r="Y25" s="119"/>
      <c r="Z25" s="119"/>
      <c r="AB25" s="1587"/>
      <c r="AC25" s="1587"/>
      <c r="AD25" s="1587"/>
      <c r="AE25" s="117" t="s">
        <v>404</v>
      </c>
      <c r="AF25" s="117" t="s">
        <v>619</v>
      </c>
      <c r="AG25" s="117" t="s">
        <v>620</v>
      </c>
      <c r="AH25" s="117" t="s">
        <v>1315</v>
      </c>
      <c r="AI25" s="117" t="s">
        <v>404</v>
      </c>
      <c r="AJ25" s="1132" t="s">
        <v>405</v>
      </c>
      <c r="AK25" s="1132" t="s">
        <v>405</v>
      </c>
      <c r="AL25" s="1132" t="s">
        <v>405</v>
      </c>
      <c r="AM25" s="1132" t="s">
        <v>405</v>
      </c>
      <c r="AN25" s="1132" t="s">
        <v>405</v>
      </c>
      <c r="AO25" s="1132" t="s">
        <v>405</v>
      </c>
      <c r="AP25" s="1132" t="s">
        <v>405</v>
      </c>
      <c r="AQ25" s="1132" t="s">
        <v>405</v>
      </c>
      <c r="AR25" s="1132" t="s">
        <v>405</v>
      </c>
      <c r="AS25" s="1132" t="s">
        <v>405</v>
      </c>
      <c r="AT25" s="343" t="s">
        <v>404</v>
      </c>
      <c r="AU25" s="343" t="s">
        <v>404</v>
      </c>
      <c r="AV25" s="343" t="s">
        <v>404</v>
      </c>
      <c r="AW25" s="343" t="s">
        <v>404</v>
      </c>
      <c r="AX25" s="343" t="s">
        <v>404</v>
      </c>
      <c r="AY25" s="343" t="s">
        <v>404</v>
      </c>
      <c r="AZ25" s="343" t="s">
        <v>404</v>
      </c>
      <c r="BA25" s="343" t="s">
        <v>404</v>
      </c>
      <c r="BB25" s="343" t="s">
        <v>404</v>
      </c>
      <c r="BC25" s="343" t="s">
        <v>404</v>
      </c>
      <c r="BD25" s="1580" t="s">
        <v>1316</v>
      </c>
      <c r="BE25" s="1580"/>
      <c r="BF25" s="1580"/>
      <c r="BG25" s="1580"/>
      <c r="BH25" s="1580"/>
      <c r="BI25" s="1580"/>
      <c r="BJ25" s="1580"/>
      <c r="BK25" s="1580"/>
      <c r="BL25" s="1580"/>
      <c r="BM25" s="1580"/>
      <c r="BN25" s="1580"/>
      <c r="BO25" s="1580"/>
      <c r="BP25" s="1580"/>
      <c r="BQ25" s="179"/>
      <c r="BS25" s="1019"/>
    </row>
    <row r="26" spans="1:71" s="176" customFormat="1" ht="16.5" hidden="1" customHeight="1" x14ac:dyDescent="0.15">
      <c r="A26" s="179"/>
      <c r="B26" s="663"/>
      <c r="C26" s="179"/>
      <c r="D26" s="179"/>
      <c r="E26" s="674">
        <v>0</v>
      </c>
      <c r="F26" s="179"/>
      <c r="Q26" s="778"/>
      <c r="R26" s="778"/>
      <c r="T26" s="119"/>
      <c r="U26" s="119"/>
      <c r="V26" s="119"/>
      <c r="W26" s="119"/>
      <c r="X26" s="119"/>
      <c r="Y26" s="119"/>
      <c r="Z26" s="119"/>
      <c r="AB26" s="438"/>
      <c r="AC26" s="438"/>
      <c r="AD26" s="438"/>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Q26" s="179"/>
      <c r="BS26" s="1019"/>
    </row>
    <row r="27" spans="1:71" s="167" customFormat="1" ht="16.7" hidden="1" customHeight="1" x14ac:dyDescent="0.15">
      <c r="E27" s="668">
        <v>17.100000000000001</v>
      </c>
      <c r="F27" s="769" cm="1">
        <f t="array" ref="F27">X27</f>
        <v>0</v>
      </c>
      <c r="G27" s="612"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79" t="b">
        <f>X27&gt;0</f>
        <v>0</v>
      </c>
      <c r="V27" s="123" t="s">
        <v>313</v>
      </c>
      <c r="X27" s="1485">
        <v>0</v>
      </c>
      <c r="Z27" s="1483"/>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92"/>
    </row>
    <row r="28" spans="1:71" ht="16.7" hidden="1" customHeight="1" x14ac:dyDescent="0.15">
      <c r="E28" s="668">
        <v>17.100000000000001</v>
      </c>
      <c r="F28" s="769" cm="1">
        <f t="array" aca="1" ref="F28" ca="1">OFFSET(G28,-1,-1)</f>
        <v>0</v>
      </c>
      <c r="G28" s="140" t="s">
        <v>533</v>
      </c>
      <c r="T28" s="679" t="b" cm="1">
        <f t="array" ref="T28">T27</f>
        <v>0</v>
      </c>
      <c r="X28" s="1485"/>
      <c r="Z28" s="1485"/>
      <c r="AB28" s="108" t="s">
        <v>339</v>
      </c>
      <c r="AC28" s="615" t="s">
        <v>1357</v>
      </c>
      <c r="AD28" s="108" t="s">
        <v>521</v>
      </c>
      <c r="AE28" s="508"/>
      <c r="AF28" s="506"/>
      <c r="AG28" s="506"/>
      <c r="AH28" s="506"/>
      <c r="AI28" s="69"/>
      <c r="AJ28" s="744">
        <f ca="1">SUMIFS(Сценарии!AE$27:AE$82,Сценарии!$F$27:$F$82,$F28,Сценарии!$G$27:$G$82,$G28)</f>
        <v>0</v>
      </c>
      <c r="AK28" s="744">
        <f ca="1">SUMIFS(Сценарии!AF$27:AF$82,Сценарии!$F$27:$F$82,$F28,Сценарии!$G$27:$G$82,$G28)</f>
        <v>0</v>
      </c>
      <c r="AL28" s="744">
        <f ca="1">SUMIFS(Сценарии!AG$27:AG$82,Сценарии!$F$27:$F$82,$F28,Сценарии!$G$27:$G$82,$G28)</f>
        <v>0</v>
      </c>
      <c r="AM28" s="744">
        <f ca="1">SUMIFS(Сценарии!AH$27:AH$82,Сценарии!$F$27:$F$82,$F28,Сценарии!$G$27:$G$82,$G28)</f>
        <v>0</v>
      </c>
      <c r="AN28" s="744">
        <f ca="1">SUMIFS(Сценарии!AI$27:AI$82,Сценарии!$F$27:$F$82,$F28,Сценарии!$G$27:$G$82,$G28)</f>
        <v>0</v>
      </c>
      <c r="AO28" s="744">
        <f ca="1">SUMIFS(Сценарии!AJ$27:AJ$82,Сценарии!$F$27:$F$82,$F28,Сценарии!$G$27:$G$82,$G28)</f>
        <v>0</v>
      </c>
      <c r="AP28" s="744">
        <f ca="1">SUMIFS(Сценарии!AK$27:AK$82,Сценарии!$F$27:$F$82,$F28,Сценарии!$G$27:$G$82,$G28)</f>
        <v>0</v>
      </c>
      <c r="AQ28" s="744">
        <f ca="1">SUMIFS(Сценарии!AL$27:AL$82,Сценарии!$F$27:$F$82,$F28,Сценарии!$G$27:$G$82,$G28)</f>
        <v>0</v>
      </c>
      <c r="AR28" s="744">
        <f ca="1">SUMIFS(Сценарии!AM$27:AM$82,Сценарии!$F$27:$F$82,$F28,Сценарии!$G$27:$G$82,$G28)</f>
        <v>0</v>
      </c>
      <c r="AS28" s="744">
        <f ca="1">SUMIFS(Сценарии!AN$27:AN$82,Сценарии!$F$27:$F$82,$F28,Сценарии!$G$27:$G$82,$G28)</f>
        <v>0</v>
      </c>
      <c r="AT28" s="744">
        <f ca="1">SUMIFS(Сценарии!AO$27:AO$82,Сценарии!$F$27:$F$82,$F28,Сценарии!$G$27:$G$82,$G28)</f>
        <v>0</v>
      </c>
      <c r="AU28" s="744">
        <f ca="1">SUMIFS(Сценарии!AP$27:AP$82,Сценарии!$F$27:$F$82,$F28,Сценарии!$G$27:$G$82,$G28)</f>
        <v>0</v>
      </c>
      <c r="AV28" s="744">
        <f ca="1">SUMIFS(Сценарии!AQ$27:AQ$82,Сценарии!$F$27:$F$82,$F28,Сценарии!$G$27:$G$82,$G28)</f>
        <v>0</v>
      </c>
      <c r="AW28" s="744">
        <f ca="1">SUMIFS(Сценарии!AR$27:AR$82,Сценарии!$F$27:$F$82,$F28,Сценарии!$G$27:$G$82,$G28)</f>
        <v>0</v>
      </c>
      <c r="AX28" s="744">
        <f ca="1">SUMIFS(Сценарии!AS$27:AS$82,Сценарии!$F$27:$F$82,$F28,Сценарии!$G$27:$G$82,$G28)</f>
        <v>0</v>
      </c>
      <c r="AY28" s="744">
        <f ca="1">SUMIFS(Сценарии!AT$27:AT$82,Сценарии!$F$27:$F$82,$F28,Сценарии!$G$27:$G$82,$G28)</f>
        <v>0</v>
      </c>
      <c r="AZ28" s="744">
        <f ca="1">SUMIFS(Сценарии!AU$27:AU$82,Сценарии!$F$27:$F$82,$F28,Сценарии!$G$27:$G$82,$G28)</f>
        <v>0</v>
      </c>
      <c r="BA28" s="744">
        <f ca="1">SUMIFS(Сценарии!AV$27:AV$82,Сценарии!$F$27:$F$82,$F28,Сценарии!$G$27:$G$82,$G28)</f>
        <v>0</v>
      </c>
      <c r="BB28" s="744">
        <f ca="1">SUMIFS(Сценарии!AW$27:AW$82,Сценарии!$F$27:$F$82,$F28,Сценарии!$G$27:$G$82,$G28)</f>
        <v>0</v>
      </c>
      <c r="BC28" s="744">
        <f ca="1">SUMIFS(Сценарии!AX$27:AX$82,Сценарии!$F$27:$F$82,$F28,Сценарии!$G$27:$G$82,$G28)</f>
        <v>0</v>
      </c>
      <c r="BD28" s="925"/>
      <c r="BE28" s="925"/>
      <c r="BF28" s="925"/>
      <c r="BG28" s="925"/>
      <c r="BH28" s="925"/>
      <c r="BI28" s="925"/>
      <c r="BJ28" s="925"/>
      <c r="BK28" s="925"/>
      <c r="BL28" s="925"/>
      <c r="BM28" s="925"/>
      <c r="BN28" s="25"/>
      <c r="BO28" s="25"/>
      <c r="BP28" s="25"/>
      <c r="BS28" s="1019" t="s">
        <v>1358</v>
      </c>
    </row>
    <row r="29" spans="1:71" s="180" customFormat="1" ht="16.7" hidden="1" customHeight="1" x14ac:dyDescent="0.15">
      <c r="E29" s="668">
        <v>17.100000000000001</v>
      </c>
      <c r="F29" s="769" cm="1">
        <f t="array" aca="1" ref="F29" ca="1">OFFSET(G29,-1,-1)</f>
        <v>0</v>
      </c>
      <c r="G29" s="778" t="s">
        <v>523</v>
      </c>
      <c r="T29" s="679" t="b" cm="1">
        <f t="array" ref="T29">T28</f>
        <v>0</v>
      </c>
      <c r="X29" s="1585"/>
      <c r="Z29" s="1585"/>
      <c r="AB29" s="108" t="s">
        <v>426</v>
      </c>
      <c r="AC29" s="116" t="s">
        <v>1359</v>
      </c>
      <c r="AD29" s="108" t="s">
        <v>521</v>
      </c>
      <c r="AE29" s="508"/>
      <c r="AF29" s="506"/>
      <c r="AG29" s="506"/>
      <c r="AH29" s="506"/>
      <c r="AI29" s="69"/>
      <c r="AJ29" s="744">
        <f ca="1">SUMIFS(Сценарии!AE$27:AE$82,Сценарии!$F$27:$F$82,$F29,Сценарии!$G$27:$G$82,$G29)</f>
        <v>1</v>
      </c>
      <c r="AK29" s="744">
        <f ca="1">SUMIFS(Сценарии!AF$27:AF$82,Сценарии!$F$27:$F$82,$F29,Сценарии!$G$27:$G$82,$G29)</f>
        <v>1</v>
      </c>
      <c r="AL29" s="744">
        <f ca="1">SUMIFS(Сценарии!AG$27:AG$82,Сценарии!$F$27:$F$82,$F29,Сценарии!$G$27:$G$82,$G29)</f>
        <v>1</v>
      </c>
      <c r="AM29" s="744">
        <f ca="1">SUMIFS(Сценарии!AH$27:AH$82,Сценарии!$F$27:$F$82,$F29,Сценарии!$G$27:$G$82,$G29)</f>
        <v>1</v>
      </c>
      <c r="AN29" s="744">
        <f ca="1">SUMIFS(Сценарии!AI$27:AI$82,Сценарии!$F$27:$F$82,$F29,Сценарии!$G$27:$G$82,$G29)</f>
        <v>1</v>
      </c>
      <c r="AO29" s="744">
        <f ca="1">SUMIFS(Сценарии!AJ$27:AJ$82,Сценарии!$F$27:$F$82,$F29,Сценарии!$G$27:$G$82,$G29)</f>
        <v>1</v>
      </c>
      <c r="AP29" s="744">
        <f ca="1">SUMIFS(Сценарии!AK$27:AK$82,Сценарии!$F$27:$F$82,$F29,Сценарии!$G$27:$G$82,$G29)</f>
        <v>1</v>
      </c>
      <c r="AQ29" s="744">
        <f ca="1">SUMIFS(Сценарии!AL$27:AL$82,Сценарии!$F$27:$F$82,$F29,Сценарии!$G$27:$G$82,$G29)</f>
        <v>1</v>
      </c>
      <c r="AR29" s="744">
        <f ca="1">SUMIFS(Сценарии!AM$27:AM$82,Сценарии!$F$27:$F$82,$F29,Сценарии!$G$27:$G$82,$G29)</f>
        <v>1</v>
      </c>
      <c r="AS29" s="744">
        <f ca="1">SUMIFS(Сценарии!AN$27:AN$82,Сценарии!$F$27:$F$82,$F29,Сценарии!$G$27:$G$82,$G29)</f>
        <v>1</v>
      </c>
      <c r="AT29" s="924">
        <v>1</v>
      </c>
      <c r="AU29" s="1308">
        <v>1</v>
      </c>
      <c r="AV29" s="1308">
        <v>1</v>
      </c>
      <c r="AW29" s="69">
        <v>1</v>
      </c>
      <c r="AX29" s="69">
        <v>1</v>
      </c>
      <c r="AY29" s="69">
        <v>1</v>
      </c>
      <c r="AZ29" s="69">
        <v>1</v>
      </c>
      <c r="BA29" s="69">
        <v>1</v>
      </c>
      <c r="BB29" s="69">
        <v>1</v>
      </c>
      <c r="BC29" s="69">
        <v>1</v>
      </c>
      <c r="BD29" s="925"/>
      <c r="BE29" s="925"/>
      <c r="BF29" s="925"/>
      <c r="BG29" s="925"/>
      <c r="BH29" s="925"/>
      <c r="BI29" s="925"/>
      <c r="BJ29" s="925"/>
      <c r="BK29" s="925"/>
      <c r="BL29" s="925"/>
      <c r="BM29" s="925"/>
      <c r="BN29" s="25"/>
      <c r="BO29" s="25"/>
      <c r="BP29" s="25"/>
      <c r="BS29" s="1019" t="s">
        <v>1360</v>
      </c>
    </row>
    <row r="30" spans="1:71" ht="16.7" hidden="1" customHeight="1" x14ac:dyDescent="0.15">
      <c r="E30" s="668">
        <v>17.100000000000001</v>
      </c>
      <c r="F30" s="769" cm="1">
        <f t="array" aca="1" ref="F30" ca="1">OFFSET(G30,-1,-1)</f>
        <v>0</v>
      </c>
      <c r="G30" s="140" t="s">
        <v>576</v>
      </c>
      <c r="T30" s="679" t="b" cm="1">
        <f t="array" ref="T30">T29</f>
        <v>0</v>
      </c>
      <c r="X30" s="1485"/>
      <c r="Z30" s="1485"/>
      <c r="AB30" s="108" t="s">
        <v>431</v>
      </c>
      <c r="AC30" s="116" t="s">
        <v>1361</v>
      </c>
      <c r="AD30" s="108"/>
      <c r="AE30" s="508"/>
      <c r="AF30" s="506"/>
      <c r="AG30" s="506"/>
      <c r="AH30" s="506"/>
      <c r="AI30" s="69"/>
      <c r="AJ30" s="744">
        <f ca="1">SUMIFS(Сценарии!AE$27:AE$82,Сценарии!$F$27:$F$82,$F30,Сценарии!$G$27:$G$82,$G30)</f>
        <v>0</v>
      </c>
      <c r="AK30" s="744">
        <f ca="1">SUMIFS(Сценарии!AF$27:AF$82,Сценарии!$F$27:$F$82,$F30,Сценарии!$G$27:$G$82,$G30)</f>
        <v>0</v>
      </c>
      <c r="AL30" s="744">
        <f ca="1">SUMIFS(Сценарии!AG$27:AG$82,Сценарии!$F$27:$F$82,$F30,Сценарии!$G$27:$G$82,$G30)</f>
        <v>0</v>
      </c>
      <c r="AM30" s="744">
        <f ca="1">SUMIFS(Сценарии!AH$27:AH$82,Сценарии!$F$27:$F$82,$F30,Сценарии!$G$27:$G$82,$G30)</f>
        <v>0</v>
      </c>
      <c r="AN30" s="744">
        <f ca="1">SUMIFS(Сценарии!AI$27:AI$82,Сценарии!$F$27:$F$82,$F30,Сценарии!$G$27:$G$82,$G30)</f>
        <v>0</v>
      </c>
      <c r="AO30" s="744">
        <f ca="1">SUMIFS(Сценарии!AJ$27:AJ$82,Сценарии!$F$27:$F$82,$F30,Сценарии!$G$27:$G$82,$G30)</f>
        <v>0</v>
      </c>
      <c r="AP30" s="744">
        <f ca="1">SUMIFS(Сценарии!AK$27:AK$82,Сценарии!$F$27:$F$82,$F30,Сценарии!$G$27:$G$82,$G30)</f>
        <v>0</v>
      </c>
      <c r="AQ30" s="744">
        <f ca="1">SUMIFS(Сценарии!AL$27:AL$82,Сценарии!$F$27:$F$82,$F30,Сценарии!$G$27:$G$82,$G30)</f>
        <v>0</v>
      </c>
      <c r="AR30" s="744">
        <f ca="1">SUMIFS(Сценарии!AM$27:AM$82,Сценарии!$F$27:$F$82,$F30,Сценарии!$G$27:$G$82,$G30)</f>
        <v>0</v>
      </c>
      <c r="AS30" s="744">
        <f ca="1">SUMIFS(Сценарии!AN$27:AN$82,Сценарии!$F$27:$F$82,$F30,Сценарии!$G$27:$G$82,$G30)</f>
        <v>0</v>
      </c>
      <c r="AT30" s="744">
        <f ca="1">SUMIFS(Сценарии!AO$27:AO$82,Сценарии!$F$27:$F$82,$F30,Сценарии!$G$27:$G$82,$G30)</f>
        <v>0</v>
      </c>
      <c r="AU30" s="744">
        <f ca="1">SUMIFS(Сценарии!AP$27:AP$82,Сценарии!$F$27:$F$82,$F30,Сценарии!$G$27:$G$82,$G30)</f>
        <v>0</v>
      </c>
      <c r="AV30" s="744">
        <f ca="1">SUMIFS(Сценарии!AQ$27:AQ$82,Сценарии!$F$27:$F$82,$F30,Сценарии!$G$27:$G$82,$G30)</f>
        <v>0</v>
      </c>
      <c r="AW30" s="744">
        <f ca="1">SUMIFS(Сценарии!AR$27:AR$82,Сценарии!$F$27:$F$82,$F30,Сценарии!$G$27:$G$82,$G30)</f>
        <v>0</v>
      </c>
      <c r="AX30" s="744">
        <f ca="1">SUMIFS(Сценарии!AS$27:AS$82,Сценарии!$F$27:$F$82,$F30,Сценарии!$G$27:$G$82,$G30)</f>
        <v>0</v>
      </c>
      <c r="AY30" s="744">
        <f ca="1">SUMIFS(Сценарии!AT$27:AT$82,Сценарии!$F$27:$F$82,$F30,Сценарии!$G$27:$G$82,$G30)</f>
        <v>0</v>
      </c>
      <c r="AZ30" s="744">
        <f ca="1">SUMIFS(Сценарии!AU$27:AU$82,Сценарии!$F$27:$F$82,$F30,Сценарии!$G$27:$G$82,$G30)</f>
        <v>0</v>
      </c>
      <c r="BA30" s="744">
        <f ca="1">SUMIFS(Сценарии!AV$27:AV$82,Сценарии!$F$27:$F$82,$F30,Сценарии!$G$27:$G$82,$G30)</f>
        <v>0</v>
      </c>
      <c r="BB30" s="744">
        <f ca="1">SUMIFS(Сценарии!AW$27:AW$82,Сценарии!$F$27:$F$82,$F30,Сценарии!$G$27:$G$82,$G30)</f>
        <v>0</v>
      </c>
      <c r="BC30" s="744">
        <f ca="1">SUMIFS(Сценарии!AX$27:AX$82,Сценарии!$F$27:$F$82,$F30,Сценарии!$G$27:$G$82,$G30)</f>
        <v>0</v>
      </c>
      <c r="BD30" s="925"/>
      <c r="BE30" s="925"/>
      <c r="BF30" s="925"/>
      <c r="BG30" s="925"/>
      <c r="BH30" s="925"/>
      <c r="BI30" s="925"/>
      <c r="BJ30" s="925"/>
      <c r="BK30" s="925"/>
      <c r="BL30" s="925"/>
      <c r="BM30" s="925"/>
      <c r="BN30" s="25"/>
      <c r="BO30" s="25"/>
      <c r="BP30" s="25"/>
      <c r="BS30" s="1019" t="s">
        <v>1362</v>
      </c>
    </row>
    <row r="31" spans="1:71" ht="29.25" hidden="1" customHeight="1" x14ac:dyDescent="0.15">
      <c r="E31" s="668">
        <v>30</v>
      </c>
      <c r="F31" s="769" cm="1">
        <f t="array" aca="1" ref="F31" ca="1">OFFSET(G31,-1,-1)</f>
        <v>0</v>
      </c>
      <c r="G31" s="140" t="s">
        <v>467</v>
      </c>
      <c r="T31" s="679" t="b" cm="1">
        <f t="array" ref="T31">T30</f>
        <v>0</v>
      </c>
      <c r="X31" s="1485"/>
      <c r="Z31" s="1485"/>
      <c r="AB31" s="108" t="s">
        <v>735</v>
      </c>
      <c r="AC31" s="113" t="s">
        <v>1363</v>
      </c>
      <c r="AD31" s="108" t="s">
        <v>1364</v>
      </c>
      <c r="AE31" s="508"/>
      <c r="AF31" s="506"/>
      <c r="AG31" s="506"/>
      <c r="AH31" s="506"/>
      <c r="AI31" s="70">
        <f ca="1">SUMIFS('Расчет УЕ'!AE$26:AE$68,'Расчет УЕ'!$F$26:$F$68,$F31,'Расчет УЕ'!$G$26:$G$68,$G31)</f>
        <v>0</v>
      </c>
      <c r="AJ31" s="889">
        <f ca="1">SUMIFS('Расчет УЕ'!AF$26:AF$68,'Расчет УЕ'!$F$26:$F$68,$F31,'Расчет УЕ'!$G$26:$G$68,$G31)</f>
        <v>0</v>
      </c>
      <c r="AK31" s="889">
        <f ca="1">SUMIFS('Расчет УЕ'!AG$26:AG$68,'Расчет УЕ'!$F$26:$F$68,$F31,'Расчет УЕ'!$G$26:$G$68,$G31)</f>
        <v>0</v>
      </c>
      <c r="AL31" s="744">
        <f ca="1">SUMIFS('Расчет УЕ'!AH$26:AH$68,'Расчет УЕ'!$F$26:$F$68,$F31,'Расчет УЕ'!$G$26:$G$68,$G31)</f>
        <v>0</v>
      </c>
      <c r="AM31" s="744">
        <f ca="1">SUMIFS('Расчет УЕ'!AI$26:AI$68,'Расчет УЕ'!$F$26:$F$68,$F31,'Расчет УЕ'!$G$26:$G$68,$G31)</f>
        <v>0</v>
      </c>
      <c r="AN31" s="744">
        <f ca="1">SUMIFS('Расчет УЕ'!AJ$26:AJ$68,'Расчет УЕ'!$F$26:$F$68,$F31,'Расчет УЕ'!$G$26:$G$68,$G31)</f>
        <v>0</v>
      </c>
      <c r="AO31" s="744">
        <f ca="1">SUMIFS('Расчет УЕ'!AK$26:AK$68,'Расчет УЕ'!$F$26:$F$68,$F31,'Расчет УЕ'!$G$26:$G$68,$G31)</f>
        <v>0</v>
      </c>
      <c r="AP31" s="744">
        <f ca="1">SUMIFS('Расчет УЕ'!AL$26:AL$68,'Расчет УЕ'!$F$26:$F$68,$F31,'Расчет УЕ'!$G$26:$G$68,$G31)</f>
        <v>0</v>
      </c>
      <c r="AQ31" s="744">
        <f ca="1">SUMIFS('Расчет УЕ'!AM$26:AM$68,'Расчет УЕ'!$F$26:$F$68,$F31,'Расчет УЕ'!$G$26:$G$68,$G31)</f>
        <v>0</v>
      </c>
      <c r="AR31" s="744">
        <f ca="1">SUMIFS('Расчет УЕ'!AN$26:AN$68,'Расчет УЕ'!$F$26:$F$68,$F31,'Расчет УЕ'!$G$26:$G$68,$G31)</f>
        <v>0</v>
      </c>
      <c r="AS31" s="744">
        <f ca="1">SUMIFS('Расчет УЕ'!AO$26:AO$68,'Расчет УЕ'!$F$26:$F$68,$F31,'Расчет УЕ'!$G$26:$G$68,$G31)</f>
        <v>0</v>
      </c>
      <c r="AT31" s="744">
        <f ca="1">SUMIFS('Расчет УЕ'!AP$26:AP$68,'Расчет УЕ'!$F$26:$F$68,$F31,'Расчет УЕ'!$G$26:$G$68,$G31)</f>
        <v>0</v>
      </c>
      <c r="AU31" s="744">
        <f ca="1">SUMIFS('Расчет УЕ'!AQ$26:AQ$68,'Расчет УЕ'!$F$26:$F$68,$F31,'Расчет УЕ'!$G$26:$G$68,$G31)</f>
        <v>0</v>
      </c>
      <c r="AV31" s="744">
        <f ca="1">SUMIFS('Расчет УЕ'!AR$26:AR$68,'Расчет УЕ'!$F$26:$F$68,$F31,'Расчет УЕ'!$G$26:$G$68,$G31)</f>
        <v>0</v>
      </c>
      <c r="AW31" s="744">
        <f ca="1">SUMIFS('Расчет УЕ'!AS$26:AS$68,'Расчет УЕ'!$F$26:$F$68,$F31,'Расчет УЕ'!$G$26:$G$68,$G31)</f>
        <v>0</v>
      </c>
      <c r="AX31" s="744">
        <f ca="1">SUMIFS('Расчет УЕ'!AT$26:AT$68,'Расчет УЕ'!$F$26:$F$68,$F31,'Расчет УЕ'!$G$26:$G$68,$G31)</f>
        <v>0</v>
      </c>
      <c r="AY31" s="744">
        <f ca="1">SUMIFS('Расчет УЕ'!AU$26:AU$68,'Расчет УЕ'!$F$26:$F$68,$F31,'Расчет УЕ'!$G$26:$G$68,$G31)</f>
        <v>0</v>
      </c>
      <c r="AZ31" s="744">
        <f ca="1">SUMIFS('Расчет УЕ'!AV$26:AV$68,'Расчет УЕ'!$F$26:$F$68,$F31,'Расчет УЕ'!$G$26:$G$68,$G31)</f>
        <v>0</v>
      </c>
      <c r="BA31" s="744">
        <f ca="1">SUMIFS('Расчет УЕ'!AW$26:AW$68,'Расчет УЕ'!$F$26:$F$68,$F31,'Расчет УЕ'!$G$26:$G$68,$G31)</f>
        <v>0</v>
      </c>
      <c r="BB31" s="744">
        <f ca="1">SUMIFS('Расчет УЕ'!AX$26:AX$68,'Расчет УЕ'!$F$26:$F$68,$F31,'Расчет УЕ'!$G$26:$G$68,$G31)</f>
        <v>0</v>
      </c>
      <c r="BC31" s="744">
        <f ca="1">SUMIFS('Расчет УЕ'!AY$26:AY$68,'Расчет УЕ'!$F$26:$F$68,$F31,'Расчет УЕ'!$G$26:$G$68,$G31)</f>
        <v>0</v>
      </c>
      <c r="BD31" s="925"/>
      <c r="BE31" s="925"/>
      <c r="BF31" s="925"/>
      <c r="BG31" s="925"/>
      <c r="BH31" s="925"/>
      <c r="BI31" s="925"/>
      <c r="BJ31" s="925"/>
      <c r="BK31" s="925"/>
      <c r="BL31" s="925"/>
      <c r="BM31" s="925"/>
      <c r="BN31" s="25"/>
      <c r="BO31" s="25"/>
      <c r="BP31" s="25"/>
      <c r="BS31" s="1019" t="s">
        <v>1365</v>
      </c>
    </row>
    <row r="32" spans="1:71" ht="16.7" hidden="1" customHeight="1" x14ac:dyDescent="0.15">
      <c r="E32" s="668">
        <v>17.100000000000001</v>
      </c>
      <c r="F32" s="769" cm="1">
        <f t="array" aca="1" ref="F32" ca="1">OFFSET(G32,-1,-1)</f>
        <v>0</v>
      </c>
      <c r="G32" s="140" t="s">
        <v>472</v>
      </c>
      <c r="T32" s="679" t="b" cm="1">
        <f t="array" ref="T32">T31</f>
        <v>0</v>
      </c>
      <c r="X32" s="1485"/>
      <c r="Z32" s="1485"/>
      <c r="AB32" s="108" t="s">
        <v>738</v>
      </c>
      <c r="AC32" s="113" t="s">
        <v>1366</v>
      </c>
      <c r="AD32" s="108" t="s">
        <v>715</v>
      </c>
      <c r="AE32" s="508"/>
      <c r="AF32" s="506"/>
      <c r="AG32" s="506"/>
      <c r="AH32" s="886"/>
      <c r="AI32" s="925"/>
      <c r="AJ32" s="744">
        <f ca="1">SUMIFS('Расчет УЕ'!AF$26:AF$68,'Расчет УЕ'!$F$26:$F$68,$F32,'Расчет УЕ'!$G$26:$G$68,$G32)</f>
        <v>0</v>
      </c>
      <c r="AK32" s="744">
        <f ca="1">SUMIFS('Расчет УЕ'!AG$26:AG$68,'Расчет УЕ'!$F$26:$F$68,$F32,'Расчет УЕ'!$G$26:$G$68,$G32)</f>
        <v>0</v>
      </c>
      <c r="AL32" s="888">
        <f ca="1">SUMIFS('Расчет УЕ'!AH$26:AH$68,'Расчет УЕ'!$F$26:$F$68,$F32,'Расчет УЕ'!$G$26:$G$68,$G32)</f>
        <v>0</v>
      </c>
      <c r="AM32" s="744">
        <f ca="1">SUMIFS('Расчет УЕ'!AI$26:AI$68,'Расчет УЕ'!$F$26:$F$68,$F32,'Расчет УЕ'!$G$26:$G$68,$G32)</f>
        <v>0</v>
      </c>
      <c r="AN32" s="744">
        <f ca="1">SUMIFS('Расчет УЕ'!AJ$26:AJ$68,'Расчет УЕ'!$F$26:$F$68,$F32,'Расчет УЕ'!$G$26:$G$68,$G32)</f>
        <v>0</v>
      </c>
      <c r="AO32" s="744">
        <f ca="1">SUMIFS('Расчет УЕ'!AK$26:AK$68,'Расчет УЕ'!$F$26:$F$68,$F32,'Расчет УЕ'!$G$26:$G$68,$G32)</f>
        <v>0</v>
      </c>
      <c r="AP32" s="744">
        <f ca="1">SUMIFS('Расчет УЕ'!AL$26:AL$68,'Расчет УЕ'!$F$26:$F$68,$F32,'Расчет УЕ'!$G$26:$G$68,$G32)</f>
        <v>0</v>
      </c>
      <c r="AQ32" s="744">
        <f ca="1">SUMIFS('Расчет УЕ'!AM$26:AM$68,'Расчет УЕ'!$F$26:$F$68,$F32,'Расчет УЕ'!$G$26:$G$68,$G32)</f>
        <v>0</v>
      </c>
      <c r="AR32" s="744">
        <f ca="1">SUMIFS('Расчет УЕ'!AN$26:AN$68,'Расчет УЕ'!$F$26:$F$68,$F32,'Расчет УЕ'!$G$26:$G$68,$G32)</f>
        <v>0</v>
      </c>
      <c r="AS32" s="744">
        <f ca="1">SUMIFS('Расчет УЕ'!AO$26:AO$68,'Расчет УЕ'!$F$26:$F$68,$F32,'Расчет УЕ'!$G$26:$G$68,$G32)</f>
        <v>0</v>
      </c>
      <c r="AT32" s="744">
        <f ca="1">SUMIFS('Расчет УЕ'!AP$26:AP$68,'Расчет УЕ'!$F$26:$F$68,$F32,'Расчет УЕ'!$G$26:$G$68,$G32)</f>
        <v>0</v>
      </c>
      <c r="AU32" s="744">
        <f ca="1">SUMIFS('Расчет УЕ'!AQ$26:AQ$68,'Расчет УЕ'!$F$26:$F$68,$F32,'Расчет УЕ'!$G$26:$G$68,$G32)</f>
        <v>0</v>
      </c>
      <c r="AV32" s="744">
        <f ca="1">SUMIFS('Расчет УЕ'!AR$26:AR$68,'Расчет УЕ'!$F$26:$F$68,$F32,'Расчет УЕ'!$G$26:$G$68,$G32)</f>
        <v>0</v>
      </c>
      <c r="AW32" s="744">
        <f ca="1">SUMIFS('Расчет УЕ'!AS$26:AS$68,'Расчет УЕ'!$F$26:$F$68,$F32,'Расчет УЕ'!$G$26:$G$68,$G32)</f>
        <v>0</v>
      </c>
      <c r="AX32" s="744">
        <f ca="1">SUMIFS('Расчет УЕ'!AT$26:AT$68,'Расчет УЕ'!$F$26:$F$68,$F32,'Расчет УЕ'!$G$26:$G$68,$G32)</f>
        <v>0</v>
      </c>
      <c r="AY32" s="744">
        <f ca="1">SUMIFS('Расчет УЕ'!AU$26:AU$68,'Расчет УЕ'!$F$26:$F$68,$F32,'Расчет УЕ'!$G$26:$G$68,$G32)</f>
        <v>0</v>
      </c>
      <c r="AZ32" s="744">
        <f ca="1">SUMIFS('Расчет УЕ'!AV$26:AV$68,'Расчет УЕ'!$F$26:$F$68,$F32,'Расчет УЕ'!$G$26:$G$68,$G32)</f>
        <v>0</v>
      </c>
      <c r="BA32" s="744">
        <f ca="1">SUMIFS('Расчет УЕ'!AW$26:AW$68,'Расчет УЕ'!$F$26:$F$68,$F32,'Расчет УЕ'!$G$26:$G$68,$G32)</f>
        <v>0</v>
      </c>
      <c r="BB32" s="744">
        <f ca="1">SUMIFS('Расчет УЕ'!AX$26:AX$68,'Расчет УЕ'!$F$26:$F$68,$F32,'Расчет УЕ'!$G$26:$G$68,$G32)</f>
        <v>0</v>
      </c>
      <c r="BC32" s="744">
        <f ca="1">SUMIFS('Расчет УЕ'!AY$26:AY$68,'Расчет УЕ'!$F$26:$F$68,$F32,'Расчет УЕ'!$G$26:$G$68,$G32)</f>
        <v>0</v>
      </c>
      <c r="BD32" s="925"/>
      <c r="BE32" s="925"/>
      <c r="BF32" s="925"/>
      <c r="BG32" s="925"/>
      <c r="BH32" s="925"/>
      <c r="BI32" s="925"/>
      <c r="BJ32" s="925"/>
      <c r="BK32" s="925"/>
      <c r="BL32" s="925"/>
      <c r="BM32" s="925"/>
      <c r="BN32" s="25"/>
      <c r="BO32" s="25"/>
      <c r="BP32" s="25"/>
      <c r="BS32" s="1019" t="s">
        <v>1367</v>
      </c>
    </row>
    <row r="33" spans="1:71" ht="16.7" hidden="1" customHeight="1" x14ac:dyDescent="0.15">
      <c r="E33" s="668">
        <v>17.100000000000001</v>
      </c>
      <c r="F33" s="769" cm="1">
        <f t="array" aca="1" ref="F33" ca="1">OFFSET(G33,-1,-1)</f>
        <v>0</v>
      </c>
      <c r="G33" s="612" t="s">
        <v>580</v>
      </c>
      <c r="T33" s="679" t="b" cm="1">
        <f t="array" ref="T33">T32</f>
        <v>0</v>
      </c>
      <c r="X33" s="1485"/>
      <c r="Z33" s="1485"/>
      <c r="AB33" s="108" t="s">
        <v>437</v>
      </c>
      <c r="AC33" s="116" t="s">
        <v>1368</v>
      </c>
      <c r="AD33" s="108"/>
      <c r="AE33" s="611"/>
      <c r="AF33" s="528"/>
      <c r="AG33" s="528"/>
      <c r="AH33" s="529"/>
      <c r="AI33" s="925"/>
      <c r="AJ33" s="744">
        <f ca="1">SUMIFS(Сценарии!AE$27:AE$82,Сценарии!$F$27:$F$82,$F33,Сценарии!$G$27:$G$82,$G33)</f>
        <v>0.75</v>
      </c>
      <c r="AK33" s="744">
        <f ca="1">SUMIFS(Сценарии!AF$27:AF$82,Сценарии!$F$27:$F$82,$F33,Сценарии!$G$27:$G$82,$G33)</f>
        <v>0.75</v>
      </c>
      <c r="AL33" s="744">
        <f ca="1">SUMIFS(Сценарии!AG$27:AG$82,Сценарии!$F$27:$F$82,$F33,Сценарии!$G$27:$G$82,$G33)</f>
        <v>0.75</v>
      </c>
      <c r="AM33" s="744">
        <f ca="1">SUMIFS(Сценарии!AH$27:AH$82,Сценарии!$F$27:$F$82,$F33,Сценарии!$G$27:$G$82,$G33)</f>
        <v>0.75</v>
      </c>
      <c r="AN33" s="744">
        <f ca="1">SUMIFS(Сценарии!AI$27:AI$82,Сценарии!$F$27:$F$82,$F33,Сценарии!$G$27:$G$82,$G33)</f>
        <v>0.75</v>
      </c>
      <c r="AO33" s="744">
        <f ca="1">SUMIFS(Сценарии!AJ$27:AJ$82,Сценарии!$F$27:$F$82,$F33,Сценарии!$G$27:$G$82,$G33)</f>
        <v>0.75</v>
      </c>
      <c r="AP33" s="744">
        <f ca="1">SUMIFS(Сценарии!AK$27:AK$82,Сценарии!$F$27:$F$82,$F33,Сценарии!$G$27:$G$82,$G33)</f>
        <v>0.75</v>
      </c>
      <c r="AQ33" s="744">
        <f ca="1">SUMIFS(Сценарии!AL$27:AL$82,Сценарии!$F$27:$F$82,$F33,Сценарии!$G$27:$G$82,$G33)</f>
        <v>0.75</v>
      </c>
      <c r="AR33" s="744">
        <f ca="1">SUMIFS(Сценарии!AM$27:AM$82,Сценарии!$F$27:$F$82,$F33,Сценарии!$G$27:$G$82,$G33)</f>
        <v>0.75</v>
      </c>
      <c r="AS33" s="744">
        <f ca="1">SUMIFS(Сценарии!AN$27:AN$82,Сценарии!$F$27:$F$82,$F33,Сценарии!$G$27:$G$82,$G33)</f>
        <v>0.75</v>
      </c>
      <c r="AT33" s="744">
        <f ca="1">SUMIFS(Сценарии!AO$27:AO$82,Сценарии!$F$27:$F$82,$F33,Сценарии!$G$27:$G$82,$G33)</f>
        <v>0.75</v>
      </c>
      <c r="AU33" s="744">
        <f ca="1">SUMIFS(Сценарии!AP$27:AP$82,Сценарии!$F$27:$F$82,$F33,Сценарии!$G$27:$G$82,$G33)</f>
        <v>0.75</v>
      </c>
      <c r="AV33" s="744">
        <f ca="1">SUMIFS(Сценарии!AQ$27:AQ$82,Сценарии!$F$27:$F$82,$F33,Сценарии!$G$27:$G$82,$G33)</f>
        <v>0.75</v>
      </c>
      <c r="AW33" s="744">
        <f ca="1">SUMIFS(Сценарии!AR$27:AR$82,Сценарии!$F$27:$F$82,$F33,Сценарии!$G$27:$G$82,$G33)</f>
        <v>0.75</v>
      </c>
      <c r="AX33" s="744">
        <f ca="1">SUMIFS(Сценарии!AS$27:AS$82,Сценарии!$F$27:$F$82,$F33,Сценарии!$G$27:$G$82,$G33)</f>
        <v>0.75</v>
      </c>
      <c r="AY33" s="744">
        <f ca="1">SUMIFS(Сценарии!AT$27:AT$82,Сценарии!$F$27:$F$82,$F33,Сценарии!$G$27:$G$82,$G33)</f>
        <v>0.75</v>
      </c>
      <c r="AZ33" s="744">
        <f ca="1">SUMIFS(Сценарии!AU$27:AU$82,Сценарии!$F$27:$F$82,$F33,Сценарии!$G$27:$G$82,$G33)</f>
        <v>0.75</v>
      </c>
      <c r="BA33" s="744">
        <f ca="1">SUMIFS(Сценарии!AV$27:AV$82,Сценарии!$F$27:$F$82,$F33,Сценарии!$G$27:$G$82,$G33)</f>
        <v>0.75</v>
      </c>
      <c r="BB33" s="744">
        <f ca="1">SUMIFS(Сценарии!AW$27:AW$82,Сценарии!$F$27:$F$82,$F33,Сценарии!$G$27:$G$82,$G33)</f>
        <v>0.75</v>
      </c>
      <c r="BC33" s="744">
        <f ca="1">SUMIFS(Сценарии!AX$27:AX$82,Сценарии!$F$27:$F$82,$F33,Сценарии!$G$27:$G$82,$G33)</f>
        <v>0.75</v>
      </c>
      <c r="BD33" s="926"/>
      <c r="BE33" s="926"/>
      <c r="BF33" s="926"/>
      <c r="BG33" s="926"/>
      <c r="BH33" s="926"/>
      <c r="BI33" s="925"/>
      <c r="BJ33" s="925"/>
      <c r="BK33" s="925"/>
      <c r="BL33" s="925"/>
      <c r="BM33" s="925"/>
      <c r="BN33" s="25"/>
      <c r="BO33" s="25"/>
      <c r="BP33" s="25"/>
      <c r="BS33" s="1019" t="s">
        <v>1369</v>
      </c>
    </row>
    <row r="34" spans="1:71" ht="16.7" hidden="1" customHeight="1" x14ac:dyDescent="0.15">
      <c r="E34" s="668">
        <v>17.100000000000001</v>
      </c>
      <c r="F34" s="769" cm="1">
        <f t="array" aca="1" ref="F34" ca="1">OFFSET(G34,-1,-1)</f>
        <v>0</v>
      </c>
      <c r="G34" s="612" t="s">
        <v>1317</v>
      </c>
      <c r="K34" s="177" t="str">
        <f ca="1">F34&amp;"komm"</f>
        <v>0komm</v>
      </c>
      <c r="L34" s="176" cm="1">
        <f t="array" ref="L34">BO34</f>
        <v>0</v>
      </c>
      <c r="T34" s="679" t="b" cm="1">
        <f t="array" ref="T34">T33</f>
        <v>0</v>
      </c>
      <c r="X34" s="1485"/>
      <c r="Z34" s="1485"/>
      <c r="AB34" s="527" t="s">
        <v>441</v>
      </c>
      <c r="AC34" s="616" t="s">
        <v>1370</v>
      </c>
      <c r="AD34" s="556" t="s">
        <v>830</v>
      </c>
      <c r="AE34" s="510" cm="1">
        <f t="array" aca="1" ref="AE34" ca="1">'Операционные (5.1)'!AE28</f>
        <v>0</v>
      </c>
      <c r="AF34" s="510" cm="1">
        <f t="array" aca="1" ref="AF34" ca="1">'Операционные (5.1)'!AF28</f>
        <v>0</v>
      </c>
      <c r="AG34" s="510" cm="1">
        <f t="array" aca="1" ref="AG34" ca="1">'Операционные (5.1)'!AG28</f>
        <v>0</v>
      </c>
      <c r="AH34" s="741" cm="1">
        <f t="array" aca="1" ref="AH34" ca="1">'Операционные (5.1)'!AH28</f>
        <v>0</v>
      </c>
      <c r="AI34" s="510">
        <f ca="1">SUMIFS('Операционные (5.1)'!AI$26:AI$76,'Операционные (5.1)'!$F$26:$F$76,$F34,'Операционные (5.1)'!$G$26:$G$76,$G34)</f>
        <v>0</v>
      </c>
      <c r="AJ34" s="617">
        <f ca="1">IF(god=first_year,SUMIFS('Операционные (5.1)'!AJ$26:AJ$76,'Операционные (5.1)'!$F$26:$F$76,$F34,'Операционные (5.1)'!$G$26:$G$76,$G34),AI34*AJ35)</f>
        <v>0</v>
      </c>
      <c r="AK34" s="252">
        <f t="shared" ref="AK34:AS34" ca="1" si="2">AJ34*AK35</f>
        <v>0</v>
      </c>
      <c r="AL34" s="1118">
        <f t="shared" ca="1" si="2"/>
        <v>0</v>
      </c>
      <c r="AM34" s="252">
        <f t="shared" ca="1" si="2"/>
        <v>0</v>
      </c>
      <c r="AN34" s="252">
        <f t="shared" ca="1" si="2"/>
        <v>0</v>
      </c>
      <c r="AO34" s="252">
        <f t="shared" ca="1" si="2"/>
        <v>0</v>
      </c>
      <c r="AP34" s="252">
        <f t="shared" ca="1" si="2"/>
        <v>0</v>
      </c>
      <c r="AQ34" s="252">
        <f t="shared" ca="1" si="2"/>
        <v>0</v>
      </c>
      <c r="AR34" s="252">
        <f t="shared" ca="1" si="2"/>
        <v>0</v>
      </c>
      <c r="AS34" s="252">
        <f t="shared" ca="1" si="2"/>
        <v>0</v>
      </c>
      <c r="AT34" s="1119">
        <f ca="1">IF(god=first_year,SUMIFS('Операционные (5.1)'!AK$26:AK$76,'Операционные (5.1)'!$F$26:$F$76,$F34,'Операционные (5.1)'!$G$26:$G$76,$G34),AI34*AT35)</f>
        <v>0</v>
      </c>
      <c r="AU34" s="252">
        <f t="shared" ref="AU34:BC34" ca="1" si="3">AT34*AU35</f>
        <v>0</v>
      </c>
      <c r="AV34" s="252">
        <f t="shared" ca="1" si="3"/>
        <v>0</v>
      </c>
      <c r="AW34" s="252">
        <f t="shared" ca="1" si="3"/>
        <v>0</v>
      </c>
      <c r="AX34" s="252">
        <f t="shared" ca="1" si="3"/>
        <v>0</v>
      </c>
      <c r="AY34" s="252">
        <f t="shared" ca="1" si="3"/>
        <v>0</v>
      </c>
      <c r="AZ34" s="252">
        <f t="shared" ca="1" si="3"/>
        <v>0</v>
      </c>
      <c r="BA34" s="252">
        <f t="shared" ca="1" si="3"/>
        <v>0</v>
      </c>
      <c r="BB34" s="252">
        <f t="shared" ca="1" si="3"/>
        <v>0</v>
      </c>
      <c r="BC34" s="1120">
        <f t="shared" ca="1" si="3"/>
        <v>0</v>
      </c>
      <c r="BD34" s="928"/>
      <c r="BE34" s="927">
        <f t="shared" ref="BE34:BM34" ca="1" si="4">IF(AT34=0,0,(AU34-AT34)/AT34*100)</f>
        <v>0</v>
      </c>
      <c r="BF34" s="927">
        <f t="shared" ca="1" si="4"/>
        <v>0</v>
      </c>
      <c r="BG34" s="927">
        <f t="shared" ca="1" si="4"/>
        <v>0</v>
      </c>
      <c r="BH34" s="927">
        <f t="shared" ca="1" si="4"/>
        <v>0</v>
      </c>
      <c r="BI34" s="927">
        <f t="shared" ca="1" si="4"/>
        <v>0</v>
      </c>
      <c r="BJ34" s="927">
        <f t="shared" ca="1" si="4"/>
        <v>0</v>
      </c>
      <c r="BK34" s="927">
        <f t="shared" ca="1" si="4"/>
        <v>0</v>
      </c>
      <c r="BL34" s="927">
        <f t="shared" ca="1" si="4"/>
        <v>0</v>
      </c>
      <c r="BM34" s="927">
        <f t="shared" ca="1" si="4"/>
        <v>0</v>
      </c>
      <c r="BN34" s="25"/>
      <c r="BO34" s="25"/>
      <c r="BP34" s="25"/>
      <c r="BS34" s="1019" t="s">
        <v>1371</v>
      </c>
    </row>
    <row r="35" spans="1:71" s="457" customFormat="1" ht="16.7" hidden="1" customHeight="1" x14ac:dyDescent="0.15">
      <c r="A35" s="800"/>
      <c r="B35" s="779"/>
      <c r="C35" s="800"/>
      <c r="D35" s="800"/>
      <c r="E35" s="668">
        <v>17.100000000000001</v>
      </c>
      <c r="F35" s="769" cm="1">
        <f t="array" aca="1" ref="F35" ca="1">OFFSET(G35,-1,-1)</f>
        <v>0</v>
      </c>
      <c r="G35" s="780"/>
      <c r="T35" s="679" t="b" cm="1">
        <f t="array" ref="T35">T34</f>
        <v>0</v>
      </c>
      <c r="U35" s="800"/>
      <c r="V35" s="800"/>
      <c r="W35" s="801"/>
      <c r="X35" s="1588"/>
      <c r="Y35" s="801"/>
      <c r="Z35" s="1588"/>
      <c r="AB35" s="742" t="s">
        <v>776</v>
      </c>
      <c r="AC35" s="875" t="s">
        <v>1372</v>
      </c>
      <c r="AD35" s="610"/>
      <c r="AE35" s="71"/>
      <c r="AF35" s="71"/>
      <c r="AG35" s="71"/>
      <c r="AH35" s="887"/>
      <c r="AI35" s="930"/>
      <c r="AJ35" s="929">
        <f t="shared" ref="AJ35:BC35" ca="1" si="5">(1+AJ28%)*(1-AJ29%)*(1+AJ30*AJ33)</f>
        <v>0.99</v>
      </c>
      <c r="AK35" s="1309">
        <f t="shared" ca="1" si="5"/>
        <v>0.99</v>
      </c>
      <c r="AL35" s="1309">
        <f t="shared" ca="1" si="5"/>
        <v>0.99</v>
      </c>
      <c r="AM35" s="72">
        <f t="shared" ca="1" si="5"/>
        <v>0.99</v>
      </c>
      <c r="AN35" s="72">
        <f t="shared" ca="1" si="5"/>
        <v>0.99</v>
      </c>
      <c r="AO35" s="72">
        <f t="shared" ca="1" si="5"/>
        <v>0.99</v>
      </c>
      <c r="AP35" s="72">
        <f t="shared" ca="1" si="5"/>
        <v>0.99</v>
      </c>
      <c r="AQ35" s="72">
        <f t="shared" ca="1" si="5"/>
        <v>0.99</v>
      </c>
      <c r="AR35" s="72">
        <f t="shared" ca="1" si="5"/>
        <v>0.99</v>
      </c>
      <c r="AS35" s="72">
        <f t="shared" ca="1" si="5"/>
        <v>0.99</v>
      </c>
      <c r="AT35" s="929">
        <f t="shared" ca="1" si="5"/>
        <v>0.99</v>
      </c>
      <c r="AU35" s="1309">
        <f t="shared" ca="1" si="5"/>
        <v>0.99</v>
      </c>
      <c r="AV35" s="1309">
        <f t="shared" ca="1" si="5"/>
        <v>0.99</v>
      </c>
      <c r="AW35" s="72">
        <f t="shared" ca="1" si="5"/>
        <v>0.99</v>
      </c>
      <c r="AX35" s="72">
        <f t="shared" ca="1" si="5"/>
        <v>0.99</v>
      </c>
      <c r="AY35" s="72">
        <f t="shared" ca="1" si="5"/>
        <v>0.99</v>
      </c>
      <c r="AZ35" s="72">
        <f t="shared" ca="1" si="5"/>
        <v>0.99</v>
      </c>
      <c r="BA35" s="72">
        <f t="shared" ca="1" si="5"/>
        <v>0.99</v>
      </c>
      <c r="BB35" s="72">
        <f t="shared" ca="1" si="5"/>
        <v>0.99</v>
      </c>
      <c r="BC35" s="72">
        <f t="shared" ca="1" si="5"/>
        <v>0.99</v>
      </c>
      <c r="BD35" s="930"/>
      <c r="BE35" s="930"/>
      <c r="BF35" s="930"/>
      <c r="BG35" s="930"/>
      <c r="BH35" s="930"/>
      <c r="BI35" s="930"/>
      <c r="BJ35" s="930"/>
      <c r="BK35" s="930"/>
      <c r="BL35" s="930"/>
      <c r="BM35" s="930"/>
      <c r="BN35" s="25"/>
      <c r="BO35" s="25"/>
      <c r="BP35" s="25"/>
      <c r="BS35" s="1019" t="s">
        <v>1373</v>
      </c>
    </row>
    <row r="36" spans="1:71" s="1291" customFormat="1" ht="16.5" customHeight="1" x14ac:dyDescent="0.15">
      <c r="A36" s="167"/>
      <c r="B36" s="167"/>
      <c r="C36" s="167"/>
      <c r="D36" s="167"/>
      <c r="E36" s="668">
        <v>17.100000000000001</v>
      </c>
      <c r="F36" s="769" t="str" cm="1">
        <f t="array" ref="F36">X36</f>
        <v>1</v>
      </c>
      <c r="G36" s="612" t="str" cm="1">
        <f t="array" ref="G36">INDEX('Общие сведения'!$AK$169:$AK$202,MATCH($F36,'Общие сведения'!$Z$169:$Z$202,0))</f>
        <v>одноставочный</v>
      </c>
      <c r="H36" s="167"/>
      <c r="I36" s="160" t="str" cm="1">
        <f t="array" ref="I36">INDEX('Общие сведения'!$AE$169:$AE$202,MATCH($F36,'Общие сведения'!$Z$169:$Z$202,0))</f>
        <v>Теплоснабжение</v>
      </c>
      <c r="J36" s="167"/>
      <c r="K36" s="167"/>
      <c r="L36" s="167"/>
      <c r="M36" s="167"/>
      <c r="N36" s="167"/>
      <c r="O36" s="167"/>
      <c r="P36" s="167"/>
      <c r="Q36" s="167"/>
      <c r="R36" s="167"/>
      <c r="S36" s="167"/>
      <c r="T36" s="679" t="b">
        <f>X36&gt;0</f>
        <v>1</v>
      </c>
      <c r="U36" s="167"/>
      <c r="V36" s="123" t="str" cm="1">
        <f t="array" ref="V36">'Операционные (5.1)'!$AB$51</f>
        <v>Тариф 1 (Теплоснабжение) - Тариф на тепловую энергию (мощность), поставляемую потребителям (Не определено)</v>
      </c>
      <c r="W36" s="167"/>
      <c r="X36" s="1485" t="s">
        <v>339</v>
      </c>
      <c r="Y36" s="167"/>
      <c r="Z36" s="1483"/>
      <c r="AA36" s="167"/>
      <c r="AB36" s="271" t="str" cm="1">
        <f t="array" ref="AB36">IF(ISBLANK('Операционные (5.1)'!$AB$51),"",'Операционные (5.1)'!$AB$51)</f>
        <v>Тариф 1 (Теплоснабжение) - Тариф на тепловую энергию (мощность), поставляемую потребителям (Не определено)</v>
      </c>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167"/>
      <c r="BR36" s="167"/>
      <c r="BS36" s="992"/>
    </row>
    <row r="37" spans="1:71" s="1167" customFormat="1" ht="16.5" customHeight="1" x14ac:dyDescent="0.15">
      <c r="A37" s="175"/>
      <c r="B37" s="773"/>
      <c r="C37" s="175"/>
      <c r="D37" s="175"/>
      <c r="E37" s="668">
        <v>17.100000000000001</v>
      </c>
      <c r="F37" s="769" t="str" cm="1">
        <f t="array" aca="1" ref="F37" ca="1">OFFSET(G37,-1,-1)</f>
        <v>1</v>
      </c>
      <c r="G37" s="140" t="s">
        <v>533</v>
      </c>
      <c r="H37" s="177"/>
      <c r="I37" s="177"/>
      <c r="J37" s="177"/>
      <c r="K37" s="177"/>
      <c r="L37" s="177"/>
      <c r="M37" s="177"/>
      <c r="N37" s="177"/>
      <c r="O37" s="177"/>
      <c r="P37" s="177"/>
      <c r="Q37" s="140"/>
      <c r="R37" s="140"/>
      <c r="S37" s="177"/>
      <c r="T37" s="679" t="b" cm="1">
        <f t="array" ref="T37">T36</f>
        <v>1</v>
      </c>
      <c r="U37" s="1152"/>
      <c r="V37" s="1152"/>
      <c r="W37" s="1152"/>
      <c r="X37" s="1485"/>
      <c r="Y37" s="1152"/>
      <c r="Z37" s="1485"/>
      <c r="AA37" s="177"/>
      <c r="AB37" s="108" t="s">
        <v>339</v>
      </c>
      <c r="AC37" s="615" t="s">
        <v>1357</v>
      </c>
      <c r="AD37" s="108" t="s">
        <v>521</v>
      </c>
      <c r="AE37" s="508"/>
      <c r="AF37" s="506"/>
      <c r="AG37" s="506"/>
      <c r="AH37" s="506"/>
      <c r="AI37" s="1310"/>
      <c r="AJ37" s="744">
        <f ca="1">SUMIFS(Сценарии!AE$27:AE$82,Сценарии!$F$27:$F$82,$F37,Сценарии!$G$27:$G$82,$G37)</f>
        <v>5.0999999999999996</v>
      </c>
      <c r="AK37" s="744">
        <f ca="1">SUMIFS(Сценарии!AF$27:AF$82,Сценарии!$F$27:$F$82,$F37,Сценарии!$G$27:$G$82,$G37)</f>
        <v>0</v>
      </c>
      <c r="AL37" s="744">
        <f ca="1">SUMIFS(Сценарии!AG$27:AG$82,Сценарии!$F$27:$F$82,$F37,Сценарии!$G$27:$G$82,$G37)</f>
        <v>0</v>
      </c>
      <c r="AM37" s="744">
        <f ca="1">SUMIFS(Сценарии!AH$27:AH$82,Сценарии!$F$27:$F$82,$F37,Сценарии!$G$27:$G$82,$G37)</f>
        <v>0</v>
      </c>
      <c r="AN37" s="744">
        <f ca="1">SUMIFS(Сценарии!AI$27:AI$82,Сценарии!$F$27:$F$82,$F37,Сценарии!$G$27:$G$82,$G37)</f>
        <v>0</v>
      </c>
      <c r="AO37" s="744">
        <f ca="1">SUMIFS(Сценарии!AJ$27:AJ$82,Сценарии!$F$27:$F$82,$F37,Сценарии!$G$27:$G$82,$G37)</f>
        <v>0</v>
      </c>
      <c r="AP37" s="744">
        <f ca="1">SUMIFS(Сценарии!AK$27:AK$82,Сценарии!$F$27:$F$82,$F37,Сценарии!$G$27:$G$82,$G37)</f>
        <v>0</v>
      </c>
      <c r="AQ37" s="744">
        <f ca="1">SUMIFS(Сценарии!AL$27:AL$82,Сценарии!$F$27:$F$82,$F37,Сценарии!$G$27:$G$82,$G37)</f>
        <v>0</v>
      </c>
      <c r="AR37" s="744">
        <f ca="1">SUMIFS(Сценарии!AM$27:AM$82,Сценарии!$F$27:$F$82,$F37,Сценарии!$G$27:$G$82,$G37)</f>
        <v>0</v>
      </c>
      <c r="AS37" s="744">
        <f ca="1">SUMIFS(Сценарии!AN$27:AN$82,Сценарии!$F$27:$F$82,$F37,Сценарии!$G$27:$G$82,$G37)</f>
        <v>0</v>
      </c>
      <c r="AT37" s="744">
        <f ca="1">SUMIFS(Сценарии!AO$27:AO$82,Сценарии!$F$27:$F$82,$F37,Сценарии!$G$27:$G$82,$G37)</f>
        <v>5.0999999999999996</v>
      </c>
      <c r="AU37" s="744">
        <f ca="1">SUMIFS(Сценарии!AP$27:AP$82,Сценарии!$F$27:$F$82,$F37,Сценарии!$G$27:$G$82,$G37)</f>
        <v>0</v>
      </c>
      <c r="AV37" s="744">
        <f ca="1">SUMIFS(Сценарии!AQ$27:AQ$82,Сценарии!$F$27:$F$82,$F37,Сценарии!$G$27:$G$82,$G37)</f>
        <v>0</v>
      </c>
      <c r="AW37" s="744">
        <f ca="1">SUMIFS(Сценарии!AR$27:AR$82,Сценарии!$F$27:$F$82,$F37,Сценарии!$G$27:$G$82,$G37)</f>
        <v>0</v>
      </c>
      <c r="AX37" s="744">
        <f ca="1">SUMIFS(Сценарии!AS$27:AS$82,Сценарии!$F$27:$F$82,$F37,Сценарии!$G$27:$G$82,$G37)</f>
        <v>0</v>
      </c>
      <c r="AY37" s="744">
        <f ca="1">SUMIFS(Сценарии!AT$27:AT$82,Сценарии!$F$27:$F$82,$F37,Сценарии!$G$27:$G$82,$G37)</f>
        <v>0</v>
      </c>
      <c r="AZ37" s="744">
        <f ca="1">SUMIFS(Сценарии!AU$27:AU$82,Сценарии!$F$27:$F$82,$F37,Сценарии!$G$27:$G$82,$G37)</f>
        <v>0</v>
      </c>
      <c r="BA37" s="744">
        <f ca="1">SUMIFS(Сценарии!AV$27:AV$82,Сценарии!$F$27:$F$82,$F37,Сценарии!$G$27:$G$82,$G37)</f>
        <v>0</v>
      </c>
      <c r="BB37" s="744">
        <f ca="1">SUMIFS(Сценарии!AW$27:AW$82,Сценарии!$F$27:$F$82,$F37,Сценарии!$G$27:$G$82,$G37)</f>
        <v>0</v>
      </c>
      <c r="BC37" s="744">
        <f ca="1">SUMIFS(Сценарии!AX$27:AX$82,Сценарии!$F$27:$F$82,$F37,Сценарии!$G$27:$G$82,$G37)</f>
        <v>0</v>
      </c>
      <c r="BD37" s="925"/>
      <c r="BE37" s="925"/>
      <c r="BF37" s="925"/>
      <c r="BG37" s="925"/>
      <c r="BH37" s="925"/>
      <c r="BI37" s="925"/>
      <c r="BJ37" s="925"/>
      <c r="BK37" s="925"/>
      <c r="BL37" s="925"/>
      <c r="BM37" s="925"/>
      <c r="BN37" s="1231"/>
      <c r="BO37" s="1231"/>
      <c r="BP37" s="1231"/>
      <c r="BQ37" s="177"/>
      <c r="BR37" s="177"/>
      <c r="BS37" s="1019" t="s">
        <v>1358</v>
      </c>
    </row>
    <row r="38" spans="1:71" s="1311" customFormat="1" ht="16.5" customHeight="1" x14ac:dyDescent="0.15">
      <c r="A38" s="180"/>
      <c r="B38" s="180"/>
      <c r="C38" s="180"/>
      <c r="D38" s="180"/>
      <c r="E38" s="668">
        <v>17.100000000000001</v>
      </c>
      <c r="F38" s="769" t="str" cm="1">
        <f t="array" aca="1" ref="F38" ca="1">OFFSET(G38,-1,-1)</f>
        <v>1</v>
      </c>
      <c r="G38" s="778" t="s">
        <v>523</v>
      </c>
      <c r="H38" s="180"/>
      <c r="I38" s="180"/>
      <c r="J38" s="180"/>
      <c r="K38" s="180"/>
      <c r="L38" s="180"/>
      <c r="M38" s="180"/>
      <c r="N38" s="180"/>
      <c r="O38" s="180"/>
      <c r="P38" s="180"/>
      <c r="Q38" s="180"/>
      <c r="R38" s="180"/>
      <c r="S38" s="180"/>
      <c r="T38" s="679" t="b" cm="1">
        <f t="array" ref="T38">T37</f>
        <v>1</v>
      </c>
      <c r="U38" s="180"/>
      <c r="V38" s="180"/>
      <c r="W38" s="180"/>
      <c r="X38" s="1585"/>
      <c r="Y38" s="180"/>
      <c r="Z38" s="1585"/>
      <c r="AA38" s="180"/>
      <c r="AB38" s="108" t="s">
        <v>426</v>
      </c>
      <c r="AC38" s="116" t="s">
        <v>1359</v>
      </c>
      <c r="AD38" s="108" t="s">
        <v>521</v>
      </c>
      <c r="AE38" s="508"/>
      <c r="AF38" s="506"/>
      <c r="AG38" s="506"/>
      <c r="AH38" s="506"/>
      <c r="AI38" s="1310"/>
      <c r="AJ38" s="744">
        <f ca="1">SUMIFS(Сценарии!AE$27:AE$82,Сценарии!$F$27:$F$82,$F38,Сценарии!$G$27:$G$82,$G38)</f>
        <v>1</v>
      </c>
      <c r="AK38" s="744">
        <f ca="1">SUMIFS(Сценарии!AF$27:AF$82,Сценарии!$F$27:$F$82,$F38,Сценарии!$G$27:$G$82,$G38)</f>
        <v>1</v>
      </c>
      <c r="AL38" s="744">
        <f ca="1">SUMIFS(Сценарии!AG$27:AG$82,Сценарии!$F$27:$F$82,$F38,Сценарии!$G$27:$G$82,$G38)</f>
        <v>1</v>
      </c>
      <c r="AM38" s="744">
        <f ca="1">SUMIFS(Сценарии!AH$27:AH$82,Сценарии!$F$27:$F$82,$F38,Сценарии!$G$27:$G$82,$G38)</f>
        <v>1</v>
      </c>
      <c r="AN38" s="744">
        <f ca="1">SUMIFS(Сценарии!AI$27:AI$82,Сценарии!$F$27:$F$82,$F38,Сценарии!$G$27:$G$82,$G38)</f>
        <v>1</v>
      </c>
      <c r="AO38" s="744">
        <f ca="1">SUMIFS(Сценарии!AJ$27:AJ$82,Сценарии!$F$27:$F$82,$F38,Сценарии!$G$27:$G$82,$G38)</f>
        <v>1</v>
      </c>
      <c r="AP38" s="744">
        <f ca="1">SUMIFS(Сценарии!AK$27:AK$82,Сценарии!$F$27:$F$82,$F38,Сценарии!$G$27:$G$82,$G38)</f>
        <v>1</v>
      </c>
      <c r="AQ38" s="744">
        <f ca="1">SUMIFS(Сценарии!AL$27:AL$82,Сценарии!$F$27:$F$82,$F38,Сценарии!$G$27:$G$82,$G38)</f>
        <v>1</v>
      </c>
      <c r="AR38" s="744">
        <f ca="1">SUMIFS(Сценарии!AM$27:AM$82,Сценарии!$F$27:$F$82,$F38,Сценарии!$G$27:$G$82,$G38)</f>
        <v>1</v>
      </c>
      <c r="AS38" s="744">
        <f ca="1">SUMIFS(Сценарии!AN$27:AN$82,Сценарии!$F$27:$F$82,$F38,Сценарии!$G$27:$G$82,$G38)</f>
        <v>1</v>
      </c>
      <c r="AT38" s="924">
        <v>1</v>
      </c>
      <c r="AU38" s="1308">
        <v>1</v>
      </c>
      <c r="AV38" s="1308">
        <v>1</v>
      </c>
      <c r="AW38" s="1310">
        <v>1</v>
      </c>
      <c r="AX38" s="1310">
        <v>1</v>
      </c>
      <c r="AY38" s="1310">
        <v>1</v>
      </c>
      <c r="AZ38" s="1310">
        <v>1</v>
      </c>
      <c r="BA38" s="1310">
        <v>1</v>
      </c>
      <c r="BB38" s="1310">
        <v>1</v>
      </c>
      <c r="BC38" s="1310">
        <v>1</v>
      </c>
      <c r="BD38" s="925"/>
      <c r="BE38" s="925"/>
      <c r="BF38" s="925"/>
      <c r="BG38" s="925"/>
      <c r="BH38" s="925"/>
      <c r="BI38" s="925"/>
      <c r="BJ38" s="925"/>
      <c r="BK38" s="925"/>
      <c r="BL38" s="925"/>
      <c r="BM38" s="925"/>
      <c r="BN38" s="1231"/>
      <c r="BO38" s="1231"/>
      <c r="BP38" s="1231"/>
      <c r="BQ38" s="180"/>
      <c r="BR38" s="180"/>
      <c r="BS38" s="1019" t="s">
        <v>1360</v>
      </c>
    </row>
    <row r="39" spans="1:71" s="1167" customFormat="1" ht="16.5" customHeight="1" x14ac:dyDescent="0.15">
      <c r="A39" s="175"/>
      <c r="B39" s="773"/>
      <c r="C39" s="175"/>
      <c r="D39" s="175"/>
      <c r="E39" s="668">
        <v>17.100000000000001</v>
      </c>
      <c r="F39" s="769" t="str" cm="1">
        <f t="array" aca="1" ref="F39" ca="1">OFFSET(G39,-1,-1)</f>
        <v>1</v>
      </c>
      <c r="G39" s="140" t="s">
        <v>576</v>
      </c>
      <c r="H39" s="177"/>
      <c r="I39" s="177"/>
      <c r="J39" s="177"/>
      <c r="K39" s="177"/>
      <c r="L39" s="177"/>
      <c r="M39" s="177"/>
      <c r="N39" s="177"/>
      <c r="O39" s="177"/>
      <c r="P39" s="177"/>
      <c r="Q39" s="140"/>
      <c r="R39" s="140"/>
      <c r="S39" s="177"/>
      <c r="T39" s="679" t="b" cm="1">
        <f t="array" ref="T39">T38</f>
        <v>1</v>
      </c>
      <c r="U39" s="1152"/>
      <c r="V39" s="1152"/>
      <c r="W39" s="1152"/>
      <c r="X39" s="1485"/>
      <c r="Y39" s="1152"/>
      <c r="Z39" s="1485"/>
      <c r="AA39" s="177"/>
      <c r="AB39" s="108" t="s">
        <v>431</v>
      </c>
      <c r="AC39" s="116" t="s">
        <v>1361</v>
      </c>
      <c r="AD39" s="108"/>
      <c r="AE39" s="508"/>
      <c r="AF39" s="506"/>
      <c r="AG39" s="506"/>
      <c r="AH39" s="506"/>
      <c r="AI39" s="1310"/>
      <c r="AJ39" s="744">
        <f ca="1">SUMIFS(Сценарии!AE$27:AE$82,Сценарии!$F$27:$F$82,$F39,Сценарии!$G$27:$G$82,$G39)</f>
        <v>2.1142000000000001E-3</v>
      </c>
      <c r="AK39" s="744">
        <f ca="1">SUMIFS(Сценарии!AF$27:AF$82,Сценарии!$F$27:$F$82,$F39,Сценарии!$G$27:$G$82,$G39)</f>
        <v>0</v>
      </c>
      <c r="AL39" s="744">
        <f ca="1">SUMIFS(Сценарии!AG$27:AG$82,Сценарии!$F$27:$F$82,$F39,Сценарии!$G$27:$G$82,$G39)</f>
        <v>0</v>
      </c>
      <c r="AM39" s="744">
        <f ca="1">SUMIFS(Сценарии!AH$27:AH$82,Сценарии!$F$27:$F$82,$F39,Сценарии!$G$27:$G$82,$G39)</f>
        <v>0</v>
      </c>
      <c r="AN39" s="744">
        <f ca="1">SUMIFS(Сценарии!AI$27:AI$82,Сценарии!$F$27:$F$82,$F39,Сценарии!$G$27:$G$82,$G39)</f>
        <v>0</v>
      </c>
      <c r="AO39" s="744">
        <f ca="1">SUMIFS(Сценарии!AJ$27:AJ$82,Сценарии!$F$27:$F$82,$F39,Сценарии!$G$27:$G$82,$G39)</f>
        <v>0</v>
      </c>
      <c r="AP39" s="744">
        <f ca="1">SUMIFS(Сценарии!AK$27:AK$82,Сценарии!$F$27:$F$82,$F39,Сценарии!$G$27:$G$82,$G39)</f>
        <v>0</v>
      </c>
      <c r="AQ39" s="744">
        <f ca="1">SUMIFS(Сценарии!AL$27:AL$82,Сценарии!$F$27:$F$82,$F39,Сценарии!$G$27:$G$82,$G39)</f>
        <v>0</v>
      </c>
      <c r="AR39" s="744">
        <f ca="1">SUMIFS(Сценарии!AM$27:AM$82,Сценарии!$F$27:$F$82,$F39,Сценарии!$G$27:$G$82,$G39)</f>
        <v>0</v>
      </c>
      <c r="AS39" s="744">
        <f ca="1">SUMIFS(Сценарии!AN$27:AN$82,Сценарии!$F$27:$F$82,$F39,Сценарии!$G$27:$G$82,$G39)</f>
        <v>0</v>
      </c>
      <c r="AT39" s="744">
        <f ca="1">SUMIFS(Сценарии!AO$27:AO$82,Сценарии!$F$27:$F$82,$F39,Сценарии!$G$27:$G$82,$G39)</f>
        <v>2.1142000000000001E-3</v>
      </c>
      <c r="AU39" s="744">
        <f ca="1">SUMIFS(Сценарии!AP$27:AP$82,Сценарии!$F$27:$F$82,$F39,Сценарии!$G$27:$G$82,$G39)</f>
        <v>0</v>
      </c>
      <c r="AV39" s="744">
        <f ca="1">SUMIFS(Сценарии!AQ$27:AQ$82,Сценарии!$F$27:$F$82,$F39,Сценарии!$G$27:$G$82,$G39)</f>
        <v>0</v>
      </c>
      <c r="AW39" s="744">
        <f ca="1">SUMIFS(Сценарии!AR$27:AR$82,Сценарии!$F$27:$F$82,$F39,Сценарии!$G$27:$G$82,$G39)</f>
        <v>0</v>
      </c>
      <c r="AX39" s="744">
        <f ca="1">SUMIFS(Сценарии!AS$27:AS$82,Сценарии!$F$27:$F$82,$F39,Сценарии!$G$27:$G$82,$G39)</f>
        <v>0</v>
      </c>
      <c r="AY39" s="744">
        <f ca="1">SUMIFS(Сценарии!AT$27:AT$82,Сценарии!$F$27:$F$82,$F39,Сценарии!$G$27:$G$82,$G39)</f>
        <v>0</v>
      </c>
      <c r="AZ39" s="744">
        <f ca="1">SUMIFS(Сценарии!AU$27:AU$82,Сценарии!$F$27:$F$82,$F39,Сценарии!$G$27:$G$82,$G39)</f>
        <v>0</v>
      </c>
      <c r="BA39" s="744">
        <f ca="1">SUMIFS(Сценарии!AV$27:AV$82,Сценарии!$F$27:$F$82,$F39,Сценарии!$G$27:$G$82,$G39)</f>
        <v>0</v>
      </c>
      <c r="BB39" s="744">
        <f ca="1">SUMIFS(Сценарии!AW$27:AW$82,Сценарии!$F$27:$F$82,$F39,Сценарии!$G$27:$G$82,$G39)</f>
        <v>0</v>
      </c>
      <c r="BC39" s="744">
        <f ca="1">SUMIFS(Сценарии!AX$27:AX$82,Сценарии!$F$27:$F$82,$F39,Сценарии!$G$27:$G$82,$G39)</f>
        <v>0</v>
      </c>
      <c r="BD39" s="925"/>
      <c r="BE39" s="925"/>
      <c r="BF39" s="925"/>
      <c r="BG39" s="925"/>
      <c r="BH39" s="925"/>
      <c r="BI39" s="925"/>
      <c r="BJ39" s="925"/>
      <c r="BK39" s="925"/>
      <c r="BL39" s="925"/>
      <c r="BM39" s="925"/>
      <c r="BN39" s="1231"/>
      <c r="BO39" s="1231"/>
      <c r="BP39" s="1231"/>
      <c r="BQ39" s="177"/>
      <c r="BR39" s="177"/>
      <c r="BS39" s="1019" t="s">
        <v>1362</v>
      </c>
    </row>
    <row r="40" spans="1:71" s="1167" customFormat="1" ht="29.25" customHeight="1" x14ac:dyDescent="0.15">
      <c r="A40" s="175"/>
      <c r="B40" s="773"/>
      <c r="C40" s="175"/>
      <c r="D40" s="175"/>
      <c r="E40" s="668">
        <v>30</v>
      </c>
      <c r="F40" s="769" t="str" cm="1">
        <f t="array" aca="1" ref="F40" ca="1">OFFSET(G40,-1,-1)</f>
        <v>1</v>
      </c>
      <c r="G40" s="140" t="s">
        <v>467</v>
      </c>
      <c r="H40" s="177"/>
      <c r="I40" s="177"/>
      <c r="J40" s="177"/>
      <c r="K40" s="177"/>
      <c r="L40" s="177"/>
      <c r="M40" s="177"/>
      <c r="N40" s="177"/>
      <c r="O40" s="177"/>
      <c r="P40" s="177"/>
      <c r="Q40" s="140"/>
      <c r="R40" s="140"/>
      <c r="S40" s="177"/>
      <c r="T40" s="679" t="b" cm="1">
        <f t="array" ref="T40">T39</f>
        <v>1</v>
      </c>
      <c r="U40" s="1152"/>
      <c r="V40" s="1152"/>
      <c r="W40" s="1152"/>
      <c r="X40" s="1485"/>
      <c r="Y40" s="1152"/>
      <c r="Z40" s="1485"/>
      <c r="AA40" s="177"/>
      <c r="AB40" s="108" t="s">
        <v>735</v>
      </c>
      <c r="AC40" s="113" t="s">
        <v>1363</v>
      </c>
      <c r="AD40" s="108" t="s">
        <v>1364</v>
      </c>
      <c r="AE40" s="508"/>
      <c r="AF40" s="506"/>
      <c r="AG40" s="506"/>
      <c r="AH40" s="506"/>
      <c r="AI40" s="1312">
        <f ca="1">SUMIFS('Расчет УЕ'!AE$26:AE$68,'Расчет УЕ'!$F$26:$F$68,$F40,'Расчет УЕ'!$G$26:$G$68,$G40)</f>
        <v>249.85124200000004</v>
      </c>
      <c r="AJ40" s="889">
        <f ca="1">SUMIFS('Расчет УЕ'!AF$26:AF$68,'Расчет УЕ'!$F$26:$F$68,$F40,'Расчет УЕ'!$G$26:$G$68,$G40)</f>
        <v>250.29629320997225</v>
      </c>
      <c r="AK40" s="889">
        <f ca="1">SUMIFS('Расчет УЕ'!AG$26:AG$68,'Расчет УЕ'!$F$26:$F$68,$F40,'Расчет УЕ'!$G$26:$G$68,$G40)</f>
        <v>0</v>
      </c>
      <c r="AL40" s="744">
        <f ca="1">SUMIFS('Расчет УЕ'!AH$26:AH$68,'Расчет УЕ'!$F$26:$F$68,$F40,'Расчет УЕ'!$G$26:$G$68,$G40)</f>
        <v>0</v>
      </c>
      <c r="AM40" s="744">
        <f ca="1">SUMIFS('Расчет УЕ'!AI$26:AI$68,'Расчет УЕ'!$F$26:$F$68,$F40,'Расчет УЕ'!$G$26:$G$68,$G40)</f>
        <v>0</v>
      </c>
      <c r="AN40" s="744">
        <f ca="1">SUMIFS('Расчет УЕ'!AJ$26:AJ$68,'Расчет УЕ'!$F$26:$F$68,$F40,'Расчет УЕ'!$G$26:$G$68,$G40)</f>
        <v>0</v>
      </c>
      <c r="AO40" s="744">
        <f ca="1">SUMIFS('Расчет УЕ'!AK$26:AK$68,'Расчет УЕ'!$F$26:$F$68,$F40,'Расчет УЕ'!$G$26:$G$68,$G40)</f>
        <v>0</v>
      </c>
      <c r="AP40" s="744">
        <f ca="1">SUMIFS('Расчет УЕ'!AL$26:AL$68,'Расчет УЕ'!$F$26:$F$68,$F40,'Расчет УЕ'!$G$26:$G$68,$G40)</f>
        <v>0</v>
      </c>
      <c r="AQ40" s="744">
        <f ca="1">SUMIFS('Расчет УЕ'!AM$26:AM$68,'Расчет УЕ'!$F$26:$F$68,$F40,'Расчет УЕ'!$G$26:$G$68,$G40)</f>
        <v>0</v>
      </c>
      <c r="AR40" s="744">
        <f ca="1">SUMIFS('Расчет УЕ'!AN$26:AN$68,'Расчет УЕ'!$F$26:$F$68,$F40,'Расчет УЕ'!$G$26:$G$68,$G40)</f>
        <v>0</v>
      </c>
      <c r="AS40" s="744">
        <f ca="1">SUMIFS('Расчет УЕ'!AO$26:AO$68,'Расчет УЕ'!$F$26:$F$68,$F40,'Расчет УЕ'!$G$26:$G$68,$G40)</f>
        <v>0</v>
      </c>
      <c r="AT40" s="744">
        <f ca="1">SUMIFS('Расчет УЕ'!AP$26:AP$68,'Расчет УЕ'!$F$26:$F$68,$F40,'Расчет УЕ'!$G$26:$G$68,$G40)</f>
        <v>250.29629320997225</v>
      </c>
      <c r="AU40" s="744">
        <f ca="1">SUMIFS('Расчет УЕ'!AQ$26:AQ$68,'Расчет УЕ'!$F$26:$F$68,$F40,'Расчет УЕ'!$G$26:$G$68,$G40)</f>
        <v>0</v>
      </c>
      <c r="AV40" s="744">
        <f ca="1">SUMIFS('Расчет УЕ'!AR$26:AR$68,'Расчет УЕ'!$F$26:$F$68,$F40,'Расчет УЕ'!$G$26:$G$68,$G40)</f>
        <v>0</v>
      </c>
      <c r="AW40" s="744">
        <f ca="1">SUMIFS('Расчет УЕ'!AS$26:AS$68,'Расчет УЕ'!$F$26:$F$68,$F40,'Расчет УЕ'!$G$26:$G$68,$G40)</f>
        <v>0</v>
      </c>
      <c r="AX40" s="744">
        <f ca="1">SUMIFS('Расчет УЕ'!AT$26:AT$68,'Расчет УЕ'!$F$26:$F$68,$F40,'Расчет УЕ'!$G$26:$G$68,$G40)</f>
        <v>0</v>
      </c>
      <c r="AY40" s="744">
        <f ca="1">SUMIFS('Расчет УЕ'!AU$26:AU$68,'Расчет УЕ'!$F$26:$F$68,$F40,'Расчет УЕ'!$G$26:$G$68,$G40)</f>
        <v>0</v>
      </c>
      <c r="AZ40" s="744">
        <f ca="1">SUMIFS('Расчет УЕ'!AV$26:AV$68,'Расчет УЕ'!$F$26:$F$68,$F40,'Расчет УЕ'!$G$26:$G$68,$G40)</f>
        <v>0</v>
      </c>
      <c r="BA40" s="744">
        <f ca="1">SUMIFS('Расчет УЕ'!AW$26:AW$68,'Расчет УЕ'!$F$26:$F$68,$F40,'Расчет УЕ'!$G$26:$G$68,$G40)</f>
        <v>0</v>
      </c>
      <c r="BB40" s="744">
        <f ca="1">SUMIFS('Расчет УЕ'!AX$26:AX$68,'Расчет УЕ'!$F$26:$F$68,$F40,'Расчет УЕ'!$G$26:$G$68,$G40)</f>
        <v>0</v>
      </c>
      <c r="BC40" s="744">
        <f ca="1">SUMIFS('Расчет УЕ'!AY$26:AY$68,'Расчет УЕ'!$F$26:$F$68,$F40,'Расчет УЕ'!$G$26:$G$68,$G40)</f>
        <v>0</v>
      </c>
      <c r="BD40" s="925"/>
      <c r="BE40" s="925"/>
      <c r="BF40" s="925"/>
      <c r="BG40" s="925"/>
      <c r="BH40" s="925"/>
      <c r="BI40" s="925"/>
      <c r="BJ40" s="925"/>
      <c r="BK40" s="925"/>
      <c r="BL40" s="925"/>
      <c r="BM40" s="925"/>
      <c r="BN40" s="1231"/>
      <c r="BO40" s="1231"/>
      <c r="BP40" s="1231"/>
      <c r="BQ40" s="177"/>
      <c r="BR40" s="177"/>
      <c r="BS40" s="1019" t="s">
        <v>1365</v>
      </c>
    </row>
    <row r="41" spans="1:71" s="1167" customFormat="1" ht="16.5" customHeight="1" x14ac:dyDescent="0.15">
      <c r="A41" s="175"/>
      <c r="B41" s="773"/>
      <c r="C41" s="175"/>
      <c r="D41" s="175"/>
      <c r="E41" s="668">
        <v>17.100000000000001</v>
      </c>
      <c r="F41" s="769" t="str" cm="1">
        <f t="array" aca="1" ref="F41" ca="1">OFFSET(G41,-1,-1)</f>
        <v>1</v>
      </c>
      <c r="G41" s="140" t="s">
        <v>472</v>
      </c>
      <c r="H41" s="177"/>
      <c r="I41" s="177"/>
      <c r="J41" s="177"/>
      <c r="K41" s="177"/>
      <c r="L41" s="177"/>
      <c r="M41" s="177"/>
      <c r="N41" s="177"/>
      <c r="O41" s="177"/>
      <c r="P41" s="177"/>
      <c r="Q41" s="140"/>
      <c r="R41" s="140"/>
      <c r="S41" s="177"/>
      <c r="T41" s="679" t="b" cm="1">
        <f t="array" ref="T41">T40</f>
        <v>1</v>
      </c>
      <c r="U41" s="1152"/>
      <c r="V41" s="1152"/>
      <c r="W41" s="1152"/>
      <c r="X41" s="1485"/>
      <c r="Y41" s="1152"/>
      <c r="Z41" s="1485"/>
      <c r="AA41" s="177"/>
      <c r="AB41" s="108" t="s">
        <v>738</v>
      </c>
      <c r="AC41" s="113" t="s">
        <v>1366</v>
      </c>
      <c r="AD41" s="108" t="s">
        <v>715</v>
      </c>
      <c r="AE41" s="508"/>
      <c r="AF41" s="506"/>
      <c r="AG41" s="506"/>
      <c r="AH41" s="886"/>
      <c r="AI41" s="925"/>
      <c r="AJ41" s="744">
        <f ca="1">SUMIFS('Расчет УЕ'!AF$26:AF$68,'Расчет УЕ'!$F$26:$F$68,$F41,'Расчет УЕ'!$G$26:$G$68,$G41)</f>
        <v>37</v>
      </c>
      <c r="AK41" s="744">
        <f ca="1">SUMIFS('Расчет УЕ'!AG$26:AG$68,'Расчет УЕ'!$F$26:$F$68,$F41,'Расчет УЕ'!$G$26:$G$68,$G41)</f>
        <v>0</v>
      </c>
      <c r="AL41" s="888">
        <f ca="1">SUMIFS('Расчет УЕ'!AH$26:AH$68,'Расчет УЕ'!$F$26:$F$68,$F41,'Расчет УЕ'!$G$26:$G$68,$G41)</f>
        <v>0</v>
      </c>
      <c r="AM41" s="744">
        <f ca="1">SUMIFS('Расчет УЕ'!AI$26:AI$68,'Расчет УЕ'!$F$26:$F$68,$F41,'Расчет УЕ'!$G$26:$G$68,$G41)</f>
        <v>0</v>
      </c>
      <c r="AN41" s="744">
        <f ca="1">SUMIFS('Расчет УЕ'!AJ$26:AJ$68,'Расчет УЕ'!$F$26:$F$68,$F41,'Расчет УЕ'!$G$26:$G$68,$G41)</f>
        <v>0</v>
      </c>
      <c r="AO41" s="744">
        <f ca="1">SUMIFS('Расчет УЕ'!AK$26:AK$68,'Расчет УЕ'!$F$26:$F$68,$F41,'Расчет УЕ'!$G$26:$G$68,$G41)</f>
        <v>0</v>
      </c>
      <c r="AP41" s="744">
        <f ca="1">SUMIFS('Расчет УЕ'!AL$26:AL$68,'Расчет УЕ'!$F$26:$F$68,$F41,'Расчет УЕ'!$G$26:$G$68,$G41)</f>
        <v>0</v>
      </c>
      <c r="AQ41" s="744">
        <f ca="1">SUMIFS('Расчет УЕ'!AM$26:AM$68,'Расчет УЕ'!$F$26:$F$68,$F41,'Расчет УЕ'!$G$26:$G$68,$G41)</f>
        <v>0</v>
      </c>
      <c r="AR41" s="744">
        <f ca="1">SUMIFS('Расчет УЕ'!AN$26:AN$68,'Расчет УЕ'!$F$26:$F$68,$F41,'Расчет УЕ'!$G$26:$G$68,$G41)</f>
        <v>0</v>
      </c>
      <c r="AS41" s="744">
        <f ca="1">SUMIFS('Расчет УЕ'!AO$26:AO$68,'Расчет УЕ'!$F$26:$F$68,$F41,'Расчет УЕ'!$G$26:$G$68,$G41)</f>
        <v>0</v>
      </c>
      <c r="AT41" s="744">
        <f ca="1">SUMIFS('Расчет УЕ'!AP$26:AP$68,'Расчет УЕ'!$F$26:$F$68,$F41,'Расчет УЕ'!$G$26:$G$68,$G41)</f>
        <v>37</v>
      </c>
      <c r="AU41" s="744">
        <f ca="1">SUMIFS('Расчет УЕ'!AQ$26:AQ$68,'Расчет УЕ'!$F$26:$F$68,$F41,'Расчет УЕ'!$G$26:$G$68,$G41)</f>
        <v>0</v>
      </c>
      <c r="AV41" s="744">
        <f ca="1">SUMIFS('Расчет УЕ'!AR$26:AR$68,'Расчет УЕ'!$F$26:$F$68,$F41,'Расчет УЕ'!$G$26:$G$68,$G41)</f>
        <v>0</v>
      </c>
      <c r="AW41" s="744">
        <f ca="1">SUMIFS('Расчет УЕ'!AS$26:AS$68,'Расчет УЕ'!$F$26:$F$68,$F41,'Расчет УЕ'!$G$26:$G$68,$G41)</f>
        <v>0</v>
      </c>
      <c r="AX41" s="744">
        <f ca="1">SUMIFS('Расчет УЕ'!AT$26:AT$68,'Расчет УЕ'!$F$26:$F$68,$F41,'Расчет УЕ'!$G$26:$G$68,$G41)</f>
        <v>0</v>
      </c>
      <c r="AY41" s="744">
        <f ca="1">SUMIFS('Расчет УЕ'!AU$26:AU$68,'Расчет УЕ'!$F$26:$F$68,$F41,'Расчет УЕ'!$G$26:$G$68,$G41)</f>
        <v>0</v>
      </c>
      <c r="AZ41" s="744">
        <f ca="1">SUMIFS('Расчет УЕ'!AV$26:AV$68,'Расчет УЕ'!$F$26:$F$68,$F41,'Расчет УЕ'!$G$26:$G$68,$G41)</f>
        <v>0</v>
      </c>
      <c r="BA41" s="744">
        <f ca="1">SUMIFS('Расчет УЕ'!AW$26:AW$68,'Расчет УЕ'!$F$26:$F$68,$F41,'Расчет УЕ'!$G$26:$G$68,$G41)</f>
        <v>0</v>
      </c>
      <c r="BB41" s="744">
        <f ca="1">SUMIFS('Расчет УЕ'!AX$26:AX$68,'Расчет УЕ'!$F$26:$F$68,$F41,'Расчет УЕ'!$G$26:$G$68,$G41)</f>
        <v>0</v>
      </c>
      <c r="BC41" s="744">
        <f ca="1">SUMIFS('Расчет УЕ'!AY$26:AY$68,'Расчет УЕ'!$F$26:$F$68,$F41,'Расчет УЕ'!$G$26:$G$68,$G41)</f>
        <v>0</v>
      </c>
      <c r="BD41" s="925"/>
      <c r="BE41" s="925"/>
      <c r="BF41" s="925"/>
      <c r="BG41" s="925"/>
      <c r="BH41" s="925"/>
      <c r="BI41" s="925"/>
      <c r="BJ41" s="925"/>
      <c r="BK41" s="925"/>
      <c r="BL41" s="925"/>
      <c r="BM41" s="925"/>
      <c r="BN41" s="1231"/>
      <c r="BO41" s="1231"/>
      <c r="BP41" s="1231"/>
      <c r="BQ41" s="177"/>
      <c r="BR41" s="177"/>
      <c r="BS41" s="1019" t="s">
        <v>1367</v>
      </c>
    </row>
    <row r="42" spans="1:71" s="1167" customFormat="1" ht="16.5" customHeight="1" x14ac:dyDescent="0.15">
      <c r="A42" s="175"/>
      <c r="B42" s="773"/>
      <c r="C42" s="175"/>
      <c r="D42" s="175"/>
      <c r="E42" s="668">
        <v>17.100000000000001</v>
      </c>
      <c r="F42" s="769" t="str" cm="1">
        <f t="array" aca="1" ref="F42" ca="1">OFFSET(G42,-1,-1)</f>
        <v>1</v>
      </c>
      <c r="G42" s="612" t="s">
        <v>580</v>
      </c>
      <c r="H42" s="177"/>
      <c r="I42" s="177"/>
      <c r="J42" s="177"/>
      <c r="K42" s="177"/>
      <c r="L42" s="177"/>
      <c r="M42" s="177"/>
      <c r="N42" s="177"/>
      <c r="O42" s="177"/>
      <c r="P42" s="177"/>
      <c r="Q42" s="140"/>
      <c r="R42" s="140"/>
      <c r="S42" s="177"/>
      <c r="T42" s="679" t="b" cm="1">
        <f t="array" ref="T42">T41</f>
        <v>1</v>
      </c>
      <c r="U42" s="1152"/>
      <c r="V42" s="1152"/>
      <c r="W42" s="1152"/>
      <c r="X42" s="1485"/>
      <c r="Y42" s="1152"/>
      <c r="Z42" s="1485"/>
      <c r="AA42" s="177"/>
      <c r="AB42" s="108" t="s">
        <v>437</v>
      </c>
      <c r="AC42" s="116" t="s">
        <v>1374</v>
      </c>
      <c r="AD42" s="108"/>
      <c r="AE42" s="611"/>
      <c r="AF42" s="528"/>
      <c r="AG42" s="528"/>
      <c r="AH42" s="529"/>
      <c r="AI42" s="925"/>
      <c r="AJ42" s="744">
        <f ca="1">SUMIFS(Сценарии!AE$27:AE$82,Сценарии!$F$27:$F$82,$F42,Сценарии!$G$27:$G$82,$G42)</f>
        <v>0.75</v>
      </c>
      <c r="AK42" s="744">
        <f ca="1">SUMIFS(Сценарии!AF$27:AF$82,Сценарии!$F$27:$F$82,$F42,Сценарии!$G$27:$G$82,$G42)</f>
        <v>0.75</v>
      </c>
      <c r="AL42" s="744">
        <f ca="1">SUMIFS(Сценарии!AG$27:AG$82,Сценарии!$F$27:$F$82,$F42,Сценарии!$G$27:$G$82,$G42)</f>
        <v>0.75</v>
      </c>
      <c r="AM42" s="744">
        <f ca="1">SUMIFS(Сценарии!AH$27:AH$82,Сценарии!$F$27:$F$82,$F42,Сценарии!$G$27:$G$82,$G42)</f>
        <v>0.75</v>
      </c>
      <c r="AN42" s="744">
        <f ca="1">SUMIFS(Сценарии!AI$27:AI$82,Сценарии!$F$27:$F$82,$F42,Сценарии!$G$27:$G$82,$G42)</f>
        <v>0.75</v>
      </c>
      <c r="AO42" s="744">
        <f ca="1">SUMIFS(Сценарии!AJ$27:AJ$82,Сценарии!$F$27:$F$82,$F42,Сценарии!$G$27:$G$82,$G42)</f>
        <v>0.75</v>
      </c>
      <c r="AP42" s="744">
        <f ca="1">SUMIFS(Сценарии!AK$27:AK$82,Сценарии!$F$27:$F$82,$F42,Сценарии!$G$27:$G$82,$G42)</f>
        <v>0.75</v>
      </c>
      <c r="AQ42" s="744">
        <f ca="1">SUMIFS(Сценарии!AL$27:AL$82,Сценарии!$F$27:$F$82,$F42,Сценарии!$G$27:$G$82,$G42)</f>
        <v>0.75</v>
      </c>
      <c r="AR42" s="744">
        <f ca="1">SUMIFS(Сценарии!AM$27:AM$82,Сценарии!$F$27:$F$82,$F42,Сценарии!$G$27:$G$82,$G42)</f>
        <v>0.75</v>
      </c>
      <c r="AS42" s="744">
        <f ca="1">SUMIFS(Сценарии!AN$27:AN$82,Сценарии!$F$27:$F$82,$F42,Сценарии!$G$27:$G$82,$G42)</f>
        <v>0.75</v>
      </c>
      <c r="AT42" s="744">
        <f ca="1">SUMIFS(Сценарии!AO$27:AO$82,Сценарии!$F$27:$F$82,$F42,Сценарии!$G$27:$G$82,$G42)</f>
        <v>0.75</v>
      </c>
      <c r="AU42" s="744">
        <f ca="1">SUMIFS(Сценарии!AP$27:AP$82,Сценарии!$F$27:$F$82,$F42,Сценарии!$G$27:$G$82,$G42)</f>
        <v>0.75</v>
      </c>
      <c r="AV42" s="744">
        <f ca="1">SUMIFS(Сценарии!AQ$27:AQ$82,Сценарии!$F$27:$F$82,$F42,Сценарии!$G$27:$G$82,$G42)</f>
        <v>0.75</v>
      </c>
      <c r="AW42" s="744">
        <f ca="1">SUMIFS(Сценарии!AR$27:AR$82,Сценарии!$F$27:$F$82,$F42,Сценарии!$G$27:$G$82,$G42)</f>
        <v>0.75</v>
      </c>
      <c r="AX42" s="744">
        <f ca="1">SUMIFS(Сценарии!AS$27:AS$82,Сценарии!$F$27:$F$82,$F42,Сценарии!$G$27:$G$82,$G42)</f>
        <v>0.75</v>
      </c>
      <c r="AY42" s="744">
        <f ca="1">SUMIFS(Сценарии!AT$27:AT$82,Сценарии!$F$27:$F$82,$F42,Сценарии!$G$27:$G$82,$G42)</f>
        <v>0.75</v>
      </c>
      <c r="AZ42" s="744">
        <f ca="1">SUMIFS(Сценарии!AU$27:AU$82,Сценарии!$F$27:$F$82,$F42,Сценарии!$G$27:$G$82,$G42)</f>
        <v>0.75</v>
      </c>
      <c r="BA42" s="744">
        <f ca="1">SUMIFS(Сценарии!AV$27:AV$82,Сценарии!$F$27:$F$82,$F42,Сценарии!$G$27:$G$82,$G42)</f>
        <v>0.75</v>
      </c>
      <c r="BB42" s="744">
        <f ca="1">SUMIFS(Сценарии!AW$27:AW$82,Сценарии!$F$27:$F$82,$F42,Сценарии!$G$27:$G$82,$G42)</f>
        <v>0.75</v>
      </c>
      <c r="BC42" s="744">
        <f ca="1">SUMIFS(Сценарии!AX$27:AX$82,Сценарии!$F$27:$F$82,$F42,Сценарии!$G$27:$G$82,$G42)</f>
        <v>0.75</v>
      </c>
      <c r="BD42" s="926"/>
      <c r="BE42" s="926"/>
      <c r="BF42" s="926"/>
      <c r="BG42" s="926"/>
      <c r="BH42" s="926"/>
      <c r="BI42" s="925"/>
      <c r="BJ42" s="925"/>
      <c r="BK42" s="925"/>
      <c r="BL42" s="925"/>
      <c r="BM42" s="925"/>
      <c r="BN42" s="1231"/>
      <c r="BO42" s="1231"/>
      <c r="BP42" s="1231"/>
      <c r="BQ42" s="177"/>
      <c r="BR42" s="177"/>
      <c r="BS42" s="1019" t="s">
        <v>1369</v>
      </c>
    </row>
    <row r="43" spans="1:71" s="1167" customFormat="1" ht="16.5" customHeight="1" x14ac:dyDescent="0.15">
      <c r="A43" s="175"/>
      <c r="B43" s="773"/>
      <c r="C43" s="175"/>
      <c r="D43" s="175"/>
      <c r="E43" s="668">
        <v>17.100000000000001</v>
      </c>
      <c r="F43" s="769" t="str" cm="1">
        <f t="array" aca="1" ref="F43" ca="1">OFFSET(G43,-1,-1)</f>
        <v>1</v>
      </c>
      <c r="G43" s="612" t="s">
        <v>1317</v>
      </c>
      <c r="H43" s="177"/>
      <c r="I43" s="177"/>
      <c r="J43" s="177"/>
      <c r="K43" s="177" t="str">
        <f ca="1">F43&amp;"komm"</f>
        <v>1komm</v>
      </c>
      <c r="L43" s="176" cm="1">
        <f t="array" ref="L43">BO43</f>
        <v>0</v>
      </c>
      <c r="M43" s="177"/>
      <c r="N43" s="177"/>
      <c r="O43" s="177"/>
      <c r="P43" s="177"/>
      <c r="Q43" s="140"/>
      <c r="R43" s="140"/>
      <c r="S43" s="177"/>
      <c r="T43" s="679" t="b" cm="1">
        <f t="array" ref="T43">T42</f>
        <v>1</v>
      </c>
      <c r="U43" s="1152"/>
      <c r="V43" s="1152"/>
      <c r="W43" s="1152"/>
      <c r="X43" s="1485"/>
      <c r="Y43" s="1152"/>
      <c r="Z43" s="1485"/>
      <c r="AA43" s="177"/>
      <c r="AB43" s="527" t="s">
        <v>441</v>
      </c>
      <c r="AC43" s="616" t="s">
        <v>1370</v>
      </c>
      <c r="AD43" s="556" t="s">
        <v>830</v>
      </c>
      <c r="AE43" s="510" cm="1">
        <f t="array" ref="AE43">'Операционные (5.1)'!AE37</f>
        <v>0</v>
      </c>
      <c r="AF43" s="510" cm="1">
        <f t="array" ref="AF43">'Операционные (5.1)'!AF37</f>
        <v>0</v>
      </c>
      <c r="AG43" s="510" cm="1">
        <f t="array" ref="AG43">'Операционные (5.1)'!AG37</f>
        <v>0</v>
      </c>
      <c r="AH43" s="741" cm="1">
        <f t="array" ref="AH43">'Операционные (5.1)'!AH37</f>
        <v>0</v>
      </c>
      <c r="AI43" s="510">
        <f ca="1">SUMIFS('Операционные (5.1)'!AI$26:AI$76,'Операционные (5.1)'!$F$26:$F$76,$F43,'Операционные (5.1)'!$G$26:$G$76,$G43)</f>
        <v>177612.67650402567</v>
      </c>
      <c r="AJ43" s="617">
        <f ca="1">IF(god=first_year,SUMIFS('Операционные (5.1)'!AJ$26:AJ$76,'Операционные (5.1)'!$F$26:$F$76,$F43,'Операционные (5.1)'!$G$26:$G$76,$G43),AI43*AJ44)</f>
        <v>185094.83003102592</v>
      </c>
      <c r="AK43" s="252">
        <f t="shared" ref="AK43:AS43" ca="1" si="6">AJ43*AK44</f>
        <v>183243.88173071566</v>
      </c>
      <c r="AL43" s="1118">
        <f t="shared" ca="1" si="6"/>
        <v>181411.44291340851</v>
      </c>
      <c r="AM43" s="252">
        <f t="shared" ca="1" si="6"/>
        <v>179597.32848427442</v>
      </c>
      <c r="AN43" s="252">
        <f t="shared" ca="1" si="6"/>
        <v>177801.35519943168</v>
      </c>
      <c r="AO43" s="252">
        <f t="shared" ca="1" si="6"/>
        <v>176023.34164743737</v>
      </c>
      <c r="AP43" s="252">
        <f t="shared" ca="1" si="6"/>
        <v>174263.108230963</v>
      </c>
      <c r="AQ43" s="252">
        <f t="shared" ca="1" si="6"/>
        <v>172520.47714865336</v>
      </c>
      <c r="AR43" s="252">
        <f t="shared" ca="1" si="6"/>
        <v>170795.27237716681</v>
      </c>
      <c r="AS43" s="252">
        <f t="shared" ca="1" si="6"/>
        <v>169087.31965339513</v>
      </c>
      <c r="AT43" s="1119">
        <f ca="1">IF(god=first_year,SUMIFS('Операционные (5.1)'!AK$26:AK$76,'Операционные (5.1)'!$F$26:$F$76,$F43,'Операционные (5.1)'!$G$26:$G$76,$G43),AI43*AT44)</f>
        <v>185097.24857724705</v>
      </c>
      <c r="AU43" s="252">
        <f t="shared" ref="AU43:BC43" ca="1" si="7">AT43*AU44</f>
        <v>183246.27609147457</v>
      </c>
      <c r="AV43" s="252">
        <f t="shared" ca="1" si="7"/>
        <v>181413.81333055982</v>
      </c>
      <c r="AW43" s="252">
        <f t="shared" ca="1" si="7"/>
        <v>179599.67519725423</v>
      </c>
      <c r="AX43" s="252">
        <f t="shared" ca="1" si="7"/>
        <v>177803.67844528169</v>
      </c>
      <c r="AY43" s="252">
        <f t="shared" ca="1" si="7"/>
        <v>176025.64166082887</v>
      </c>
      <c r="AZ43" s="252">
        <f t="shared" ca="1" si="7"/>
        <v>174265.38524422058</v>
      </c>
      <c r="BA43" s="252">
        <f t="shared" ca="1" si="7"/>
        <v>172522.73139177836</v>
      </c>
      <c r="BB43" s="252">
        <f t="shared" ca="1" si="7"/>
        <v>170797.50407786056</v>
      </c>
      <c r="BC43" s="1120">
        <f t="shared" ca="1" si="7"/>
        <v>169089.52903708196</v>
      </c>
      <c r="BD43" s="928"/>
      <c r="BE43" s="927">
        <f t="shared" ref="BE43:BM43" ca="1" si="8">IF(AT43=0,0,(AU43-AT43)/AT43*100)</f>
        <v>-1.0000000000000049</v>
      </c>
      <c r="BF43" s="927">
        <f t="shared" ca="1" si="8"/>
        <v>-1.0000000000000064</v>
      </c>
      <c r="BG43" s="927">
        <f t="shared" ca="1" si="8"/>
        <v>-0.99999999999999589</v>
      </c>
      <c r="BH43" s="927">
        <f t="shared" ca="1" si="8"/>
        <v>-0.99999999999999445</v>
      </c>
      <c r="BI43" s="927">
        <f t="shared" ca="1" si="8"/>
        <v>-1.0000000000000033</v>
      </c>
      <c r="BJ43" s="927">
        <f t="shared" ca="1" si="8"/>
        <v>-0.99999999999999989</v>
      </c>
      <c r="BK43" s="927">
        <f t="shared" ca="1" si="8"/>
        <v>-1.0000000000000089</v>
      </c>
      <c r="BL43" s="927">
        <f t="shared" ca="1" si="8"/>
        <v>-1.0000000000000093</v>
      </c>
      <c r="BM43" s="927">
        <f t="shared" ca="1" si="8"/>
        <v>-0.99999999999999967</v>
      </c>
      <c r="BN43" s="1231"/>
      <c r="BO43" s="1231"/>
      <c r="BP43" s="1231"/>
      <c r="BQ43" s="177"/>
      <c r="BR43" s="177"/>
      <c r="BS43" s="1019" t="s">
        <v>1371</v>
      </c>
    </row>
    <row r="44" spans="1:71" s="1313" customFormat="1" ht="16.5" customHeight="1" x14ac:dyDescent="0.15">
      <c r="A44" s="800"/>
      <c r="B44" s="779"/>
      <c r="C44" s="800"/>
      <c r="D44" s="800"/>
      <c r="E44" s="668">
        <v>17.100000000000001</v>
      </c>
      <c r="F44" s="769" t="str" cm="1">
        <f t="array" aca="1" ref="F44" ca="1">OFFSET(G44,-1,-1)</f>
        <v>1</v>
      </c>
      <c r="G44" s="780"/>
      <c r="H44" s="457"/>
      <c r="I44" s="457"/>
      <c r="J44" s="457"/>
      <c r="K44" s="457"/>
      <c r="L44" s="457"/>
      <c r="M44" s="457"/>
      <c r="N44" s="457"/>
      <c r="O44" s="457"/>
      <c r="P44" s="457"/>
      <c r="Q44" s="457"/>
      <c r="R44" s="457"/>
      <c r="S44" s="457"/>
      <c r="T44" s="679" t="b" cm="1">
        <f t="array" ref="T44">T43</f>
        <v>1</v>
      </c>
      <c r="U44" s="800"/>
      <c r="V44" s="800"/>
      <c r="W44" s="801"/>
      <c r="X44" s="1588"/>
      <c r="Y44" s="801"/>
      <c r="Z44" s="1588"/>
      <c r="AA44" s="457"/>
      <c r="AB44" s="742" t="s">
        <v>776</v>
      </c>
      <c r="AC44" s="875" t="s">
        <v>1372</v>
      </c>
      <c r="AD44" s="610"/>
      <c r="AE44" s="71"/>
      <c r="AF44" s="71"/>
      <c r="AG44" s="71"/>
      <c r="AH44" s="887"/>
      <c r="AI44" s="930"/>
      <c r="AJ44" s="929">
        <v>1.0421262360000001</v>
      </c>
      <c r="AK44" s="1309">
        <f t="shared" ref="AK44:BC44" ca="1" si="9">(1+AK37%)*(1-AK38%)*(1+AK39*AK42)</f>
        <v>0.99</v>
      </c>
      <c r="AL44" s="1309">
        <f t="shared" ca="1" si="9"/>
        <v>0.99</v>
      </c>
      <c r="AM44" s="1314">
        <f t="shared" ca="1" si="9"/>
        <v>0.99</v>
      </c>
      <c r="AN44" s="1314">
        <f t="shared" ca="1" si="9"/>
        <v>0.99</v>
      </c>
      <c r="AO44" s="1314">
        <f t="shared" ca="1" si="9"/>
        <v>0.99</v>
      </c>
      <c r="AP44" s="1314">
        <f t="shared" ca="1" si="9"/>
        <v>0.99</v>
      </c>
      <c r="AQ44" s="1314">
        <f t="shared" ca="1" si="9"/>
        <v>0.99</v>
      </c>
      <c r="AR44" s="1314">
        <f t="shared" ca="1" si="9"/>
        <v>0.99</v>
      </c>
      <c r="AS44" s="1314">
        <f t="shared" ca="1" si="9"/>
        <v>0.99</v>
      </c>
      <c r="AT44" s="929">
        <f t="shared" ca="1" si="9"/>
        <v>1.0421398529685</v>
      </c>
      <c r="AU44" s="1309">
        <f t="shared" ca="1" si="9"/>
        <v>0.99</v>
      </c>
      <c r="AV44" s="1309">
        <f t="shared" ca="1" si="9"/>
        <v>0.99</v>
      </c>
      <c r="AW44" s="1314">
        <f t="shared" ca="1" si="9"/>
        <v>0.99</v>
      </c>
      <c r="AX44" s="1314">
        <f t="shared" ca="1" si="9"/>
        <v>0.99</v>
      </c>
      <c r="AY44" s="1314">
        <f t="shared" ca="1" si="9"/>
        <v>0.99</v>
      </c>
      <c r="AZ44" s="1314">
        <f t="shared" ca="1" si="9"/>
        <v>0.99</v>
      </c>
      <c r="BA44" s="1314">
        <f t="shared" ca="1" si="9"/>
        <v>0.99</v>
      </c>
      <c r="BB44" s="1314">
        <f t="shared" ca="1" si="9"/>
        <v>0.99</v>
      </c>
      <c r="BC44" s="1314">
        <f t="shared" ca="1" si="9"/>
        <v>0.99</v>
      </c>
      <c r="BD44" s="930"/>
      <c r="BE44" s="930"/>
      <c r="BF44" s="930"/>
      <c r="BG44" s="930"/>
      <c r="BH44" s="930"/>
      <c r="BI44" s="930"/>
      <c r="BJ44" s="930"/>
      <c r="BK44" s="930"/>
      <c r="BL44" s="930"/>
      <c r="BM44" s="930"/>
      <c r="BN44" s="1231"/>
      <c r="BO44" s="1231"/>
      <c r="BP44" s="1231"/>
      <c r="BQ44" s="457"/>
      <c r="BR44" s="457"/>
      <c r="BS44" s="1019" t="s">
        <v>1373</v>
      </c>
    </row>
    <row r="45" spans="1:71" ht="9.9499999999999993" customHeight="1" x14ac:dyDescent="0.15">
      <c r="E45" s="668">
        <v>10.199999999999999</v>
      </c>
      <c r="U45" s="126" t="s">
        <v>239</v>
      </c>
      <c r="V45" s="119" t="s">
        <v>1375</v>
      </c>
    </row>
    <row r="46" spans="1:71" ht="11.25" hidden="1" customHeight="1" x14ac:dyDescent="0.15">
      <c r="E46" s="668">
        <v>0</v>
      </c>
    </row>
    <row r="47" spans="1:71" ht="14.65" customHeight="1" x14ac:dyDescent="0.15">
      <c r="E47" s="668">
        <v>15</v>
      </c>
      <c r="AB47" s="1558" t="s">
        <v>725</v>
      </c>
      <c r="AC47" s="1558"/>
      <c r="AD47" s="1558"/>
      <c r="AE47" s="1558"/>
      <c r="AF47" s="1558"/>
      <c r="AG47" s="1558"/>
      <c r="AH47" s="1558"/>
      <c r="AI47" s="1558"/>
      <c r="AJ47" s="1558"/>
      <c r="AK47" s="1558"/>
      <c r="AL47" s="1558"/>
      <c r="AM47" s="1558"/>
      <c r="AN47" s="1558"/>
      <c r="AO47" s="1558"/>
      <c r="AP47" s="1558"/>
      <c r="AQ47" s="1558"/>
      <c r="AR47" s="1558"/>
      <c r="AS47" s="1558"/>
      <c r="AT47" s="1558"/>
      <c r="AU47" s="1558"/>
      <c r="AV47" s="1558"/>
      <c r="AW47" s="1558"/>
      <c r="AX47" s="1558"/>
      <c r="AY47" s="1558"/>
      <c r="AZ47" s="1558"/>
      <c r="BA47" s="1558"/>
      <c r="BB47" s="1558"/>
      <c r="BC47" s="1558"/>
      <c r="BD47" s="1558"/>
      <c r="BE47" s="1558"/>
      <c r="BF47" s="1558"/>
      <c r="BG47" s="1558"/>
      <c r="BH47" s="1558"/>
      <c r="BI47" s="1558"/>
      <c r="BJ47" s="1558"/>
      <c r="BK47" s="1558"/>
      <c r="BL47" s="1558"/>
      <c r="BM47" s="1558"/>
      <c r="BN47" s="1558"/>
      <c r="BO47" s="1558"/>
      <c r="BP47" s="1558"/>
    </row>
    <row r="48" spans="1:71" ht="14.65" customHeight="1" x14ac:dyDescent="0.15">
      <c r="E48" s="668">
        <v>15</v>
      </c>
      <c r="AA48" s="768"/>
      <c r="AB48" s="1579"/>
      <c r="AC48" s="1576"/>
      <c r="AD48" s="1576"/>
      <c r="AE48" s="1576"/>
      <c r="AF48" s="1576"/>
      <c r="AG48" s="1576"/>
      <c r="AH48" s="1576"/>
      <c r="AI48" s="1576"/>
      <c r="AJ48" s="1576"/>
      <c r="AK48" s="1576"/>
      <c r="AL48" s="1576"/>
      <c r="AM48" s="1576"/>
      <c r="AN48" s="1576"/>
      <c r="AO48" s="1576"/>
      <c r="AP48" s="1576"/>
      <c r="AQ48" s="1576"/>
      <c r="AR48" s="1576"/>
      <c r="AS48" s="1576"/>
      <c r="AT48" s="1576"/>
      <c r="AU48" s="1576"/>
      <c r="AV48" s="1576"/>
      <c r="AW48" s="1576"/>
      <c r="AX48" s="1576"/>
      <c r="AY48" s="1576"/>
      <c r="AZ48" s="1576"/>
      <c r="BA48" s="1576"/>
      <c r="BB48" s="1576"/>
      <c r="BC48" s="1576"/>
      <c r="BD48" s="1576"/>
      <c r="BE48" s="1576"/>
      <c r="BF48" s="1576"/>
      <c r="BG48" s="1576"/>
      <c r="BH48" s="1576"/>
      <c r="BI48" s="1576"/>
      <c r="BJ48" s="1576"/>
      <c r="BK48" s="1576"/>
      <c r="BL48" s="1576"/>
      <c r="BM48" s="1576"/>
      <c r="BN48" s="1576"/>
      <c r="BO48" s="1576"/>
      <c r="BP48" s="1576"/>
    </row>
    <row r="49" spans="5:68" ht="14.65" hidden="1" customHeight="1" x14ac:dyDescent="0.15">
      <c r="E49" s="668">
        <v>15</v>
      </c>
      <c r="T49" s="679" t="b">
        <f>ROW(W49)&gt;ROW(W$49)</f>
        <v>0</v>
      </c>
      <c r="W49" s="123" t="s">
        <v>237</v>
      </c>
      <c r="AA49" s="764" t="s">
        <v>218</v>
      </c>
      <c r="AB49" s="1575"/>
      <c r="AC49" s="1576"/>
      <c r="AD49" s="1576"/>
      <c r="AE49" s="1576"/>
      <c r="AF49" s="1576"/>
      <c r="AG49" s="1576"/>
      <c r="AH49" s="1576"/>
      <c r="AI49" s="1576"/>
      <c r="AJ49" s="1576"/>
      <c r="AK49" s="1576"/>
      <c r="AL49" s="1576"/>
      <c r="AM49" s="1576"/>
      <c r="AN49" s="1576"/>
      <c r="AO49" s="1576"/>
      <c r="AP49" s="1576"/>
      <c r="AQ49" s="1576"/>
      <c r="AR49" s="1576"/>
      <c r="AS49" s="1576"/>
      <c r="AT49" s="1576"/>
      <c r="AU49" s="1576"/>
      <c r="AV49" s="1576"/>
      <c r="AW49" s="1576"/>
      <c r="AX49" s="1576"/>
      <c r="AY49" s="1576"/>
      <c r="AZ49" s="1576"/>
      <c r="BA49" s="1576"/>
      <c r="BB49" s="1576"/>
      <c r="BC49" s="1576"/>
      <c r="BD49" s="1576"/>
      <c r="BE49" s="1576"/>
      <c r="BF49" s="1576"/>
      <c r="BG49" s="1576"/>
      <c r="BH49" s="1576"/>
      <c r="BI49" s="1576"/>
      <c r="BJ49" s="1576"/>
      <c r="BK49" s="1576"/>
      <c r="BL49" s="1576"/>
      <c r="BM49" s="1576"/>
      <c r="BN49" s="1576"/>
      <c r="BO49" s="1576"/>
      <c r="BP49" s="1576"/>
    </row>
    <row r="50" spans="5:68" ht="14.65" customHeight="1" x14ac:dyDescent="0.15">
      <c r="E50" s="668">
        <v>15</v>
      </c>
      <c r="W50" s="119" t="s">
        <v>238</v>
      </c>
      <c r="AA50" s="160"/>
      <c r="AB50" s="1500" t="s">
        <v>726</v>
      </c>
      <c r="AC50" s="1501"/>
      <c r="AD50" s="317"/>
      <c r="AE50" s="317"/>
      <c r="AF50" s="317"/>
      <c r="AG50" s="317"/>
      <c r="AH50" s="317"/>
      <c r="AI50" s="317"/>
      <c r="AJ50" s="317"/>
      <c r="AK50" s="317"/>
      <c r="AL50" s="317"/>
      <c r="AM50" s="317"/>
      <c r="AN50" s="317"/>
      <c r="AO50" s="317"/>
      <c r="AP50" s="317"/>
      <c r="AQ50" s="317"/>
      <c r="AR50" s="317"/>
      <c r="AS50" s="317"/>
      <c r="AT50" s="317"/>
      <c r="AU50" s="317"/>
      <c r="AV50" s="317"/>
      <c r="AW50" s="317"/>
      <c r="AX50" s="317"/>
      <c r="AY50" s="317"/>
      <c r="AZ50" s="317"/>
      <c r="BA50" s="317"/>
      <c r="BB50" s="317"/>
      <c r="BC50" s="317"/>
      <c r="BD50" s="317"/>
      <c r="BE50" s="317"/>
      <c r="BF50" s="317"/>
      <c r="BG50" s="317"/>
      <c r="BH50" s="317"/>
      <c r="BI50" s="317"/>
      <c r="BJ50" s="317"/>
      <c r="BK50" s="317"/>
      <c r="BL50" s="317"/>
      <c r="BM50" s="317"/>
      <c r="BN50" s="317"/>
      <c r="BO50" s="317"/>
      <c r="BP50" s="290"/>
    </row>
  </sheetData>
  <sheetProtection formatColumns="0" formatRows="0" insertRows="0" deleteColumns="0" deleteRows="0" sort="0" autoFilter="0"/>
  <mergeCells count="15">
    <mergeCell ref="X27:X35"/>
    <mergeCell ref="Z27:Z35"/>
    <mergeCell ref="AB47:BP47"/>
    <mergeCell ref="AB48:BP48"/>
    <mergeCell ref="AB50:AC50"/>
    <mergeCell ref="X36:X44"/>
    <mergeCell ref="Z36:Z44"/>
    <mergeCell ref="BP24:BP25"/>
    <mergeCell ref="BD25:BM25"/>
    <mergeCell ref="AB49:BP49"/>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F9F28-DE4C-63FF-4598-667E1EB13F13}">
  <sheetPr>
    <tabColor rgb="FF92D050"/>
    <outlinePr summaryBelow="0" summaryRight="0"/>
    <pageSetUpPr fitToPage="1"/>
  </sheetPr>
  <dimension ref="A1:BS72"/>
  <sheetViews>
    <sheetView showGridLines="0" workbookViewId="0">
      <pane xSplit="30" ySplit="25" topLeftCell="AH50" activePane="bottomRight" state="frozen"/>
      <selection pane="topRight" activeCell="AE1" sqref="AE1"/>
      <selection pane="bottomLeft" activeCell="A26" sqref="A26"/>
      <selection pane="bottomRight" activeCell="AT57" sqref="AT57"/>
    </sheetView>
  </sheetViews>
  <sheetFormatPr defaultColWidth="9.140625" defaultRowHeight="11.25" customHeight="1" x14ac:dyDescent="0.15"/>
  <cols>
    <col min="1" max="1" width="3.5703125" style="175" hidden="1" customWidth="1"/>
    <col min="2" max="2" width="8.5703125" style="773" hidden="1" customWidth="1"/>
    <col min="3" max="4" width="3.5703125" style="175" hidden="1" customWidth="1"/>
    <col min="5" max="5" width="8.42578125" style="772"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8"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7" customWidth="1"/>
    <col min="28" max="28" width="8.140625" style="175" customWidth="1"/>
    <col min="29" max="29" width="54.28515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21" hidden="1"/>
  </cols>
  <sheetData>
    <row r="1" spans="1:71" s="175" customFormat="1" ht="12" hidden="1" customHeight="1" x14ac:dyDescent="0.15">
      <c r="B1" s="659"/>
      <c r="E1" s="659"/>
      <c r="F1" s="690" t="s">
        <v>83</v>
      </c>
      <c r="G1" s="177"/>
      <c r="H1" s="177"/>
      <c r="I1" s="177"/>
      <c r="J1" s="177"/>
      <c r="K1" s="177"/>
      <c r="L1" s="177"/>
      <c r="M1" s="177"/>
      <c r="N1" s="177"/>
      <c r="O1" s="177"/>
      <c r="P1" s="177"/>
      <c r="Q1" s="140"/>
      <c r="R1" s="140"/>
      <c r="S1" s="177"/>
      <c r="T1" s="679" t="s">
        <v>86</v>
      </c>
      <c r="U1" s="679" t="s">
        <v>91</v>
      </c>
      <c r="V1" s="679" t="s">
        <v>87</v>
      </c>
      <c r="W1" s="679" t="s">
        <v>88</v>
      </c>
      <c r="X1" s="679" t="s">
        <v>89</v>
      </c>
      <c r="Y1" s="690" t="s">
        <v>374</v>
      </c>
      <c r="Z1" s="679" t="s">
        <v>93</v>
      </c>
      <c r="AA1" s="690" t="s">
        <v>90</v>
      </c>
      <c r="AB1" s="690" t="s">
        <v>92</v>
      </c>
      <c r="AC1" s="179"/>
      <c r="BS1" s="971" t="s">
        <v>375</v>
      </c>
    </row>
    <row r="2" spans="1:71" s="773" customFormat="1" ht="12" hidden="1" customHeight="1" x14ac:dyDescent="0.15">
      <c r="B2" s="758" t="s">
        <v>15</v>
      </c>
      <c r="G2" s="776"/>
      <c r="H2" s="776"/>
      <c r="I2" s="776"/>
      <c r="J2" s="776"/>
      <c r="K2" s="776"/>
      <c r="L2" s="776"/>
      <c r="M2" s="776"/>
      <c r="N2" s="776"/>
      <c r="O2" s="776"/>
      <c r="P2" s="776"/>
      <c r="Q2" s="776"/>
      <c r="R2" s="776"/>
      <c r="S2" s="776"/>
      <c r="AC2" s="663"/>
      <c r="AJ2" s="680" t="b">
        <f t="shared" ref="AJ2:BM2" si="0">AJ6&lt;=last_year_vis</f>
        <v>1</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0</v>
      </c>
      <c r="AT2" s="680" t="b">
        <f t="shared" si="0"/>
        <v>1</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1</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si="0"/>
        <v>0</v>
      </c>
      <c r="BS2" s="963"/>
    </row>
    <row r="3" spans="1:71" s="175" customFormat="1" ht="12" hidden="1" customHeight="1" x14ac:dyDescent="0.15">
      <c r="B3" s="659"/>
      <c r="E3" s="659"/>
      <c r="G3" s="177"/>
      <c r="H3" s="177"/>
      <c r="I3" s="177"/>
      <c r="J3" s="177"/>
      <c r="K3" s="177"/>
      <c r="L3" s="177"/>
      <c r="M3" s="177"/>
      <c r="N3" s="177"/>
      <c r="O3" s="177"/>
      <c r="P3" s="177"/>
      <c r="Q3" s="140"/>
      <c r="R3" s="140"/>
      <c r="S3" s="177"/>
      <c r="T3" s="123"/>
      <c r="U3" s="123"/>
      <c r="V3" s="123"/>
      <c r="W3" s="123"/>
      <c r="X3" s="123"/>
      <c r="Y3" s="123"/>
      <c r="Z3" s="123"/>
      <c r="AC3" s="179"/>
      <c r="BS3" s="1021"/>
    </row>
    <row r="4" spans="1:71" s="175" customFormat="1" ht="12" hidden="1" customHeight="1" x14ac:dyDescent="0.15">
      <c r="B4" s="659"/>
      <c r="E4" s="659"/>
      <c r="G4" s="177"/>
      <c r="H4" s="177"/>
      <c r="I4" s="177"/>
      <c r="J4" s="177"/>
      <c r="K4" s="177"/>
      <c r="L4" s="177"/>
      <c r="M4" s="177"/>
      <c r="N4" s="177"/>
      <c r="O4" s="177"/>
      <c r="P4" s="177"/>
      <c r="Q4" s="140"/>
      <c r="R4" s="140"/>
      <c r="S4" s="177"/>
      <c r="T4" s="123"/>
      <c r="U4" s="123"/>
      <c r="V4" s="123"/>
      <c r="W4" s="123"/>
      <c r="X4" s="123"/>
      <c r="Y4" s="123"/>
      <c r="Z4" s="123"/>
      <c r="AC4" s="179"/>
      <c r="BS4" s="1021"/>
    </row>
    <row r="5" spans="1:71"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12.63</v>
      </c>
      <c r="AF5" s="668">
        <v>12.63</v>
      </c>
      <c r="AG5" s="668">
        <v>12.63</v>
      </c>
      <c r="AH5" s="668">
        <v>19.13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12.63</v>
      </c>
      <c r="BD5" s="668">
        <v>12.63</v>
      </c>
      <c r="BE5" s="668">
        <v>12.63</v>
      </c>
      <c r="BF5" s="668">
        <v>12.63</v>
      </c>
      <c r="BG5" s="668">
        <v>12.63</v>
      </c>
      <c r="BH5" s="668">
        <v>12.63</v>
      </c>
      <c r="BI5" s="668">
        <v>12.63</v>
      </c>
      <c r="BJ5" s="668">
        <v>12.63</v>
      </c>
      <c r="BK5" s="668">
        <v>12.63</v>
      </c>
      <c r="BL5" s="668">
        <v>12.63</v>
      </c>
      <c r="BM5" s="668">
        <v>12.63</v>
      </c>
      <c r="BN5" s="668">
        <v>19</v>
      </c>
      <c r="BO5" s="668">
        <v>17.25</v>
      </c>
      <c r="BP5" s="668">
        <v>31.25</v>
      </c>
      <c r="BQ5" s="668">
        <v>3</v>
      </c>
      <c r="BS5" s="963"/>
    </row>
    <row r="6" spans="1:71" s="175" customFormat="1" ht="12" hidden="1" customHeight="1" x14ac:dyDescent="0.15">
      <c r="B6" s="659"/>
      <c r="E6" s="668"/>
      <c r="G6" s="177"/>
      <c r="H6" s="177"/>
      <c r="I6" s="177"/>
      <c r="J6" s="177"/>
      <c r="K6" s="177"/>
      <c r="L6" s="177"/>
      <c r="M6" s="177"/>
      <c r="N6" s="177"/>
      <c r="O6" s="177"/>
      <c r="P6" s="177"/>
      <c r="Q6" s="140"/>
      <c r="R6" s="140"/>
      <c r="S6" s="177"/>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21"/>
    </row>
    <row r="7" spans="1:71" ht="12" hidden="1" customHeight="1" x14ac:dyDescent="0.15">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c r="BI7" s="160"/>
      <c r="BJ7" s="160"/>
      <c r="BK7" s="160"/>
      <c r="BL7" s="160"/>
      <c r="BM7" s="160"/>
    </row>
    <row r="8" spans="1:71" ht="12" hidden="1" customHeight="1" x14ac:dyDescent="0.15">
      <c r="F8" s="177"/>
      <c r="T8" s="160"/>
      <c r="U8" s="160"/>
      <c r="V8" s="160"/>
      <c r="W8" s="160"/>
      <c r="X8" s="160"/>
      <c r="Y8" s="160"/>
      <c r="Z8" s="160"/>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c r="BI8" s="160"/>
      <c r="BJ8" s="160"/>
      <c r="BK8" s="160"/>
      <c r="BL8" s="160"/>
      <c r="BM8" s="160"/>
    </row>
    <row r="9" spans="1:71" s="1020" customFormat="1" ht="12" hidden="1" customHeight="1" x14ac:dyDescent="0.15">
      <c r="A9" s="948" t="s">
        <v>461</v>
      </c>
      <c r="B9" s="941"/>
      <c r="E9" s="941"/>
      <c r="Q9" s="998"/>
      <c r="R9" s="998"/>
      <c r="T9" s="949"/>
      <c r="U9" s="949"/>
      <c r="V9" s="949"/>
      <c r="W9" s="949"/>
      <c r="X9" s="949"/>
      <c r="Y9" s="949"/>
      <c r="Z9" s="949"/>
      <c r="AE9" s="1020">
        <f>god-2</f>
        <v>2024</v>
      </c>
      <c r="AF9" s="1020">
        <f>god-2</f>
        <v>2024</v>
      </c>
      <c r="AG9" s="1020">
        <f>god-2</f>
        <v>2024</v>
      </c>
      <c r="AH9" s="1020">
        <f>god-2</f>
        <v>2024</v>
      </c>
      <c r="AI9" s="1020">
        <f>god-1</f>
        <v>2025</v>
      </c>
      <c r="AJ9" s="1020" cm="1">
        <f t="array" ref="AJ9">god</f>
        <v>2026</v>
      </c>
      <c r="AK9" s="1020">
        <f>god+1</f>
        <v>2027</v>
      </c>
      <c r="AL9" s="1020">
        <f>god+2</f>
        <v>2028</v>
      </c>
      <c r="AM9" s="1020">
        <f>god+3</f>
        <v>2029</v>
      </c>
      <c r="AN9" s="1020">
        <f>god+4</f>
        <v>2030</v>
      </c>
      <c r="AO9" s="1020">
        <f>god+5</f>
        <v>2031</v>
      </c>
      <c r="AP9" s="1020">
        <f>god+6</f>
        <v>2032</v>
      </c>
      <c r="AQ9" s="1020">
        <f>god+7</f>
        <v>2033</v>
      </c>
      <c r="AR9" s="1020">
        <f>god+8</f>
        <v>2034</v>
      </c>
      <c r="AS9" s="1020">
        <f>god+9</f>
        <v>2035</v>
      </c>
      <c r="AT9" s="1020" cm="1">
        <f t="array" ref="AT9">god</f>
        <v>2026</v>
      </c>
      <c r="AU9" s="1020">
        <f>god+1</f>
        <v>2027</v>
      </c>
      <c r="AV9" s="1020">
        <f>god+2</f>
        <v>2028</v>
      </c>
      <c r="AW9" s="1020">
        <f>god+3</f>
        <v>2029</v>
      </c>
      <c r="AX9" s="1020">
        <f>god+4</f>
        <v>2030</v>
      </c>
      <c r="AY9" s="1020">
        <f>god+5</f>
        <v>2031</v>
      </c>
      <c r="AZ9" s="1020">
        <f>god+6</f>
        <v>2032</v>
      </c>
      <c r="BA9" s="1020">
        <f>god+7</f>
        <v>2033</v>
      </c>
      <c r="BB9" s="1020">
        <f>god+8</f>
        <v>2034</v>
      </c>
      <c r="BC9" s="1020">
        <f>god+9</f>
        <v>2035</v>
      </c>
      <c r="BD9" s="1020" cm="1">
        <f t="array" ref="BD9">god</f>
        <v>2026</v>
      </c>
      <c r="BE9" s="1020">
        <f>god+1</f>
        <v>2027</v>
      </c>
      <c r="BF9" s="1020">
        <f>god+2</f>
        <v>2028</v>
      </c>
      <c r="BG9" s="1020">
        <f>god+3</f>
        <v>2029</v>
      </c>
      <c r="BH9" s="1020">
        <f>god+4</f>
        <v>2030</v>
      </c>
      <c r="BI9" s="1020">
        <f>god+5</f>
        <v>2031</v>
      </c>
      <c r="BJ9" s="1020">
        <f>god+6</f>
        <v>2032</v>
      </c>
      <c r="BK9" s="1020">
        <f>god+7</f>
        <v>2033</v>
      </c>
      <c r="BL9" s="1020">
        <f>god+8</f>
        <v>2034</v>
      </c>
      <c r="BM9" s="1020">
        <f>god+9</f>
        <v>2035</v>
      </c>
      <c r="BS9" s="1021"/>
    </row>
    <row r="10" spans="1:71" s="1020" customFormat="1" ht="12" hidden="1" customHeight="1" x14ac:dyDescent="0.15">
      <c r="A10" s="948" t="s">
        <v>462</v>
      </c>
      <c r="B10" s="941"/>
      <c r="E10" s="941"/>
      <c r="Q10" s="998"/>
      <c r="R10" s="998"/>
      <c r="T10" s="949"/>
      <c r="U10" s="949"/>
      <c r="V10" s="949"/>
      <c r="W10" s="949"/>
      <c r="X10" s="949"/>
      <c r="Y10" s="949"/>
      <c r="Z10" s="949"/>
      <c r="AE10" s="1020" t="str" cm="1">
        <f t="array" ref="AE10">AE25</f>
        <v>Принято органом регулирования</v>
      </c>
      <c r="AF10" s="1020" t="str" cm="1">
        <f t="array" ref="AF10">AF25</f>
        <v>Факт по данным организации</v>
      </c>
      <c r="AG10" s="1020" t="str" cm="1">
        <f t="array" ref="AG10">AG25</f>
        <v>Факт, принятый органом регулирования</v>
      </c>
      <c r="AH10" s="1020" t="str" cm="1">
        <f t="array" ref="AH10">AH25</f>
        <v>отклонение факта по данным организации к факту принятому органом регулирования</v>
      </c>
      <c r="AI10" s="1020" t="str" cm="1">
        <f t="array" ref="AI10">AI25</f>
        <v>Принято органом регулирования</v>
      </c>
      <c r="AJ10" s="1020" t="str" cm="1">
        <f t="array" ref="AJ10">AJ25</f>
        <v>Предложение организации</v>
      </c>
      <c r="AK10" s="1020" t="str" cm="1">
        <f t="array" ref="AK10">AK25</f>
        <v>Предложение организации</v>
      </c>
      <c r="AL10" s="1020" t="str" cm="1">
        <f t="array" ref="AL10">AL25</f>
        <v>Предложение организации</v>
      </c>
      <c r="AM10" s="1020" t="str" cm="1">
        <f t="array" ref="AM10">AM25</f>
        <v>Предложение организации</v>
      </c>
      <c r="AN10" s="1020" t="str" cm="1">
        <f t="array" ref="AN10">AN25</f>
        <v>Предложение организации</v>
      </c>
      <c r="AO10" s="1020" t="str" cm="1">
        <f t="array" ref="AO10">AO25</f>
        <v>Предложение организации</v>
      </c>
      <c r="AP10" s="1020" t="str" cm="1">
        <f t="array" ref="AP10">AP25</f>
        <v>Предложение организации</v>
      </c>
      <c r="AQ10" s="1020" t="str" cm="1">
        <f t="array" ref="AQ10">AQ25</f>
        <v>Предложение организации</v>
      </c>
      <c r="AR10" s="1020" t="str" cm="1">
        <f t="array" ref="AR10">AR25</f>
        <v>Предложение организации</v>
      </c>
      <c r="AS10" s="1020" t="str" cm="1">
        <f t="array" ref="AS10">AS25</f>
        <v>Предложение организации</v>
      </c>
      <c r="AT10" s="1020" t="str" cm="1">
        <f t="array" ref="AT10">AT25</f>
        <v>Принято органом регулирования</v>
      </c>
      <c r="AU10" s="1020" t="str" cm="1">
        <f t="array" ref="AU10">AU25</f>
        <v>Принято органом регулирования</v>
      </c>
      <c r="AV10" s="1020" t="str" cm="1">
        <f t="array" ref="AV10">AV25</f>
        <v>Принято органом регулирования</v>
      </c>
      <c r="AW10" s="1020" t="str" cm="1">
        <f t="array" ref="AW10">AW25</f>
        <v>Принято органом регулирования</v>
      </c>
      <c r="AX10" s="1020" t="str" cm="1">
        <f t="array" ref="AX10">AX25</f>
        <v>Принято органом регулирования</v>
      </c>
      <c r="AY10" s="1020" t="str" cm="1">
        <f t="array" ref="AY10">AY25</f>
        <v>Принято органом регулирования</v>
      </c>
      <c r="AZ10" s="1020" t="str" cm="1">
        <f t="array" ref="AZ10">AZ25</f>
        <v>Принято органом регулирования</v>
      </c>
      <c r="BA10" s="1020" t="str" cm="1">
        <f t="array" ref="BA10">BA25</f>
        <v>Принято органом регулирования</v>
      </c>
      <c r="BB10" s="1020" t="str" cm="1">
        <f t="array" ref="BB10">BB25</f>
        <v>Принято органом регулирования</v>
      </c>
      <c r="BC10" s="1020" t="str" cm="1">
        <f t="array" ref="BC10">BC25</f>
        <v>Принято органом регулирования</v>
      </c>
      <c r="BD10" s="102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1"/>
    </row>
    <row r="11" spans="1:71" s="1020" customFormat="1" ht="12" hidden="1" customHeight="1" x14ac:dyDescent="0.15">
      <c r="A11" s="948" t="s">
        <v>463</v>
      </c>
      <c r="B11" s="941"/>
      <c r="E11" s="941"/>
      <c r="G11" s="1023"/>
      <c r="H11" s="1023"/>
      <c r="I11" s="1023"/>
      <c r="J11" s="1023"/>
      <c r="K11" s="1023"/>
      <c r="L11" s="1023"/>
      <c r="M11" s="1023"/>
      <c r="N11" s="1023"/>
      <c r="O11" s="1023"/>
      <c r="P11" s="1023"/>
      <c r="Q11" s="1000"/>
      <c r="R11" s="1000"/>
      <c r="S11" s="1023"/>
      <c r="T11" s="949"/>
      <c r="U11" s="949"/>
      <c r="V11" s="949"/>
      <c r="W11" s="949"/>
      <c r="X11" s="949"/>
      <c r="Y11" s="949"/>
      <c r="Z11" s="949"/>
      <c r="AC11" s="1024"/>
      <c r="BN11" s="1020" t="str" cm="1">
        <f t="array" ref="BN11">BN24</f>
        <v>Указание на подтверждающие документы / URL-ссылка на копии подтверждающих документов</v>
      </c>
      <c r="BO11" s="1020" t="str" cm="1">
        <f t="array" ref="BO11">BO24</f>
        <v>Ссылка на правовую норму (основание для принятия показателя в расчет тарифа)</v>
      </c>
      <c r="BP11" s="102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1"/>
    </row>
    <row r="12" spans="1:71" s="175" customFormat="1" ht="12" hidden="1" customHeight="1" x14ac:dyDescent="0.15">
      <c r="B12" s="659"/>
      <c r="E12" s="668"/>
      <c r="G12" s="177"/>
      <c r="H12" s="177"/>
      <c r="I12" s="177"/>
      <c r="J12" s="177"/>
      <c r="K12" s="177"/>
      <c r="L12" s="177"/>
      <c r="M12" s="177"/>
      <c r="N12" s="177"/>
      <c r="O12" s="177"/>
      <c r="P12" s="177"/>
      <c r="Q12" s="140"/>
      <c r="R12" s="140"/>
      <c r="S12" s="177"/>
      <c r="T12" s="123"/>
      <c r="U12" s="123"/>
      <c r="V12" s="123"/>
      <c r="W12" s="123"/>
      <c r="X12" s="123"/>
      <c r="Y12" s="123"/>
      <c r="Z12" s="123"/>
      <c r="AC12" s="179"/>
      <c r="BS12" s="1021"/>
    </row>
    <row r="13" spans="1:71" s="175" customFormat="1" ht="12" hidden="1" customHeight="1" x14ac:dyDescent="0.15">
      <c r="B13" s="659"/>
      <c r="E13" s="668"/>
      <c r="G13" s="177"/>
      <c r="H13" s="177"/>
      <c r="I13" s="177"/>
      <c r="J13" s="177"/>
      <c r="K13" s="177"/>
      <c r="L13" s="177"/>
      <c r="M13" s="177"/>
      <c r="N13" s="177"/>
      <c r="O13" s="177"/>
      <c r="P13" s="177"/>
      <c r="Q13" s="140"/>
      <c r="R13" s="140"/>
      <c r="S13" s="177"/>
      <c r="T13" s="123"/>
      <c r="U13" s="123"/>
      <c r="V13" s="123"/>
      <c r="W13" s="123"/>
      <c r="X13" s="123"/>
      <c r="Y13" s="123"/>
      <c r="Z13" s="123"/>
      <c r="AC13" s="179"/>
      <c r="BS13" s="1021"/>
    </row>
    <row r="14" spans="1:71" s="175" customFormat="1" ht="12" hidden="1" customHeight="1" x14ac:dyDescent="0.15">
      <c r="B14" s="659"/>
      <c r="E14" s="668"/>
      <c r="G14" s="177"/>
      <c r="H14" s="177"/>
      <c r="I14" s="177"/>
      <c r="J14" s="177"/>
      <c r="K14" s="177"/>
      <c r="L14" s="177"/>
      <c r="M14" s="177"/>
      <c r="N14" s="177"/>
      <c r="O14" s="177"/>
      <c r="P14" s="177"/>
      <c r="Q14" s="140"/>
      <c r="R14" s="140"/>
      <c r="S14" s="177"/>
      <c r="T14" s="123"/>
      <c r="U14" s="123"/>
      <c r="V14" s="123"/>
      <c r="W14" s="123"/>
      <c r="X14" s="123"/>
      <c r="Y14" s="123"/>
      <c r="Z14" s="123"/>
      <c r="AC14" s="179"/>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S14" s="1021"/>
    </row>
    <row r="15" spans="1:71" s="175" customFormat="1" ht="12" hidden="1" customHeight="1" x14ac:dyDescent="0.15">
      <c r="B15" s="659"/>
      <c r="E15" s="668"/>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21"/>
    </row>
    <row r="16" spans="1:71" s="175" customFormat="1" ht="12" hidden="1" customHeight="1" x14ac:dyDescent="0.15">
      <c r="B16" s="659"/>
      <c r="E16" s="668"/>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21"/>
    </row>
    <row r="17" spans="1:71" s="175" customFormat="1" ht="12" hidden="1" customHeight="1" x14ac:dyDescent="0.15">
      <c r="B17" s="659"/>
      <c r="E17" s="668"/>
      <c r="G17" s="177"/>
      <c r="H17" s="177"/>
      <c r="I17" s="177"/>
      <c r="J17" s="177"/>
      <c r="K17" s="177"/>
      <c r="L17" s="177"/>
      <c r="M17" s="177"/>
      <c r="N17" s="177"/>
      <c r="O17" s="177"/>
      <c r="P17" s="177"/>
      <c r="Q17" s="140"/>
      <c r="R17" s="140"/>
      <c r="S17" s="177"/>
      <c r="T17" s="123"/>
      <c r="U17" s="123"/>
      <c r="V17" s="123"/>
      <c r="W17" s="123"/>
      <c r="X17" s="123"/>
      <c r="Y17" s="123"/>
      <c r="Z17" s="123"/>
      <c r="AC17" s="179"/>
      <c r="BS17" s="1021"/>
    </row>
    <row r="18" spans="1:71" s="175" customFormat="1" ht="12" hidden="1" customHeight="1" x14ac:dyDescent="0.15">
      <c r="B18" s="659"/>
      <c r="E18" s="668"/>
      <c r="G18" s="177"/>
      <c r="H18" s="177"/>
      <c r="I18" s="177"/>
      <c r="J18" s="177"/>
      <c r="K18" s="177"/>
      <c r="L18" s="177"/>
      <c r="M18" s="177"/>
      <c r="N18" s="177"/>
      <c r="O18" s="177"/>
      <c r="P18" s="177"/>
      <c r="Q18" s="140"/>
      <c r="R18" s="140"/>
      <c r="S18" s="177"/>
      <c r="T18" s="123"/>
      <c r="U18" s="123"/>
      <c r="V18" s="123"/>
      <c r="W18" s="123"/>
      <c r="X18" s="123"/>
      <c r="Y18" s="123"/>
      <c r="Z18" s="123"/>
      <c r="AC18" s="179"/>
      <c r="BS18" s="1021"/>
    </row>
    <row r="19" spans="1:71" s="175" customFormat="1" ht="12" hidden="1" customHeight="1" x14ac:dyDescent="0.15">
      <c r="B19" s="659"/>
      <c r="E19" s="668"/>
      <c r="G19" s="177"/>
      <c r="H19" s="177"/>
      <c r="I19" s="177"/>
      <c r="J19" s="177"/>
      <c r="K19" s="177"/>
      <c r="L19" s="177"/>
      <c r="M19" s="177"/>
      <c r="N19" s="177"/>
      <c r="O19" s="177"/>
      <c r="P19" s="177"/>
      <c r="Q19" s="140"/>
      <c r="R19" s="140"/>
      <c r="S19" s="177"/>
      <c r="T19" s="123"/>
      <c r="U19" s="123"/>
      <c r="V19" s="123"/>
      <c r="W19" s="123"/>
      <c r="X19" s="123"/>
      <c r="Y19" s="123"/>
      <c r="Z19" s="123"/>
      <c r="AC19" s="179"/>
      <c r="BS19" s="1021"/>
    </row>
    <row r="20" spans="1:71" s="175" customFormat="1" ht="12" hidden="1" customHeight="1" x14ac:dyDescent="0.15">
      <c r="B20" s="659"/>
      <c r="E20" s="668"/>
      <c r="G20" s="177"/>
      <c r="H20" s="177"/>
      <c r="I20" s="177"/>
      <c r="J20" s="177"/>
      <c r="K20" s="177"/>
      <c r="L20" s="177"/>
      <c r="M20" s="177"/>
      <c r="N20" s="177"/>
      <c r="O20" s="177"/>
      <c r="P20" s="177"/>
      <c r="Q20" s="140"/>
      <c r="R20" s="140"/>
      <c r="S20" s="177"/>
      <c r="T20" s="123"/>
      <c r="U20" s="123"/>
      <c r="V20" s="123"/>
      <c r="W20" s="123"/>
      <c r="X20" s="123"/>
      <c r="Y20" s="123"/>
      <c r="Z20" s="123"/>
      <c r="AC20" s="179"/>
      <c r="BS20" s="1021"/>
    </row>
    <row r="21" spans="1:71" ht="14.65" customHeight="1" x14ac:dyDescent="0.15">
      <c r="E21" s="668">
        <v>15</v>
      </c>
      <c r="AA21" s="691"/>
      <c r="AB21" s="177"/>
      <c r="AC21" s="335" t="str" cm="1">
        <f t="array" ref="AC21">tpl_title</f>
        <v>Кемеровская область / 2026 / ООО ХК "СДС - Энерго" (ИНН:4250003450, КПП:420501001) / ДПР: 2024-2028</v>
      </c>
      <c r="AD21" s="177"/>
    </row>
    <row r="22" spans="1:71" s="1153" customFormat="1" ht="19.5" customHeight="1" x14ac:dyDescent="0.15">
      <c r="A22" s="130"/>
      <c r="B22" s="659"/>
      <c r="C22" s="130"/>
      <c r="D22" s="130"/>
      <c r="E22" s="668">
        <v>20.100000000000001</v>
      </c>
      <c r="F22" s="130"/>
      <c r="Q22" s="140"/>
      <c r="R22" s="140"/>
      <c r="T22" s="126"/>
      <c r="U22" s="126"/>
      <c r="V22" s="126"/>
      <c r="W22" s="126"/>
      <c r="X22" s="126"/>
      <c r="Y22" s="126"/>
      <c r="Z22" s="126"/>
      <c r="AB22" s="325" t="s">
        <v>59</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79"/>
    </row>
    <row r="23" spans="1:71" s="1153" customFormat="1" ht="9.9499999999999993" customHeight="1" x14ac:dyDescent="0.15">
      <c r="A23" s="130"/>
      <c r="B23" s="659"/>
      <c r="C23" s="130"/>
      <c r="D23" s="130"/>
      <c r="E23" s="668">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79"/>
    </row>
    <row r="24" spans="1:71" s="176" customFormat="1" ht="24.2" customHeight="1" x14ac:dyDescent="0.15">
      <c r="A24" s="179"/>
      <c r="B24" s="663"/>
      <c r="C24" s="179"/>
      <c r="D24" s="179"/>
      <c r="E24" s="674">
        <v>24.8</v>
      </c>
      <c r="F24" s="179"/>
      <c r="Q24" s="778"/>
      <c r="R24" s="778"/>
      <c r="T24" s="119"/>
      <c r="U24" s="119"/>
      <c r="V24" s="119"/>
      <c r="W24" s="119"/>
      <c r="X24" s="119"/>
      <c r="Y24" s="119"/>
      <c r="Z24" s="119"/>
      <c r="AB24" s="1581" t="s">
        <v>388</v>
      </c>
      <c r="AC24" s="1581" t="s">
        <v>464</v>
      </c>
      <c r="AD24" s="1581" t="s">
        <v>465</v>
      </c>
      <c r="AE24" s="208" t="str">
        <f>god-2&amp;" год"</f>
        <v>2024 год</v>
      </c>
      <c r="AF24" s="1137" t="str">
        <f>god-2&amp;" год"</f>
        <v>2024 год</v>
      </c>
      <c r="AG24" s="208" t="str">
        <f>god-2&amp;" год"</f>
        <v>2024 год</v>
      </c>
      <c r="AH24" s="208" t="str">
        <f>god-2&amp;" год"</f>
        <v>2024 год</v>
      </c>
      <c r="AI24" s="117" t="str">
        <f>god-1&amp;" год"</f>
        <v>2025 год</v>
      </c>
      <c r="AJ24" s="1131" t="str">
        <f>god&amp;" год"</f>
        <v>2026 год</v>
      </c>
      <c r="AK24" s="1131" t="str">
        <f>god+1&amp;" год"</f>
        <v>2027 год</v>
      </c>
      <c r="AL24" s="1131" t="str">
        <f>god+2&amp;" год"</f>
        <v>2028 год</v>
      </c>
      <c r="AM24" s="1131" t="str">
        <f>god+3&amp;" год"</f>
        <v>2029 год</v>
      </c>
      <c r="AN24" s="1131" t="str">
        <f>god+4&amp;" год"</f>
        <v>2030 год</v>
      </c>
      <c r="AO24" s="1131" t="str">
        <f>god+5&amp;" год"</f>
        <v>2031 год</v>
      </c>
      <c r="AP24" s="1131" t="str">
        <f>god+6&amp;" год"</f>
        <v>2032 год</v>
      </c>
      <c r="AQ24" s="1131" t="str">
        <f>god+7&amp;" год"</f>
        <v>2033 год</v>
      </c>
      <c r="AR24" s="1131" t="str">
        <f>god+8&amp;" год"</f>
        <v>2034 год</v>
      </c>
      <c r="AS24" s="1131"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580" t="s">
        <v>1313</v>
      </c>
      <c r="BO24" s="1580" t="s">
        <v>618</v>
      </c>
      <c r="BP24" s="1580" t="s">
        <v>1314</v>
      </c>
      <c r="BS24" s="1021"/>
    </row>
    <row r="25" spans="1:71" s="176" customFormat="1" ht="46.15" customHeight="1" x14ac:dyDescent="0.15">
      <c r="A25" s="179"/>
      <c r="B25" s="663"/>
      <c r="C25" s="179"/>
      <c r="D25" s="179"/>
      <c r="E25" s="674">
        <v>47.3</v>
      </c>
      <c r="F25" s="179"/>
      <c r="Q25" s="778"/>
      <c r="R25" s="778"/>
      <c r="T25" s="119"/>
      <c r="U25" s="119"/>
      <c r="V25" s="119"/>
      <c r="W25" s="119"/>
      <c r="X25" s="119"/>
      <c r="Y25" s="119"/>
      <c r="Z25" s="119"/>
      <c r="AB25" s="1581"/>
      <c r="AC25" s="1581"/>
      <c r="AD25" s="1581"/>
      <c r="AE25" s="117" t="s">
        <v>404</v>
      </c>
      <c r="AF25" s="1133" t="s">
        <v>619</v>
      </c>
      <c r="AG25" s="117" t="s">
        <v>620</v>
      </c>
      <c r="AH25" s="208" t="s">
        <v>1315</v>
      </c>
      <c r="AI25" s="117" t="s">
        <v>404</v>
      </c>
      <c r="AJ25" s="1132" t="s">
        <v>405</v>
      </c>
      <c r="AK25" s="1132" t="s">
        <v>405</v>
      </c>
      <c r="AL25" s="1132" t="s">
        <v>405</v>
      </c>
      <c r="AM25" s="1132" t="s">
        <v>405</v>
      </c>
      <c r="AN25" s="1132" t="s">
        <v>405</v>
      </c>
      <c r="AO25" s="1132" t="s">
        <v>405</v>
      </c>
      <c r="AP25" s="1132" t="s">
        <v>405</v>
      </c>
      <c r="AQ25" s="1132" t="s">
        <v>405</v>
      </c>
      <c r="AR25" s="1132" t="s">
        <v>405</v>
      </c>
      <c r="AS25" s="1132" t="s">
        <v>405</v>
      </c>
      <c r="AT25" s="343" t="s">
        <v>404</v>
      </c>
      <c r="AU25" s="343" t="s">
        <v>404</v>
      </c>
      <c r="AV25" s="343" t="s">
        <v>404</v>
      </c>
      <c r="AW25" s="343" t="s">
        <v>404</v>
      </c>
      <c r="AX25" s="343" t="s">
        <v>404</v>
      </c>
      <c r="AY25" s="343" t="s">
        <v>404</v>
      </c>
      <c r="AZ25" s="343" t="s">
        <v>404</v>
      </c>
      <c r="BA25" s="343" t="s">
        <v>404</v>
      </c>
      <c r="BB25" s="343" t="s">
        <v>404</v>
      </c>
      <c r="BC25" s="343" t="s">
        <v>404</v>
      </c>
      <c r="BD25" s="1580" t="s">
        <v>1316</v>
      </c>
      <c r="BE25" s="1580"/>
      <c r="BF25" s="1580"/>
      <c r="BG25" s="1580"/>
      <c r="BH25" s="1580"/>
      <c r="BI25" s="1580"/>
      <c r="BJ25" s="1580"/>
      <c r="BK25" s="1580"/>
      <c r="BL25" s="1580"/>
      <c r="BM25" s="1580"/>
      <c r="BN25" s="1580"/>
      <c r="BO25" s="1580"/>
      <c r="BP25" s="1580"/>
      <c r="BS25" s="1021"/>
    </row>
    <row r="26" spans="1:71" s="176" customFormat="1" ht="18.75" hidden="1" customHeight="1" x14ac:dyDescent="0.15">
      <c r="A26" s="179"/>
      <c r="B26" s="663"/>
      <c r="C26" s="179"/>
      <c r="D26" s="179"/>
      <c r="E26" s="674">
        <v>0</v>
      </c>
      <c r="F26" s="179"/>
      <c r="Q26" s="778"/>
      <c r="R26" s="778"/>
      <c r="T26" s="119"/>
      <c r="U26" s="119"/>
      <c r="V26" s="119"/>
      <c r="W26" s="119"/>
      <c r="X26" s="119"/>
      <c r="Y26" s="119"/>
      <c r="Z26" s="119"/>
      <c r="AB26" s="589"/>
      <c r="AC26" s="589"/>
      <c r="AD26" s="589"/>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21"/>
    </row>
    <row r="27" spans="1:71" s="167" customFormat="1" ht="18.399999999999999" hidden="1" customHeight="1" x14ac:dyDescent="0.15">
      <c r="E27" s="668">
        <v>18.8</v>
      </c>
      <c r="F27" s="769" cm="1">
        <f t="array" ref="F27">X27</f>
        <v>0</v>
      </c>
      <c r="G27" s="612"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79" t="b">
        <f>X27&gt;0</f>
        <v>0</v>
      </c>
      <c r="V27" s="123" t="s">
        <v>313</v>
      </c>
      <c r="X27" s="1485">
        <v>0</v>
      </c>
      <c r="Z27" s="1483"/>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71"/>
    </row>
    <row r="28" spans="1:71" s="167" customFormat="1" ht="13.7" hidden="1" customHeight="1" x14ac:dyDescent="0.15">
      <c r="E28" s="668">
        <v>14.1</v>
      </c>
      <c r="F28" s="769" cm="1">
        <f t="array" aca="1" ref="F28" ca="1">OFFSET(G28,-1,-1)</f>
        <v>0</v>
      </c>
      <c r="G28" s="612" t="s">
        <v>1376</v>
      </c>
      <c r="K28" s="177" t="str">
        <f ca="1">F28&amp;"komm"</f>
        <v>0komm</v>
      </c>
      <c r="L28" s="176" cm="1">
        <f t="array" ref="L28">BO28</f>
        <v>0</v>
      </c>
      <c r="T28" s="679" t="b" cm="1">
        <f t="array" ref="T28">T27</f>
        <v>0</v>
      </c>
      <c r="X28" s="1483"/>
      <c r="Z28" s="1483"/>
      <c r="AB28" s="1582" t="s">
        <v>1377</v>
      </c>
      <c r="AC28" s="1583"/>
      <c r="AD28" s="249" t="s">
        <v>830</v>
      </c>
      <c r="AE28" s="252" cm="1">
        <f t="array" aca="1" ref="AE28" ca="1">AE46</f>
        <v>0</v>
      </c>
      <c r="AF28" s="252" cm="1">
        <f t="array" aca="1" ref="AF28" ca="1">AF46</f>
        <v>0</v>
      </c>
      <c r="AG28" s="252" cm="1">
        <f t="array" aca="1" ref="AG28" ca="1">AG46</f>
        <v>0</v>
      </c>
      <c r="AH28" s="252" cm="1">
        <f t="array" aca="1" ref="AH28" ca="1">AH46</f>
        <v>0</v>
      </c>
      <c r="AI28" s="252" cm="1">
        <f t="array" aca="1" ref="AI28" ca="1">AI46</f>
        <v>0</v>
      </c>
      <c r="AJ28" s="252" cm="1">
        <f t="array" aca="1" ref="AJ28" ca="1">AJ46</f>
        <v>0</v>
      </c>
      <c r="AK28" s="252" cm="1">
        <f t="array" aca="1" ref="AK28" ca="1">AK46</f>
        <v>0</v>
      </c>
      <c r="AL28" s="252" cm="1">
        <f t="array" aca="1" ref="AL28" ca="1">AL46</f>
        <v>0</v>
      </c>
      <c r="AM28" s="252" cm="1">
        <f t="array" aca="1" ref="AM28" ca="1">AM46</f>
        <v>0</v>
      </c>
      <c r="AN28" s="252" cm="1">
        <f t="array" aca="1" ref="AN28" ca="1">AN46</f>
        <v>0</v>
      </c>
      <c r="AO28" s="252" cm="1">
        <f t="array" aca="1" ref="AO28" ca="1">AO46</f>
        <v>0</v>
      </c>
      <c r="AP28" s="252" cm="1">
        <f t="array" aca="1" ref="AP28" ca="1">AP46</f>
        <v>0</v>
      </c>
      <c r="AQ28" s="252" cm="1">
        <f t="array" aca="1" ref="AQ28" ca="1">AQ46</f>
        <v>0</v>
      </c>
      <c r="AR28" s="252" cm="1">
        <f t="array" aca="1" ref="AR28" ca="1">AR46</f>
        <v>0</v>
      </c>
      <c r="AS28" s="252" cm="1">
        <f t="array" aca="1" ref="AS28" ca="1">AS46</f>
        <v>0</v>
      </c>
      <c r="AT28" s="252" cm="1">
        <f t="array" aca="1" ref="AT28" ca="1">AT46</f>
        <v>0</v>
      </c>
      <c r="AU28" s="252" cm="1">
        <f t="array" aca="1" ref="AU28" ca="1">AU46</f>
        <v>0</v>
      </c>
      <c r="AV28" s="252" cm="1">
        <f t="array" aca="1" ref="AV28" ca="1">AV46</f>
        <v>0</v>
      </c>
      <c r="AW28" s="252" cm="1">
        <f t="array" aca="1" ref="AW28" ca="1">AW46</f>
        <v>0</v>
      </c>
      <c r="AX28" s="252" cm="1">
        <f t="array" aca="1" ref="AX28" ca="1">AX46</f>
        <v>0</v>
      </c>
      <c r="AY28" s="252" cm="1">
        <f t="array" aca="1" ref="AY28" ca="1">AY46</f>
        <v>0</v>
      </c>
      <c r="AZ28" s="252" cm="1">
        <f t="array" aca="1" ref="AZ28" ca="1">AZ46</f>
        <v>0</v>
      </c>
      <c r="BA28" s="252" cm="1">
        <f t="array" aca="1" ref="BA28" ca="1">BA46</f>
        <v>0</v>
      </c>
      <c r="BB28" s="252" cm="1">
        <f t="array" aca="1" ref="BB28" ca="1">BB46</f>
        <v>0</v>
      </c>
      <c r="BC28" s="252" cm="1">
        <f t="array" aca="1" ref="BC28" ca="1">BC46</f>
        <v>0</v>
      </c>
      <c r="BD28" s="252" cm="1">
        <f t="array" aca="1" ref="BD28" ca="1">BD46</f>
        <v>0</v>
      </c>
      <c r="BE28" s="252" cm="1">
        <f t="array" aca="1" ref="BE28" ca="1">BE46</f>
        <v>0</v>
      </c>
      <c r="BF28" s="252" cm="1">
        <f t="array" aca="1" ref="BF28" ca="1">BF46</f>
        <v>0</v>
      </c>
      <c r="BG28" s="252" cm="1">
        <f t="array" aca="1" ref="BG28" ca="1">BG46</f>
        <v>0</v>
      </c>
      <c r="BH28" s="252" cm="1">
        <f t="array" aca="1" ref="BH28" ca="1">BH46</f>
        <v>0</v>
      </c>
      <c r="BI28" s="252" cm="1">
        <f t="array" aca="1" ref="BI28" ca="1">BI46</f>
        <v>0</v>
      </c>
      <c r="BJ28" s="252" cm="1">
        <f t="array" aca="1" ref="BJ28" ca="1">BJ46</f>
        <v>0</v>
      </c>
      <c r="BK28" s="252" cm="1">
        <f t="array" aca="1" ref="BK28" ca="1">BK46</f>
        <v>0</v>
      </c>
      <c r="BL28" s="252" cm="1">
        <f t="array" aca="1" ref="BL28" ca="1">BL46</f>
        <v>0</v>
      </c>
      <c r="BM28" s="252" cm="1">
        <f t="array" aca="1" ref="BM28" ca="1">BM46</f>
        <v>0</v>
      </c>
      <c r="BN28" s="25"/>
      <c r="BO28" s="25"/>
      <c r="BP28" s="25"/>
      <c r="BS28" s="971" t="s">
        <v>1378</v>
      </c>
    </row>
    <row r="29" spans="1:71" ht="27.2" hidden="1" customHeight="1" x14ac:dyDescent="0.15">
      <c r="E29" s="668">
        <v>27.8</v>
      </c>
      <c r="F29" s="769" cm="1">
        <f t="array" aca="1" ref="F29" ca="1">OFFSET(G29,-1,-1)</f>
        <v>0</v>
      </c>
      <c r="G29" s="140" t="s">
        <v>1204</v>
      </c>
      <c r="T29" s="679" t="b" cm="1">
        <f t="array" ref="T29">T28</f>
        <v>0</v>
      </c>
      <c r="X29" s="1485"/>
      <c r="Z29" s="1485"/>
      <c r="AB29" s="108" t="s">
        <v>473</v>
      </c>
      <c r="AC29" s="115" t="s">
        <v>47</v>
      </c>
      <c r="AD29" s="108" t="s">
        <v>830</v>
      </c>
      <c r="AE29" s="507">
        <f ca="1">SUMIFS('Покупка услуг'!AE$26:AE$68,'Покупка услуг'!$F$26:$F$68,$F29,'Покупка услуг'!$G$26:$G$68,$G29)</f>
        <v>0</v>
      </c>
      <c r="AF29" s="507">
        <f ca="1">SUMIFS('Покупка услуг'!AF$26:AF$68,'Покупка услуг'!$F$26:$F$68,$F29,'Покупка услуг'!$G$26:$G$68,$G29)</f>
        <v>0</v>
      </c>
      <c r="AG29" s="73">
        <f ca="1">SUMIFS('Покупка услуг'!AG$26:AG$68,'Покупка услуг'!$F$26:$F$68,$F29,'Покупка услуг'!$G$26:$G$68,$G29)</f>
        <v>0</v>
      </c>
      <c r="AH29" s="253">
        <f t="shared" ref="AH29:AH46" ca="1" si="2">AG29-AF29</f>
        <v>0</v>
      </c>
      <c r="AI29" s="507">
        <f ca="1">SUMIFS('Покупка услуг'!AH$26:AH$68,'Покупка услуг'!$F$26:$F$68,$F29,'Покупка услуг'!$G$26:$G$68,$G29)</f>
        <v>0</v>
      </c>
      <c r="AJ29" s="507">
        <f ca="1">SUMIFS('Покупка услуг'!AI$26:AI$68,'Покупка услуг'!$F$26:$F$68,$F29,'Покупка услуг'!$G$26:$G$68,$G29)</f>
        <v>0</v>
      </c>
      <c r="AK29" s="507">
        <f ca="1">SUMIFS('Покупка услуг'!AJ$26:AJ$68,'Покупка услуг'!$F$26:$F$68,$F29,'Покупка услуг'!$G$26:$G$68,$G29)</f>
        <v>0</v>
      </c>
      <c r="AL29" s="507">
        <f ca="1">SUMIFS('Покупка услуг'!AK$26:AK$68,'Покупка услуг'!$F$26:$F$68,$F29,'Покупка услуг'!$G$26:$G$68,$G29)</f>
        <v>0</v>
      </c>
      <c r="AM29" s="507">
        <f ca="1">SUMIFS('Покупка услуг'!AL$26:AL$68,'Покупка услуг'!$F$26:$F$68,$F29,'Покупка услуг'!$G$26:$G$68,$G29)</f>
        <v>0</v>
      </c>
      <c r="AN29" s="507">
        <f ca="1">SUMIFS('Покупка услуг'!AM$26:AM$68,'Покупка услуг'!$F$26:$F$68,$F29,'Покупка услуг'!$G$26:$G$68,$G29)</f>
        <v>0</v>
      </c>
      <c r="AO29" s="507">
        <f ca="1">SUMIFS('Покупка услуг'!AN$26:AN$68,'Покупка услуг'!$F$26:$F$68,$F29,'Покупка услуг'!$G$26:$G$68,$G29)</f>
        <v>0</v>
      </c>
      <c r="AP29" s="507">
        <f ca="1">SUMIFS('Покупка услуг'!AO$26:AO$68,'Покупка услуг'!$F$26:$F$68,$F29,'Покупка услуг'!$G$26:$G$68,$G29)</f>
        <v>0</v>
      </c>
      <c r="AQ29" s="507">
        <f ca="1">SUMIFS('Покупка услуг'!AP$26:AP$68,'Покупка услуг'!$F$26:$F$68,$F29,'Покупка услуг'!$G$26:$G$68,$G29)</f>
        <v>0</v>
      </c>
      <c r="AR29" s="507">
        <f ca="1">SUMIFS('Покупка услуг'!AQ$26:AQ$68,'Покупка услуг'!$F$26:$F$68,$F29,'Покупка услуг'!$G$26:$G$68,$G29)</f>
        <v>0</v>
      </c>
      <c r="AS29" s="507">
        <f ca="1">SUMIFS('Покупка услуг'!AR$26:AR$68,'Покупка услуг'!$F$26:$F$68,$F29,'Покупка услуг'!$G$26:$G$68,$G29)</f>
        <v>0</v>
      </c>
      <c r="AT29" s="507">
        <f ca="1">SUMIFS('Покупка услуг'!AS$26:AS$68,'Покупка услуг'!$F$26:$F$68,$F29,'Покупка услуг'!$G$26:$G$68,$G29)</f>
        <v>0</v>
      </c>
      <c r="AU29" s="507">
        <f ca="1">SUMIFS('Покупка услуг'!AT$26:AT$68,'Покупка услуг'!$F$26:$F$68,$F29,'Покупка услуг'!$G$26:$G$68,$G29)</f>
        <v>0</v>
      </c>
      <c r="AV29" s="507">
        <f ca="1">SUMIFS('Покупка услуг'!AU$26:AU$68,'Покупка услуг'!$F$26:$F$68,$F29,'Покупка услуг'!$G$26:$G$68,$G29)</f>
        <v>0</v>
      </c>
      <c r="AW29" s="507">
        <f ca="1">SUMIFS('Покупка услуг'!AV$26:AV$68,'Покупка услуг'!$F$26:$F$68,$F29,'Покупка услуг'!$G$26:$G$68,$G29)</f>
        <v>0</v>
      </c>
      <c r="AX29" s="507">
        <f ca="1">SUMIFS('Покупка услуг'!AW$26:AW$68,'Покупка услуг'!$F$26:$F$68,$F29,'Покупка услуг'!$G$26:$G$68,$G29)</f>
        <v>0</v>
      </c>
      <c r="AY29" s="507">
        <f ca="1">SUMIFS('Покупка услуг'!AX$26:AX$68,'Покупка услуг'!$F$26:$F$68,$F29,'Покупка услуг'!$G$26:$G$68,$G29)</f>
        <v>0</v>
      </c>
      <c r="AZ29" s="507">
        <f ca="1">SUMIFS('Покупка услуг'!AY$26:AY$68,'Покупка услуг'!$F$26:$F$68,$F29,'Покупка услуг'!$G$26:$G$68,$G29)</f>
        <v>0</v>
      </c>
      <c r="BA29" s="507">
        <f ca="1">SUMIFS('Покупка услуг'!AZ$26:AZ$68,'Покупка услуг'!$F$26:$F$68,$F29,'Покупка услуг'!$G$26:$G$68,$G29)</f>
        <v>0</v>
      </c>
      <c r="BB29" s="507">
        <f ca="1">SUMIFS('Покупка услуг'!BA$26:BA$68,'Покупка услуг'!$F$26:$F$68,$F29,'Покупка услуг'!$G$26:$G$68,$G29)</f>
        <v>0</v>
      </c>
      <c r="BC29" s="507">
        <f ca="1">SUMIFS('Покупка услуг'!BB$26:BB$68,'Покупка услуг'!$F$26:$F$68,$F29,'Покупка услуг'!$G$26:$G$68,$G29)</f>
        <v>0</v>
      </c>
      <c r="BD29" s="253">
        <f t="shared" ref="BD29:BD46" ca="1" si="3">IF(AI29=0,0,(AT29-AI29)/AI29*100)</f>
        <v>0</v>
      </c>
      <c r="BE29" s="253">
        <f t="shared" ref="BE29:BE46" ca="1" si="4">IF(AT29=0,0,(AU29-AT29)/AT29*100)</f>
        <v>0</v>
      </c>
      <c r="BF29" s="253">
        <f t="shared" ref="BF29:BF46" ca="1" si="5">IF(AU29=0,0,(AV29-AU29)/AU29*100)</f>
        <v>0</v>
      </c>
      <c r="BG29" s="253">
        <f t="shared" ref="BG29:BG46" ca="1" si="6">IF(AV29=0,0,(AW29-AV29)/AV29*100)</f>
        <v>0</v>
      </c>
      <c r="BH29" s="253">
        <f t="shared" ref="BH29:BH46" ca="1" si="7">IF(AW29=0,0,(AX29-AW29)/AW29*100)</f>
        <v>0</v>
      </c>
      <c r="BI29" s="253">
        <f t="shared" ref="BI29:BI46" ca="1" si="8">IF(AX29=0,0,(AY29-AX29)/AX29*100)</f>
        <v>0</v>
      </c>
      <c r="BJ29" s="253">
        <f t="shared" ref="BJ29:BJ46" ca="1" si="9">IF(AY29=0,0,(AZ29-AY29)/AY29*100)</f>
        <v>0</v>
      </c>
      <c r="BK29" s="253">
        <f t="shared" ref="BK29:BK46" ca="1" si="10">IF(AZ29=0,0,(BA29-AZ29)/AZ29*100)</f>
        <v>0</v>
      </c>
      <c r="BL29" s="253">
        <f t="shared" ref="BL29:BL46" ca="1" si="11">IF(BA29=0,0,(BB29-BA29)/BA29*100)</f>
        <v>0</v>
      </c>
      <c r="BM29" s="253">
        <f t="shared" ref="BM29:BM46" ca="1" si="12">IF(BB29=0,0,(BC29-BB29)/BB29*100)</f>
        <v>0</v>
      </c>
      <c r="BN29" s="25"/>
      <c r="BO29" s="25"/>
      <c r="BP29" s="25"/>
      <c r="BS29" s="971" t="s">
        <v>1379</v>
      </c>
    </row>
    <row r="30" spans="1:71" ht="14.65" hidden="1" customHeight="1" x14ac:dyDescent="0.15">
      <c r="E30" s="668">
        <v>15</v>
      </c>
      <c r="F30" s="769" cm="1">
        <f t="array" aca="1" ref="F30" ca="1">OFFSET(G30,-1,-1)</f>
        <v>0</v>
      </c>
      <c r="G30" s="612" t="s">
        <v>1180</v>
      </c>
      <c r="T30" s="679" t="b" cm="1">
        <f t="array" ref="T30">T29</f>
        <v>0</v>
      </c>
      <c r="X30" s="1485"/>
      <c r="Z30" s="1485"/>
      <c r="AB30" s="108" t="s">
        <v>955</v>
      </c>
      <c r="AC30" s="115" t="s">
        <v>1380</v>
      </c>
      <c r="AD30" s="108" t="s">
        <v>830</v>
      </c>
      <c r="AE30" s="253">
        <f ca="1">SUMIFS(Аренда!AE$26:AE$51,Аренда!$F$26:$F$51,$F30,Аренда!$G$26:$G$51,$G30)</f>
        <v>0</v>
      </c>
      <c r="AF30" s="253">
        <f ca="1">SUMIFS(Аренда!AF$26:AF$51,Аренда!$F$26:$F$51,$F30,Аренда!$G$26:$G$51,$G30)</f>
        <v>0</v>
      </c>
      <c r="AG30" s="50">
        <f ca="1">SUMIFS(Аренда!AG$26:AG$51,Аренда!$F$26:$F$51,$F30,Аренда!$G$26:$G$51,$G30)</f>
        <v>0</v>
      </c>
      <c r="AH30" s="253">
        <f t="shared" ca="1" si="2"/>
        <v>0</v>
      </c>
      <c r="AI30" s="253">
        <f ca="1">SUMIFS(Аренда!AH$26:AH$51,Аренда!$F$26:$F$51,$F30,Аренда!$G$26:$G$51,$G30)</f>
        <v>0</v>
      </c>
      <c r="AJ30" s="253">
        <f ca="1">SUMIFS(Аренда!AI$26:AI$51,Аренда!$F$26:$F$51,$F30,Аренда!$G$26:$G$51,$G30)</f>
        <v>0</v>
      </c>
      <c r="AK30" s="253">
        <f ca="1">SUMIFS(Аренда!AJ$26:AJ$51,Аренда!$F$26:$F$51,$F30,Аренда!$G$26:$G$51,$G30)</f>
        <v>0</v>
      </c>
      <c r="AL30" s="253">
        <f ca="1">SUMIFS(Аренда!AK$26:AK$51,Аренда!$F$26:$F$51,$F30,Аренда!$G$26:$G$51,$G30)</f>
        <v>0</v>
      </c>
      <c r="AM30" s="253">
        <f ca="1">SUMIFS(Аренда!AL$26:AL$51,Аренда!$F$26:$F$51,$F30,Аренда!$G$26:$G$51,$G30)</f>
        <v>0</v>
      </c>
      <c r="AN30" s="253">
        <f ca="1">SUMIFS(Аренда!AM$26:AM$51,Аренда!$F$26:$F$51,$F30,Аренда!$G$26:$G$51,$G30)</f>
        <v>0</v>
      </c>
      <c r="AO30" s="253">
        <f ca="1">SUMIFS(Аренда!AN$26:AN$51,Аренда!$F$26:$F$51,$F30,Аренда!$G$26:$G$51,$G30)</f>
        <v>0</v>
      </c>
      <c r="AP30" s="253">
        <f ca="1">SUMIFS(Аренда!AO$26:AO$51,Аренда!$F$26:$F$51,$F30,Аренда!$G$26:$G$51,$G30)</f>
        <v>0</v>
      </c>
      <c r="AQ30" s="253">
        <f ca="1">SUMIFS(Аренда!AP$26:AP$51,Аренда!$F$26:$F$51,$F30,Аренда!$G$26:$G$51,$G30)</f>
        <v>0</v>
      </c>
      <c r="AR30" s="253">
        <f ca="1">SUMIFS(Аренда!AQ$26:AQ$51,Аренда!$F$26:$F$51,$F30,Аренда!$G$26:$G$51,$G30)</f>
        <v>0</v>
      </c>
      <c r="AS30" s="253">
        <f ca="1">SUMIFS(Аренда!AR$26:AR$51,Аренда!$F$26:$F$51,$F30,Аренда!$G$26:$G$51,$G30)</f>
        <v>0</v>
      </c>
      <c r="AT30" s="253">
        <f ca="1">SUMIFS(Аренда!AS$26:AS$51,Аренда!$F$26:$F$51,$F30,Аренда!$G$26:$G$51,$G30)</f>
        <v>0</v>
      </c>
      <c r="AU30" s="253">
        <f ca="1">SUMIFS(Аренда!AT$26:AT$51,Аренда!$F$26:$F$51,$F30,Аренда!$G$26:$G$51,$G30)</f>
        <v>0</v>
      </c>
      <c r="AV30" s="253">
        <f ca="1">SUMIFS(Аренда!AU$26:AU$51,Аренда!$F$26:$F$51,$F30,Аренда!$G$26:$G$51,$G30)</f>
        <v>0</v>
      </c>
      <c r="AW30" s="253">
        <f ca="1">SUMIFS(Аренда!AV$26:AV$51,Аренда!$F$26:$F$51,$F30,Аренда!$G$26:$G$51,$G30)</f>
        <v>0</v>
      </c>
      <c r="AX30" s="253">
        <f ca="1">SUMIFS(Аренда!AW$26:AW$51,Аренда!$F$26:$F$51,$F30,Аренда!$G$26:$G$51,$G30)</f>
        <v>0</v>
      </c>
      <c r="AY30" s="253">
        <f ca="1">SUMIFS(Аренда!AX$26:AX$51,Аренда!$F$26:$F$51,$F30,Аренда!$G$26:$G$51,$G30)</f>
        <v>0</v>
      </c>
      <c r="AZ30" s="253">
        <f ca="1">SUMIFS(Аренда!AY$26:AY$51,Аренда!$F$26:$F$51,$F30,Аренда!$G$26:$G$51,$G30)</f>
        <v>0</v>
      </c>
      <c r="BA30" s="253">
        <f ca="1">SUMIFS(Аренда!AZ$26:AZ$51,Аренда!$F$26:$F$51,$F30,Аренда!$G$26:$G$51,$G30)</f>
        <v>0</v>
      </c>
      <c r="BB30" s="253">
        <f ca="1">SUMIFS(Аренда!BA$26:BA$51,Аренда!$F$26:$F$51,$F30,Аренда!$G$26:$G$51,$G30)</f>
        <v>0</v>
      </c>
      <c r="BC30" s="253">
        <f ca="1">SUMIFS(Аренда!BB$26:BB$51,Аренда!$F$26:$F$51,$F30,Аренда!$G$26:$G$51,$G30)</f>
        <v>0</v>
      </c>
      <c r="BD30" s="253">
        <f t="shared" ca="1" si="3"/>
        <v>0</v>
      </c>
      <c r="BE30" s="253">
        <f t="shared" ca="1" si="4"/>
        <v>0</v>
      </c>
      <c r="BF30" s="253">
        <f t="shared" ca="1" si="5"/>
        <v>0</v>
      </c>
      <c r="BG30" s="253">
        <f t="shared" ca="1" si="6"/>
        <v>0</v>
      </c>
      <c r="BH30" s="253">
        <f t="shared" ca="1" si="7"/>
        <v>0</v>
      </c>
      <c r="BI30" s="253">
        <f t="shared" ca="1" si="8"/>
        <v>0</v>
      </c>
      <c r="BJ30" s="253">
        <f t="shared" ca="1" si="9"/>
        <v>0</v>
      </c>
      <c r="BK30" s="253">
        <f t="shared" ca="1" si="10"/>
        <v>0</v>
      </c>
      <c r="BL30" s="253">
        <f t="shared" ca="1" si="11"/>
        <v>0</v>
      </c>
      <c r="BM30" s="253">
        <f t="shared" ca="1" si="12"/>
        <v>0</v>
      </c>
      <c r="BN30" s="25"/>
      <c r="BO30" s="25"/>
      <c r="BP30" s="25"/>
      <c r="BS30" s="971" t="s">
        <v>1183</v>
      </c>
    </row>
    <row r="31" spans="1:71" ht="14.65" hidden="1" customHeight="1" x14ac:dyDescent="0.15">
      <c r="E31" s="668">
        <v>15</v>
      </c>
      <c r="F31" s="769" cm="1">
        <f t="array" aca="1" ref="F31" ca="1">OFFSET(G31,-1,-1)</f>
        <v>0</v>
      </c>
      <c r="G31" s="140" t="s">
        <v>1184</v>
      </c>
      <c r="T31" s="679" t="b" cm="1">
        <f t="array" ref="T31">T30</f>
        <v>0</v>
      </c>
      <c r="X31" s="1485"/>
      <c r="Z31" s="1485"/>
      <c r="AB31" s="108" t="s">
        <v>957</v>
      </c>
      <c r="AC31" s="115" t="s">
        <v>1185</v>
      </c>
      <c r="AD31" s="108" t="s">
        <v>830</v>
      </c>
      <c r="AE31" s="253">
        <f ca="1">SUMIFS(Аренда!AE$26:AE$51,Аренда!$F$26:$F$51,$F31,Аренда!$G$26:$G$51,$G31)</f>
        <v>0</v>
      </c>
      <c r="AF31" s="253">
        <f ca="1">SUMIFS(Аренда!AF$26:AF$51,Аренда!$F$26:$F$51,$F31,Аренда!$G$26:$G$51,$G31)</f>
        <v>0</v>
      </c>
      <c r="AG31" s="50">
        <f ca="1">SUMIFS(Аренда!AG$26:AG$51,Аренда!$F$26:$F$51,$F31,Аренда!$G$26:$G$51,$G31)</f>
        <v>0</v>
      </c>
      <c r="AH31" s="253">
        <f t="shared" ca="1" si="2"/>
        <v>0</v>
      </c>
      <c r="AI31" s="253">
        <f ca="1">SUMIFS(Аренда!AH$26:AH$51,Аренда!$F$26:$F$51,$F31,Аренда!$G$26:$G$51,$G31)</f>
        <v>0</v>
      </c>
      <c r="AJ31" s="253">
        <f ca="1">SUMIFS(Аренда!AI$26:AI$51,Аренда!$F$26:$F$51,$F31,Аренда!$G$26:$G$51,$G31)</f>
        <v>0</v>
      </c>
      <c r="AK31" s="253">
        <f ca="1">SUMIFS(Аренда!AJ$26:AJ$51,Аренда!$F$26:$F$51,$F31,Аренда!$G$26:$G$51,$G31)</f>
        <v>0</v>
      </c>
      <c r="AL31" s="253">
        <f ca="1">SUMIFS(Аренда!AK$26:AK$51,Аренда!$F$26:$F$51,$F31,Аренда!$G$26:$G$51,$G31)</f>
        <v>0</v>
      </c>
      <c r="AM31" s="253">
        <f ca="1">SUMIFS(Аренда!AL$26:AL$51,Аренда!$F$26:$F$51,$F31,Аренда!$G$26:$G$51,$G31)</f>
        <v>0</v>
      </c>
      <c r="AN31" s="253">
        <f ca="1">SUMIFS(Аренда!AM$26:AM$51,Аренда!$F$26:$F$51,$F31,Аренда!$G$26:$G$51,$G31)</f>
        <v>0</v>
      </c>
      <c r="AO31" s="253">
        <f ca="1">SUMIFS(Аренда!AN$26:AN$51,Аренда!$F$26:$F$51,$F31,Аренда!$G$26:$G$51,$G31)</f>
        <v>0</v>
      </c>
      <c r="AP31" s="253">
        <f ca="1">SUMIFS(Аренда!AO$26:AO$51,Аренда!$F$26:$F$51,$F31,Аренда!$G$26:$G$51,$G31)</f>
        <v>0</v>
      </c>
      <c r="AQ31" s="253">
        <f ca="1">SUMIFS(Аренда!AP$26:AP$51,Аренда!$F$26:$F$51,$F31,Аренда!$G$26:$G$51,$G31)</f>
        <v>0</v>
      </c>
      <c r="AR31" s="253">
        <f ca="1">SUMIFS(Аренда!AQ$26:AQ$51,Аренда!$F$26:$F$51,$F31,Аренда!$G$26:$G$51,$G31)</f>
        <v>0</v>
      </c>
      <c r="AS31" s="253">
        <f ca="1">SUMIFS(Аренда!AR$26:AR$51,Аренда!$F$26:$F$51,$F31,Аренда!$G$26:$G$51,$G31)</f>
        <v>0</v>
      </c>
      <c r="AT31" s="253">
        <f ca="1">SUMIFS(Аренда!AS$26:AS$51,Аренда!$F$26:$F$51,$F31,Аренда!$G$26:$G$51,$G31)</f>
        <v>0</v>
      </c>
      <c r="AU31" s="253">
        <f ca="1">SUMIFS(Аренда!AT$26:AT$51,Аренда!$F$26:$F$51,$F31,Аренда!$G$26:$G$51,$G31)</f>
        <v>0</v>
      </c>
      <c r="AV31" s="253">
        <f ca="1">SUMIFS(Аренда!AU$26:AU$51,Аренда!$F$26:$F$51,$F31,Аренда!$G$26:$G$51,$G31)</f>
        <v>0</v>
      </c>
      <c r="AW31" s="253">
        <f ca="1">SUMIFS(Аренда!AV$26:AV$51,Аренда!$F$26:$F$51,$F31,Аренда!$G$26:$G$51,$G31)</f>
        <v>0</v>
      </c>
      <c r="AX31" s="253">
        <f ca="1">SUMIFS(Аренда!AW$26:AW$51,Аренда!$F$26:$F$51,$F31,Аренда!$G$26:$G$51,$G31)</f>
        <v>0</v>
      </c>
      <c r="AY31" s="253">
        <f ca="1">SUMIFS(Аренда!AX$26:AX$51,Аренда!$F$26:$F$51,$F31,Аренда!$G$26:$G$51,$G31)</f>
        <v>0</v>
      </c>
      <c r="AZ31" s="253">
        <f ca="1">SUMIFS(Аренда!AY$26:AY$51,Аренда!$F$26:$F$51,$F31,Аренда!$G$26:$G$51,$G31)</f>
        <v>0</v>
      </c>
      <c r="BA31" s="253">
        <f ca="1">SUMIFS(Аренда!AZ$26:AZ$51,Аренда!$F$26:$F$51,$F31,Аренда!$G$26:$G$51,$G31)</f>
        <v>0</v>
      </c>
      <c r="BB31" s="253">
        <f ca="1">SUMIFS(Аренда!BA$26:BA$51,Аренда!$F$26:$F$51,$F31,Аренда!$G$26:$G$51,$G31)</f>
        <v>0</v>
      </c>
      <c r="BC31" s="253">
        <f ca="1">SUMIFS(Аренда!BB$26:BB$51,Аренда!$F$26:$F$51,$F31,Аренда!$G$26:$G$51,$G31)</f>
        <v>0</v>
      </c>
      <c r="BD31" s="253">
        <f t="shared" ca="1" si="3"/>
        <v>0</v>
      </c>
      <c r="BE31" s="253">
        <f t="shared" ca="1" si="4"/>
        <v>0</v>
      </c>
      <c r="BF31" s="253">
        <f t="shared" ca="1" si="5"/>
        <v>0</v>
      </c>
      <c r="BG31" s="253">
        <f t="shared" ca="1" si="6"/>
        <v>0</v>
      </c>
      <c r="BH31" s="253">
        <f t="shared" ca="1" si="7"/>
        <v>0</v>
      </c>
      <c r="BI31" s="253">
        <f t="shared" ca="1" si="8"/>
        <v>0</v>
      </c>
      <c r="BJ31" s="253">
        <f t="shared" ca="1" si="9"/>
        <v>0</v>
      </c>
      <c r="BK31" s="253">
        <f t="shared" ca="1" si="10"/>
        <v>0</v>
      </c>
      <c r="BL31" s="253">
        <f t="shared" ca="1" si="11"/>
        <v>0</v>
      </c>
      <c r="BM31" s="253">
        <f t="shared" ca="1" si="12"/>
        <v>0</v>
      </c>
      <c r="BN31" s="25"/>
      <c r="BO31" s="25"/>
      <c r="BP31" s="25"/>
      <c r="BS31" s="971" t="s">
        <v>1381</v>
      </c>
    </row>
    <row r="32" spans="1:71" ht="14.65" hidden="1" customHeight="1" x14ac:dyDescent="0.15">
      <c r="E32" s="668">
        <v>15</v>
      </c>
      <c r="F32" s="769" cm="1">
        <f t="array" aca="1" ref="F32" ca="1">OFFSET(G32,-1,-1)</f>
        <v>0</v>
      </c>
      <c r="T32" s="679" t="b" cm="1">
        <f t="array" ref="T32">T31</f>
        <v>0</v>
      </c>
      <c r="X32" s="1485"/>
      <c r="Z32" s="1485"/>
      <c r="AB32" s="108" t="s">
        <v>961</v>
      </c>
      <c r="AC32" s="115" t="s">
        <v>1382</v>
      </c>
      <c r="AD32" s="108" t="s">
        <v>830</v>
      </c>
      <c r="AE32" s="507">
        <f ca="1">SUM(AE33:AE35)</f>
        <v>0</v>
      </c>
      <c r="AF32" s="507">
        <f ca="1">SUM(AF33:AF35)</f>
        <v>0</v>
      </c>
      <c r="AG32" s="73">
        <f ca="1">SUM(AG33:AG35)</f>
        <v>0</v>
      </c>
      <c r="AH32" s="253">
        <f t="shared" ca="1" si="2"/>
        <v>0</v>
      </c>
      <c r="AI32" s="507">
        <f t="shared" ref="AI32:BC32" ca="1" si="13">SUM(AI33:AI35)</f>
        <v>0</v>
      </c>
      <c r="AJ32" s="507">
        <f t="shared" ca="1" si="13"/>
        <v>0</v>
      </c>
      <c r="AK32" s="507">
        <f t="shared" ca="1" si="13"/>
        <v>0</v>
      </c>
      <c r="AL32" s="507">
        <f t="shared" ca="1" si="13"/>
        <v>0</v>
      </c>
      <c r="AM32" s="507">
        <f t="shared" ca="1" si="13"/>
        <v>0</v>
      </c>
      <c r="AN32" s="507">
        <f t="shared" ca="1" si="13"/>
        <v>0</v>
      </c>
      <c r="AO32" s="507">
        <f t="shared" ca="1" si="13"/>
        <v>0</v>
      </c>
      <c r="AP32" s="507">
        <f t="shared" ca="1" si="13"/>
        <v>0</v>
      </c>
      <c r="AQ32" s="507">
        <f t="shared" ca="1" si="13"/>
        <v>0</v>
      </c>
      <c r="AR32" s="507">
        <f t="shared" ca="1" si="13"/>
        <v>0</v>
      </c>
      <c r="AS32" s="507">
        <f t="shared" ca="1" si="13"/>
        <v>0</v>
      </c>
      <c r="AT32" s="507">
        <f t="shared" ca="1" si="13"/>
        <v>0</v>
      </c>
      <c r="AU32" s="507">
        <f t="shared" ca="1" si="13"/>
        <v>0</v>
      </c>
      <c r="AV32" s="507">
        <f t="shared" ca="1" si="13"/>
        <v>0</v>
      </c>
      <c r="AW32" s="507">
        <f t="shared" ca="1" si="13"/>
        <v>0</v>
      </c>
      <c r="AX32" s="507">
        <f t="shared" ca="1" si="13"/>
        <v>0</v>
      </c>
      <c r="AY32" s="507">
        <f t="shared" ca="1" si="13"/>
        <v>0</v>
      </c>
      <c r="AZ32" s="507">
        <f t="shared" ca="1" si="13"/>
        <v>0</v>
      </c>
      <c r="BA32" s="507">
        <f t="shared" ca="1" si="13"/>
        <v>0</v>
      </c>
      <c r="BB32" s="507">
        <f t="shared" ca="1" si="13"/>
        <v>0</v>
      </c>
      <c r="BC32" s="507">
        <f t="shared" ca="1" si="13"/>
        <v>0</v>
      </c>
      <c r="BD32" s="253">
        <f t="shared" ca="1" si="3"/>
        <v>0</v>
      </c>
      <c r="BE32" s="253">
        <f t="shared" ca="1" si="4"/>
        <v>0</v>
      </c>
      <c r="BF32" s="253">
        <f t="shared" ca="1" si="5"/>
        <v>0</v>
      </c>
      <c r="BG32" s="253">
        <f t="shared" ca="1" si="6"/>
        <v>0</v>
      </c>
      <c r="BH32" s="253">
        <f t="shared" ca="1" si="7"/>
        <v>0</v>
      </c>
      <c r="BI32" s="253">
        <f t="shared" ca="1" si="8"/>
        <v>0</v>
      </c>
      <c r="BJ32" s="253">
        <f t="shared" ca="1" si="9"/>
        <v>0</v>
      </c>
      <c r="BK32" s="253">
        <f t="shared" ca="1" si="10"/>
        <v>0</v>
      </c>
      <c r="BL32" s="253">
        <f t="shared" ca="1" si="11"/>
        <v>0</v>
      </c>
      <c r="BM32" s="253">
        <f t="shared" ca="1" si="12"/>
        <v>0</v>
      </c>
      <c r="BN32" s="25"/>
      <c r="BO32" s="25"/>
      <c r="BP32" s="25"/>
      <c r="BS32" s="971" t="s">
        <v>1383</v>
      </c>
    </row>
    <row r="33" spans="1:71" ht="39.4" hidden="1" customHeight="1" x14ac:dyDescent="0.15">
      <c r="E33" s="668">
        <v>40.5</v>
      </c>
      <c r="F33" s="769" cm="1">
        <f t="array" aca="1" ref="F33" ca="1">OFFSET(G33,-1,-1)</f>
        <v>0</v>
      </c>
      <c r="G33" s="140" t="s">
        <v>1269</v>
      </c>
      <c r="T33" s="679" t="b" cm="1">
        <f t="array" ref="T33">T32</f>
        <v>0</v>
      </c>
      <c r="X33" s="1485"/>
      <c r="Z33" s="1485"/>
      <c r="AB33" s="108" t="s">
        <v>1052</v>
      </c>
      <c r="AC33" s="115" t="s">
        <v>1270</v>
      </c>
      <c r="AD33" s="108" t="s">
        <v>830</v>
      </c>
      <c r="AE33" s="507">
        <f ca="1">SUMIFS(Налоги!AE$26:AE$56,Налоги!$F$26:$F$56,$F33,Налоги!$G$26:$G$56,$G33)</f>
        <v>0</v>
      </c>
      <c r="AF33" s="507">
        <f ca="1">SUMIFS(Налоги!AF$26:AF$56,Налоги!$F$26:$F$56,$F33,Налоги!$G$26:$G$56,$G33)</f>
        <v>0</v>
      </c>
      <c r="AG33" s="73">
        <f ca="1">SUMIFS(Налоги!AG$26:AG$56,Налоги!$F$26:$F$56,$F33,Налоги!$G$26:$G$56,$G33)</f>
        <v>0</v>
      </c>
      <c r="AH33" s="253">
        <f t="shared" ca="1" si="2"/>
        <v>0</v>
      </c>
      <c r="AI33" s="507">
        <f ca="1">SUMIFS(Налоги!AH$26:AH$56,Налоги!$F$26:$F$56,$F33,Налоги!$G$26:$G$56,$G33)</f>
        <v>0</v>
      </c>
      <c r="AJ33" s="507">
        <f ca="1">SUMIFS(Налоги!AI$26:AI$56,Налоги!$F$26:$F$56,$F33,Налоги!$G$26:$G$56,$G33)</f>
        <v>0</v>
      </c>
      <c r="AK33" s="507">
        <f ca="1">SUMIFS(Налоги!AJ$26:AJ$56,Налоги!$F$26:$F$56,$F33,Налоги!$G$26:$G$56,$G33)</f>
        <v>0</v>
      </c>
      <c r="AL33" s="507">
        <f ca="1">SUMIFS(Налоги!AK$26:AK$56,Налоги!$F$26:$F$56,$F33,Налоги!$G$26:$G$56,$G33)</f>
        <v>0</v>
      </c>
      <c r="AM33" s="507">
        <f ca="1">SUMIFS(Налоги!AL$26:AL$56,Налоги!$F$26:$F$56,$F33,Налоги!$G$26:$G$56,$G33)</f>
        <v>0</v>
      </c>
      <c r="AN33" s="507">
        <f ca="1">SUMIFS(Налоги!AM$26:AM$56,Налоги!$F$26:$F$56,$F33,Налоги!$G$26:$G$56,$G33)</f>
        <v>0</v>
      </c>
      <c r="AO33" s="507">
        <f ca="1">SUMIFS(Налоги!AN$26:AN$56,Налоги!$F$26:$F$56,$F33,Налоги!$G$26:$G$56,$G33)</f>
        <v>0</v>
      </c>
      <c r="AP33" s="507">
        <f ca="1">SUMIFS(Налоги!AO$26:AO$56,Налоги!$F$26:$F$56,$F33,Налоги!$G$26:$G$56,$G33)</f>
        <v>0</v>
      </c>
      <c r="AQ33" s="507">
        <f ca="1">SUMIFS(Налоги!AP$26:AP$56,Налоги!$F$26:$F$56,$F33,Налоги!$G$26:$G$56,$G33)</f>
        <v>0</v>
      </c>
      <c r="AR33" s="507">
        <f ca="1">SUMIFS(Налоги!AQ$26:AQ$56,Налоги!$F$26:$F$56,$F33,Налоги!$G$26:$G$56,$G33)</f>
        <v>0</v>
      </c>
      <c r="AS33" s="507">
        <f ca="1">SUMIFS(Налоги!AR$26:AR$56,Налоги!$F$26:$F$56,$F33,Налоги!$G$26:$G$56,$G33)</f>
        <v>0</v>
      </c>
      <c r="AT33" s="507">
        <f ca="1">SUMIFS(Налоги!AS$26:AS$56,Налоги!$F$26:$F$56,$F33,Налоги!$G$26:$G$56,$G33)</f>
        <v>0</v>
      </c>
      <c r="AU33" s="507">
        <f ca="1">SUMIFS(Налоги!AT$26:AT$56,Налоги!$F$26:$F$56,$F33,Налоги!$G$26:$G$56,$G33)</f>
        <v>0</v>
      </c>
      <c r="AV33" s="507">
        <f ca="1">SUMIFS(Налоги!AU$26:AU$56,Налоги!$F$26:$F$56,$F33,Налоги!$G$26:$G$56,$G33)</f>
        <v>0</v>
      </c>
      <c r="AW33" s="507">
        <f ca="1">SUMIFS(Налоги!AV$26:AV$56,Налоги!$F$26:$F$56,$F33,Налоги!$G$26:$G$56,$G33)</f>
        <v>0</v>
      </c>
      <c r="AX33" s="507">
        <f ca="1">SUMIFS(Налоги!AW$26:AW$56,Налоги!$F$26:$F$56,$F33,Налоги!$G$26:$G$56,$G33)</f>
        <v>0</v>
      </c>
      <c r="AY33" s="507">
        <f ca="1">SUMIFS(Налоги!AX$26:AX$56,Налоги!$F$26:$F$56,$F33,Налоги!$G$26:$G$56,$G33)</f>
        <v>0</v>
      </c>
      <c r="AZ33" s="507">
        <f ca="1">SUMIFS(Налоги!AY$26:AY$56,Налоги!$F$26:$F$56,$F33,Налоги!$G$26:$G$56,$G33)</f>
        <v>0</v>
      </c>
      <c r="BA33" s="507">
        <f ca="1">SUMIFS(Налоги!AZ$26:AZ$56,Налоги!$F$26:$F$56,$F33,Налоги!$G$26:$G$56,$G33)</f>
        <v>0</v>
      </c>
      <c r="BB33" s="507">
        <f ca="1">SUMIFS(Налоги!BA$26:BA$56,Налоги!$F$26:$F$56,$F33,Налоги!$G$26:$G$56,$G33)</f>
        <v>0</v>
      </c>
      <c r="BC33" s="507">
        <f ca="1">SUMIFS(Налоги!BB$26:BB$56,Налоги!$F$26:$F$56,$F33,Налоги!$G$26:$G$56,$G33)</f>
        <v>0</v>
      </c>
      <c r="BD33" s="253">
        <f t="shared" ca="1" si="3"/>
        <v>0</v>
      </c>
      <c r="BE33" s="253">
        <f t="shared" ca="1" si="4"/>
        <v>0</v>
      </c>
      <c r="BF33" s="253">
        <f t="shared" ca="1" si="5"/>
        <v>0</v>
      </c>
      <c r="BG33" s="253">
        <f t="shared" ca="1" si="6"/>
        <v>0</v>
      </c>
      <c r="BH33" s="253">
        <f t="shared" ca="1" si="7"/>
        <v>0</v>
      </c>
      <c r="BI33" s="253">
        <f t="shared" ca="1" si="8"/>
        <v>0</v>
      </c>
      <c r="BJ33" s="253">
        <f t="shared" ca="1" si="9"/>
        <v>0</v>
      </c>
      <c r="BK33" s="253">
        <f t="shared" ca="1" si="10"/>
        <v>0</v>
      </c>
      <c r="BL33" s="253">
        <f t="shared" ca="1" si="11"/>
        <v>0</v>
      </c>
      <c r="BM33" s="253">
        <f t="shared" ca="1" si="12"/>
        <v>0</v>
      </c>
      <c r="BN33" s="25"/>
      <c r="BO33" s="25"/>
      <c r="BP33" s="25"/>
      <c r="BS33" s="971" t="s">
        <v>1384</v>
      </c>
    </row>
    <row r="34" spans="1:71" s="182" customFormat="1" ht="14.65" hidden="1" customHeight="1" x14ac:dyDescent="0.15">
      <c r="E34" s="668">
        <v>15</v>
      </c>
      <c r="F34" s="769" cm="1">
        <f t="array" aca="1" ref="F34" ca="1">OFFSET(G34,-1,-1)</f>
        <v>0</v>
      </c>
      <c r="G34" s="140" t="s">
        <v>1276</v>
      </c>
      <c r="T34" s="679" t="b" cm="1">
        <f t="array" ref="T34">T33</f>
        <v>0</v>
      </c>
      <c r="X34" s="1586"/>
      <c r="Z34" s="1586"/>
      <c r="AB34" s="108" t="s">
        <v>1055</v>
      </c>
      <c r="AC34" s="115" t="s">
        <v>1385</v>
      </c>
      <c r="AD34" s="108" t="s">
        <v>830</v>
      </c>
      <c r="AE34" s="507">
        <f ca="1">SUMIFS(Налоги!AE$26:AE$56,Налоги!$F$26:$F$56,$F34,Налоги!$G$26:$G$56,$G34)</f>
        <v>0</v>
      </c>
      <c r="AF34" s="507">
        <f ca="1">SUMIFS(Налоги!AF$26:AF$56,Налоги!$F$26:$F$56,$F34,Налоги!$G$26:$G$56,$G34)</f>
        <v>0</v>
      </c>
      <c r="AG34" s="73">
        <f ca="1">SUMIFS(Налоги!AG$26:AG$56,Налоги!$F$26:$F$56,$F34,Налоги!$G$26:$G$56,$G34)</f>
        <v>0</v>
      </c>
      <c r="AH34" s="253">
        <f t="shared" ca="1" si="2"/>
        <v>0</v>
      </c>
      <c r="AI34" s="507">
        <f ca="1">SUMIFS(Налоги!AH$26:AH$56,Налоги!$F$26:$F$56,$F34,Налоги!$G$26:$G$56,$G34)</f>
        <v>0</v>
      </c>
      <c r="AJ34" s="507">
        <f ca="1">SUMIFS(Налоги!AI$26:AI$56,Налоги!$F$26:$F$56,$F34,Налоги!$G$26:$G$56,$G34)</f>
        <v>0</v>
      </c>
      <c r="AK34" s="507">
        <f ca="1">SUMIFS(Налоги!AJ$26:AJ$56,Налоги!$F$26:$F$56,$F34,Налоги!$G$26:$G$56,$G34)</f>
        <v>0</v>
      </c>
      <c r="AL34" s="507">
        <f ca="1">SUMIFS(Налоги!AK$26:AK$56,Налоги!$F$26:$F$56,$F34,Налоги!$G$26:$G$56,$G34)</f>
        <v>0</v>
      </c>
      <c r="AM34" s="507">
        <f ca="1">SUMIFS(Налоги!AL$26:AL$56,Налоги!$F$26:$F$56,$F34,Налоги!$G$26:$G$56,$G34)</f>
        <v>0</v>
      </c>
      <c r="AN34" s="507">
        <f ca="1">SUMIFS(Налоги!AM$26:AM$56,Налоги!$F$26:$F$56,$F34,Налоги!$G$26:$G$56,$G34)</f>
        <v>0</v>
      </c>
      <c r="AO34" s="507">
        <f ca="1">SUMIFS(Налоги!AN$26:AN$56,Налоги!$F$26:$F$56,$F34,Налоги!$G$26:$G$56,$G34)</f>
        <v>0</v>
      </c>
      <c r="AP34" s="507">
        <f ca="1">SUMIFS(Налоги!AO$26:AO$56,Налоги!$F$26:$F$56,$F34,Налоги!$G$26:$G$56,$G34)</f>
        <v>0</v>
      </c>
      <c r="AQ34" s="507">
        <f ca="1">SUMIFS(Налоги!AP$26:AP$56,Налоги!$F$26:$F$56,$F34,Налоги!$G$26:$G$56,$G34)</f>
        <v>0</v>
      </c>
      <c r="AR34" s="507">
        <f ca="1">SUMIFS(Налоги!AQ$26:AQ$56,Налоги!$F$26:$F$56,$F34,Налоги!$G$26:$G$56,$G34)</f>
        <v>0</v>
      </c>
      <c r="AS34" s="507">
        <f ca="1">SUMIFS(Налоги!AR$26:AR$56,Налоги!$F$26:$F$56,$F34,Налоги!$G$26:$G$56,$G34)</f>
        <v>0</v>
      </c>
      <c r="AT34" s="507">
        <f ca="1">SUMIFS(Налоги!AS$26:AS$56,Налоги!$F$26:$F$56,$F34,Налоги!$G$26:$G$56,$G34)</f>
        <v>0</v>
      </c>
      <c r="AU34" s="507">
        <f ca="1">SUMIFS(Налоги!AT$26:AT$56,Налоги!$F$26:$F$56,$F34,Налоги!$G$26:$G$56,$G34)</f>
        <v>0</v>
      </c>
      <c r="AV34" s="507">
        <f ca="1">SUMIFS(Налоги!AU$26:AU$56,Налоги!$F$26:$F$56,$F34,Налоги!$G$26:$G$56,$G34)</f>
        <v>0</v>
      </c>
      <c r="AW34" s="507">
        <f ca="1">SUMIFS(Налоги!AV$26:AV$56,Налоги!$F$26:$F$56,$F34,Налоги!$G$26:$G$56,$G34)</f>
        <v>0</v>
      </c>
      <c r="AX34" s="507">
        <f ca="1">SUMIFS(Налоги!AW$26:AW$56,Налоги!$F$26:$F$56,$F34,Налоги!$G$26:$G$56,$G34)</f>
        <v>0</v>
      </c>
      <c r="AY34" s="507">
        <f ca="1">SUMIFS(Налоги!AX$26:AX$56,Налоги!$F$26:$F$56,$F34,Налоги!$G$26:$G$56,$G34)</f>
        <v>0</v>
      </c>
      <c r="AZ34" s="507">
        <f ca="1">SUMIFS(Налоги!AY$26:AY$56,Налоги!$F$26:$F$56,$F34,Налоги!$G$26:$G$56,$G34)</f>
        <v>0</v>
      </c>
      <c r="BA34" s="507">
        <f ca="1">SUMIFS(Налоги!AZ$26:AZ$56,Налоги!$F$26:$F$56,$F34,Налоги!$G$26:$G$56,$G34)</f>
        <v>0</v>
      </c>
      <c r="BB34" s="507">
        <f ca="1">SUMIFS(Налоги!BA$26:BA$56,Налоги!$F$26:$F$56,$F34,Налоги!$G$26:$G$56,$G34)</f>
        <v>0</v>
      </c>
      <c r="BC34" s="507">
        <f ca="1">SUMIFS(Налоги!BB$26:BB$56,Налоги!$F$26:$F$56,$F34,Налоги!$G$26:$G$56,$G34)</f>
        <v>0</v>
      </c>
      <c r="BD34" s="253">
        <f t="shared" ca="1" si="3"/>
        <v>0</v>
      </c>
      <c r="BE34" s="253">
        <f t="shared" ca="1" si="4"/>
        <v>0</v>
      </c>
      <c r="BF34" s="253">
        <f t="shared" ca="1" si="5"/>
        <v>0</v>
      </c>
      <c r="BG34" s="253">
        <f t="shared" ca="1" si="6"/>
        <v>0</v>
      </c>
      <c r="BH34" s="253">
        <f t="shared" ca="1" si="7"/>
        <v>0</v>
      </c>
      <c r="BI34" s="253">
        <f t="shared" ca="1" si="8"/>
        <v>0</v>
      </c>
      <c r="BJ34" s="253">
        <f t="shared" ca="1" si="9"/>
        <v>0</v>
      </c>
      <c r="BK34" s="253">
        <f t="shared" ca="1" si="10"/>
        <v>0</v>
      </c>
      <c r="BL34" s="253">
        <f t="shared" ca="1" si="11"/>
        <v>0</v>
      </c>
      <c r="BM34" s="253">
        <f t="shared" ca="1" si="12"/>
        <v>0</v>
      </c>
      <c r="BN34" s="25"/>
      <c r="BO34" s="25"/>
      <c r="BP34" s="25"/>
      <c r="BS34" s="971" t="s">
        <v>1386</v>
      </c>
    </row>
    <row r="35" spans="1:71" s="182" customFormat="1" ht="14.65" hidden="1" customHeight="1" x14ac:dyDescent="0.15">
      <c r="E35" s="668">
        <v>15</v>
      </c>
      <c r="F35" s="769" cm="1">
        <f t="array" aca="1" ref="F35" ca="1">OFFSET(G35,-1,-1)</f>
        <v>0</v>
      </c>
      <c r="G35" s="140" t="s">
        <v>1272</v>
      </c>
      <c r="T35" s="679" t="b" cm="1">
        <f t="array" ref="T35">T34</f>
        <v>0</v>
      </c>
      <c r="X35" s="1586"/>
      <c r="Z35" s="1586"/>
      <c r="AB35" s="108" t="s">
        <v>1058</v>
      </c>
      <c r="AC35" s="115" t="s">
        <v>1387</v>
      </c>
      <c r="AD35" s="108" t="s">
        <v>830</v>
      </c>
      <c r="AE35" s="507">
        <f ca="1">SUMIFS(Налоги!AE$26:AE$56,Налоги!$F$26:$F$56,$F35,Налоги!$G$26:$G$56,$G35)</f>
        <v>0</v>
      </c>
      <c r="AF35" s="507">
        <f ca="1">SUMIFS(Налоги!AF$26:AF$56,Налоги!$F$26:$F$56,$F35,Налоги!$G$26:$G$56,$G35)</f>
        <v>0</v>
      </c>
      <c r="AG35" s="73">
        <f ca="1">SUMIFS(Налоги!AG$26:AG$56,Налоги!$F$26:$F$56,$F35,Налоги!$G$26:$G$56,$G35)</f>
        <v>0</v>
      </c>
      <c r="AH35" s="253">
        <f t="shared" ca="1" si="2"/>
        <v>0</v>
      </c>
      <c r="AI35" s="507">
        <f ca="1">SUMIFS(Налоги!AH$26:AH$56,Налоги!$F$26:$F$56,$F35,Налоги!$G$26:$G$56,$G35)</f>
        <v>0</v>
      </c>
      <c r="AJ35" s="507">
        <f ca="1">SUMIFS(Налоги!AI$26:AI$56,Налоги!$F$26:$F$56,$F35,Налоги!$G$26:$G$56,$G35)</f>
        <v>0</v>
      </c>
      <c r="AK35" s="507">
        <f ca="1">SUMIFS(Налоги!AJ$26:AJ$56,Налоги!$F$26:$F$56,$F35,Налоги!$G$26:$G$56,$G35)</f>
        <v>0</v>
      </c>
      <c r="AL35" s="507">
        <f ca="1">SUMIFS(Налоги!AK$26:AK$56,Налоги!$F$26:$F$56,$F35,Налоги!$G$26:$G$56,$G35)</f>
        <v>0</v>
      </c>
      <c r="AM35" s="507">
        <f ca="1">SUMIFS(Налоги!AL$26:AL$56,Налоги!$F$26:$F$56,$F35,Налоги!$G$26:$G$56,$G35)</f>
        <v>0</v>
      </c>
      <c r="AN35" s="507">
        <f ca="1">SUMIFS(Налоги!AM$26:AM$56,Налоги!$F$26:$F$56,$F35,Налоги!$G$26:$G$56,$G35)</f>
        <v>0</v>
      </c>
      <c r="AO35" s="507">
        <f ca="1">SUMIFS(Налоги!AN$26:AN$56,Налоги!$F$26:$F$56,$F35,Налоги!$G$26:$G$56,$G35)</f>
        <v>0</v>
      </c>
      <c r="AP35" s="507">
        <f ca="1">SUMIFS(Налоги!AO$26:AO$56,Налоги!$F$26:$F$56,$F35,Налоги!$G$26:$G$56,$G35)</f>
        <v>0</v>
      </c>
      <c r="AQ35" s="507">
        <f ca="1">SUMIFS(Налоги!AP$26:AP$56,Налоги!$F$26:$F$56,$F35,Налоги!$G$26:$G$56,$G35)</f>
        <v>0</v>
      </c>
      <c r="AR35" s="507">
        <f ca="1">SUMIFS(Налоги!AQ$26:AQ$56,Налоги!$F$26:$F$56,$F35,Налоги!$G$26:$G$56,$G35)</f>
        <v>0</v>
      </c>
      <c r="AS35" s="507">
        <f ca="1">SUMIFS(Налоги!AR$26:AR$56,Налоги!$F$26:$F$56,$F35,Налоги!$G$26:$G$56,$G35)</f>
        <v>0</v>
      </c>
      <c r="AT35" s="507">
        <f ca="1">SUMIFS(Налоги!AS$26:AS$56,Налоги!$F$26:$F$56,$F35,Налоги!$G$26:$G$56,$G35)</f>
        <v>0</v>
      </c>
      <c r="AU35" s="507">
        <f ca="1">SUMIFS(Налоги!AT$26:AT$56,Налоги!$F$26:$F$56,$F35,Налоги!$G$26:$G$56,$G35)</f>
        <v>0</v>
      </c>
      <c r="AV35" s="507">
        <f ca="1">SUMIFS(Налоги!AU$26:AU$56,Налоги!$F$26:$F$56,$F35,Налоги!$G$26:$G$56,$G35)</f>
        <v>0</v>
      </c>
      <c r="AW35" s="507">
        <f ca="1">SUMIFS(Налоги!AV$26:AV$56,Налоги!$F$26:$F$56,$F35,Налоги!$G$26:$G$56,$G35)</f>
        <v>0</v>
      </c>
      <c r="AX35" s="507">
        <f ca="1">SUMIFS(Налоги!AW$26:AW$56,Налоги!$F$26:$F$56,$F35,Налоги!$G$26:$G$56,$G35)</f>
        <v>0</v>
      </c>
      <c r="AY35" s="507">
        <f ca="1">SUMIFS(Налоги!AX$26:AX$56,Налоги!$F$26:$F$56,$F35,Налоги!$G$26:$G$56,$G35)</f>
        <v>0</v>
      </c>
      <c r="AZ35" s="507">
        <f ca="1">SUMIFS(Налоги!AY$26:AY$56,Налоги!$F$26:$F$56,$F35,Налоги!$G$26:$G$56,$G35)</f>
        <v>0</v>
      </c>
      <c r="BA35" s="507">
        <f ca="1">SUMIFS(Налоги!AZ$26:AZ$56,Налоги!$F$26:$F$56,$F35,Налоги!$G$26:$G$56,$G35)</f>
        <v>0</v>
      </c>
      <c r="BB35" s="507">
        <f ca="1">SUMIFS(Налоги!BA$26:BA$56,Налоги!$F$26:$F$56,$F35,Налоги!$G$26:$G$56,$G35)</f>
        <v>0</v>
      </c>
      <c r="BC35" s="507">
        <f ca="1">SUMIFS(Налоги!BB$26:BB$56,Налоги!$F$26:$F$56,$F35,Налоги!$G$26:$G$56,$G35)</f>
        <v>0</v>
      </c>
      <c r="BD35" s="253">
        <f t="shared" ca="1" si="3"/>
        <v>0</v>
      </c>
      <c r="BE35" s="253">
        <f t="shared" ca="1" si="4"/>
        <v>0</v>
      </c>
      <c r="BF35" s="253">
        <f t="shared" ca="1" si="5"/>
        <v>0</v>
      </c>
      <c r="BG35" s="253">
        <f t="shared" ca="1" si="6"/>
        <v>0</v>
      </c>
      <c r="BH35" s="253">
        <f t="shared" ca="1" si="7"/>
        <v>0</v>
      </c>
      <c r="BI35" s="253">
        <f t="shared" ca="1" si="8"/>
        <v>0</v>
      </c>
      <c r="BJ35" s="253">
        <f t="shared" ca="1" si="9"/>
        <v>0</v>
      </c>
      <c r="BK35" s="253">
        <f t="shared" ca="1" si="10"/>
        <v>0</v>
      </c>
      <c r="BL35" s="253">
        <f t="shared" ca="1" si="11"/>
        <v>0</v>
      </c>
      <c r="BM35" s="253">
        <f t="shared" ca="1" si="12"/>
        <v>0</v>
      </c>
      <c r="BN35" s="25"/>
      <c r="BO35" s="25"/>
      <c r="BP35" s="25"/>
      <c r="BS35" s="971" t="s">
        <v>1292</v>
      </c>
    </row>
    <row r="36" spans="1:71" ht="14.65" hidden="1" customHeight="1" x14ac:dyDescent="0.15">
      <c r="E36" s="668">
        <v>15</v>
      </c>
      <c r="F36" s="769" cm="1">
        <f t="array" aca="1" ref="F36" ca="1">OFFSET(G36,-1,-1)</f>
        <v>0</v>
      </c>
      <c r="T36" s="679" t="b" cm="1">
        <f t="array" ref="T36">T35</f>
        <v>0</v>
      </c>
      <c r="X36" s="1485"/>
      <c r="Z36" s="1485"/>
      <c r="AB36" s="108" t="s">
        <v>1067</v>
      </c>
      <c r="AC36" s="115" t="s">
        <v>1388</v>
      </c>
      <c r="AD36" s="108" t="s">
        <v>830</v>
      </c>
      <c r="AE36" s="73"/>
      <c r="AF36" s="73"/>
      <c r="AG36" s="73"/>
      <c r="AH36" s="253">
        <f t="shared" si="2"/>
        <v>0</v>
      </c>
      <c r="AI36" s="73"/>
      <c r="AJ36" s="509"/>
      <c r="AK36" s="1315"/>
      <c r="AL36" s="1315"/>
      <c r="AM36" s="73"/>
      <c r="AN36" s="73"/>
      <c r="AO36" s="73"/>
      <c r="AP36" s="73"/>
      <c r="AQ36" s="73"/>
      <c r="AR36" s="73"/>
      <c r="AS36" s="73"/>
      <c r="AT36" s="509"/>
      <c r="AU36" s="1315"/>
      <c r="AV36" s="1315"/>
      <c r="AW36" s="73"/>
      <c r="AX36" s="73"/>
      <c r="AY36" s="73"/>
      <c r="AZ36" s="73"/>
      <c r="BA36" s="73"/>
      <c r="BB36" s="73"/>
      <c r="BC36" s="73"/>
      <c r="BD36" s="253">
        <f t="shared" si="3"/>
        <v>0</v>
      </c>
      <c r="BE36" s="253">
        <f t="shared" si="4"/>
        <v>0</v>
      </c>
      <c r="BF36" s="253">
        <f t="shared" si="5"/>
        <v>0</v>
      </c>
      <c r="BG36" s="253">
        <f t="shared" si="6"/>
        <v>0</v>
      </c>
      <c r="BH36" s="253">
        <f t="shared" si="7"/>
        <v>0</v>
      </c>
      <c r="BI36" s="253">
        <f t="shared" si="8"/>
        <v>0</v>
      </c>
      <c r="BJ36" s="253">
        <f t="shared" si="9"/>
        <v>0</v>
      </c>
      <c r="BK36" s="253">
        <f t="shared" si="10"/>
        <v>0</v>
      </c>
      <c r="BL36" s="253">
        <f t="shared" si="11"/>
        <v>0</v>
      </c>
      <c r="BM36" s="253">
        <f t="shared" si="12"/>
        <v>0</v>
      </c>
      <c r="BN36" s="25"/>
      <c r="BO36" s="25"/>
      <c r="BP36" s="25"/>
      <c r="BS36" s="971" t="s">
        <v>1389</v>
      </c>
    </row>
    <row r="37" spans="1:71" ht="14.65" hidden="1" customHeight="1" x14ac:dyDescent="0.15">
      <c r="E37" s="668">
        <v>15</v>
      </c>
      <c r="F37" s="769" cm="1">
        <f t="array" aca="1" ref="F37" ca="1">OFFSET(G37,-1,-1)</f>
        <v>0</v>
      </c>
      <c r="T37" s="679" t="b" cm="1">
        <f t="array" ref="T37">T36</f>
        <v>0</v>
      </c>
      <c r="X37" s="1485"/>
      <c r="Z37" s="1485"/>
      <c r="AB37" s="108" t="s">
        <v>1390</v>
      </c>
      <c r="AC37" s="736" t="s">
        <v>1391</v>
      </c>
      <c r="AD37" s="108" t="s">
        <v>521</v>
      </c>
      <c r="AE37" s="69"/>
      <c r="AF37" s="69"/>
      <c r="AG37" s="69"/>
      <c r="AH37" s="253">
        <f t="shared" si="2"/>
        <v>0</v>
      </c>
      <c r="AI37" s="69"/>
      <c r="AJ37" s="924"/>
      <c r="AK37" s="1308"/>
      <c r="AL37" s="1308"/>
      <c r="AM37" s="69"/>
      <c r="AN37" s="69"/>
      <c r="AO37" s="69"/>
      <c r="AP37" s="69"/>
      <c r="AQ37" s="69"/>
      <c r="AR37" s="69"/>
      <c r="AS37" s="69"/>
      <c r="AT37" s="924"/>
      <c r="AU37" s="1308"/>
      <c r="AV37" s="1308"/>
      <c r="AW37" s="69"/>
      <c r="AX37" s="69"/>
      <c r="AY37" s="69"/>
      <c r="AZ37" s="69"/>
      <c r="BA37" s="69"/>
      <c r="BB37" s="69"/>
      <c r="BC37" s="69"/>
      <c r="BD37" s="253">
        <f t="shared" si="3"/>
        <v>0</v>
      </c>
      <c r="BE37" s="253">
        <f t="shared" si="4"/>
        <v>0</v>
      </c>
      <c r="BF37" s="253">
        <f t="shared" si="5"/>
        <v>0</v>
      </c>
      <c r="BG37" s="253">
        <f t="shared" si="6"/>
        <v>0</v>
      </c>
      <c r="BH37" s="253">
        <f t="shared" si="7"/>
        <v>0</v>
      </c>
      <c r="BI37" s="253">
        <f t="shared" si="8"/>
        <v>0</v>
      </c>
      <c r="BJ37" s="253">
        <f t="shared" si="9"/>
        <v>0</v>
      </c>
      <c r="BK37" s="253">
        <f t="shared" si="10"/>
        <v>0</v>
      </c>
      <c r="BL37" s="253">
        <f t="shared" si="11"/>
        <v>0</v>
      </c>
      <c r="BM37" s="253">
        <f t="shared" si="12"/>
        <v>0</v>
      </c>
      <c r="BN37" s="25"/>
      <c r="BO37" s="25"/>
      <c r="BP37" s="25"/>
      <c r="BS37" s="971" t="s">
        <v>1392</v>
      </c>
    </row>
    <row r="38" spans="1:71" ht="14.65" hidden="1" customHeight="1" x14ac:dyDescent="0.15">
      <c r="E38" s="668">
        <v>15</v>
      </c>
      <c r="F38" s="769" cm="1">
        <f t="array" aca="1" ref="F38" ca="1">OFFSET(G38,-1,-1)</f>
        <v>0</v>
      </c>
      <c r="T38" s="679" t="b" cm="1">
        <f t="array" ref="T38">T36</f>
        <v>0</v>
      </c>
      <c r="X38" s="1485"/>
      <c r="Z38" s="1485"/>
      <c r="AB38" s="108" t="s">
        <v>1070</v>
      </c>
      <c r="AC38" s="115" t="s">
        <v>1393</v>
      </c>
      <c r="AD38" s="108" t="s">
        <v>830</v>
      </c>
      <c r="AE38" s="73"/>
      <c r="AF38" s="73"/>
      <c r="AG38" s="73"/>
      <c r="AH38" s="253">
        <f t="shared" si="2"/>
        <v>0</v>
      </c>
      <c r="AI38" s="73"/>
      <c r="AJ38" s="509"/>
      <c r="AK38" s="1315"/>
      <c r="AL38" s="1315"/>
      <c r="AM38" s="73"/>
      <c r="AN38" s="73"/>
      <c r="AO38" s="73"/>
      <c r="AP38" s="73"/>
      <c r="AQ38" s="73"/>
      <c r="AR38" s="73"/>
      <c r="AS38" s="73"/>
      <c r="AT38" s="509"/>
      <c r="AU38" s="1315"/>
      <c r="AV38" s="1315"/>
      <c r="AW38" s="73"/>
      <c r="AX38" s="73"/>
      <c r="AY38" s="73"/>
      <c r="AZ38" s="73"/>
      <c r="BA38" s="73"/>
      <c r="BB38" s="73"/>
      <c r="BC38" s="73"/>
      <c r="BD38" s="253">
        <f t="shared" si="3"/>
        <v>0</v>
      </c>
      <c r="BE38" s="253">
        <f t="shared" si="4"/>
        <v>0</v>
      </c>
      <c r="BF38" s="253">
        <f t="shared" si="5"/>
        <v>0</v>
      </c>
      <c r="BG38" s="253">
        <f t="shared" si="6"/>
        <v>0</v>
      </c>
      <c r="BH38" s="253">
        <f t="shared" si="7"/>
        <v>0</v>
      </c>
      <c r="BI38" s="253">
        <f t="shared" si="8"/>
        <v>0</v>
      </c>
      <c r="BJ38" s="253">
        <f t="shared" si="9"/>
        <v>0</v>
      </c>
      <c r="BK38" s="253">
        <f t="shared" si="10"/>
        <v>0</v>
      </c>
      <c r="BL38" s="253">
        <f t="shared" si="11"/>
        <v>0</v>
      </c>
      <c r="BM38" s="253">
        <f t="shared" si="12"/>
        <v>0</v>
      </c>
      <c r="BN38" s="25"/>
      <c r="BO38" s="25"/>
      <c r="BP38" s="25"/>
      <c r="BS38" s="971" t="s">
        <v>1394</v>
      </c>
    </row>
    <row r="39" spans="1:71" ht="14.65" hidden="1" customHeight="1" x14ac:dyDescent="0.15">
      <c r="E39" s="668">
        <v>15</v>
      </c>
      <c r="F39" s="769" cm="1">
        <f t="array" aca="1" ref="F39" ca="1">OFFSET(G39,-1,-1)</f>
        <v>0</v>
      </c>
      <c r="G39" s="140" t="s">
        <v>1154</v>
      </c>
      <c r="T39" s="679" t="b" cm="1">
        <f t="array" ref="T39">T38</f>
        <v>0</v>
      </c>
      <c r="X39" s="1485"/>
      <c r="Z39" s="1485"/>
      <c r="AB39" s="108" t="s">
        <v>1073</v>
      </c>
      <c r="AC39" s="115" t="s">
        <v>1395</v>
      </c>
      <c r="AD39" s="108" t="s">
        <v>830</v>
      </c>
      <c r="AE39" s="507">
        <f ca="1">SUMIFS(Амортизация!AE$26:AE$225,Амортизация!$F$26:$F$225,$F39,Амортизация!$G$26:$G$225,$G39)</f>
        <v>0</v>
      </c>
      <c r="AF39" s="507">
        <f ca="1">SUMIFS(Амортизация!AF$26:AF$225,Амортизация!$F$26:$F$225,$F39,Амортизация!$G$26:$G$225,$G39)</f>
        <v>0</v>
      </c>
      <c r="AG39" s="73">
        <f ca="1">SUMIFS(Амортизация!AG$26:AG$225,Амортизация!$F$26:$F$225,$F39,Амортизация!$G$26:$G$225,$G39)</f>
        <v>0</v>
      </c>
      <c r="AH39" s="253">
        <f t="shared" ca="1" si="2"/>
        <v>0</v>
      </c>
      <c r="AI39" s="507">
        <f ca="1">SUMIFS(Амортизация!AH$26:AH$225,Амортизация!$F$26:$F$225,$F39,Амортизация!$G$26:$G$225,$G39)</f>
        <v>0</v>
      </c>
      <c r="AJ39" s="507">
        <f ca="1">SUMIFS(Амортизация!AI$26:AI$225,Амортизация!$F$26:$F$225,$F39,Амортизация!$G$26:$G$225,$G39)</f>
        <v>0</v>
      </c>
      <c r="AK39" s="507">
        <f ca="1">SUMIFS(Амортизация!AJ$26:AJ$225,Амортизация!$F$26:$F$225,$F39,Амортизация!$G$26:$G$225,$G39)</f>
        <v>0</v>
      </c>
      <c r="AL39" s="507">
        <f ca="1">SUMIFS(Амортизация!AK$26:AK$225,Амортизация!$F$26:$F$225,$F39,Амортизация!$G$26:$G$225,$G39)</f>
        <v>0</v>
      </c>
      <c r="AM39" s="507">
        <f ca="1">SUMIFS(Амортизация!AL$26:AL$225,Амортизация!$F$26:$F$225,$F39,Амортизация!$G$26:$G$225,$G39)</f>
        <v>0</v>
      </c>
      <c r="AN39" s="507">
        <f ca="1">SUMIFS(Амортизация!AM$26:AM$225,Амортизация!$F$26:$F$225,$F39,Амортизация!$G$26:$G$225,$G39)</f>
        <v>0</v>
      </c>
      <c r="AO39" s="507">
        <f ca="1">SUMIFS(Амортизация!AN$26:AN$225,Амортизация!$F$26:$F$225,$F39,Амортизация!$G$26:$G$225,$G39)</f>
        <v>0</v>
      </c>
      <c r="AP39" s="507">
        <f ca="1">SUMIFS(Амортизация!AO$26:AO$225,Амортизация!$F$26:$F$225,$F39,Амортизация!$G$26:$G$225,$G39)</f>
        <v>0</v>
      </c>
      <c r="AQ39" s="507">
        <f ca="1">SUMIFS(Амортизация!AP$26:AP$225,Амортизация!$F$26:$F$225,$F39,Амортизация!$G$26:$G$225,$G39)</f>
        <v>0</v>
      </c>
      <c r="AR39" s="507">
        <f ca="1">SUMIFS(Амортизация!AQ$26:AQ$225,Амортизация!$F$26:$F$225,$F39,Амортизация!$G$26:$G$225,$G39)</f>
        <v>0</v>
      </c>
      <c r="AS39" s="507">
        <f ca="1">SUMIFS(Амортизация!AR$26:AR$225,Амортизация!$F$26:$F$225,$F39,Амортизация!$G$26:$G$225,$G39)</f>
        <v>0</v>
      </c>
      <c r="AT39" s="507">
        <f ca="1">SUMIFS(Амортизация!AS$26:AS$225,Амортизация!$F$26:$F$225,$F39,Амортизация!$G$26:$G$225,$G39)</f>
        <v>0</v>
      </c>
      <c r="AU39" s="507">
        <f ca="1">SUMIFS(Амортизация!AT$26:AT$225,Амортизация!$F$26:$F$225,$F39,Амортизация!$G$26:$G$225,$G39)</f>
        <v>0</v>
      </c>
      <c r="AV39" s="507">
        <f ca="1">SUMIFS(Амортизация!AU$26:AU$225,Амортизация!$F$26:$F$225,$F39,Амортизация!$G$26:$G$225,$G39)</f>
        <v>0</v>
      </c>
      <c r="AW39" s="507">
        <f ca="1">SUMIFS(Амортизация!AV$26:AV$225,Амортизация!$F$26:$F$225,$F39,Амортизация!$G$26:$G$225,$G39)</f>
        <v>0</v>
      </c>
      <c r="AX39" s="507">
        <f ca="1">SUMIFS(Амортизация!AW$26:AW$225,Амортизация!$F$26:$F$225,$F39,Амортизация!$G$26:$G$225,$G39)</f>
        <v>0</v>
      </c>
      <c r="AY39" s="507">
        <f ca="1">SUMIFS(Амортизация!AX$26:AX$225,Амортизация!$F$26:$F$225,$F39,Амортизация!$G$26:$G$225,$G39)</f>
        <v>0</v>
      </c>
      <c r="AZ39" s="507">
        <f ca="1">SUMIFS(Амортизация!AY$26:AY$225,Амортизация!$F$26:$F$225,$F39,Амортизация!$G$26:$G$225,$G39)</f>
        <v>0</v>
      </c>
      <c r="BA39" s="507">
        <f ca="1">SUMIFS(Амортизация!AZ$26:AZ$225,Амортизация!$F$26:$F$225,$F39,Амортизация!$G$26:$G$225,$G39)</f>
        <v>0</v>
      </c>
      <c r="BB39" s="507">
        <f ca="1">SUMIFS(Амортизация!BA$26:BA$225,Амортизация!$F$26:$F$225,$F39,Амортизация!$G$26:$G$225,$G39)</f>
        <v>0</v>
      </c>
      <c r="BC39" s="507">
        <f ca="1">SUMIFS(Амортизация!BB$26:BB$225,Амортизация!$F$26:$F$225,$F39,Амортизация!$G$26:$G$225,$G39)</f>
        <v>0</v>
      </c>
      <c r="BD39" s="253">
        <f t="shared" ca="1" si="3"/>
        <v>0</v>
      </c>
      <c r="BE39" s="253">
        <f t="shared" ca="1" si="4"/>
        <v>0</v>
      </c>
      <c r="BF39" s="253">
        <f t="shared" ca="1" si="5"/>
        <v>0</v>
      </c>
      <c r="BG39" s="253">
        <f t="shared" ca="1" si="6"/>
        <v>0</v>
      </c>
      <c r="BH39" s="253">
        <f t="shared" ca="1" si="7"/>
        <v>0</v>
      </c>
      <c r="BI39" s="253">
        <f t="shared" ca="1" si="8"/>
        <v>0</v>
      </c>
      <c r="BJ39" s="253">
        <f t="shared" ca="1" si="9"/>
        <v>0</v>
      </c>
      <c r="BK39" s="253">
        <f t="shared" ca="1" si="10"/>
        <v>0</v>
      </c>
      <c r="BL39" s="253">
        <f t="shared" ca="1" si="11"/>
        <v>0</v>
      </c>
      <c r="BM39" s="253">
        <f t="shared" ca="1" si="12"/>
        <v>0</v>
      </c>
      <c r="BN39" s="25"/>
      <c r="BO39" s="25"/>
      <c r="BP39" s="25"/>
      <c r="BS39" s="971" t="s">
        <v>1396</v>
      </c>
    </row>
    <row r="40" spans="1:71" ht="24.95" hidden="1" customHeight="1" x14ac:dyDescent="0.15">
      <c r="E40" s="668">
        <v>25.5</v>
      </c>
      <c r="F40" s="769" cm="1">
        <f t="array" aca="1" ref="F40" ca="1">OFFSET(G40,-1,-1)</f>
        <v>0</v>
      </c>
      <c r="T40" s="679" t="b" cm="1">
        <f t="array" ref="T40">T39</f>
        <v>0</v>
      </c>
      <c r="X40" s="1485"/>
      <c r="Z40" s="1485"/>
      <c r="AB40" s="108" t="s">
        <v>1076</v>
      </c>
      <c r="AC40" s="115" t="s">
        <v>1397</v>
      </c>
      <c r="AD40" s="108" t="s">
        <v>830</v>
      </c>
      <c r="AE40" s="73"/>
      <c r="AF40" s="73"/>
      <c r="AG40" s="73"/>
      <c r="AH40" s="253">
        <f t="shared" si="2"/>
        <v>0</v>
      </c>
      <c r="AI40" s="73"/>
      <c r="AJ40" s="509"/>
      <c r="AK40" s="1315"/>
      <c r="AL40" s="1315"/>
      <c r="AM40" s="73"/>
      <c r="AN40" s="73"/>
      <c r="AO40" s="73"/>
      <c r="AP40" s="73"/>
      <c r="AQ40" s="73"/>
      <c r="AR40" s="73"/>
      <c r="AS40" s="73"/>
      <c r="AT40" s="509"/>
      <c r="AU40" s="1315"/>
      <c r="AV40" s="1315"/>
      <c r="AW40" s="73"/>
      <c r="AX40" s="73"/>
      <c r="AY40" s="73"/>
      <c r="AZ40" s="73"/>
      <c r="BA40" s="73"/>
      <c r="BB40" s="73"/>
      <c r="BC40" s="73"/>
      <c r="BD40" s="253">
        <f t="shared" si="3"/>
        <v>0</v>
      </c>
      <c r="BE40" s="253">
        <f t="shared" si="4"/>
        <v>0</v>
      </c>
      <c r="BF40" s="253">
        <f t="shared" si="5"/>
        <v>0</v>
      </c>
      <c r="BG40" s="253">
        <f t="shared" si="6"/>
        <v>0</v>
      </c>
      <c r="BH40" s="253">
        <f t="shared" si="7"/>
        <v>0</v>
      </c>
      <c r="BI40" s="253">
        <f t="shared" si="8"/>
        <v>0</v>
      </c>
      <c r="BJ40" s="253">
        <f t="shared" si="9"/>
        <v>0</v>
      </c>
      <c r="BK40" s="253">
        <f t="shared" si="10"/>
        <v>0</v>
      </c>
      <c r="BL40" s="253">
        <f t="shared" si="11"/>
        <v>0</v>
      </c>
      <c r="BM40" s="253">
        <f t="shared" si="12"/>
        <v>0</v>
      </c>
      <c r="BN40" s="25"/>
      <c r="BO40" s="25"/>
      <c r="BP40" s="25"/>
      <c r="BS40" s="971" t="s">
        <v>1398</v>
      </c>
    </row>
    <row r="41" spans="1:71" ht="24.95" hidden="1" customHeight="1" x14ac:dyDescent="0.15">
      <c r="E41" s="668">
        <v>25.5</v>
      </c>
      <c r="F41" s="769" cm="1">
        <f t="array" aca="1" ref="F41" ca="1">OFFSET(G41,-1,-1)</f>
        <v>0</v>
      </c>
      <c r="T41" s="679" t="b" cm="1">
        <f t="array" ref="T41">T40</f>
        <v>0</v>
      </c>
      <c r="X41" s="1485"/>
      <c r="Z41" s="1485"/>
      <c r="AB41" s="108" t="s">
        <v>1290</v>
      </c>
      <c r="AC41" s="115" t="s">
        <v>1399</v>
      </c>
      <c r="AD41" s="108" t="s">
        <v>830</v>
      </c>
      <c r="AE41" s="73"/>
      <c r="AF41" s="73"/>
      <c r="AG41" s="73"/>
      <c r="AH41" s="253">
        <f t="shared" si="2"/>
        <v>0</v>
      </c>
      <c r="AI41" s="73"/>
      <c r="AJ41" s="509"/>
      <c r="AK41" s="1315"/>
      <c r="AL41" s="1315"/>
      <c r="AM41" s="73"/>
      <c r="AN41" s="73"/>
      <c r="AO41" s="73"/>
      <c r="AP41" s="73"/>
      <c r="AQ41" s="73"/>
      <c r="AR41" s="73"/>
      <c r="AS41" s="73"/>
      <c r="AT41" s="509"/>
      <c r="AU41" s="1315"/>
      <c r="AV41" s="1315"/>
      <c r="AW41" s="73"/>
      <c r="AX41" s="73"/>
      <c r="AY41" s="73"/>
      <c r="AZ41" s="73"/>
      <c r="BA41" s="73"/>
      <c r="BB41" s="73"/>
      <c r="BC41" s="73"/>
      <c r="BD41" s="253">
        <f t="shared" si="3"/>
        <v>0</v>
      </c>
      <c r="BE41" s="253">
        <f t="shared" si="4"/>
        <v>0</v>
      </c>
      <c r="BF41" s="253">
        <f t="shared" si="5"/>
        <v>0</v>
      </c>
      <c r="BG41" s="253">
        <f t="shared" si="6"/>
        <v>0</v>
      </c>
      <c r="BH41" s="253">
        <f t="shared" si="7"/>
        <v>0</v>
      </c>
      <c r="BI41" s="253">
        <f t="shared" si="8"/>
        <v>0</v>
      </c>
      <c r="BJ41" s="253">
        <f t="shared" si="9"/>
        <v>0</v>
      </c>
      <c r="BK41" s="253">
        <f t="shared" si="10"/>
        <v>0</v>
      </c>
      <c r="BL41" s="253">
        <f t="shared" si="11"/>
        <v>0</v>
      </c>
      <c r="BM41" s="253">
        <f t="shared" si="12"/>
        <v>0</v>
      </c>
      <c r="BN41" s="25"/>
      <c r="BO41" s="25"/>
      <c r="BP41" s="25"/>
      <c r="BS41" s="971" t="s">
        <v>1400</v>
      </c>
    </row>
    <row r="42" spans="1:71" ht="14.65" hidden="1" customHeight="1" x14ac:dyDescent="0.15">
      <c r="E42" s="668">
        <v>15</v>
      </c>
      <c r="F42" s="769" cm="1">
        <f t="array" aca="1" ref="F42" ca="1">OFFSET(G42,-1,-1)</f>
        <v>0</v>
      </c>
      <c r="T42" s="679" t="b" cm="1">
        <f t="array" ref="T42">T41</f>
        <v>0</v>
      </c>
      <c r="X42" s="1485"/>
      <c r="Z42" s="1485"/>
      <c r="AB42" s="108"/>
      <c r="AC42" s="115" t="s">
        <v>1401</v>
      </c>
      <c r="AD42" s="108" t="s">
        <v>830</v>
      </c>
      <c r="AE42" s="507">
        <f ca="1">AE29+AE30+AE31+AE32+AE36+AE38+AE39+AE40+AE41</f>
        <v>0</v>
      </c>
      <c r="AF42" s="507">
        <f ca="1">AF29+AF30+AF31+AF32+AF36+AF38+AF39+AF40+AF41</f>
        <v>0</v>
      </c>
      <c r="AG42" s="73">
        <f ca="1">AG29+AG30+AG31+AG32+AG36+AG38+AG39+AG40+AG41</f>
        <v>0</v>
      </c>
      <c r="AH42" s="253">
        <f t="shared" ca="1" si="2"/>
        <v>0</v>
      </c>
      <c r="AI42" s="507">
        <f t="shared" ref="AI42:BC42" ca="1" si="14">AI29+AI30+AI31+AI32+AI36+AI38+AI39+AI40+AI41</f>
        <v>0</v>
      </c>
      <c r="AJ42" s="507">
        <f t="shared" ca="1" si="14"/>
        <v>0</v>
      </c>
      <c r="AK42" s="507">
        <f t="shared" ca="1" si="14"/>
        <v>0</v>
      </c>
      <c r="AL42" s="507">
        <f t="shared" ca="1" si="14"/>
        <v>0</v>
      </c>
      <c r="AM42" s="507">
        <f t="shared" ca="1" si="14"/>
        <v>0</v>
      </c>
      <c r="AN42" s="507">
        <f t="shared" ca="1" si="14"/>
        <v>0</v>
      </c>
      <c r="AO42" s="507">
        <f t="shared" ca="1" si="14"/>
        <v>0</v>
      </c>
      <c r="AP42" s="507">
        <f t="shared" ca="1" si="14"/>
        <v>0</v>
      </c>
      <c r="AQ42" s="507">
        <f t="shared" ca="1" si="14"/>
        <v>0</v>
      </c>
      <c r="AR42" s="507">
        <f t="shared" ca="1" si="14"/>
        <v>0</v>
      </c>
      <c r="AS42" s="507">
        <f t="shared" ca="1" si="14"/>
        <v>0</v>
      </c>
      <c r="AT42" s="507">
        <f t="shared" ca="1" si="14"/>
        <v>0</v>
      </c>
      <c r="AU42" s="507">
        <f t="shared" ca="1" si="14"/>
        <v>0</v>
      </c>
      <c r="AV42" s="507">
        <f t="shared" ca="1" si="14"/>
        <v>0</v>
      </c>
      <c r="AW42" s="507">
        <f t="shared" ca="1" si="14"/>
        <v>0</v>
      </c>
      <c r="AX42" s="507">
        <f t="shared" ca="1" si="14"/>
        <v>0</v>
      </c>
      <c r="AY42" s="507">
        <f t="shared" ca="1" si="14"/>
        <v>0</v>
      </c>
      <c r="AZ42" s="507">
        <f t="shared" ca="1" si="14"/>
        <v>0</v>
      </c>
      <c r="BA42" s="507">
        <f t="shared" ca="1" si="14"/>
        <v>0</v>
      </c>
      <c r="BB42" s="507">
        <f t="shared" ca="1" si="14"/>
        <v>0</v>
      </c>
      <c r="BC42" s="507">
        <f t="shared" ca="1" si="14"/>
        <v>0</v>
      </c>
      <c r="BD42" s="253">
        <f t="shared" ca="1" si="3"/>
        <v>0</v>
      </c>
      <c r="BE42" s="253">
        <f t="shared" ca="1" si="4"/>
        <v>0</v>
      </c>
      <c r="BF42" s="253">
        <f t="shared" ca="1" si="5"/>
        <v>0</v>
      </c>
      <c r="BG42" s="253">
        <f t="shared" ca="1" si="6"/>
        <v>0</v>
      </c>
      <c r="BH42" s="253">
        <f t="shared" ca="1" si="7"/>
        <v>0</v>
      </c>
      <c r="BI42" s="253">
        <f t="shared" ca="1" si="8"/>
        <v>0</v>
      </c>
      <c r="BJ42" s="253">
        <f t="shared" ca="1" si="9"/>
        <v>0</v>
      </c>
      <c r="BK42" s="253">
        <f t="shared" ca="1" si="10"/>
        <v>0</v>
      </c>
      <c r="BL42" s="253">
        <f t="shared" ca="1" si="11"/>
        <v>0</v>
      </c>
      <c r="BM42" s="253">
        <f t="shared" ca="1" si="12"/>
        <v>0</v>
      </c>
      <c r="BN42" s="25"/>
      <c r="BO42" s="25"/>
      <c r="BP42" s="25"/>
      <c r="BS42" s="971" t="s">
        <v>623</v>
      </c>
    </row>
    <row r="43" spans="1:71" ht="14.65" hidden="1" customHeight="1" x14ac:dyDescent="0.15">
      <c r="E43" s="668">
        <v>15</v>
      </c>
      <c r="F43" s="769" cm="1">
        <f t="array" aca="1" ref="F43" ca="1">OFFSET(G43,-1,-1)</f>
        <v>0</v>
      </c>
      <c r="G43" s="140" t="s">
        <v>1285</v>
      </c>
      <c r="T43" s="679" t="b" cm="1">
        <f t="array" ref="T43">T42</f>
        <v>0</v>
      </c>
      <c r="X43" s="1485"/>
      <c r="Z43" s="1485"/>
      <c r="AB43" s="108" t="s">
        <v>426</v>
      </c>
      <c r="AC43" s="115" t="s">
        <v>1402</v>
      </c>
      <c r="AD43" s="108" t="s">
        <v>830</v>
      </c>
      <c r="AE43" s="507">
        <f ca="1">SUMIFS(Налоги!AE$26:AE$56,Налоги!$F$26:$F$56,$F43,Налоги!$G$26:$G$56,$G43)</f>
        <v>0</v>
      </c>
      <c r="AF43" s="507">
        <f ca="1">SUMIFS(Налоги!AF$26:AF$56,Налоги!$F$26:$F$56,$F43,Налоги!$G$26:$G$56,$G43)</f>
        <v>0</v>
      </c>
      <c r="AG43" s="73">
        <f ca="1">SUMIFS(Налоги!AG$26:AG$56,Налоги!$F$26:$F$56,$F43,Налоги!$G$26:$G$56,$G43)</f>
        <v>0</v>
      </c>
      <c r="AH43" s="253">
        <f t="shared" ca="1" si="2"/>
        <v>0</v>
      </c>
      <c r="AI43" s="507">
        <f ca="1">SUMIFS(Налоги!AH$26:AH$56,Налоги!$F$26:$F$56,$F43,Налоги!$G$26:$G$56,$G43)</f>
        <v>0</v>
      </c>
      <c r="AJ43" s="507">
        <f ca="1">SUMIFS(Налоги!AI$26:AI$56,Налоги!$F$26:$F$56,$F43,Налоги!$G$26:$G$56,$G43)</f>
        <v>0</v>
      </c>
      <c r="AK43" s="507">
        <f ca="1">SUMIFS(Налоги!AJ$26:AJ$56,Налоги!$F$26:$F$56,$F43,Налоги!$G$26:$G$56,$G43)</f>
        <v>0</v>
      </c>
      <c r="AL43" s="507">
        <f ca="1">SUMIFS(Налоги!AK$26:AK$56,Налоги!$F$26:$F$56,$F43,Налоги!$G$26:$G$56,$G43)</f>
        <v>0</v>
      </c>
      <c r="AM43" s="507">
        <f ca="1">SUMIFS(Налоги!AL$26:AL$56,Налоги!$F$26:$F$56,$F43,Налоги!$G$26:$G$56,$G43)</f>
        <v>0</v>
      </c>
      <c r="AN43" s="507">
        <f ca="1">SUMIFS(Налоги!AM$26:AM$56,Налоги!$F$26:$F$56,$F43,Налоги!$G$26:$G$56,$G43)</f>
        <v>0</v>
      </c>
      <c r="AO43" s="507">
        <f ca="1">SUMIFS(Налоги!AN$26:AN$56,Налоги!$F$26:$F$56,$F43,Налоги!$G$26:$G$56,$G43)</f>
        <v>0</v>
      </c>
      <c r="AP43" s="507">
        <f ca="1">SUMIFS(Налоги!AO$26:AO$56,Налоги!$F$26:$F$56,$F43,Налоги!$G$26:$G$56,$G43)</f>
        <v>0</v>
      </c>
      <c r="AQ43" s="507">
        <f ca="1">SUMIFS(Налоги!AP$26:AP$56,Налоги!$F$26:$F$56,$F43,Налоги!$G$26:$G$56,$G43)</f>
        <v>0</v>
      </c>
      <c r="AR43" s="507">
        <f ca="1">SUMIFS(Налоги!AQ$26:AQ$56,Налоги!$F$26:$F$56,$F43,Налоги!$G$26:$G$56,$G43)</f>
        <v>0</v>
      </c>
      <c r="AS43" s="507">
        <f ca="1">SUMIFS(Налоги!AR$26:AR$56,Налоги!$F$26:$F$56,$F43,Налоги!$G$26:$G$56,$G43)</f>
        <v>0</v>
      </c>
      <c r="AT43" s="507">
        <f ca="1">SUMIFS(Налоги!AS$26:AS$56,Налоги!$F$26:$F$56,$F43,Налоги!$G$26:$G$56,$G43)</f>
        <v>0</v>
      </c>
      <c r="AU43" s="507">
        <f ca="1">SUMIFS(Налоги!AT$26:AT$56,Налоги!$F$26:$F$56,$F43,Налоги!$G$26:$G$56,$G43)</f>
        <v>0</v>
      </c>
      <c r="AV43" s="507">
        <f ca="1">SUMIFS(Налоги!AU$26:AU$56,Налоги!$F$26:$F$56,$F43,Налоги!$G$26:$G$56,$G43)</f>
        <v>0</v>
      </c>
      <c r="AW43" s="507">
        <f ca="1">SUMIFS(Налоги!AV$26:AV$56,Налоги!$F$26:$F$56,$F43,Налоги!$G$26:$G$56,$G43)</f>
        <v>0</v>
      </c>
      <c r="AX43" s="507">
        <f ca="1">SUMIFS(Налоги!AW$26:AW$56,Налоги!$F$26:$F$56,$F43,Налоги!$G$26:$G$56,$G43)</f>
        <v>0</v>
      </c>
      <c r="AY43" s="507">
        <f ca="1">SUMIFS(Налоги!AX$26:AX$56,Налоги!$F$26:$F$56,$F43,Налоги!$G$26:$G$56,$G43)</f>
        <v>0</v>
      </c>
      <c r="AZ43" s="507">
        <f ca="1">SUMIFS(Налоги!AY$26:AY$56,Налоги!$F$26:$F$56,$F43,Налоги!$G$26:$G$56,$G43)</f>
        <v>0</v>
      </c>
      <c r="BA43" s="507">
        <f ca="1">SUMIFS(Налоги!AZ$26:AZ$56,Налоги!$F$26:$F$56,$F43,Налоги!$G$26:$G$56,$G43)</f>
        <v>0</v>
      </c>
      <c r="BB43" s="507">
        <f ca="1">SUMIFS(Налоги!BA$26:BA$56,Налоги!$F$26:$F$56,$F43,Налоги!$G$26:$G$56,$G43)</f>
        <v>0</v>
      </c>
      <c r="BC43" s="507">
        <f ca="1">SUMIFS(Налоги!BB$26:BB$56,Налоги!$F$26:$F$56,$F43,Налоги!$G$26:$G$56,$G43)</f>
        <v>0</v>
      </c>
      <c r="BD43" s="253">
        <f t="shared" ca="1" si="3"/>
        <v>0</v>
      </c>
      <c r="BE43" s="253">
        <f t="shared" ca="1" si="4"/>
        <v>0</v>
      </c>
      <c r="BF43" s="253">
        <f t="shared" ca="1" si="5"/>
        <v>0</v>
      </c>
      <c r="BG43" s="253">
        <f t="shared" ca="1" si="6"/>
        <v>0</v>
      </c>
      <c r="BH43" s="253">
        <f t="shared" ca="1" si="7"/>
        <v>0</v>
      </c>
      <c r="BI43" s="253">
        <f t="shared" ca="1" si="8"/>
        <v>0</v>
      </c>
      <c r="BJ43" s="253">
        <f t="shared" ca="1" si="9"/>
        <v>0</v>
      </c>
      <c r="BK43" s="253">
        <f t="shared" ca="1" si="10"/>
        <v>0</v>
      </c>
      <c r="BL43" s="253">
        <f t="shared" ca="1" si="11"/>
        <v>0</v>
      </c>
      <c r="BM43" s="253">
        <f t="shared" ca="1" si="12"/>
        <v>0</v>
      </c>
      <c r="BN43" s="25"/>
      <c r="BO43" s="25"/>
      <c r="BP43" s="25"/>
      <c r="BS43" s="971" t="s">
        <v>602</v>
      </c>
    </row>
    <row r="44" spans="1:71" ht="27.2" hidden="1" customHeight="1" x14ac:dyDescent="0.15">
      <c r="E44" s="668">
        <v>27.8</v>
      </c>
      <c r="F44" s="769" cm="1">
        <f t="array" aca="1" ref="F44" ca="1">OFFSET(G44,-1,-1)</f>
        <v>0</v>
      </c>
      <c r="G44" s="140" t="s">
        <v>1309</v>
      </c>
      <c r="T44" s="679" t="b" cm="1">
        <f t="array" ref="T44">T43</f>
        <v>0</v>
      </c>
      <c r="X44" s="1485"/>
      <c r="Z44" s="1485"/>
      <c r="AB44" s="108" t="s">
        <v>431</v>
      </c>
      <c r="AC44" s="115" t="s">
        <v>1403</v>
      </c>
      <c r="AD44" s="108" t="s">
        <v>830</v>
      </c>
      <c r="AE44" s="73"/>
      <c r="AF44" s="73"/>
      <c r="AG44" s="73"/>
      <c r="AH44" s="253">
        <f t="shared" si="2"/>
        <v>0</v>
      </c>
      <c r="AI44" s="73"/>
      <c r="AJ44" s="507">
        <f ca="1">SUMIFS(Экономия_корр!AE$26:AE$43,Экономия_корр!$F$26:$F$43,$F44,Экономия_корр!$G$26:$G$43,$G44)</f>
        <v>0</v>
      </c>
      <c r="AK44" s="507">
        <f ca="1">SUMIFS(Экономия_корр!AF$26:AF$43,Экономия_корр!$F$26:$F$43,$F44,Экономия_корр!$G$26:$G$43,$G44)</f>
        <v>0</v>
      </c>
      <c r="AL44" s="507">
        <f ca="1">SUMIFS(Экономия_корр!AG$26:AG$43,Экономия_корр!$F$26:$F$43,$F44,Экономия_корр!$G$26:$G$43,$G44)</f>
        <v>0</v>
      </c>
      <c r="AM44" s="507">
        <f ca="1">SUMIFS(Экономия_корр!AH$26:AH$43,Экономия_корр!$F$26:$F$43,$F44,Экономия_корр!$G$26:$G$43,$G44)</f>
        <v>0</v>
      </c>
      <c r="AN44" s="507">
        <f ca="1">SUMIFS(Экономия_корр!AI$26:AI$43,Экономия_корр!$F$26:$F$43,$F44,Экономия_корр!$G$26:$G$43,$G44)</f>
        <v>0</v>
      </c>
      <c r="AO44" s="507">
        <f ca="1">SUMIFS(Экономия_корр!AJ$26:AJ$43,Экономия_корр!$F$26:$F$43,$F44,Экономия_корр!$G$26:$G$43,$G44)</f>
        <v>0</v>
      </c>
      <c r="AP44" s="507">
        <f ca="1">SUMIFS(Экономия_корр!AK$26:AK$43,Экономия_корр!$F$26:$F$43,$F44,Экономия_корр!$G$26:$G$43,$G44)</f>
        <v>0</v>
      </c>
      <c r="AQ44" s="507">
        <f ca="1">SUMIFS(Экономия_корр!AL$26:AL$43,Экономия_корр!$F$26:$F$43,$F44,Экономия_корр!$G$26:$G$43,$G44)</f>
        <v>0</v>
      </c>
      <c r="AR44" s="507">
        <f ca="1">SUMIFS(Экономия_корр!AM$26:AM$43,Экономия_корр!$F$26:$F$43,$F44,Экономия_корр!$G$26:$G$43,$G44)</f>
        <v>0</v>
      </c>
      <c r="AS44" s="507">
        <f ca="1">SUMIFS(Экономия_корр!AN$26:AN$43,Экономия_корр!$F$26:$F$43,$F44,Экономия_корр!$G$26:$G$43,$G44)</f>
        <v>0</v>
      </c>
      <c r="AT44" s="507">
        <f ca="1">SUMIFS(Экономия_корр!AO$26:AO$43,Экономия_корр!$F$26:$F$43,$F44,Экономия_корр!$G$26:$G$43,$G44)</f>
        <v>0</v>
      </c>
      <c r="AU44" s="507">
        <f ca="1">SUMIFS(Экономия_корр!AP$26:AP$43,Экономия_корр!$F$26:$F$43,$F44,Экономия_корр!$G$26:$G$43,$G44)</f>
        <v>0</v>
      </c>
      <c r="AV44" s="507">
        <f ca="1">SUMIFS(Экономия_корр!AQ$26:AQ$43,Экономия_корр!$F$26:$F$43,$F44,Экономия_корр!$G$26:$G$43,$G44)</f>
        <v>0</v>
      </c>
      <c r="AW44" s="507">
        <f ca="1">SUMIFS(Экономия_корр!AR$26:AR$43,Экономия_корр!$F$26:$F$43,$F44,Экономия_корр!$G$26:$G$43,$G44)</f>
        <v>0</v>
      </c>
      <c r="AX44" s="507">
        <f ca="1">SUMIFS(Экономия_корр!AS$26:AS$43,Экономия_корр!$F$26:$F$43,$F44,Экономия_корр!$G$26:$G$43,$G44)</f>
        <v>0</v>
      </c>
      <c r="AY44" s="507">
        <f ca="1">SUMIFS(Экономия_корр!AT$26:AT$43,Экономия_корр!$F$26:$F$43,$F44,Экономия_корр!$G$26:$G$43,$G44)</f>
        <v>0</v>
      </c>
      <c r="AZ44" s="507">
        <f ca="1">SUMIFS(Экономия_корр!AU$26:AU$43,Экономия_корр!$F$26:$F$43,$F44,Экономия_корр!$G$26:$G$43,$G44)</f>
        <v>0</v>
      </c>
      <c r="BA44" s="507">
        <f ca="1">SUMIFS(Экономия_корр!AV$26:AV$43,Экономия_корр!$F$26:$F$43,$F44,Экономия_корр!$G$26:$G$43,$G44)</f>
        <v>0</v>
      </c>
      <c r="BB44" s="507">
        <f ca="1">SUMIFS(Экономия_корр!AW$26:AW$43,Экономия_корр!$F$26:$F$43,$F44,Экономия_корр!$G$26:$G$43,$G44)</f>
        <v>0</v>
      </c>
      <c r="BC44" s="507">
        <f ca="1">SUMIFS(Экономия_корр!AX$26:AX$43,Экономия_корр!$F$26:$F$43,$F44,Экономия_корр!$G$26:$G$43,$G44)</f>
        <v>0</v>
      </c>
      <c r="BD44" s="253">
        <f t="shared" si="3"/>
        <v>0</v>
      </c>
      <c r="BE44" s="253">
        <f t="shared" ca="1" si="4"/>
        <v>0</v>
      </c>
      <c r="BF44" s="253">
        <f t="shared" ca="1" si="5"/>
        <v>0</v>
      </c>
      <c r="BG44" s="253">
        <f t="shared" ca="1" si="6"/>
        <v>0</v>
      </c>
      <c r="BH44" s="253">
        <f t="shared" ca="1" si="7"/>
        <v>0</v>
      </c>
      <c r="BI44" s="253">
        <f t="shared" ca="1" si="8"/>
        <v>0</v>
      </c>
      <c r="BJ44" s="253">
        <f t="shared" ca="1" si="9"/>
        <v>0</v>
      </c>
      <c r="BK44" s="253">
        <f t="shared" ca="1" si="10"/>
        <v>0</v>
      </c>
      <c r="BL44" s="253">
        <f t="shared" ca="1" si="11"/>
        <v>0</v>
      </c>
      <c r="BM44" s="253">
        <f t="shared" ca="1" si="12"/>
        <v>0</v>
      </c>
      <c r="BN44" s="25"/>
      <c r="BO44" s="25"/>
      <c r="BP44" s="25"/>
      <c r="BS44" s="971" t="s">
        <v>1404</v>
      </c>
    </row>
    <row r="45" spans="1:71" ht="27.2" hidden="1" customHeight="1" x14ac:dyDescent="0.15">
      <c r="E45" s="668">
        <v>27.8</v>
      </c>
      <c r="F45" s="769" cm="1">
        <f t="array" aca="1" ref="F45" ca="1">OFFSET(G45,-1,-1)</f>
        <v>0</v>
      </c>
      <c r="T45" s="679" t="b" cm="1">
        <f t="array" ref="T45">T44</f>
        <v>0</v>
      </c>
      <c r="X45" s="1485"/>
      <c r="Z45" s="1485"/>
      <c r="AB45" s="108" t="s">
        <v>437</v>
      </c>
      <c r="AC45" s="115" t="s">
        <v>1405</v>
      </c>
      <c r="AD45" s="108" t="s">
        <v>830</v>
      </c>
      <c r="AE45" s="73"/>
      <c r="AF45" s="73"/>
      <c r="AG45" s="73"/>
      <c r="AH45" s="253">
        <f t="shared" si="2"/>
        <v>0</v>
      </c>
      <c r="AI45" s="73"/>
      <c r="AJ45" s="509"/>
      <c r="AK45" s="1315"/>
      <c r="AL45" s="1315"/>
      <c r="AM45" s="73"/>
      <c r="AN45" s="73"/>
      <c r="AO45" s="73"/>
      <c r="AP45" s="73"/>
      <c r="AQ45" s="73"/>
      <c r="AR45" s="73"/>
      <c r="AS45" s="73"/>
      <c r="AT45" s="509"/>
      <c r="AU45" s="1315"/>
      <c r="AV45" s="1315"/>
      <c r="AW45" s="73"/>
      <c r="AX45" s="73"/>
      <c r="AY45" s="73"/>
      <c r="AZ45" s="73"/>
      <c r="BA45" s="73"/>
      <c r="BB45" s="73"/>
      <c r="BC45" s="73"/>
      <c r="BD45" s="253">
        <f t="shared" si="3"/>
        <v>0</v>
      </c>
      <c r="BE45" s="253">
        <f t="shared" si="4"/>
        <v>0</v>
      </c>
      <c r="BF45" s="253">
        <f t="shared" si="5"/>
        <v>0</v>
      </c>
      <c r="BG45" s="253">
        <f t="shared" si="6"/>
        <v>0</v>
      </c>
      <c r="BH45" s="253">
        <f t="shared" si="7"/>
        <v>0</v>
      </c>
      <c r="BI45" s="253">
        <f t="shared" si="8"/>
        <v>0</v>
      </c>
      <c r="BJ45" s="253">
        <f t="shared" si="9"/>
        <v>0</v>
      </c>
      <c r="BK45" s="253">
        <f t="shared" si="10"/>
        <v>0</v>
      </c>
      <c r="BL45" s="253">
        <f t="shared" si="11"/>
        <v>0</v>
      </c>
      <c r="BM45" s="253">
        <f t="shared" si="12"/>
        <v>0</v>
      </c>
      <c r="BN45" s="25"/>
      <c r="BO45" s="25"/>
      <c r="BP45" s="25"/>
      <c r="BS45" s="971" t="s">
        <v>1406</v>
      </c>
    </row>
    <row r="46" spans="1:71" s="182" customFormat="1" ht="14.65" hidden="1" customHeight="1" x14ac:dyDescent="0.15">
      <c r="E46" s="668">
        <v>15</v>
      </c>
      <c r="F46" s="769" cm="1">
        <f t="array" aca="1" ref="F46" ca="1">OFFSET(G46,-1,-1)</f>
        <v>0</v>
      </c>
      <c r="T46" s="679" t="b" cm="1">
        <f t="array" ref="T46">T44</f>
        <v>0</v>
      </c>
      <c r="X46" s="1586"/>
      <c r="Z46" s="1586"/>
      <c r="AB46" s="109" t="s">
        <v>441</v>
      </c>
      <c r="AC46" s="110" t="s">
        <v>1377</v>
      </c>
      <c r="AD46" s="109" t="s">
        <v>830</v>
      </c>
      <c r="AE46" s="510">
        <f ca="1">AE42+AE43+AE44+AE45</f>
        <v>0</v>
      </c>
      <c r="AF46" s="510">
        <f ca="1">AF42+AF43+AF44+AF45</f>
        <v>0</v>
      </c>
      <c r="AG46" s="74">
        <f ca="1">AG42+AG43+AG44+AG45</f>
        <v>0</v>
      </c>
      <c r="AH46" s="253">
        <f t="shared" ca="1" si="2"/>
        <v>0</v>
      </c>
      <c r="AI46" s="510">
        <f t="shared" ref="AI46:BC46" ca="1" si="15">AI42+AI43+AI44+AI45</f>
        <v>0</v>
      </c>
      <c r="AJ46" s="510">
        <f t="shared" ca="1" si="15"/>
        <v>0</v>
      </c>
      <c r="AK46" s="510">
        <f t="shared" ca="1" si="15"/>
        <v>0</v>
      </c>
      <c r="AL46" s="510">
        <f t="shared" ca="1" si="15"/>
        <v>0</v>
      </c>
      <c r="AM46" s="510">
        <f t="shared" ca="1" si="15"/>
        <v>0</v>
      </c>
      <c r="AN46" s="510">
        <f t="shared" ca="1" si="15"/>
        <v>0</v>
      </c>
      <c r="AO46" s="510">
        <f t="shared" ca="1" si="15"/>
        <v>0</v>
      </c>
      <c r="AP46" s="510">
        <f t="shared" ca="1" si="15"/>
        <v>0</v>
      </c>
      <c r="AQ46" s="510">
        <f t="shared" ca="1" si="15"/>
        <v>0</v>
      </c>
      <c r="AR46" s="510">
        <f t="shared" ca="1" si="15"/>
        <v>0</v>
      </c>
      <c r="AS46" s="510">
        <f t="shared" ca="1" si="15"/>
        <v>0</v>
      </c>
      <c r="AT46" s="510">
        <f t="shared" ca="1" si="15"/>
        <v>0</v>
      </c>
      <c r="AU46" s="510">
        <f t="shared" ca="1" si="15"/>
        <v>0</v>
      </c>
      <c r="AV46" s="510">
        <f t="shared" ca="1" si="15"/>
        <v>0</v>
      </c>
      <c r="AW46" s="510">
        <f t="shared" ca="1" si="15"/>
        <v>0</v>
      </c>
      <c r="AX46" s="510">
        <f t="shared" ca="1" si="15"/>
        <v>0</v>
      </c>
      <c r="AY46" s="510">
        <f t="shared" ca="1" si="15"/>
        <v>0</v>
      </c>
      <c r="AZ46" s="510">
        <f t="shared" ca="1" si="15"/>
        <v>0</v>
      </c>
      <c r="BA46" s="510">
        <f t="shared" ca="1" si="15"/>
        <v>0</v>
      </c>
      <c r="BB46" s="510">
        <f t="shared" ca="1" si="15"/>
        <v>0</v>
      </c>
      <c r="BC46" s="510">
        <f t="shared" ca="1" si="15"/>
        <v>0</v>
      </c>
      <c r="BD46" s="252">
        <f t="shared" ca="1" si="3"/>
        <v>0</v>
      </c>
      <c r="BE46" s="252">
        <f t="shared" ca="1" si="4"/>
        <v>0</v>
      </c>
      <c r="BF46" s="252">
        <f t="shared" ca="1" si="5"/>
        <v>0</v>
      </c>
      <c r="BG46" s="252">
        <f t="shared" ca="1" si="6"/>
        <v>0</v>
      </c>
      <c r="BH46" s="252">
        <f t="shared" ca="1" si="7"/>
        <v>0</v>
      </c>
      <c r="BI46" s="252">
        <f t="shared" ca="1" si="8"/>
        <v>0</v>
      </c>
      <c r="BJ46" s="252">
        <f t="shared" ca="1" si="9"/>
        <v>0</v>
      </c>
      <c r="BK46" s="252">
        <f t="shared" ca="1" si="10"/>
        <v>0</v>
      </c>
      <c r="BL46" s="252">
        <f t="shared" ca="1" si="11"/>
        <v>0</v>
      </c>
      <c r="BM46" s="252">
        <f t="shared" ca="1" si="12"/>
        <v>0</v>
      </c>
      <c r="BN46" s="25"/>
      <c r="BO46" s="25"/>
      <c r="BP46" s="25"/>
      <c r="BS46" s="971" t="s">
        <v>1407</v>
      </c>
    </row>
    <row r="47" spans="1:71" s="1291" customFormat="1" ht="18" customHeight="1" x14ac:dyDescent="0.15">
      <c r="A47" s="167"/>
      <c r="B47" s="167"/>
      <c r="C47" s="167"/>
      <c r="D47" s="167"/>
      <c r="E47" s="668">
        <v>18.8</v>
      </c>
      <c r="F47" s="769" t="str" cm="1">
        <f t="array" ref="F47">X47</f>
        <v>1</v>
      </c>
      <c r="G47" s="612" t="str" cm="1">
        <f t="array" ref="G47">INDEX('Общие сведения'!$AK$169:$AK$202,MATCH($F47,'Общие сведения'!$Z$169:$Z$202,0))</f>
        <v>одноставочный</v>
      </c>
      <c r="H47" s="167"/>
      <c r="I47" s="160" t="str" cm="1">
        <f t="array" ref="I47">INDEX('Общие сведения'!$AE$169:$AE$202,MATCH($F47,'Общие сведения'!$Z$169:$Z$202,0))</f>
        <v>Теплоснабжение</v>
      </c>
      <c r="J47" s="167"/>
      <c r="K47" s="167"/>
      <c r="L47" s="167"/>
      <c r="M47" s="167"/>
      <c r="N47" s="167"/>
      <c r="O47" s="167"/>
      <c r="P47" s="167"/>
      <c r="Q47" s="167"/>
      <c r="R47" s="167"/>
      <c r="S47" s="167"/>
      <c r="T47" s="679" t="b">
        <f>X47&gt;0</f>
        <v>1</v>
      </c>
      <c r="U47" s="167"/>
      <c r="V47" s="123" t="str" cm="1">
        <f t="array" ref="V47">'Операционные (5.2)'!$AB$36</f>
        <v>Тариф 1 (Теплоснабжение) - Тариф на тепловую энергию (мощность), поставляемую потребителям (Не определено)</v>
      </c>
      <c r="W47" s="167"/>
      <c r="X47" s="1485" t="s">
        <v>339</v>
      </c>
      <c r="Y47" s="167"/>
      <c r="Z47" s="1483"/>
      <c r="AA47" s="167"/>
      <c r="AB47" s="271" t="str" cm="1">
        <f t="array" ref="AB47">IF(ISBLANK('Операционные (5.2)'!$AB$36),"",'Операционные (5.2)'!$AB$36)</f>
        <v>Тариф 1 (Теплоснабжение) - Тариф на тепловую энергию (мощность), поставляемую потребителям (Не определено)</v>
      </c>
      <c r="AC47" s="272"/>
      <c r="AD47" s="272"/>
      <c r="AE47" s="272"/>
      <c r="AF47" s="272"/>
      <c r="AG47" s="272"/>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2"/>
      <c r="BE47" s="272"/>
      <c r="BF47" s="272"/>
      <c r="BG47" s="272"/>
      <c r="BH47" s="272"/>
      <c r="BI47" s="272"/>
      <c r="BJ47" s="272"/>
      <c r="BK47" s="272"/>
      <c r="BL47" s="272"/>
      <c r="BM47" s="272"/>
      <c r="BN47" s="272"/>
      <c r="BO47" s="272"/>
      <c r="BP47" s="272"/>
      <c r="BQ47" s="167"/>
      <c r="BR47" s="167"/>
      <c r="BS47" s="971"/>
    </row>
    <row r="48" spans="1:71" s="1291" customFormat="1" ht="13.5" customHeight="1" x14ac:dyDescent="0.15">
      <c r="A48" s="167"/>
      <c r="B48" s="167"/>
      <c r="C48" s="167"/>
      <c r="D48" s="167"/>
      <c r="E48" s="668">
        <v>14.1</v>
      </c>
      <c r="F48" s="769" t="str" cm="1">
        <f t="array" aca="1" ref="F48" ca="1">OFFSET(G48,-1,-1)</f>
        <v>1</v>
      </c>
      <c r="G48" s="612" t="s">
        <v>1376</v>
      </c>
      <c r="H48" s="167"/>
      <c r="I48" s="167"/>
      <c r="J48" s="167"/>
      <c r="K48" s="177" t="str">
        <f ca="1">F48&amp;"komm"</f>
        <v>1komm</v>
      </c>
      <c r="L48" s="176" cm="1">
        <f t="array" ref="L48">BO48</f>
        <v>0</v>
      </c>
      <c r="M48" s="167"/>
      <c r="N48" s="167"/>
      <c r="O48" s="167"/>
      <c r="P48" s="167"/>
      <c r="Q48" s="167"/>
      <c r="R48" s="167"/>
      <c r="S48" s="167"/>
      <c r="T48" s="679" t="b" cm="1">
        <f t="array" ref="T48">T47</f>
        <v>1</v>
      </c>
      <c r="U48" s="167"/>
      <c r="V48" s="167"/>
      <c r="W48" s="167"/>
      <c r="X48" s="1483"/>
      <c r="Y48" s="167"/>
      <c r="Z48" s="1483"/>
      <c r="AA48" s="167"/>
      <c r="AB48" s="1582" t="s">
        <v>1377</v>
      </c>
      <c r="AC48" s="1583"/>
      <c r="AD48" s="249" t="s">
        <v>830</v>
      </c>
      <c r="AE48" s="252" cm="1">
        <f t="array" aca="1" ref="AE48" ca="1">AE66</f>
        <v>48637.205513681904</v>
      </c>
      <c r="AF48" s="252" cm="1">
        <f t="array" aca="1" ref="AF48" ca="1">AF66</f>
        <v>56924.579659999996</v>
      </c>
      <c r="AG48" s="252" cm="1">
        <f t="array" aca="1" ref="AG48" ca="1">AG66</f>
        <v>53625.669159999998</v>
      </c>
      <c r="AH48" s="252" cm="1">
        <f t="array" aca="1" ref="AH48" ca="1">AH66</f>
        <v>-3298.9104999999981</v>
      </c>
      <c r="AI48" s="252" cm="1">
        <f t="array" aca="1" ref="AI48" ca="1">AI66</f>
        <v>48148.870809406202</v>
      </c>
      <c r="AJ48" s="252" cm="1">
        <f t="array" aca="1" ref="AJ48" ca="1">AJ66</f>
        <v>63532.536639999998</v>
      </c>
      <c r="AK48" s="252" cm="1">
        <f t="array" aca="1" ref="AK48" ca="1">AK66</f>
        <v>0</v>
      </c>
      <c r="AL48" s="252" cm="1">
        <f t="array" aca="1" ref="AL48" ca="1">AL66</f>
        <v>0</v>
      </c>
      <c r="AM48" s="252" cm="1">
        <f t="array" aca="1" ref="AM48" ca="1">AM66</f>
        <v>0</v>
      </c>
      <c r="AN48" s="252" cm="1">
        <f t="array" aca="1" ref="AN48" ca="1">AN66</f>
        <v>0</v>
      </c>
      <c r="AO48" s="252" cm="1">
        <f t="array" aca="1" ref="AO48" ca="1">AO66</f>
        <v>0</v>
      </c>
      <c r="AP48" s="252" cm="1">
        <f t="array" aca="1" ref="AP48" ca="1">AP66</f>
        <v>0</v>
      </c>
      <c r="AQ48" s="252" cm="1">
        <f t="array" aca="1" ref="AQ48" ca="1">AQ66</f>
        <v>0</v>
      </c>
      <c r="AR48" s="252" cm="1">
        <f t="array" aca="1" ref="AR48" ca="1">AR66</f>
        <v>0</v>
      </c>
      <c r="AS48" s="252" cm="1">
        <f t="array" aca="1" ref="AS48" ca="1">AS66</f>
        <v>0</v>
      </c>
      <c r="AT48" s="252" cm="1">
        <f t="array" aca="1" ref="AT48" ca="1">AT66</f>
        <v>57293.734485951107</v>
      </c>
      <c r="AU48" s="252" cm="1">
        <f t="array" aca="1" ref="AU48" ca="1">AU66</f>
        <v>0</v>
      </c>
      <c r="AV48" s="252" cm="1">
        <f t="array" aca="1" ref="AV48" ca="1">AV66</f>
        <v>0</v>
      </c>
      <c r="AW48" s="252" cm="1">
        <f t="array" aca="1" ref="AW48" ca="1">AW66</f>
        <v>0</v>
      </c>
      <c r="AX48" s="252" cm="1">
        <f t="array" aca="1" ref="AX48" ca="1">AX66</f>
        <v>0</v>
      </c>
      <c r="AY48" s="252" cm="1">
        <f t="array" aca="1" ref="AY48" ca="1">AY66</f>
        <v>0</v>
      </c>
      <c r="AZ48" s="252" cm="1">
        <f t="array" aca="1" ref="AZ48" ca="1">AZ66</f>
        <v>0</v>
      </c>
      <c r="BA48" s="252" cm="1">
        <f t="array" aca="1" ref="BA48" ca="1">BA66</f>
        <v>0</v>
      </c>
      <c r="BB48" s="252" cm="1">
        <f t="array" aca="1" ref="BB48" ca="1">BB66</f>
        <v>0</v>
      </c>
      <c r="BC48" s="252" cm="1">
        <f t="array" aca="1" ref="BC48" ca="1">BC66</f>
        <v>0</v>
      </c>
      <c r="BD48" s="252" cm="1">
        <f t="array" aca="1" ref="BD48" ca="1">BD66</f>
        <v>18.992893338546153</v>
      </c>
      <c r="BE48" s="252" cm="1">
        <f t="array" aca="1" ref="BE48" ca="1">BE66</f>
        <v>-100</v>
      </c>
      <c r="BF48" s="252" cm="1">
        <f t="array" aca="1" ref="BF48" ca="1">BF66</f>
        <v>0</v>
      </c>
      <c r="BG48" s="252" cm="1">
        <f t="array" aca="1" ref="BG48" ca="1">BG66</f>
        <v>0</v>
      </c>
      <c r="BH48" s="252" cm="1">
        <f t="array" aca="1" ref="BH48" ca="1">BH66</f>
        <v>0</v>
      </c>
      <c r="BI48" s="252" cm="1">
        <f t="array" aca="1" ref="BI48" ca="1">BI66</f>
        <v>0</v>
      </c>
      <c r="BJ48" s="252" cm="1">
        <f t="array" aca="1" ref="BJ48" ca="1">BJ66</f>
        <v>0</v>
      </c>
      <c r="BK48" s="252" cm="1">
        <f t="array" aca="1" ref="BK48" ca="1">BK66</f>
        <v>0</v>
      </c>
      <c r="BL48" s="252" cm="1">
        <f t="array" aca="1" ref="BL48" ca="1">BL66</f>
        <v>0</v>
      </c>
      <c r="BM48" s="252" cm="1">
        <f t="array" aca="1" ref="BM48" ca="1">BM66</f>
        <v>0</v>
      </c>
      <c r="BN48" s="1231"/>
      <c r="BO48" s="1231"/>
      <c r="BP48" s="1231"/>
      <c r="BQ48" s="167"/>
      <c r="BR48" s="167"/>
      <c r="BS48" s="971" t="s">
        <v>1378</v>
      </c>
    </row>
    <row r="49" spans="1:71" s="1167" customFormat="1" ht="27" customHeight="1" x14ac:dyDescent="0.15">
      <c r="A49" s="175"/>
      <c r="B49" s="773"/>
      <c r="C49" s="175"/>
      <c r="D49" s="175"/>
      <c r="E49" s="668">
        <v>27.8</v>
      </c>
      <c r="F49" s="769" t="str" cm="1">
        <f t="array" aca="1" ref="F49" ca="1">OFFSET(G49,-1,-1)</f>
        <v>1</v>
      </c>
      <c r="G49" s="140" t="s">
        <v>1204</v>
      </c>
      <c r="H49" s="177"/>
      <c r="I49" s="177"/>
      <c r="J49" s="177"/>
      <c r="K49" s="177"/>
      <c r="L49" s="177"/>
      <c r="M49" s="177"/>
      <c r="N49" s="177"/>
      <c r="O49" s="177"/>
      <c r="P49" s="177"/>
      <c r="Q49" s="140"/>
      <c r="R49" s="140"/>
      <c r="S49" s="177"/>
      <c r="T49" s="679" t="b" cm="1">
        <f t="array" ref="T49">T48</f>
        <v>1</v>
      </c>
      <c r="U49" s="1152"/>
      <c r="V49" s="1152"/>
      <c r="W49" s="1152"/>
      <c r="X49" s="1485"/>
      <c r="Y49" s="1152"/>
      <c r="Z49" s="1485"/>
      <c r="AA49" s="177"/>
      <c r="AB49" s="108" t="s">
        <v>473</v>
      </c>
      <c r="AC49" s="115" t="s">
        <v>47</v>
      </c>
      <c r="AD49" s="108" t="s">
        <v>830</v>
      </c>
      <c r="AE49" s="507">
        <f ca="1">SUMIFS('Покупка услуг'!AE$26:AE$68,'Покупка услуг'!$F$26:$F$68,$F49,'Покупка услуг'!$G$26:$G$68,$G49)</f>
        <v>373.81680000000006</v>
      </c>
      <c r="AF49" s="507">
        <f ca="1">SUMIFS('Покупка услуг'!AF$26:AF$68,'Покупка услуг'!$F$26:$F$68,$F49,'Покупка услуг'!$G$26:$G$68,$G49)</f>
        <v>193.92435</v>
      </c>
      <c r="AG49" s="1316">
        <f ca="1">SUMIFS('Покупка услуг'!AG$26:AG$68,'Покупка услуг'!$F$26:$F$68,$F49,'Покупка услуг'!$G$26:$G$68,$G49)</f>
        <v>193.92435</v>
      </c>
      <c r="AH49" s="253">
        <f t="shared" ref="AH49:AH66" ca="1" si="16">AG49-AF49</f>
        <v>0</v>
      </c>
      <c r="AI49" s="507">
        <f ca="1">SUMIFS('Покупка услуг'!AH$26:AH$68,'Покупка услуг'!$F$26:$F$68,$F49,'Покупка услуг'!$G$26:$G$68,$G49)</f>
        <v>207.60299999999998</v>
      </c>
      <c r="AJ49" s="507">
        <f ca="1">SUMIFS('Покупка услуг'!AI$26:AI$68,'Покупка услуг'!$F$26:$F$68,$F49,'Покупка услуг'!$G$26:$G$68,$G49)</f>
        <v>230.49487999999999</v>
      </c>
      <c r="AK49" s="507">
        <f ca="1">SUMIFS('Покупка услуг'!AJ$26:AJ$68,'Покупка услуг'!$F$26:$F$68,$F49,'Покупка услуг'!$G$26:$G$68,$G49)</f>
        <v>0</v>
      </c>
      <c r="AL49" s="507">
        <f ca="1">SUMIFS('Покупка услуг'!AK$26:AK$68,'Покупка услуг'!$F$26:$F$68,$F49,'Покупка услуг'!$G$26:$G$68,$G49)</f>
        <v>0</v>
      </c>
      <c r="AM49" s="507">
        <f ca="1">SUMIFS('Покупка услуг'!AL$26:AL$68,'Покупка услуг'!$F$26:$F$68,$F49,'Покупка услуг'!$G$26:$G$68,$G49)</f>
        <v>0</v>
      </c>
      <c r="AN49" s="507">
        <f ca="1">SUMIFS('Покупка услуг'!AM$26:AM$68,'Покупка услуг'!$F$26:$F$68,$F49,'Покупка услуг'!$G$26:$G$68,$G49)</f>
        <v>0</v>
      </c>
      <c r="AO49" s="507">
        <f ca="1">SUMIFS('Покупка услуг'!AN$26:AN$68,'Покупка услуг'!$F$26:$F$68,$F49,'Покупка услуг'!$G$26:$G$68,$G49)</f>
        <v>0</v>
      </c>
      <c r="AP49" s="507">
        <f ca="1">SUMIFS('Покупка услуг'!AO$26:AO$68,'Покупка услуг'!$F$26:$F$68,$F49,'Покупка услуг'!$G$26:$G$68,$G49)</f>
        <v>0</v>
      </c>
      <c r="AQ49" s="507">
        <f ca="1">SUMIFS('Покупка услуг'!AP$26:AP$68,'Покупка услуг'!$F$26:$F$68,$F49,'Покупка услуг'!$G$26:$G$68,$G49)</f>
        <v>0</v>
      </c>
      <c r="AR49" s="507">
        <f ca="1">SUMIFS('Покупка услуг'!AQ$26:AQ$68,'Покупка услуг'!$F$26:$F$68,$F49,'Покупка услуг'!$G$26:$G$68,$G49)</f>
        <v>0</v>
      </c>
      <c r="AS49" s="507">
        <f ca="1">SUMIFS('Покупка услуг'!AR$26:AR$68,'Покупка услуг'!$F$26:$F$68,$F49,'Покупка услуг'!$G$26:$G$68,$G49)</f>
        <v>0</v>
      </c>
      <c r="AT49" s="507">
        <f ca="1">SUMIFS('Покупка услуг'!AS$26:AS$68,'Покупка услуг'!$F$26:$F$68,$F49,'Покупка услуг'!$G$26:$G$68,$G49)</f>
        <v>213.3623872</v>
      </c>
      <c r="AU49" s="507">
        <f ca="1">SUMIFS('Покупка услуг'!AT$26:AT$68,'Покупка услуг'!$F$26:$F$68,$F49,'Покупка услуг'!$G$26:$G$68,$G49)</f>
        <v>0</v>
      </c>
      <c r="AV49" s="507">
        <f ca="1">SUMIFS('Покупка услуг'!AU$26:AU$68,'Покупка услуг'!$F$26:$F$68,$F49,'Покупка услуг'!$G$26:$G$68,$G49)</f>
        <v>0</v>
      </c>
      <c r="AW49" s="507">
        <f ca="1">SUMIFS('Покупка услуг'!AV$26:AV$68,'Покупка услуг'!$F$26:$F$68,$F49,'Покупка услуг'!$G$26:$G$68,$G49)</f>
        <v>0</v>
      </c>
      <c r="AX49" s="507">
        <f ca="1">SUMIFS('Покупка услуг'!AW$26:AW$68,'Покупка услуг'!$F$26:$F$68,$F49,'Покупка услуг'!$G$26:$G$68,$G49)</f>
        <v>0</v>
      </c>
      <c r="AY49" s="507">
        <f ca="1">SUMIFS('Покупка услуг'!AX$26:AX$68,'Покупка услуг'!$F$26:$F$68,$F49,'Покупка услуг'!$G$26:$G$68,$G49)</f>
        <v>0</v>
      </c>
      <c r="AZ49" s="507">
        <f ca="1">SUMIFS('Покупка услуг'!AY$26:AY$68,'Покупка услуг'!$F$26:$F$68,$F49,'Покупка услуг'!$G$26:$G$68,$G49)</f>
        <v>0</v>
      </c>
      <c r="BA49" s="507">
        <f ca="1">SUMIFS('Покупка услуг'!AZ$26:AZ$68,'Покупка услуг'!$F$26:$F$68,$F49,'Покупка услуг'!$G$26:$G$68,$G49)</f>
        <v>0</v>
      </c>
      <c r="BB49" s="507">
        <f ca="1">SUMIFS('Покупка услуг'!BA$26:BA$68,'Покупка услуг'!$F$26:$F$68,$F49,'Покупка услуг'!$G$26:$G$68,$G49)</f>
        <v>0</v>
      </c>
      <c r="BC49" s="507">
        <f ca="1">SUMIFS('Покупка услуг'!BB$26:BB$68,'Покупка услуг'!$F$26:$F$68,$F49,'Покупка услуг'!$G$26:$G$68,$G49)</f>
        <v>0</v>
      </c>
      <c r="BD49" s="253">
        <f t="shared" ref="BD49:BD66" ca="1" si="17">IF(AI49=0,0,(AT49-AI49)/AI49*100)</f>
        <v>2.7742312008978778</v>
      </c>
      <c r="BE49" s="253">
        <f t="shared" ref="BE49:BE66" ca="1" si="18">IF(AT49=0,0,(AU49-AT49)/AT49*100)</f>
        <v>-100</v>
      </c>
      <c r="BF49" s="253">
        <f t="shared" ref="BF49:BF66" ca="1" si="19">IF(AU49=0,0,(AV49-AU49)/AU49*100)</f>
        <v>0</v>
      </c>
      <c r="BG49" s="253">
        <f t="shared" ref="BG49:BG66" ca="1" si="20">IF(AV49=0,0,(AW49-AV49)/AV49*100)</f>
        <v>0</v>
      </c>
      <c r="BH49" s="253">
        <f t="shared" ref="BH49:BH66" ca="1" si="21">IF(AW49=0,0,(AX49-AW49)/AW49*100)</f>
        <v>0</v>
      </c>
      <c r="BI49" s="253">
        <f t="shared" ref="BI49:BI66" ca="1" si="22">IF(AX49=0,0,(AY49-AX49)/AX49*100)</f>
        <v>0</v>
      </c>
      <c r="BJ49" s="253">
        <f t="shared" ref="BJ49:BJ66" ca="1" si="23">IF(AY49=0,0,(AZ49-AY49)/AY49*100)</f>
        <v>0</v>
      </c>
      <c r="BK49" s="253">
        <f t="shared" ref="BK49:BK66" ca="1" si="24">IF(AZ49=0,0,(BA49-AZ49)/AZ49*100)</f>
        <v>0</v>
      </c>
      <c r="BL49" s="253">
        <f t="shared" ref="BL49:BL66" ca="1" si="25">IF(BA49=0,0,(BB49-BA49)/BA49*100)</f>
        <v>0</v>
      </c>
      <c r="BM49" s="253">
        <f t="shared" ref="BM49:BM66" ca="1" si="26">IF(BB49=0,0,(BC49-BB49)/BB49*100)</f>
        <v>0</v>
      </c>
      <c r="BN49" s="1231"/>
      <c r="BO49" s="1231"/>
      <c r="BP49" s="1231"/>
      <c r="BQ49" s="177"/>
      <c r="BR49" s="177"/>
      <c r="BS49" s="971" t="s">
        <v>1379</v>
      </c>
    </row>
    <row r="50" spans="1:71" s="1167" customFormat="1" ht="14.25" customHeight="1" x14ac:dyDescent="0.15">
      <c r="A50" s="175"/>
      <c r="B50" s="773"/>
      <c r="C50" s="175"/>
      <c r="D50" s="175"/>
      <c r="E50" s="668">
        <v>15</v>
      </c>
      <c r="F50" s="769" t="str" cm="1">
        <f t="array" aca="1" ref="F50" ca="1">OFFSET(G50,-1,-1)</f>
        <v>1</v>
      </c>
      <c r="G50" s="612" t="s">
        <v>1180</v>
      </c>
      <c r="H50" s="177"/>
      <c r="I50" s="177"/>
      <c r="J50" s="177"/>
      <c r="K50" s="177"/>
      <c r="L50" s="177"/>
      <c r="M50" s="177"/>
      <c r="N50" s="177"/>
      <c r="O50" s="177"/>
      <c r="P50" s="177"/>
      <c r="Q50" s="140"/>
      <c r="R50" s="140"/>
      <c r="S50" s="177"/>
      <c r="T50" s="679" t="b" cm="1">
        <f t="array" ref="T50">T49</f>
        <v>1</v>
      </c>
      <c r="U50" s="1152"/>
      <c r="V50" s="1152"/>
      <c r="W50" s="1152"/>
      <c r="X50" s="1485"/>
      <c r="Y50" s="1152"/>
      <c r="Z50" s="1485"/>
      <c r="AA50" s="177"/>
      <c r="AB50" s="108" t="s">
        <v>955</v>
      </c>
      <c r="AC50" s="115" t="s">
        <v>1380</v>
      </c>
      <c r="AD50" s="108" t="s">
        <v>830</v>
      </c>
      <c r="AE50" s="253">
        <f ca="1">SUMIFS(Аренда!AE$26:AE$51,Аренда!$F$26:$F$51,$F50,Аренда!$G$26:$G$51,$G50)</f>
        <v>25.48</v>
      </c>
      <c r="AF50" s="253">
        <f ca="1">SUMIFS(Аренда!AF$26:AF$51,Аренда!$F$26:$F$51,$F50,Аренда!$G$26:$G$51,$G50)</f>
        <v>1848.3765700000001</v>
      </c>
      <c r="AG50" s="1266">
        <f ca="1">SUMIFS(Аренда!AG$26:AG$51,Аренда!$F$26:$F$51,$F50,Аренда!$G$26:$G$51,$G50)</f>
        <v>25.05481</v>
      </c>
      <c r="AH50" s="253">
        <f t="shared" ca="1" si="16"/>
        <v>-1823.32176</v>
      </c>
      <c r="AI50" s="253">
        <f ca="1">SUMIFS(Аренда!AH$26:AH$51,Аренда!$F$26:$F$51,$F50,Аренда!$G$26:$G$51,$G50)</f>
        <v>25.444289999999999</v>
      </c>
      <c r="AJ50" s="253">
        <f ca="1">SUMIFS(Аренда!AI$26:AI$51,Аренда!$F$26:$F$51,$F50,Аренда!$G$26:$G$51,$G50)</f>
        <v>1848.84176</v>
      </c>
      <c r="AK50" s="253">
        <f ca="1">SUMIFS(Аренда!AJ$26:AJ$51,Аренда!$F$26:$F$51,$F50,Аренда!$G$26:$G$51,$G50)</f>
        <v>0</v>
      </c>
      <c r="AL50" s="253">
        <f ca="1">SUMIFS(Аренда!AK$26:AK$51,Аренда!$F$26:$F$51,$F50,Аренда!$G$26:$G$51,$G50)</f>
        <v>0</v>
      </c>
      <c r="AM50" s="253">
        <f ca="1">SUMIFS(Аренда!AL$26:AL$51,Аренда!$F$26:$F$51,$F50,Аренда!$G$26:$G$51,$G50)</f>
        <v>0</v>
      </c>
      <c r="AN50" s="253">
        <f ca="1">SUMIFS(Аренда!AM$26:AM$51,Аренда!$F$26:$F$51,$F50,Аренда!$G$26:$G$51,$G50)</f>
        <v>0</v>
      </c>
      <c r="AO50" s="253">
        <f ca="1">SUMIFS(Аренда!AN$26:AN$51,Аренда!$F$26:$F$51,$F50,Аренда!$G$26:$G$51,$G50)</f>
        <v>0</v>
      </c>
      <c r="AP50" s="253">
        <f ca="1">SUMIFS(Аренда!AO$26:AO$51,Аренда!$F$26:$F$51,$F50,Аренда!$G$26:$G$51,$G50)</f>
        <v>0</v>
      </c>
      <c r="AQ50" s="253">
        <f ca="1">SUMIFS(Аренда!AP$26:AP$51,Аренда!$F$26:$F$51,$F50,Аренда!$G$26:$G$51,$G50)</f>
        <v>0</v>
      </c>
      <c r="AR50" s="253">
        <f ca="1">SUMIFS(Аренда!AQ$26:AQ$51,Аренда!$F$26:$F$51,$F50,Аренда!$G$26:$G$51,$G50)</f>
        <v>0</v>
      </c>
      <c r="AS50" s="253">
        <f ca="1">SUMIFS(Аренда!AR$26:AR$51,Аренда!$F$26:$F$51,$F50,Аренда!$G$26:$G$51,$G50)</f>
        <v>0</v>
      </c>
      <c r="AT50" s="253">
        <f ca="1">SUMIFS(Аренда!AS$26:AS$51,Аренда!$F$26:$F$51,$F50,Аренда!$G$26:$G$51,$G50)</f>
        <v>25.52</v>
      </c>
      <c r="AU50" s="253">
        <f ca="1">SUMIFS(Аренда!AT$26:AT$51,Аренда!$F$26:$F$51,$F50,Аренда!$G$26:$G$51,$G50)</f>
        <v>0</v>
      </c>
      <c r="AV50" s="253">
        <f ca="1">SUMIFS(Аренда!AU$26:AU$51,Аренда!$F$26:$F$51,$F50,Аренда!$G$26:$G$51,$G50)</f>
        <v>0</v>
      </c>
      <c r="AW50" s="253">
        <f ca="1">SUMIFS(Аренда!AV$26:AV$51,Аренда!$F$26:$F$51,$F50,Аренда!$G$26:$G$51,$G50)</f>
        <v>0</v>
      </c>
      <c r="AX50" s="253">
        <f ca="1">SUMIFS(Аренда!AW$26:AW$51,Аренда!$F$26:$F$51,$F50,Аренда!$G$26:$G$51,$G50)</f>
        <v>0</v>
      </c>
      <c r="AY50" s="253">
        <f ca="1">SUMIFS(Аренда!AX$26:AX$51,Аренда!$F$26:$F$51,$F50,Аренда!$G$26:$G$51,$G50)</f>
        <v>0</v>
      </c>
      <c r="AZ50" s="253">
        <f ca="1">SUMIFS(Аренда!AY$26:AY$51,Аренда!$F$26:$F$51,$F50,Аренда!$G$26:$G$51,$G50)</f>
        <v>0</v>
      </c>
      <c r="BA50" s="253">
        <f ca="1">SUMIFS(Аренда!AZ$26:AZ$51,Аренда!$F$26:$F$51,$F50,Аренда!$G$26:$G$51,$G50)</f>
        <v>0</v>
      </c>
      <c r="BB50" s="253">
        <f ca="1">SUMIFS(Аренда!BA$26:BA$51,Аренда!$F$26:$F$51,$F50,Аренда!$G$26:$G$51,$G50)</f>
        <v>0</v>
      </c>
      <c r="BC50" s="253">
        <f ca="1">SUMIFS(Аренда!BB$26:BB$51,Аренда!$F$26:$F$51,$F50,Аренда!$G$26:$G$51,$G50)</f>
        <v>0</v>
      </c>
      <c r="BD50" s="253">
        <f t="shared" ca="1" si="17"/>
        <v>0.2975520244424224</v>
      </c>
      <c r="BE50" s="253">
        <f t="shared" ca="1" si="18"/>
        <v>-100</v>
      </c>
      <c r="BF50" s="253">
        <f t="shared" ca="1" si="19"/>
        <v>0</v>
      </c>
      <c r="BG50" s="253">
        <f t="shared" ca="1" si="20"/>
        <v>0</v>
      </c>
      <c r="BH50" s="253">
        <f t="shared" ca="1" si="21"/>
        <v>0</v>
      </c>
      <c r="BI50" s="253">
        <f t="shared" ca="1" si="22"/>
        <v>0</v>
      </c>
      <c r="BJ50" s="253">
        <f t="shared" ca="1" si="23"/>
        <v>0</v>
      </c>
      <c r="BK50" s="253">
        <f t="shared" ca="1" si="24"/>
        <v>0</v>
      </c>
      <c r="BL50" s="253">
        <f t="shared" ca="1" si="25"/>
        <v>0</v>
      </c>
      <c r="BM50" s="253">
        <f t="shared" ca="1" si="26"/>
        <v>0</v>
      </c>
      <c r="BN50" s="1231"/>
      <c r="BO50" s="1231"/>
      <c r="BP50" s="1231"/>
      <c r="BQ50" s="177"/>
      <c r="BR50" s="177"/>
      <c r="BS50" s="971" t="s">
        <v>1183</v>
      </c>
    </row>
    <row r="51" spans="1:71" s="1167" customFormat="1" ht="14.25" customHeight="1" x14ac:dyDescent="0.15">
      <c r="A51" s="175"/>
      <c r="B51" s="773"/>
      <c r="C51" s="175"/>
      <c r="D51" s="175"/>
      <c r="E51" s="668">
        <v>15</v>
      </c>
      <c r="F51" s="769" t="str" cm="1">
        <f t="array" aca="1" ref="F51" ca="1">OFFSET(G51,-1,-1)</f>
        <v>1</v>
      </c>
      <c r="G51" s="140" t="s">
        <v>1184</v>
      </c>
      <c r="H51" s="177"/>
      <c r="I51" s="177"/>
      <c r="J51" s="177"/>
      <c r="K51" s="177"/>
      <c r="L51" s="177"/>
      <c r="M51" s="177"/>
      <c r="N51" s="177"/>
      <c r="O51" s="177"/>
      <c r="P51" s="177"/>
      <c r="Q51" s="140"/>
      <c r="R51" s="140"/>
      <c r="S51" s="177"/>
      <c r="T51" s="679" t="b" cm="1">
        <f t="array" ref="T51">T50</f>
        <v>1</v>
      </c>
      <c r="U51" s="1152"/>
      <c r="V51" s="1152"/>
      <c r="W51" s="1152"/>
      <c r="X51" s="1485"/>
      <c r="Y51" s="1152"/>
      <c r="Z51" s="1485"/>
      <c r="AA51" s="177"/>
      <c r="AB51" s="108" t="s">
        <v>957</v>
      </c>
      <c r="AC51" s="115" t="s">
        <v>1185</v>
      </c>
      <c r="AD51" s="108" t="s">
        <v>830</v>
      </c>
      <c r="AE51" s="253">
        <f ca="1">SUMIFS(Аренда!AE$26:AE$51,Аренда!$F$26:$F$51,$F51,Аренда!$G$26:$G$51,$G51)</f>
        <v>0</v>
      </c>
      <c r="AF51" s="253">
        <f ca="1">SUMIFS(Аренда!AF$26:AF$51,Аренда!$F$26:$F$51,$F51,Аренда!$G$26:$G$51,$G51)</f>
        <v>0</v>
      </c>
      <c r="AG51" s="1266">
        <f ca="1">SUMIFS(Аренда!AG$26:AG$51,Аренда!$F$26:$F$51,$F51,Аренда!$G$26:$G$51,$G51)</f>
        <v>0</v>
      </c>
      <c r="AH51" s="253">
        <f t="shared" ca="1" si="16"/>
        <v>0</v>
      </c>
      <c r="AI51" s="253">
        <f ca="1">SUMIFS(Аренда!AH$26:AH$51,Аренда!$F$26:$F$51,$F51,Аренда!$G$26:$G$51,$G51)</f>
        <v>0</v>
      </c>
      <c r="AJ51" s="253">
        <f ca="1">SUMIFS(Аренда!AI$26:AI$51,Аренда!$F$26:$F$51,$F51,Аренда!$G$26:$G$51,$G51)</f>
        <v>0</v>
      </c>
      <c r="AK51" s="253">
        <f ca="1">SUMIFS(Аренда!AJ$26:AJ$51,Аренда!$F$26:$F$51,$F51,Аренда!$G$26:$G$51,$G51)</f>
        <v>0</v>
      </c>
      <c r="AL51" s="253">
        <f ca="1">SUMIFS(Аренда!AK$26:AK$51,Аренда!$F$26:$F$51,$F51,Аренда!$G$26:$G$51,$G51)</f>
        <v>0</v>
      </c>
      <c r="AM51" s="253">
        <f ca="1">SUMIFS(Аренда!AL$26:AL$51,Аренда!$F$26:$F$51,$F51,Аренда!$G$26:$G$51,$G51)</f>
        <v>0</v>
      </c>
      <c r="AN51" s="253">
        <f ca="1">SUMIFS(Аренда!AM$26:AM$51,Аренда!$F$26:$F$51,$F51,Аренда!$G$26:$G$51,$G51)</f>
        <v>0</v>
      </c>
      <c r="AO51" s="253">
        <f ca="1">SUMIFS(Аренда!AN$26:AN$51,Аренда!$F$26:$F$51,$F51,Аренда!$G$26:$G$51,$G51)</f>
        <v>0</v>
      </c>
      <c r="AP51" s="253">
        <f ca="1">SUMIFS(Аренда!AO$26:AO$51,Аренда!$F$26:$F$51,$F51,Аренда!$G$26:$G$51,$G51)</f>
        <v>0</v>
      </c>
      <c r="AQ51" s="253">
        <f ca="1">SUMIFS(Аренда!AP$26:AP$51,Аренда!$F$26:$F$51,$F51,Аренда!$G$26:$G$51,$G51)</f>
        <v>0</v>
      </c>
      <c r="AR51" s="253">
        <f ca="1">SUMIFS(Аренда!AQ$26:AQ$51,Аренда!$F$26:$F$51,$F51,Аренда!$G$26:$G$51,$G51)</f>
        <v>0</v>
      </c>
      <c r="AS51" s="253">
        <f ca="1">SUMIFS(Аренда!AR$26:AR$51,Аренда!$F$26:$F$51,$F51,Аренда!$G$26:$G$51,$G51)</f>
        <v>0</v>
      </c>
      <c r="AT51" s="253">
        <f ca="1">SUMIFS(Аренда!AS$26:AS$51,Аренда!$F$26:$F$51,$F51,Аренда!$G$26:$G$51,$G51)</f>
        <v>0</v>
      </c>
      <c r="AU51" s="253">
        <f ca="1">SUMIFS(Аренда!AT$26:AT$51,Аренда!$F$26:$F$51,$F51,Аренда!$G$26:$G$51,$G51)</f>
        <v>0</v>
      </c>
      <c r="AV51" s="253">
        <f ca="1">SUMIFS(Аренда!AU$26:AU$51,Аренда!$F$26:$F$51,$F51,Аренда!$G$26:$G$51,$G51)</f>
        <v>0</v>
      </c>
      <c r="AW51" s="253">
        <f ca="1">SUMIFS(Аренда!AV$26:AV$51,Аренда!$F$26:$F$51,$F51,Аренда!$G$26:$G$51,$G51)</f>
        <v>0</v>
      </c>
      <c r="AX51" s="253">
        <f ca="1">SUMIFS(Аренда!AW$26:AW$51,Аренда!$F$26:$F$51,$F51,Аренда!$G$26:$G$51,$G51)</f>
        <v>0</v>
      </c>
      <c r="AY51" s="253">
        <f ca="1">SUMIFS(Аренда!AX$26:AX$51,Аренда!$F$26:$F$51,$F51,Аренда!$G$26:$G$51,$G51)</f>
        <v>0</v>
      </c>
      <c r="AZ51" s="253">
        <f ca="1">SUMIFS(Аренда!AY$26:AY$51,Аренда!$F$26:$F$51,$F51,Аренда!$G$26:$G$51,$G51)</f>
        <v>0</v>
      </c>
      <c r="BA51" s="253">
        <f ca="1">SUMIFS(Аренда!AZ$26:AZ$51,Аренда!$F$26:$F$51,$F51,Аренда!$G$26:$G$51,$G51)</f>
        <v>0</v>
      </c>
      <c r="BB51" s="253">
        <f ca="1">SUMIFS(Аренда!BA$26:BA$51,Аренда!$F$26:$F$51,$F51,Аренда!$G$26:$G$51,$G51)</f>
        <v>0</v>
      </c>
      <c r="BC51" s="253">
        <f ca="1">SUMIFS(Аренда!BB$26:BB$51,Аренда!$F$26:$F$51,$F51,Аренда!$G$26:$G$51,$G51)</f>
        <v>0</v>
      </c>
      <c r="BD51" s="253">
        <f t="shared" ca="1" si="17"/>
        <v>0</v>
      </c>
      <c r="BE51" s="253">
        <f t="shared" ca="1" si="18"/>
        <v>0</v>
      </c>
      <c r="BF51" s="253">
        <f t="shared" ca="1" si="19"/>
        <v>0</v>
      </c>
      <c r="BG51" s="253">
        <f t="shared" ca="1" si="20"/>
        <v>0</v>
      </c>
      <c r="BH51" s="253">
        <f t="shared" ca="1" si="21"/>
        <v>0</v>
      </c>
      <c r="BI51" s="253">
        <f t="shared" ca="1" si="22"/>
        <v>0</v>
      </c>
      <c r="BJ51" s="253">
        <f t="shared" ca="1" si="23"/>
        <v>0</v>
      </c>
      <c r="BK51" s="253">
        <f t="shared" ca="1" si="24"/>
        <v>0</v>
      </c>
      <c r="BL51" s="253">
        <f t="shared" ca="1" si="25"/>
        <v>0</v>
      </c>
      <c r="BM51" s="253">
        <f t="shared" ca="1" si="26"/>
        <v>0</v>
      </c>
      <c r="BN51" s="1231"/>
      <c r="BO51" s="1231"/>
      <c r="BP51" s="1231"/>
      <c r="BQ51" s="177"/>
      <c r="BR51" s="177"/>
      <c r="BS51" s="971" t="s">
        <v>1381</v>
      </c>
    </row>
    <row r="52" spans="1:71" s="1167" customFormat="1" ht="14.25" customHeight="1" x14ac:dyDescent="0.15">
      <c r="A52" s="175"/>
      <c r="B52" s="773"/>
      <c r="C52" s="175"/>
      <c r="D52" s="175"/>
      <c r="E52" s="668">
        <v>15</v>
      </c>
      <c r="F52" s="769" t="str" cm="1">
        <f t="array" aca="1" ref="F52" ca="1">OFFSET(G52,-1,-1)</f>
        <v>1</v>
      </c>
      <c r="G52" s="177"/>
      <c r="H52" s="177"/>
      <c r="I52" s="177"/>
      <c r="J52" s="177"/>
      <c r="K52" s="177"/>
      <c r="L52" s="177"/>
      <c r="M52" s="177"/>
      <c r="N52" s="177"/>
      <c r="O52" s="177"/>
      <c r="P52" s="177"/>
      <c r="Q52" s="140"/>
      <c r="R52" s="140"/>
      <c r="S52" s="177"/>
      <c r="T52" s="679" t="b" cm="1">
        <f t="array" ref="T52">T51</f>
        <v>1</v>
      </c>
      <c r="U52" s="1152"/>
      <c r="V52" s="1152"/>
      <c r="W52" s="1152"/>
      <c r="X52" s="1485"/>
      <c r="Y52" s="1152"/>
      <c r="Z52" s="1485"/>
      <c r="AA52" s="177"/>
      <c r="AB52" s="108" t="s">
        <v>961</v>
      </c>
      <c r="AC52" s="115" t="s">
        <v>1382</v>
      </c>
      <c r="AD52" s="108" t="s">
        <v>830</v>
      </c>
      <c r="AE52" s="507">
        <f ca="1">SUM(AE53:AE55)</f>
        <v>3005.1899999999996</v>
      </c>
      <c r="AF52" s="507">
        <f ca="1">SUM(AF53:AF55)</f>
        <v>4081.3900000000003</v>
      </c>
      <c r="AG52" s="1316">
        <f ca="1">SUM(AG53:AG55)</f>
        <v>3764.14</v>
      </c>
      <c r="AH52" s="253">
        <f t="shared" ca="1" si="16"/>
        <v>-317.25000000000045</v>
      </c>
      <c r="AI52" s="507">
        <f t="shared" ref="AI52:BC52" ca="1" si="27">SUM(AI53:AI55)</f>
        <v>3029.35</v>
      </c>
      <c r="AJ52" s="507">
        <f t="shared" ca="1" si="27"/>
        <v>4447.2600000000011</v>
      </c>
      <c r="AK52" s="507">
        <f t="shared" ca="1" si="27"/>
        <v>0</v>
      </c>
      <c r="AL52" s="507">
        <f t="shared" ca="1" si="27"/>
        <v>0</v>
      </c>
      <c r="AM52" s="507">
        <f t="shared" ca="1" si="27"/>
        <v>0</v>
      </c>
      <c r="AN52" s="507">
        <f t="shared" ca="1" si="27"/>
        <v>0</v>
      </c>
      <c r="AO52" s="507">
        <f t="shared" ca="1" si="27"/>
        <v>0</v>
      </c>
      <c r="AP52" s="507">
        <f t="shared" ca="1" si="27"/>
        <v>0</v>
      </c>
      <c r="AQ52" s="507">
        <f t="shared" ca="1" si="27"/>
        <v>0</v>
      </c>
      <c r="AR52" s="507">
        <f t="shared" ca="1" si="27"/>
        <v>0</v>
      </c>
      <c r="AS52" s="507">
        <f t="shared" ca="1" si="27"/>
        <v>0</v>
      </c>
      <c r="AT52" s="507">
        <f t="shared" ca="1" si="27"/>
        <v>4357.6500000000005</v>
      </c>
      <c r="AU52" s="507">
        <f t="shared" ca="1" si="27"/>
        <v>0</v>
      </c>
      <c r="AV52" s="507">
        <f t="shared" ca="1" si="27"/>
        <v>0</v>
      </c>
      <c r="AW52" s="507">
        <f t="shared" ca="1" si="27"/>
        <v>0</v>
      </c>
      <c r="AX52" s="507">
        <f t="shared" ca="1" si="27"/>
        <v>0</v>
      </c>
      <c r="AY52" s="507">
        <f t="shared" ca="1" si="27"/>
        <v>0</v>
      </c>
      <c r="AZ52" s="507">
        <f t="shared" ca="1" si="27"/>
        <v>0</v>
      </c>
      <c r="BA52" s="507">
        <f t="shared" ca="1" si="27"/>
        <v>0</v>
      </c>
      <c r="BB52" s="507">
        <f t="shared" ca="1" si="27"/>
        <v>0</v>
      </c>
      <c r="BC52" s="507">
        <f t="shared" ca="1" si="27"/>
        <v>0</v>
      </c>
      <c r="BD52" s="253">
        <f t="shared" ca="1" si="17"/>
        <v>43.847690098536013</v>
      </c>
      <c r="BE52" s="253">
        <f t="shared" ca="1" si="18"/>
        <v>-100</v>
      </c>
      <c r="BF52" s="253">
        <f t="shared" ca="1" si="19"/>
        <v>0</v>
      </c>
      <c r="BG52" s="253">
        <f t="shared" ca="1" si="20"/>
        <v>0</v>
      </c>
      <c r="BH52" s="253">
        <f t="shared" ca="1" si="21"/>
        <v>0</v>
      </c>
      <c r="BI52" s="253">
        <f t="shared" ca="1" si="22"/>
        <v>0</v>
      </c>
      <c r="BJ52" s="253">
        <f t="shared" ca="1" si="23"/>
        <v>0</v>
      </c>
      <c r="BK52" s="253">
        <f t="shared" ca="1" si="24"/>
        <v>0</v>
      </c>
      <c r="BL52" s="253">
        <f t="shared" ca="1" si="25"/>
        <v>0</v>
      </c>
      <c r="BM52" s="253">
        <f t="shared" ca="1" si="26"/>
        <v>0</v>
      </c>
      <c r="BN52" s="1231"/>
      <c r="BO52" s="1231"/>
      <c r="BP52" s="1231"/>
      <c r="BQ52" s="177"/>
      <c r="BR52" s="177"/>
      <c r="BS52" s="971" t="s">
        <v>1383</v>
      </c>
    </row>
    <row r="53" spans="1:71" s="1167" customFormat="1" ht="39" customHeight="1" x14ac:dyDescent="0.15">
      <c r="A53" s="175"/>
      <c r="B53" s="773"/>
      <c r="C53" s="175"/>
      <c r="D53" s="175"/>
      <c r="E53" s="668">
        <v>40.5</v>
      </c>
      <c r="F53" s="769" t="str" cm="1">
        <f t="array" aca="1" ref="F53" ca="1">OFFSET(G53,-1,-1)</f>
        <v>1</v>
      </c>
      <c r="G53" s="140" t="s">
        <v>1269</v>
      </c>
      <c r="H53" s="177"/>
      <c r="I53" s="177"/>
      <c r="J53" s="177"/>
      <c r="K53" s="177"/>
      <c r="L53" s="177"/>
      <c r="M53" s="177"/>
      <c r="N53" s="177"/>
      <c r="O53" s="177"/>
      <c r="P53" s="177"/>
      <c r="Q53" s="140"/>
      <c r="R53" s="140"/>
      <c r="S53" s="177"/>
      <c r="T53" s="679" t="b" cm="1">
        <f t="array" ref="T53">T52</f>
        <v>1</v>
      </c>
      <c r="U53" s="1152"/>
      <c r="V53" s="1152"/>
      <c r="W53" s="1152"/>
      <c r="X53" s="1485"/>
      <c r="Y53" s="1152"/>
      <c r="Z53" s="1485"/>
      <c r="AA53" s="177"/>
      <c r="AB53" s="108" t="s">
        <v>1052</v>
      </c>
      <c r="AC53" s="115" t="s">
        <v>1270</v>
      </c>
      <c r="AD53" s="108" t="s">
        <v>830</v>
      </c>
      <c r="AE53" s="507">
        <f ca="1">SUMIFS(Налоги!AE$26:AE$56,Налоги!$F$26:$F$56,$F53,Налоги!$G$26:$G$56,$G53)</f>
        <v>22.52</v>
      </c>
      <c r="AF53" s="507">
        <f ca="1">SUMIFS(Налоги!AF$26:AF$56,Налоги!$F$26:$F$56,$F53,Налоги!$G$26:$G$56,$G53)</f>
        <v>504.12</v>
      </c>
      <c r="AG53" s="1316">
        <f ca="1">SUMIFS(Налоги!AG$26:AG$56,Налоги!$F$26:$F$56,$F53,Налоги!$G$26:$G$56,$G53)</f>
        <v>203.72</v>
      </c>
      <c r="AH53" s="253">
        <f t="shared" ca="1" si="16"/>
        <v>-300.39999999999998</v>
      </c>
      <c r="AI53" s="507">
        <f ca="1">SUMIFS(Налоги!AH$26:AH$56,Налоги!$F$26:$F$56,$F53,Налоги!$G$26:$G$56,$G53)</f>
        <v>123.97</v>
      </c>
      <c r="AJ53" s="507">
        <f ca="1">SUMIFS(Налоги!AI$26:AI$56,Налоги!$F$26:$F$56,$F53,Налоги!$G$26:$G$56,$G53)</f>
        <v>134.36000000000001</v>
      </c>
      <c r="AK53" s="507">
        <f ca="1">SUMIFS(Налоги!AJ$26:AJ$56,Налоги!$F$26:$F$56,$F53,Налоги!$G$26:$G$56,$G53)</f>
        <v>0</v>
      </c>
      <c r="AL53" s="507">
        <f ca="1">SUMIFS(Налоги!AK$26:AK$56,Налоги!$F$26:$F$56,$F53,Налоги!$G$26:$G$56,$G53)</f>
        <v>0</v>
      </c>
      <c r="AM53" s="507">
        <f ca="1">SUMIFS(Налоги!AL$26:AL$56,Налоги!$F$26:$F$56,$F53,Налоги!$G$26:$G$56,$G53)</f>
        <v>0</v>
      </c>
      <c r="AN53" s="507">
        <f ca="1">SUMIFS(Налоги!AM$26:AM$56,Налоги!$F$26:$F$56,$F53,Налоги!$G$26:$G$56,$G53)</f>
        <v>0</v>
      </c>
      <c r="AO53" s="507">
        <f ca="1">SUMIFS(Налоги!AN$26:AN$56,Налоги!$F$26:$F$56,$F53,Налоги!$G$26:$G$56,$G53)</f>
        <v>0</v>
      </c>
      <c r="AP53" s="507">
        <f ca="1">SUMIFS(Налоги!AO$26:AO$56,Налоги!$F$26:$F$56,$F53,Налоги!$G$26:$G$56,$G53)</f>
        <v>0</v>
      </c>
      <c r="AQ53" s="507">
        <f ca="1">SUMIFS(Налоги!AP$26:AP$56,Налоги!$F$26:$F$56,$F53,Налоги!$G$26:$G$56,$G53)</f>
        <v>0</v>
      </c>
      <c r="AR53" s="507">
        <f ca="1">SUMIFS(Налоги!AQ$26:AQ$56,Налоги!$F$26:$F$56,$F53,Налоги!$G$26:$G$56,$G53)</f>
        <v>0</v>
      </c>
      <c r="AS53" s="507">
        <f ca="1">SUMIFS(Налоги!AR$26:AR$56,Налоги!$F$26:$F$56,$F53,Налоги!$G$26:$G$56,$G53)</f>
        <v>0</v>
      </c>
      <c r="AT53" s="507">
        <f ca="1">SUMIFS(Налоги!AS$26:AS$56,Налоги!$F$26:$F$56,$F53,Налоги!$G$26:$G$56,$G53)</f>
        <v>125.98</v>
      </c>
      <c r="AU53" s="507">
        <f ca="1">SUMIFS(Налоги!AT$26:AT$56,Налоги!$F$26:$F$56,$F53,Налоги!$G$26:$G$56,$G53)</f>
        <v>0</v>
      </c>
      <c r="AV53" s="507">
        <f ca="1">SUMIFS(Налоги!AU$26:AU$56,Налоги!$F$26:$F$56,$F53,Налоги!$G$26:$G$56,$G53)</f>
        <v>0</v>
      </c>
      <c r="AW53" s="507">
        <f ca="1">SUMIFS(Налоги!AV$26:AV$56,Налоги!$F$26:$F$56,$F53,Налоги!$G$26:$G$56,$G53)</f>
        <v>0</v>
      </c>
      <c r="AX53" s="507">
        <f ca="1">SUMIFS(Налоги!AW$26:AW$56,Налоги!$F$26:$F$56,$F53,Налоги!$G$26:$G$56,$G53)</f>
        <v>0</v>
      </c>
      <c r="AY53" s="507">
        <f ca="1">SUMIFS(Налоги!AX$26:AX$56,Налоги!$F$26:$F$56,$F53,Налоги!$G$26:$G$56,$G53)</f>
        <v>0</v>
      </c>
      <c r="AZ53" s="507">
        <f ca="1">SUMIFS(Налоги!AY$26:AY$56,Налоги!$F$26:$F$56,$F53,Налоги!$G$26:$G$56,$G53)</f>
        <v>0</v>
      </c>
      <c r="BA53" s="507">
        <f ca="1">SUMIFS(Налоги!AZ$26:AZ$56,Налоги!$F$26:$F$56,$F53,Налоги!$G$26:$G$56,$G53)</f>
        <v>0</v>
      </c>
      <c r="BB53" s="507">
        <f ca="1">SUMIFS(Налоги!BA$26:BA$56,Налоги!$F$26:$F$56,$F53,Налоги!$G$26:$G$56,$G53)</f>
        <v>0</v>
      </c>
      <c r="BC53" s="507">
        <f ca="1">SUMIFS(Налоги!BB$26:BB$56,Налоги!$F$26:$F$56,$F53,Налоги!$G$26:$G$56,$G53)</f>
        <v>0</v>
      </c>
      <c r="BD53" s="253">
        <f t="shared" ca="1" si="17"/>
        <v>1.6213600064531783</v>
      </c>
      <c r="BE53" s="253">
        <f t="shared" ca="1" si="18"/>
        <v>-100</v>
      </c>
      <c r="BF53" s="253">
        <f t="shared" ca="1" si="19"/>
        <v>0</v>
      </c>
      <c r="BG53" s="253">
        <f t="shared" ca="1" si="20"/>
        <v>0</v>
      </c>
      <c r="BH53" s="253">
        <f t="shared" ca="1" si="21"/>
        <v>0</v>
      </c>
      <c r="BI53" s="253">
        <f t="shared" ca="1" si="22"/>
        <v>0</v>
      </c>
      <c r="BJ53" s="253">
        <f t="shared" ca="1" si="23"/>
        <v>0</v>
      </c>
      <c r="BK53" s="253">
        <f t="shared" ca="1" si="24"/>
        <v>0</v>
      </c>
      <c r="BL53" s="253">
        <f t="shared" ca="1" si="25"/>
        <v>0</v>
      </c>
      <c r="BM53" s="253">
        <f t="shared" ca="1" si="26"/>
        <v>0</v>
      </c>
      <c r="BN53" s="1231"/>
      <c r="BO53" s="1231"/>
      <c r="BP53" s="1231"/>
      <c r="BQ53" s="177"/>
      <c r="BR53" s="177"/>
      <c r="BS53" s="971" t="s">
        <v>1384</v>
      </c>
    </row>
    <row r="54" spans="1:71" s="1317" customFormat="1" ht="14.25" customHeight="1" x14ac:dyDescent="0.15">
      <c r="A54" s="182"/>
      <c r="B54" s="182"/>
      <c r="C54" s="182"/>
      <c r="D54" s="182"/>
      <c r="E54" s="668">
        <v>15</v>
      </c>
      <c r="F54" s="769" t="str" cm="1">
        <f t="array" aca="1" ref="F54" ca="1">OFFSET(G54,-1,-1)</f>
        <v>1</v>
      </c>
      <c r="G54" s="140" t="s">
        <v>1276</v>
      </c>
      <c r="H54" s="182"/>
      <c r="I54" s="182"/>
      <c r="J54" s="182"/>
      <c r="K54" s="182"/>
      <c r="L54" s="182"/>
      <c r="M54" s="182"/>
      <c r="N54" s="182"/>
      <c r="O54" s="182"/>
      <c r="P54" s="182"/>
      <c r="Q54" s="182"/>
      <c r="R54" s="182"/>
      <c r="S54" s="182"/>
      <c r="T54" s="679" t="b" cm="1">
        <f t="array" ref="T54">T53</f>
        <v>1</v>
      </c>
      <c r="U54" s="182"/>
      <c r="V54" s="182"/>
      <c r="W54" s="182"/>
      <c r="X54" s="1586"/>
      <c r="Y54" s="182"/>
      <c r="Z54" s="1586"/>
      <c r="AA54" s="182"/>
      <c r="AB54" s="108" t="s">
        <v>1055</v>
      </c>
      <c r="AC54" s="115" t="s">
        <v>1385</v>
      </c>
      <c r="AD54" s="108" t="s">
        <v>830</v>
      </c>
      <c r="AE54" s="507">
        <f ca="1">SUMIFS(Налоги!AE$26:AE$56,Налоги!$F$26:$F$56,$F54,Налоги!$G$26:$G$56,$G54)</f>
        <v>26.72</v>
      </c>
      <c r="AF54" s="507">
        <f ca="1">SUMIFS(Налоги!AF$26:AF$56,Налоги!$F$26:$F$56,$F54,Налоги!$G$26:$G$56,$G54)</f>
        <v>33.14</v>
      </c>
      <c r="AG54" s="1316">
        <f ca="1">SUMIFS(Налоги!AG$26:AG$56,Налоги!$F$26:$F$56,$F54,Налоги!$G$26:$G$56,$G54)</f>
        <v>25.09</v>
      </c>
      <c r="AH54" s="253">
        <f t="shared" ca="1" si="16"/>
        <v>-8.0500000000000007</v>
      </c>
      <c r="AI54" s="507">
        <f ca="1">SUMIFS(Налоги!AH$26:AH$56,Налоги!$F$26:$F$56,$F54,Налоги!$G$26:$G$56,$G54)</f>
        <v>28.48</v>
      </c>
      <c r="AJ54" s="507">
        <f ca="1">SUMIFS(Налоги!AI$26:AI$56,Налоги!$F$26:$F$56,$F54,Налоги!$G$26:$G$56,$G54)</f>
        <v>86.45</v>
      </c>
      <c r="AK54" s="507">
        <f ca="1">SUMIFS(Налоги!AJ$26:AJ$56,Налоги!$F$26:$F$56,$F54,Налоги!$G$26:$G$56,$G54)</f>
        <v>0</v>
      </c>
      <c r="AL54" s="507">
        <f ca="1">SUMIFS(Налоги!AK$26:AK$56,Налоги!$F$26:$F$56,$F54,Налоги!$G$26:$G$56,$G54)</f>
        <v>0</v>
      </c>
      <c r="AM54" s="507">
        <f ca="1">SUMIFS(Налоги!AL$26:AL$56,Налоги!$F$26:$F$56,$F54,Налоги!$G$26:$G$56,$G54)</f>
        <v>0</v>
      </c>
      <c r="AN54" s="507">
        <f ca="1">SUMIFS(Налоги!AM$26:AM$56,Налоги!$F$26:$F$56,$F54,Налоги!$G$26:$G$56,$G54)</f>
        <v>0</v>
      </c>
      <c r="AO54" s="507">
        <f ca="1">SUMIFS(Налоги!AN$26:AN$56,Налоги!$F$26:$F$56,$F54,Налоги!$G$26:$G$56,$G54)</f>
        <v>0</v>
      </c>
      <c r="AP54" s="507">
        <f ca="1">SUMIFS(Налоги!AO$26:AO$56,Налоги!$F$26:$F$56,$F54,Налоги!$G$26:$G$56,$G54)</f>
        <v>0</v>
      </c>
      <c r="AQ54" s="507">
        <f ca="1">SUMIFS(Налоги!AP$26:AP$56,Налоги!$F$26:$F$56,$F54,Налоги!$G$26:$G$56,$G54)</f>
        <v>0</v>
      </c>
      <c r="AR54" s="507">
        <f ca="1">SUMIFS(Налоги!AQ$26:AQ$56,Налоги!$F$26:$F$56,$F54,Налоги!$G$26:$G$56,$G54)</f>
        <v>0</v>
      </c>
      <c r="AS54" s="507">
        <f ca="1">SUMIFS(Налоги!AR$26:AR$56,Налоги!$F$26:$F$56,$F54,Налоги!$G$26:$G$56,$G54)</f>
        <v>0</v>
      </c>
      <c r="AT54" s="507">
        <f ca="1">SUMIFS(Налоги!AS$26:AS$56,Налоги!$F$26:$F$56,$F54,Налоги!$G$26:$G$56,$G54)</f>
        <v>25.09</v>
      </c>
      <c r="AU54" s="507">
        <f ca="1">SUMIFS(Налоги!AT$26:AT$56,Налоги!$F$26:$F$56,$F54,Налоги!$G$26:$G$56,$G54)</f>
        <v>0</v>
      </c>
      <c r="AV54" s="507">
        <f ca="1">SUMIFS(Налоги!AU$26:AU$56,Налоги!$F$26:$F$56,$F54,Налоги!$G$26:$G$56,$G54)</f>
        <v>0</v>
      </c>
      <c r="AW54" s="507">
        <f ca="1">SUMIFS(Налоги!AV$26:AV$56,Налоги!$F$26:$F$56,$F54,Налоги!$G$26:$G$56,$G54)</f>
        <v>0</v>
      </c>
      <c r="AX54" s="507">
        <f ca="1">SUMIFS(Налоги!AW$26:AW$56,Налоги!$F$26:$F$56,$F54,Налоги!$G$26:$G$56,$G54)</f>
        <v>0</v>
      </c>
      <c r="AY54" s="507">
        <f ca="1">SUMIFS(Налоги!AX$26:AX$56,Налоги!$F$26:$F$56,$F54,Налоги!$G$26:$G$56,$G54)</f>
        <v>0</v>
      </c>
      <c r="AZ54" s="507">
        <f ca="1">SUMIFS(Налоги!AY$26:AY$56,Налоги!$F$26:$F$56,$F54,Налоги!$G$26:$G$56,$G54)</f>
        <v>0</v>
      </c>
      <c r="BA54" s="507">
        <f ca="1">SUMIFS(Налоги!AZ$26:AZ$56,Налоги!$F$26:$F$56,$F54,Налоги!$G$26:$G$56,$G54)</f>
        <v>0</v>
      </c>
      <c r="BB54" s="507">
        <f ca="1">SUMIFS(Налоги!BA$26:BA$56,Налоги!$F$26:$F$56,$F54,Налоги!$G$26:$G$56,$G54)</f>
        <v>0</v>
      </c>
      <c r="BC54" s="507">
        <f ca="1">SUMIFS(Налоги!BB$26:BB$56,Налоги!$F$26:$F$56,$F54,Налоги!$G$26:$G$56,$G54)</f>
        <v>0</v>
      </c>
      <c r="BD54" s="253">
        <f t="shared" ca="1" si="17"/>
        <v>-11.903089887640451</v>
      </c>
      <c r="BE54" s="253">
        <f t="shared" ca="1" si="18"/>
        <v>-100</v>
      </c>
      <c r="BF54" s="253">
        <f t="shared" ca="1" si="19"/>
        <v>0</v>
      </c>
      <c r="BG54" s="253">
        <f t="shared" ca="1" si="20"/>
        <v>0</v>
      </c>
      <c r="BH54" s="253">
        <f t="shared" ca="1" si="21"/>
        <v>0</v>
      </c>
      <c r="BI54" s="253">
        <f t="shared" ca="1" si="22"/>
        <v>0</v>
      </c>
      <c r="BJ54" s="253">
        <f t="shared" ca="1" si="23"/>
        <v>0</v>
      </c>
      <c r="BK54" s="253">
        <f t="shared" ca="1" si="24"/>
        <v>0</v>
      </c>
      <c r="BL54" s="253">
        <f t="shared" ca="1" si="25"/>
        <v>0</v>
      </c>
      <c r="BM54" s="253">
        <f t="shared" ca="1" si="26"/>
        <v>0</v>
      </c>
      <c r="BN54" s="1231"/>
      <c r="BO54" s="1231"/>
      <c r="BP54" s="1231"/>
      <c r="BQ54" s="182"/>
      <c r="BR54" s="182"/>
      <c r="BS54" s="971" t="s">
        <v>1386</v>
      </c>
    </row>
    <row r="55" spans="1:71" s="1318" customFormat="1" ht="14.25" customHeight="1" x14ac:dyDescent="0.15">
      <c r="A55" s="182"/>
      <c r="B55" s="182"/>
      <c r="C55" s="182"/>
      <c r="D55" s="182"/>
      <c r="E55" s="668">
        <v>15</v>
      </c>
      <c r="F55" s="769" t="str" cm="1">
        <f t="array" aca="1" ref="F55" ca="1">OFFSET(G55,-1,-1)</f>
        <v>1</v>
      </c>
      <c r="G55" s="140" t="s">
        <v>1272</v>
      </c>
      <c r="H55" s="182"/>
      <c r="I55" s="182"/>
      <c r="J55" s="182"/>
      <c r="K55" s="182"/>
      <c r="L55" s="182"/>
      <c r="M55" s="182"/>
      <c r="N55" s="182"/>
      <c r="O55" s="182"/>
      <c r="P55" s="182"/>
      <c r="Q55" s="182"/>
      <c r="R55" s="182"/>
      <c r="S55" s="182"/>
      <c r="T55" s="679" t="b" cm="1">
        <f t="array" ref="T55">T54</f>
        <v>1</v>
      </c>
      <c r="U55" s="182"/>
      <c r="V55" s="182"/>
      <c r="W55" s="182"/>
      <c r="X55" s="1586"/>
      <c r="Y55" s="182"/>
      <c r="Z55" s="1586"/>
      <c r="AA55" s="182"/>
      <c r="AB55" s="108" t="s">
        <v>1058</v>
      </c>
      <c r="AC55" s="115" t="s">
        <v>1387</v>
      </c>
      <c r="AD55" s="108" t="s">
        <v>830</v>
      </c>
      <c r="AE55" s="507">
        <f ca="1">SUMIFS(Налоги!AE$26:AE$56,Налоги!$F$26:$F$56,$F55,Налоги!$G$26:$G$56,$G55)</f>
        <v>2955.95</v>
      </c>
      <c r="AF55" s="507">
        <f ca="1">SUMIFS(Налоги!AF$26:AF$56,Налоги!$F$26:$F$56,$F55,Налоги!$G$26:$G$56,$G55)</f>
        <v>3544.13</v>
      </c>
      <c r="AG55" s="1316">
        <f ca="1">SUMIFS(Налоги!AG$26:AG$56,Налоги!$F$26:$F$56,$F55,Налоги!$G$26:$G$56,$G55)</f>
        <v>3535.33</v>
      </c>
      <c r="AH55" s="253">
        <f t="shared" ca="1" si="16"/>
        <v>-8.8000000000001819</v>
      </c>
      <c r="AI55" s="507">
        <f ca="1">SUMIFS(Налоги!AH$26:AH$56,Налоги!$F$26:$F$56,$F55,Налоги!$G$26:$G$56,$G55)</f>
        <v>2876.9</v>
      </c>
      <c r="AJ55" s="507">
        <f ca="1">SUMIFS(Налоги!AI$26:AI$56,Налоги!$F$26:$F$56,$F55,Налоги!$G$26:$G$56,$G55)</f>
        <v>4226.4500000000007</v>
      </c>
      <c r="AK55" s="507">
        <f ca="1">SUMIFS(Налоги!AJ$26:AJ$56,Налоги!$F$26:$F$56,$F55,Налоги!$G$26:$G$56,$G55)</f>
        <v>0</v>
      </c>
      <c r="AL55" s="507">
        <f ca="1">SUMIFS(Налоги!AK$26:AK$56,Налоги!$F$26:$F$56,$F55,Налоги!$G$26:$G$56,$G55)</f>
        <v>0</v>
      </c>
      <c r="AM55" s="507">
        <f ca="1">SUMIFS(Налоги!AL$26:AL$56,Налоги!$F$26:$F$56,$F55,Налоги!$G$26:$G$56,$G55)</f>
        <v>0</v>
      </c>
      <c r="AN55" s="507">
        <f ca="1">SUMIFS(Налоги!AM$26:AM$56,Налоги!$F$26:$F$56,$F55,Налоги!$G$26:$G$56,$G55)</f>
        <v>0</v>
      </c>
      <c r="AO55" s="507">
        <f ca="1">SUMIFS(Налоги!AN$26:AN$56,Налоги!$F$26:$F$56,$F55,Налоги!$G$26:$G$56,$G55)</f>
        <v>0</v>
      </c>
      <c r="AP55" s="507">
        <f ca="1">SUMIFS(Налоги!AO$26:AO$56,Налоги!$F$26:$F$56,$F55,Налоги!$G$26:$G$56,$G55)</f>
        <v>0</v>
      </c>
      <c r="AQ55" s="507">
        <f ca="1">SUMIFS(Налоги!AP$26:AP$56,Налоги!$F$26:$F$56,$F55,Налоги!$G$26:$G$56,$G55)</f>
        <v>0</v>
      </c>
      <c r="AR55" s="507">
        <f ca="1">SUMIFS(Налоги!AQ$26:AQ$56,Налоги!$F$26:$F$56,$F55,Налоги!$G$26:$G$56,$G55)</f>
        <v>0</v>
      </c>
      <c r="AS55" s="507">
        <f ca="1">SUMIFS(Налоги!AR$26:AR$56,Налоги!$F$26:$F$56,$F55,Налоги!$G$26:$G$56,$G55)</f>
        <v>0</v>
      </c>
      <c r="AT55" s="507">
        <f ca="1">SUMIFS(Налоги!AS$26:AS$56,Налоги!$F$26:$F$56,$F55,Налоги!$G$26:$G$56,$G55)</f>
        <v>4206.5800000000008</v>
      </c>
      <c r="AU55" s="507">
        <f ca="1">SUMIFS(Налоги!AT$26:AT$56,Налоги!$F$26:$F$56,$F55,Налоги!$G$26:$G$56,$G55)</f>
        <v>0</v>
      </c>
      <c r="AV55" s="507">
        <f ca="1">SUMIFS(Налоги!AU$26:AU$56,Налоги!$F$26:$F$56,$F55,Налоги!$G$26:$G$56,$G55)</f>
        <v>0</v>
      </c>
      <c r="AW55" s="507">
        <f ca="1">SUMIFS(Налоги!AV$26:AV$56,Налоги!$F$26:$F$56,$F55,Налоги!$G$26:$G$56,$G55)</f>
        <v>0</v>
      </c>
      <c r="AX55" s="507">
        <f ca="1">SUMIFS(Налоги!AW$26:AW$56,Налоги!$F$26:$F$56,$F55,Налоги!$G$26:$G$56,$G55)</f>
        <v>0</v>
      </c>
      <c r="AY55" s="507">
        <f ca="1">SUMIFS(Налоги!AX$26:AX$56,Налоги!$F$26:$F$56,$F55,Налоги!$G$26:$G$56,$G55)</f>
        <v>0</v>
      </c>
      <c r="AZ55" s="507">
        <f ca="1">SUMIFS(Налоги!AY$26:AY$56,Налоги!$F$26:$F$56,$F55,Налоги!$G$26:$G$56,$G55)</f>
        <v>0</v>
      </c>
      <c r="BA55" s="507">
        <f ca="1">SUMIFS(Налоги!AZ$26:AZ$56,Налоги!$F$26:$F$56,$F55,Налоги!$G$26:$G$56,$G55)</f>
        <v>0</v>
      </c>
      <c r="BB55" s="507">
        <f ca="1">SUMIFS(Налоги!BA$26:BA$56,Налоги!$F$26:$F$56,$F55,Налоги!$G$26:$G$56,$G55)</f>
        <v>0</v>
      </c>
      <c r="BC55" s="507">
        <f ca="1">SUMIFS(Налоги!BB$26:BB$56,Налоги!$F$26:$F$56,$F55,Налоги!$G$26:$G$56,$G55)</f>
        <v>0</v>
      </c>
      <c r="BD55" s="253">
        <f t="shared" ca="1" si="17"/>
        <v>46.219194271611826</v>
      </c>
      <c r="BE55" s="253">
        <f t="shared" ca="1" si="18"/>
        <v>-100</v>
      </c>
      <c r="BF55" s="253">
        <f t="shared" ca="1" si="19"/>
        <v>0</v>
      </c>
      <c r="BG55" s="253">
        <f t="shared" ca="1" si="20"/>
        <v>0</v>
      </c>
      <c r="BH55" s="253">
        <f t="shared" ca="1" si="21"/>
        <v>0</v>
      </c>
      <c r="BI55" s="253">
        <f t="shared" ca="1" si="22"/>
        <v>0</v>
      </c>
      <c r="BJ55" s="253">
        <f t="shared" ca="1" si="23"/>
        <v>0</v>
      </c>
      <c r="BK55" s="253">
        <f t="shared" ca="1" si="24"/>
        <v>0</v>
      </c>
      <c r="BL55" s="253">
        <f t="shared" ca="1" si="25"/>
        <v>0</v>
      </c>
      <c r="BM55" s="253">
        <f t="shared" ca="1" si="26"/>
        <v>0</v>
      </c>
      <c r="BN55" s="1231"/>
      <c r="BO55" s="1231"/>
      <c r="BP55" s="1231"/>
      <c r="BQ55" s="182"/>
      <c r="BR55" s="182"/>
      <c r="BS55" s="971" t="s">
        <v>1292</v>
      </c>
    </row>
    <row r="56" spans="1:71" s="1167" customFormat="1" ht="14.25" customHeight="1" x14ac:dyDescent="0.15">
      <c r="A56" s="175"/>
      <c r="B56" s="773"/>
      <c r="C56" s="175"/>
      <c r="D56" s="175"/>
      <c r="E56" s="668">
        <v>15</v>
      </c>
      <c r="F56" s="769" t="str" cm="1">
        <f t="array" aca="1" ref="F56" ca="1">OFFSET(G56,-1,-1)</f>
        <v>1</v>
      </c>
      <c r="G56" s="177"/>
      <c r="H56" s="177"/>
      <c r="I56" s="177"/>
      <c r="J56" s="177"/>
      <c r="K56" s="177"/>
      <c r="L56" s="177"/>
      <c r="M56" s="177"/>
      <c r="N56" s="177"/>
      <c r="O56" s="177"/>
      <c r="P56" s="177"/>
      <c r="Q56" s="140"/>
      <c r="R56" s="140"/>
      <c r="S56" s="177"/>
      <c r="T56" s="679" t="b" cm="1">
        <f t="array" ref="T56">T55</f>
        <v>1</v>
      </c>
      <c r="U56" s="1152"/>
      <c r="V56" s="1152"/>
      <c r="W56" s="1152"/>
      <c r="X56" s="1485"/>
      <c r="Y56" s="1152"/>
      <c r="Z56" s="1485"/>
      <c r="AA56" s="177"/>
      <c r="AB56" s="108" t="s">
        <v>1067</v>
      </c>
      <c r="AC56" s="115" t="s">
        <v>1388</v>
      </c>
      <c r="AD56" s="108" t="s">
        <v>830</v>
      </c>
      <c r="AE56" s="1316">
        <v>30576.098713681899</v>
      </c>
      <c r="AF56" s="1316">
        <v>33961.089769999999</v>
      </c>
      <c r="AG56" s="1316">
        <v>33961.089999999997</v>
      </c>
      <c r="AH56" s="253">
        <f t="shared" si="16"/>
        <v>2.2999999782769009E-4</v>
      </c>
      <c r="AI56" s="1316">
        <v>33750.773519406197</v>
      </c>
      <c r="AJ56" s="509">
        <v>35842</v>
      </c>
      <c r="AK56" s="1315"/>
      <c r="AL56" s="1315"/>
      <c r="AM56" s="1316"/>
      <c r="AN56" s="1316"/>
      <c r="AO56" s="1316"/>
      <c r="AP56" s="1316"/>
      <c r="AQ56" s="1316"/>
      <c r="AR56" s="1316"/>
      <c r="AS56" s="1316"/>
      <c r="AT56" s="509">
        <v>35792.362098751102</v>
      </c>
      <c r="AU56" s="1315"/>
      <c r="AV56" s="1315"/>
      <c r="AW56" s="1316"/>
      <c r="AX56" s="1316"/>
      <c r="AY56" s="1316"/>
      <c r="AZ56" s="1316"/>
      <c r="BA56" s="1316"/>
      <c r="BB56" s="1316"/>
      <c r="BC56" s="1316"/>
      <c r="BD56" s="253">
        <f t="shared" si="17"/>
        <v>6.0490127083191787</v>
      </c>
      <c r="BE56" s="253">
        <f t="shared" si="18"/>
        <v>-100</v>
      </c>
      <c r="BF56" s="253">
        <f t="shared" si="19"/>
        <v>0</v>
      </c>
      <c r="BG56" s="253">
        <f t="shared" si="20"/>
        <v>0</v>
      </c>
      <c r="BH56" s="253">
        <f t="shared" si="21"/>
        <v>0</v>
      </c>
      <c r="BI56" s="253">
        <f t="shared" si="22"/>
        <v>0</v>
      </c>
      <c r="BJ56" s="253">
        <f t="shared" si="23"/>
        <v>0</v>
      </c>
      <c r="BK56" s="253">
        <f t="shared" si="24"/>
        <v>0</v>
      </c>
      <c r="BL56" s="253">
        <f t="shared" si="25"/>
        <v>0</v>
      </c>
      <c r="BM56" s="253">
        <f t="shared" si="26"/>
        <v>0</v>
      </c>
      <c r="BN56" s="1231"/>
      <c r="BO56" s="1231"/>
      <c r="BP56" s="1231"/>
      <c r="BQ56" s="177"/>
      <c r="BR56" s="177"/>
      <c r="BS56" s="971" t="s">
        <v>1389</v>
      </c>
    </row>
    <row r="57" spans="1:71" s="1167" customFormat="1" ht="14.25" customHeight="1" x14ac:dyDescent="0.15">
      <c r="A57" s="175"/>
      <c r="B57" s="773"/>
      <c r="C57" s="175"/>
      <c r="D57" s="175"/>
      <c r="E57" s="668">
        <v>15</v>
      </c>
      <c r="F57" s="769" t="str" cm="1">
        <f t="array" aca="1" ref="F57" ca="1">OFFSET(G57,-1,-1)</f>
        <v>1</v>
      </c>
      <c r="G57" s="177"/>
      <c r="H57" s="177"/>
      <c r="I57" s="177"/>
      <c r="J57" s="177"/>
      <c r="K57" s="177"/>
      <c r="L57" s="177"/>
      <c r="M57" s="177"/>
      <c r="N57" s="177"/>
      <c r="O57" s="177"/>
      <c r="P57" s="177"/>
      <c r="Q57" s="140"/>
      <c r="R57" s="140"/>
      <c r="S57" s="177"/>
      <c r="T57" s="679" t="b" cm="1">
        <f t="array" ref="T57">T56</f>
        <v>1</v>
      </c>
      <c r="U57" s="1152"/>
      <c r="V57" s="1152"/>
      <c r="W57" s="1152"/>
      <c r="X57" s="1485"/>
      <c r="Y57" s="1152"/>
      <c r="Z57" s="1485"/>
      <c r="AA57" s="177"/>
      <c r="AB57" s="108" t="s">
        <v>1390</v>
      </c>
      <c r="AC57" s="736" t="s">
        <v>1391</v>
      </c>
      <c r="AD57" s="108" t="s">
        <v>521</v>
      </c>
      <c r="AE57" s="1310">
        <v>30.4</v>
      </c>
      <c r="AF57" s="1310"/>
      <c r="AG57" s="1310"/>
      <c r="AH57" s="253">
        <f t="shared" si="16"/>
        <v>0</v>
      </c>
      <c r="AI57" s="1310">
        <v>30.4</v>
      </c>
      <c r="AJ57" s="924"/>
      <c r="AK57" s="1308"/>
      <c r="AL57" s="1308"/>
      <c r="AM57" s="1310"/>
      <c r="AN57" s="1310"/>
      <c r="AO57" s="1310"/>
      <c r="AP57" s="1310"/>
      <c r="AQ57" s="1310"/>
      <c r="AR57" s="1310"/>
      <c r="AS57" s="1310"/>
      <c r="AT57" s="924">
        <v>30.94</v>
      </c>
      <c r="AU57" s="1308"/>
      <c r="AV57" s="1308"/>
      <c r="AW57" s="1310"/>
      <c r="AX57" s="1310"/>
      <c r="AY57" s="1310"/>
      <c r="AZ57" s="1310"/>
      <c r="BA57" s="1310"/>
      <c r="BB57" s="1310"/>
      <c r="BC57" s="1310"/>
      <c r="BD57" s="253">
        <f t="shared" si="17"/>
        <v>1.7763157894736932</v>
      </c>
      <c r="BE57" s="253">
        <f t="shared" si="18"/>
        <v>-100</v>
      </c>
      <c r="BF57" s="253">
        <f t="shared" si="19"/>
        <v>0</v>
      </c>
      <c r="BG57" s="253">
        <f t="shared" si="20"/>
        <v>0</v>
      </c>
      <c r="BH57" s="253">
        <f t="shared" si="21"/>
        <v>0</v>
      </c>
      <c r="BI57" s="253">
        <f t="shared" si="22"/>
        <v>0</v>
      </c>
      <c r="BJ57" s="253">
        <f t="shared" si="23"/>
        <v>0</v>
      </c>
      <c r="BK57" s="253">
        <f t="shared" si="24"/>
        <v>0</v>
      </c>
      <c r="BL57" s="253">
        <f t="shared" si="25"/>
        <v>0</v>
      </c>
      <c r="BM57" s="253">
        <f t="shared" si="26"/>
        <v>0</v>
      </c>
      <c r="BN57" s="1231"/>
      <c r="BO57" s="1231"/>
      <c r="BP57" s="1231"/>
      <c r="BQ57" s="177"/>
      <c r="BR57" s="177"/>
      <c r="BS57" s="971" t="s">
        <v>1392</v>
      </c>
    </row>
    <row r="58" spans="1:71" s="1167" customFormat="1" ht="14.25" customHeight="1" x14ac:dyDescent="0.15">
      <c r="A58" s="175"/>
      <c r="B58" s="773"/>
      <c r="C58" s="175"/>
      <c r="D58" s="175"/>
      <c r="E58" s="668">
        <v>15</v>
      </c>
      <c r="F58" s="769" t="str" cm="1">
        <f t="array" aca="1" ref="F58" ca="1">OFFSET(G58,-1,-1)</f>
        <v>1</v>
      </c>
      <c r="G58" s="177"/>
      <c r="H58" s="177"/>
      <c r="I58" s="177"/>
      <c r="J58" s="177"/>
      <c r="K58" s="177"/>
      <c r="L58" s="177"/>
      <c r="M58" s="177"/>
      <c r="N58" s="177"/>
      <c r="O58" s="177"/>
      <c r="P58" s="177"/>
      <c r="Q58" s="140"/>
      <c r="R58" s="140"/>
      <c r="S58" s="177"/>
      <c r="T58" s="679" t="b" cm="1">
        <f t="array" ref="T58">T56</f>
        <v>1</v>
      </c>
      <c r="U58" s="1152"/>
      <c r="V58" s="1152"/>
      <c r="W58" s="1152"/>
      <c r="X58" s="1485"/>
      <c r="Y58" s="1152"/>
      <c r="Z58" s="1485"/>
      <c r="AA58" s="177"/>
      <c r="AB58" s="108" t="s">
        <v>1070</v>
      </c>
      <c r="AC58" s="115" t="s">
        <v>1393</v>
      </c>
      <c r="AD58" s="108" t="s">
        <v>830</v>
      </c>
      <c r="AE58" s="1316">
        <v>0</v>
      </c>
      <c r="AF58" s="1316">
        <v>1024.83897</v>
      </c>
      <c r="AG58" s="1316">
        <v>1024.8399999999999</v>
      </c>
      <c r="AH58" s="253">
        <f t="shared" si="16"/>
        <v>1.0299999999006104E-3</v>
      </c>
      <c r="AI58" s="1316">
        <v>0</v>
      </c>
      <c r="AJ58" s="509">
        <v>4962.6400000000003</v>
      </c>
      <c r="AK58" s="1315"/>
      <c r="AL58" s="1315"/>
      <c r="AM58" s="1316"/>
      <c r="AN58" s="1316"/>
      <c r="AO58" s="1316"/>
      <c r="AP58" s="1316"/>
      <c r="AQ58" s="1316"/>
      <c r="AR58" s="1316"/>
      <c r="AS58" s="1316"/>
      <c r="AT58" s="509">
        <v>4962.6400000000003</v>
      </c>
      <c r="AU58" s="1315"/>
      <c r="AV58" s="1315"/>
      <c r="AW58" s="1316"/>
      <c r="AX58" s="1316"/>
      <c r="AY58" s="1316"/>
      <c r="AZ58" s="1316"/>
      <c r="BA58" s="1316"/>
      <c r="BB58" s="1316"/>
      <c r="BC58" s="1316"/>
      <c r="BD58" s="253">
        <f t="shared" si="17"/>
        <v>0</v>
      </c>
      <c r="BE58" s="253">
        <f t="shared" si="18"/>
        <v>-100</v>
      </c>
      <c r="BF58" s="253">
        <f t="shared" si="19"/>
        <v>0</v>
      </c>
      <c r="BG58" s="253">
        <f t="shared" si="20"/>
        <v>0</v>
      </c>
      <c r="BH58" s="253">
        <f t="shared" si="21"/>
        <v>0</v>
      </c>
      <c r="BI58" s="253">
        <f t="shared" si="22"/>
        <v>0</v>
      </c>
      <c r="BJ58" s="253">
        <f t="shared" si="23"/>
        <v>0</v>
      </c>
      <c r="BK58" s="253">
        <f t="shared" si="24"/>
        <v>0</v>
      </c>
      <c r="BL58" s="253">
        <f t="shared" si="25"/>
        <v>0</v>
      </c>
      <c r="BM58" s="253">
        <f t="shared" si="26"/>
        <v>0</v>
      </c>
      <c r="BN58" s="1231"/>
      <c r="BO58" s="1231"/>
      <c r="BP58" s="1231"/>
      <c r="BQ58" s="177"/>
      <c r="BR58" s="177"/>
      <c r="BS58" s="971" t="s">
        <v>1394</v>
      </c>
    </row>
    <row r="59" spans="1:71" s="1167" customFormat="1" ht="14.25" customHeight="1" x14ac:dyDescent="0.15">
      <c r="A59" s="175"/>
      <c r="B59" s="773"/>
      <c r="C59" s="175"/>
      <c r="D59" s="175"/>
      <c r="E59" s="668">
        <v>15</v>
      </c>
      <c r="F59" s="769" t="str" cm="1">
        <f t="array" aca="1" ref="F59" ca="1">OFFSET(G59,-1,-1)</f>
        <v>1</v>
      </c>
      <c r="G59" s="140" t="s">
        <v>1154</v>
      </c>
      <c r="H59" s="177"/>
      <c r="I59" s="177"/>
      <c r="J59" s="177"/>
      <c r="K59" s="177"/>
      <c r="L59" s="177"/>
      <c r="M59" s="177"/>
      <c r="N59" s="177"/>
      <c r="O59" s="177"/>
      <c r="P59" s="177"/>
      <c r="Q59" s="140"/>
      <c r="R59" s="140"/>
      <c r="S59" s="177"/>
      <c r="T59" s="679" t="b" cm="1">
        <f t="array" ref="T59">T58</f>
        <v>1</v>
      </c>
      <c r="U59" s="1152"/>
      <c r="V59" s="1152"/>
      <c r="W59" s="1152"/>
      <c r="X59" s="1485"/>
      <c r="Y59" s="1152"/>
      <c r="Z59" s="1485"/>
      <c r="AA59" s="177"/>
      <c r="AB59" s="108" t="s">
        <v>1073</v>
      </c>
      <c r="AC59" s="115" t="s">
        <v>1395</v>
      </c>
      <c r="AD59" s="108" t="s">
        <v>830</v>
      </c>
      <c r="AE59" s="507">
        <f ca="1">SUMIFS(Амортизация!AE$26:AE$225,Амортизация!$F$26:$F$225,$F59,Амортизация!$G$26:$G$225,$G59)</f>
        <v>14188.39</v>
      </c>
      <c r="AF59" s="507">
        <f ca="1">SUMIFS(Амортизация!AF$26:AF$225,Амортизация!$F$26:$F$225,$F59,Амортизация!$G$26:$G$225,$G59)</f>
        <v>14188.39</v>
      </c>
      <c r="AG59" s="1316">
        <f ca="1">SUMIFS(Амортизация!AG$26:AG$225,Амортизация!$F$26:$F$225,$F59,Амортизация!$G$26:$G$225,$G59)</f>
        <v>14188.39</v>
      </c>
      <c r="AH59" s="253">
        <f t="shared" ca="1" si="16"/>
        <v>0</v>
      </c>
      <c r="AI59" s="507">
        <f ca="1">SUMIFS(Амортизация!AH$26:AH$225,Амортизация!$F$26:$F$225,$F59,Амортизация!$G$26:$G$225,$G59)</f>
        <v>11135.7</v>
      </c>
      <c r="AJ59" s="507">
        <f ca="1">SUMIFS(Амортизация!AI$26:AI$225,Амортизация!$F$26:$F$225,$F59,Амортизация!$G$26:$G$225,$G59)</f>
        <v>14975.45</v>
      </c>
      <c r="AK59" s="507">
        <f ca="1">SUMIFS(Амортизация!AJ$26:AJ$225,Амортизация!$F$26:$F$225,$F59,Амортизация!$G$26:$G$225,$G59)</f>
        <v>0</v>
      </c>
      <c r="AL59" s="507">
        <f ca="1">SUMIFS(Амортизация!AK$26:AK$225,Амортизация!$F$26:$F$225,$F59,Амортизация!$G$26:$G$225,$G59)</f>
        <v>0</v>
      </c>
      <c r="AM59" s="507">
        <f ca="1">SUMIFS(Амортизация!AL$26:AL$225,Амортизация!$F$26:$F$225,$F59,Амортизация!$G$26:$G$225,$G59)</f>
        <v>0</v>
      </c>
      <c r="AN59" s="507">
        <f ca="1">SUMIFS(Амортизация!AM$26:AM$225,Амортизация!$F$26:$F$225,$F59,Амортизация!$G$26:$G$225,$G59)</f>
        <v>0</v>
      </c>
      <c r="AO59" s="507">
        <f ca="1">SUMIFS(Амортизация!AN$26:AN$225,Амортизация!$F$26:$F$225,$F59,Амортизация!$G$26:$G$225,$G59)</f>
        <v>0</v>
      </c>
      <c r="AP59" s="507">
        <f ca="1">SUMIFS(Амортизация!AO$26:AO$225,Амортизация!$F$26:$F$225,$F59,Амортизация!$G$26:$G$225,$G59)</f>
        <v>0</v>
      </c>
      <c r="AQ59" s="507">
        <f ca="1">SUMIFS(Амортизация!AP$26:AP$225,Амортизация!$F$26:$F$225,$F59,Амортизация!$G$26:$G$225,$G59)</f>
        <v>0</v>
      </c>
      <c r="AR59" s="507">
        <f ca="1">SUMIFS(Амортизация!AQ$26:AQ$225,Амортизация!$F$26:$F$225,$F59,Амортизация!$G$26:$G$225,$G59)</f>
        <v>0</v>
      </c>
      <c r="AS59" s="507">
        <f ca="1">SUMIFS(Амортизация!AR$26:AR$225,Амортизация!$F$26:$F$225,$F59,Амортизация!$G$26:$G$225,$G59)</f>
        <v>0</v>
      </c>
      <c r="AT59" s="507">
        <f ca="1">SUMIFS(Амортизация!AS$26:AS$225,Амортизация!$F$26:$F$225,$F59,Амортизация!$G$26:$G$225,$G59)</f>
        <v>11942.2</v>
      </c>
      <c r="AU59" s="507">
        <f ca="1">SUMIFS(Амортизация!AT$26:AT$225,Амортизация!$F$26:$F$225,$F59,Амортизация!$G$26:$G$225,$G59)</f>
        <v>0</v>
      </c>
      <c r="AV59" s="507">
        <f ca="1">SUMIFS(Амортизация!AU$26:AU$225,Амортизация!$F$26:$F$225,$F59,Амортизация!$G$26:$G$225,$G59)</f>
        <v>0</v>
      </c>
      <c r="AW59" s="507">
        <f ca="1">SUMIFS(Амортизация!AV$26:AV$225,Амортизация!$F$26:$F$225,$F59,Амортизация!$G$26:$G$225,$G59)</f>
        <v>0</v>
      </c>
      <c r="AX59" s="507">
        <f ca="1">SUMIFS(Амортизация!AW$26:AW$225,Амортизация!$F$26:$F$225,$F59,Амортизация!$G$26:$G$225,$G59)</f>
        <v>0</v>
      </c>
      <c r="AY59" s="507">
        <f ca="1">SUMIFS(Амортизация!AX$26:AX$225,Амортизация!$F$26:$F$225,$F59,Амортизация!$G$26:$G$225,$G59)</f>
        <v>0</v>
      </c>
      <c r="AZ59" s="507">
        <f ca="1">SUMIFS(Амортизация!AY$26:AY$225,Амортизация!$F$26:$F$225,$F59,Амортизация!$G$26:$G$225,$G59)</f>
        <v>0</v>
      </c>
      <c r="BA59" s="507">
        <f ca="1">SUMIFS(Амортизация!AZ$26:AZ$225,Амортизация!$F$26:$F$225,$F59,Амортизация!$G$26:$G$225,$G59)</f>
        <v>0</v>
      </c>
      <c r="BB59" s="507">
        <f ca="1">SUMIFS(Амортизация!BA$26:BA$225,Амортизация!$F$26:$F$225,$F59,Амортизация!$G$26:$G$225,$G59)</f>
        <v>0</v>
      </c>
      <c r="BC59" s="507">
        <f ca="1">SUMIFS(Амортизация!BB$26:BB$225,Амортизация!$F$26:$F$225,$F59,Амортизация!$G$26:$G$225,$G59)</f>
        <v>0</v>
      </c>
      <c r="BD59" s="253">
        <f t="shared" ca="1" si="17"/>
        <v>7.2424724085598564</v>
      </c>
      <c r="BE59" s="253">
        <f t="shared" ca="1" si="18"/>
        <v>-100</v>
      </c>
      <c r="BF59" s="253">
        <f t="shared" ca="1" si="19"/>
        <v>0</v>
      </c>
      <c r="BG59" s="253">
        <f t="shared" ca="1" si="20"/>
        <v>0</v>
      </c>
      <c r="BH59" s="253">
        <f t="shared" ca="1" si="21"/>
        <v>0</v>
      </c>
      <c r="BI59" s="253">
        <f t="shared" ca="1" si="22"/>
        <v>0</v>
      </c>
      <c r="BJ59" s="253">
        <f t="shared" ca="1" si="23"/>
        <v>0</v>
      </c>
      <c r="BK59" s="253">
        <f t="shared" ca="1" si="24"/>
        <v>0</v>
      </c>
      <c r="BL59" s="253">
        <f t="shared" ca="1" si="25"/>
        <v>0</v>
      </c>
      <c r="BM59" s="253">
        <f t="shared" ca="1" si="26"/>
        <v>0</v>
      </c>
      <c r="BN59" s="1231"/>
      <c r="BO59" s="1231"/>
      <c r="BP59" s="1231"/>
      <c r="BQ59" s="177"/>
      <c r="BR59" s="177"/>
      <c r="BS59" s="971" t="s">
        <v>1396</v>
      </c>
    </row>
    <row r="60" spans="1:71" s="1167" customFormat="1" ht="24.75" customHeight="1" x14ac:dyDescent="0.15">
      <c r="A60" s="175"/>
      <c r="B60" s="773"/>
      <c r="C60" s="175"/>
      <c r="D60" s="175"/>
      <c r="E60" s="668">
        <v>25.5</v>
      </c>
      <c r="F60" s="769" t="str" cm="1">
        <f t="array" aca="1" ref="F60" ca="1">OFFSET(G60,-1,-1)</f>
        <v>1</v>
      </c>
      <c r="G60" s="177"/>
      <c r="H60" s="177"/>
      <c r="I60" s="177"/>
      <c r="J60" s="177"/>
      <c r="K60" s="177"/>
      <c r="L60" s="177"/>
      <c r="M60" s="177"/>
      <c r="N60" s="177"/>
      <c r="O60" s="177"/>
      <c r="P60" s="177"/>
      <c r="Q60" s="140"/>
      <c r="R60" s="140"/>
      <c r="S60" s="177"/>
      <c r="T60" s="679" t="b" cm="1">
        <f t="array" ref="T60">T59</f>
        <v>1</v>
      </c>
      <c r="U60" s="1152"/>
      <c r="V60" s="1152"/>
      <c r="W60" s="1152"/>
      <c r="X60" s="1485"/>
      <c r="Y60" s="1152"/>
      <c r="Z60" s="1485"/>
      <c r="AA60" s="177"/>
      <c r="AB60" s="108" t="s">
        <v>1076</v>
      </c>
      <c r="AC60" s="115" t="s">
        <v>1397</v>
      </c>
      <c r="AD60" s="108" t="s">
        <v>830</v>
      </c>
      <c r="AE60" s="1316"/>
      <c r="AF60" s="1316"/>
      <c r="AG60" s="1316"/>
      <c r="AH60" s="253">
        <f t="shared" si="16"/>
        <v>0</v>
      </c>
      <c r="AI60" s="1316"/>
      <c r="AJ60" s="509"/>
      <c r="AK60" s="1315"/>
      <c r="AL60" s="1315"/>
      <c r="AM60" s="1316"/>
      <c r="AN60" s="1316"/>
      <c r="AO60" s="1316"/>
      <c r="AP60" s="1316"/>
      <c r="AQ60" s="1316"/>
      <c r="AR60" s="1316"/>
      <c r="AS60" s="1316"/>
      <c r="AT60" s="509"/>
      <c r="AU60" s="1315"/>
      <c r="AV60" s="1315"/>
      <c r="AW60" s="1316"/>
      <c r="AX60" s="1316"/>
      <c r="AY60" s="1316"/>
      <c r="AZ60" s="1316"/>
      <c r="BA60" s="1316"/>
      <c r="BB60" s="1316"/>
      <c r="BC60" s="1316"/>
      <c r="BD60" s="253">
        <f t="shared" si="17"/>
        <v>0</v>
      </c>
      <c r="BE60" s="253">
        <f t="shared" si="18"/>
        <v>0</v>
      </c>
      <c r="BF60" s="253">
        <f t="shared" si="19"/>
        <v>0</v>
      </c>
      <c r="BG60" s="253">
        <f t="shared" si="20"/>
        <v>0</v>
      </c>
      <c r="BH60" s="253">
        <f t="shared" si="21"/>
        <v>0</v>
      </c>
      <c r="BI60" s="253">
        <f t="shared" si="22"/>
        <v>0</v>
      </c>
      <c r="BJ60" s="253">
        <f t="shared" si="23"/>
        <v>0</v>
      </c>
      <c r="BK60" s="253">
        <f t="shared" si="24"/>
        <v>0</v>
      </c>
      <c r="BL60" s="253">
        <f t="shared" si="25"/>
        <v>0</v>
      </c>
      <c r="BM60" s="253">
        <f t="shared" si="26"/>
        <v>0</v>
      </c>
      <c r="BN60" s="1231"/>
      <c r="BO60" s="1231"/>
      <c r="BP60" s="1231"/>
      <c r="BQ60" s="177"/>
      <c r="BR60" s="177"/>
      <c r="BS60" s="971" t="s">
        <v>1398</v>
      </c>
    </row>
    <row r="61" spans="1:71" s="1167" customFormat="1" ht="24.75" customHeight="1" x14ac:dyDescent="0.15">
      <c r="A61" s="175"/>
      <c r="B61" s="773"/>
      <c r="C61" s="175"/>
      <c r="D61" s="175"/>
      <c r="E61" s="668">
        <v>25.5</v>
      </c>
      <c r="F61" s="769" t="str" cm="1">
        <f t="array" aca="1" ref="F61" ca="1">OFFSET(G61,-1,-1)</f>
        <v>1</v>
      </c>
      <c r="G61" s="177"/>
      <c r="H61" s="177"/>
      <c r="I61" s="177"/>
      <c r="J61" s="177"/>
      <c r="K61" s="177"/>
      <c r="L61" s="177"/>
      <c r="M61" s="177"/>
      <c r="N61" s="177"/>
      <c r="O61" s="177"/>
      <c r="P61" s="177"/>
      <c r="Q61" s="140"/>
      <c r="R61" s="140"/>
      <c r="S61" s="177"/>
      <c r="T61" s="679" t="b" cm="1">
        <f t="array" ref="T61">T60</f>
        <v>1</v>
      </c>
      <c r="U61" s="1152"/>
      <c r="V61" s="1152"/>
      <c r="W61" s="1152"/>
      <c r="X61" s="1485"/>
      <c r="Y61" s="1152"/>
      <c r="Z61" s="1485"/>
      <c r="AA61" s="177"/>
      <c r="AB61" s="108" t="s">
        <v>1290</v>
      </c>
      <c r="AC61" s="115" t="s">
        <v>1399</v>
      </c>
      <c r="AD61" s="108" t="s">
        <v>830</v>
      </c>
      <c r="AE61" s="1316"/>
      <c r="AF61" s="1316"/>
      <c r="AG61" s="1316"/>
      <c r="AH61" s="253">
        <f t="shared" si="16"/>
        <v>0</v>
      </c>
      <c r="AI61" s="1316"/>
      <c r="AJ61" s="509"/>
      <c r="AK61" s="1315"/>
      <c r="AL61" s="1315"/>
      <c r="AM61" s="1316"/>
      <c r="AN61" s="1316"/>
      <c r="AO61" s="1316"/>
      <c r="AP61" s="1316"/>
      <c r="AQ61" s="1316"/>
      <c r="AR61" s="1316"/>
      <c r="AS61" s="1316"/>
      <c r="AT61" s="509"/>
      <c r="AU61" s="1315"/>
      <c r="AV61" s="1315"/>
      <c r="AW61" s="1316"/>
      <c r="AX61" s="1316"/>
      <c r="AY61" s="1316"/>
      <c r="AZ61" s="1316"/>
      <c r="BA61" s="1316"/>
      <c r="BB61" s="1316"/>
      <c r="BC61" s="1316"/>
      <c r="BD61" s="253">
        <f t="shared" si="17"/>
        <v>0</v>
      </c>
      <c r="BE61" s="253">
        <f t="shared" si="18"/>
        <v>0</v>
      </c>
      <c r="BF61" s="253">
        <f t="shared" si="19"/>
        <v>0</v>
      </c>
      <c r="BG61" s="253">
        <f t="shared" si="20"/>
        <v>0</v>
      </c>
      <c r="BH61" s="253">
        <f t="shared" si="21"/>
        <v>0</v>
      </c>
      <c r="BI61" s="253">
        <f t="shared" si="22"/>
        <v>0</v>
      </c>
      <c r="BJ61" s="253">
        <f t="shared" si="23"/>
        <v>0</v>
      </c>
      <c r="BK61" s="253">
        <f t="shared" si="24"/>
        <v>0</v>
      </c>
      <c r="BL61" s="253">
        <f t="shared" si="25"/>
        <v>0</v>
      </c>
      <c r="BM61" s="253">
        <f t="shared" si="26"/>
        <v>0</v>
      </c>
      <c r="BN61" s="1231"/>
      <c r="BO61" s="1231"/>
      <c r="BP61" s="1231"/>
      <c r="BQ61" s="177"/>
      <c r="BR61" s="177"/>
      <c r="BS61" s="971" t="s">
        <v>1400</v>
      </c>
    </row>
    <row r="62" spans="1:71" s="1167" customFormat="1" ht="14.25" customHeight="1" x14ac:dyDescent="0.15">
      <c r="A62" s="175"/>
      <c r="B62" s="773"/>
      <c r="C62" s="175"/>
      <c r="D62" s="175"/>
      <c r="E62" s="668">
        <v>15</v>
      </c>
      <c r="F62" s="769" t="str" cm="1">
        <f t="array" aca="1" ref="F62" ca="1">OFFSET(G62,-1,-1)</f>
        <v>1</v>
      </c>
      <c r="G62" s="177"/>
      <c r="H62" s="177"/>
      <c r="I62" s="177"/>
      <c r="J62" s="177"/>
      <c r="K62" s="177"/>
      <c r="L62" s="177"/>
      <c r="M62" s="177"/>
      <c r="N62" s="177"/>
      <c r="O62" s="177"/>
      <c r="P62" s="177"/>
      <c r="Q62" s="140"/>
      <c r="R62" s="140"/>
      <c r="S62" s="177"/>
      <c r="T62" s="679" t="b" cm="1">
        <f t="array" ref="T62">T61</f>
        <v>1</v>
      </c>
      <c r="U62" s="1152"/>
      <c r="V62" s="1152"/>
      <c r="W62" s="1152"/>
      <c r="X62" s="1485"/>
      <c r="Y62" s="1152"/>
      <c r="Z62" s="1485"/>
      <c r="AA62" s="177"/>
      <c r="AB62" s="108"/>
      <c r="AC62" s="115" t="s">
        <v>1401</v>
      </c>
      <c r="AD62" s="108" t="s">
        <v>830</v>
      </c>
      <c r="AE62" s="507">
        <f ca="1">AE49+AE50+AE51+AE52+AE56+AE58+AE59+AE60+AE61</f>
        <v>48168.9755136819</v>
      </c>
      <c r="AF62" s="507">
        <f ca="1">AF49+AF50+AF51+AF52+AF56+AF58+AF59+AF60+AF61</f>
        <v>55298.009659999996</v>
      </c>
      <c r="AG62" s="1316">
        <f ca="1">AG49+AG50+AG51+AG52+AG56+AG58+AG59+AG60+AG61</f>
        <v>53157.439159999994</v>
      </c>
      <c r="AH62" s="253">
        <f t="shared" ca="1" si="16"/>
        <v>-2140.5705000000016</v>
      </c>
      <c r="AI62" s="507">
        <f t="shared" ref="AI62:BC62" ca="1" si="28">AI49+AI50+AI51+AI52+AI56+AI58+AI59+AI60+AI61</f>
        <v>48148.870809406202</v>
      </c>
      <c r="AJ62" s="507">
        <f t="shared" ca="1" si="28"/>
        <v>62306.68664</v>
      </c>
      <c r="AK62" s="507">
        <f t="shared" ca="1" si="28"/>
        <v>0</v>
      </c>
      <c r="AL62" s="507">
        <f t="shared" ca="1" si="28"/>
        <v>0</v>
      </c>
      <c r="AM62" s="507">
        <f t="shared" ca="1" si="28"/>
        <v>0</v>
      </c>
      <c r="AN62" s="507">
        <f t="shared" ca="1" si="28"/>
        <v>0</v>
      </c>
      <c r="AO62" s="507">
        <f t="shared" ca="1" si="28"/>
        <v>0</v>
      </c>
      <c r="AP62" s="507">
        <f t="shared" ca="1" si="28"/>
        <v>0</v>
      </c>
      <c r="AQ62" s="507">
        <f t="shared" ca="1" si="28"/>
        <v>0</v>
      </c>
      <c r="AR62" s="507">
        <f t="shared" ca="1" si="28"/>
        <v>0</v>
      </c>
      <c r="AS62" s="507">
        <f t="shared" ca="1" si="28"/>
        <v>0</v>
      </c>
      <c r="AT62" s="507">
        <f t="shared" ca="1" si="28"/>
        <v>57293.734485951107</v>
      </c>
      <c r="AU62" s="507">
        <f t="shared" ca="1" si="28"/>
        <v>0</v>
      </c>
      <c r="AV62" s="507">
        <f t="shared" ca="1" si="28"/>
        <v>0</v>
      </c>
      <c r="AW62" s="507">
        <f t="shared" ca="1" si="28"/>
        <v>0</v>
      </c>
      <c r="AX62" s="507">
        <f t="shared" ca="1" si="28"/>
        <v>0</v>
      </c>
      <c r="AY62" s="507">
        <f t="shared" ca="1" si="28"/>
        <v>0</v>
      </c>
      <c r="AZ62" s="507">
        <f t="shared" ca="1" si="28"/>
        <v>0</v>
      </c>
      <c r="BA62" s="507">
        <f t="shared" ca="1" si="28"/>
        <v>0</v>
      </c>
      <c r="BB62" s="507">
        <f t="shared" ca="1" si="28"/>
        <v>0</v>
      </c>
      <c r="BC62" s="507">
        <f t="shared" ca="1" si="28"/>
        <v>0</v>
      </c>
      <c r="BD62" s="253">
        <f t="shared" ca="1" si="17"/>
        <v>18.992893338546153</v>
      </c>
      <c r="BE62" s="253">
        <f t="shared" ca="1" si="18"/>
        <v>-100</v>
      </c>
      <c r="BF62" s="253">
        <f t="shared" ca="1" si="19"/>
        <v>0</v>
      </c>
      <c r="BG62" s="253">
        <f t="shared" ca="1" si="20"/>
        <v>0</v>
      </c>
      <c r="BH62" s="253">
        <f t="shared" ca="1" si="21"/>
        <v>0</v>
      </c>
      <c r="BI62" s="253">
        <f t="shared" ca="1" si="22"/>
        <v>0</v>
      </c>
      <c r="BJ62" s="253">
        <f t="shared" ca="1" si="23"/>
        <v>0</v>
      </c>
      <c r="BK62" s="253">
        <f t="shared" ca="1" si="24"/>
        <v>0</v>
      </c>
      <c r="BL62" s="253">
        <f t="shared" ca="1" si="25"/>
        <v>0</v>
      </c>
      <c r="BM62" s="253">
        <f t="shared" ca="1" si="26"/>
        <v>0</v>
      </c>
      <c r="BN62" s="1231"/>
      <c r="BO62" s="1231"/>
      <c r="BP62" s="1231"/>
      <c r="BQ62" s="177"/>
      <c r="BR62" s="177"/>
      <c r="BS62" s="971" t="s">
        <v>623</v>
      </c>
    </row>
    <row r="63" spans="1:71" s="1167" customFormat="1" ht="14.25" customHeight="1" x14ac:dyDescent="0.15">
      <c r="A63" s="175"/>
      <c r="B63" s="773"/>
      <c r="C63" s="175"/>
      <c r="D63" s="175"/>
      <c r="E63" s="668">
        <v>15</v>
      </c>
      <c r="F63" s="769" t="str" cm="1">
        <f t="array" aca="1" ref="F63" ca="1">OFFSET(G63,-1,-1)</f>
        <v>1</v>
      </c>
      <c r="G63" s="140" t="s">
        <v>1285</v>
      </c>
      <c r="H63" s="177"/>
      <c r="I63" s="177"/>
      <c r="J63" s="177"/>
      <c r="K63" s="177"/>
      <c r="L63" s="177"/>
      <c r="M63" s="177"/>
      <c r="N63" s="177"/>
      <c r="O63" s="177"/>
      <c r="P63" s="177"/>
      <c r="Q63" s="140"/>
      <c r="R63" s="140"/>
      <c r="S63" s="177"/>
      <c r="T63" s="679" t="b" cm="1">
        <f t="array" ref="T63">T62</f>
        <v>1</v>
      </c>
      <c r="U63" s="1152"/>
      <c r="V63" s="1152"/>
      <c r="W63" s="1152"/>
      <c r="X63" s="1485"/>
      <c r="Y63" s="1152"/>
      <c r="Z63" s="1485"/>
      <c r="AA63" s="177"/>
      <c r="AB63" s="108" t="s">
        <v>426</v>
      </c>
      <c r="AC63" s="115" t="s">
        <v>1402</v>
      </c>
      <c r="AD63" s="108" t="s">
        <v>830</v>
      </c>
      <c r="AE63" s="507">
        <f ca="1">SUMIFS(Налоги!AE$26:AE$56,Налоги!$F$26:$F$56,$F63,Налоги!$G$26:$G$56,$G63)</f>
        <v>468.23</v>
      </c>
      <c r="AF63" s="507">
        <f ca="1">SUMIFS(Налоги!AF$26:AF$56,Налоги!$F$26:$F$56,$F63,Налоги!$G$26:$G$56,$G63)</f>
        <v>1626.57</v>
      </c>
      <c r="AG63" s="1316">
        <f ca="1">SUMIFS(Налоги!AG$26:AG$56,Налоги!$F$26:$F$56,$F63,Налоги!$G$26:$G$56,$G63)</f>
        <v>468.23</v>
      </c>
      <c r="AH63" s="253">
        <f t="shared" ca="1" si="16"/>
        <v>-1158.3399999999999</v>
      </c>
      <c r="AI63" s="507">
        <f ca="1">SUMIFS(Налоги!AH$26:AH$56,Налоги!$F$26:$F$56,$F63,Налоги!$G$26:$G$56,$G63)</f>
        <v>0</v>
      </c>
      <c r="AJ63" s="507">
        <f ca="1">SUMIFS(Налоги!AI$26:AI$56,Налоги!$F$26:$F$56,$F63,Налоги!$G$26:$G$56,$G63)</f>
        <v>1225.8499999999999</v>
      </c>
      <c r="AK63" s="507">
        <f ca="1">SUMIFS(Налоги!AJ$26:AJ$56,Налоги!$F$26:$F$56,$F63,Налоги!$G$26:$G$56,$G63)</f>
        <v>0</v>
      </c>
      <c r="AL63" s="507">
        <f ca="1">SUMIFS(Налоги!AK$26:AK$56,Налоги!$F$26:$F$56,$F63,Налоги!$G$26:$G$56,$G63)</f>
        <v>0</v>
      </c>
      <c r="AM63" s="507">
        <f ca="1">SUMIFS(Налоги!AL$26:AL$56,Налоги!$F$26:$F$56,$F63,Налоги!$G$26:$G$56,$G63)</f>
        <v>0</v>
      </c>
      <c r="AN63" s="507">
        <f ca="1">SUMIFS(Налоги!AM$26:AM$56,Налоги!$F$26:$F$56,$F63,Налоги!$G$26:$G$56,$G63)</f>
        <v>0</v>
      </c>
      <c r="AO63" s="507">
        <f ca="1">SUMIFS(Налоги!AN$26:AN$56,Налоги!$F$26:$F$56,$F63,Налоги!$G$26:$G$56,$G63)</f>
        <v>0</v>
      </c>
      <c r="AP63" s="507">
        <f ca="1">SUMIFS(Налоги!AO$26:AO$56,Налоги!$F$26:$F$56,$F63,Налоги!$G$26:$G$56,$G63)</f>
        <v>0</v>
      </c>
      <c r="AQ63" s="507">
        <f ca="1">SUMIFS(Налоги!AP$26:AP$56,Налоги!$F$26:$F$56,$F63,Налоги!$G$26:$G$56,$G63)</f>
        <v>0</v>
      </c>
      <c r="AR63" s="507">
        <f ca="1">SUMIFS(Налоги!AQ$26:AQ$56,Налоги!$F$26:$F$56,$F63,Налоги!$G$26:$G$56,$G63)</f>
        <v>0</v>
      </c>
      <c r="AS63" s="507">
        <f ca="1">SUMIFS(Налоги!AR$26:AR$56,Налоги!$F$26:$F$56,$F63,Налоги!$G$26:$G$56,$G63)</f>
        <v>0</v>
      </c>
      <c r="AT63" s="507">
        <f ca="1">SUMIFS(Налоги!AS$26:AS$56,Налоги!$F$26:$F$56,$F63,Налоги!$G$26:$G$56,$G63)</f>
        <v>0</v>
      </c>
      <c r="AU63" s="507">
        <f ca="1">SUMIFS(Налоги!AT$26:AT$56,Налоги!$F$26:$F$56,$F63,Налоги!$G$26:$G$56,$G63)</f>
        <v>0</v>
      </c>
      <c r="AV63" s="507">
        <f ca="1">SUMIFS(Налоги!AU$26:AU$56,Налоги!$F$26:$F$56,$F63,Налоги!$G$26:$G$56,$G63)</f>
        <v>0</v>
      </c>
      <c r="AW63" s="507">
        <f ca="1">SUMIFS(Налоги!AV$26:AV$56,Налоги!$F$26:$F$56,$F63,Налоги!$G$26:$G$56,$G63)</f>
        <v>0</v>
      </c>
      <c r="AX63" s="507">
        <f ca="1">SUMIFS(Налоги!AW$26:AW$56,Налоги!$F$26:$F$56,$F63,Налоги!$G$26:$G$56,$G63)</f>
        <v>0</v>
      </c>
      <c r="AY63" s="507">
        <f ca="1">SUMIFS(Налоги!AX$26:AX$56,Налоги!$F$26:$F$56,$F63,Налоги!$G$26:$G$56,$G63)</f>
        <v>0</v>
      </c>
      <c r="AZ63" s="507">
        <f ca="1">SUMIFS(Налоги!AY$26:AY$56,Налоги!$F$26:$F$56,$F63,Налоги!$G$26:$G$56,$G63)</f>
        <v>0</v>
      </c>
      <c r="BA63" s="507">
        <f ca="1">SUMIFS(Налоги!AZ$26:AZ$56,Налоги!$F$26:$F$56,$F63,Налоги!$G$26:$G$56,$G63)</f>
        <v>0</v>
      </c>
      <c r="BB63" s="507">
        <f ca="1">SUMIFS(Налоги!BA$26:BA$56,Налоги!$F$26:$F$56,$F63,Налоги!$G$26:$G$56,$G63)</f>
        <v>0</v>
      </c>
      <c r="BC63" s="507">
        <f ca="1">SUMIFS(Налоги!BB$26:BB$56,Налоги!$F$26:$F$56,$F63,Налоги!$G$26:$G$56,$G63)</f>
        <v>0</v>
      </c>
      <c r="BD63" s="253">
        <f t="shared" ca="1" si="17"/>
        <v>0</v>
      </c>
      <c r="BE63" s="253">
        <f t="shared" ca="1" si="18"/>
        <v>0</v>
      </c>
      <c r="BF63" s="253">
        <f t="shared" ca="1" si="19"/>
        <v>0</v>
      </c>
      <c r="BG63" s="253">
        <f t="shared" ca="1" si="20"/>
        <v>0</v>
      </c>
      <c r="BH63" s="253">
        <f t="shared" ca="1" si="21"/>
        <v>0</v>
      </c>
      <c r="BI63" s="253">
        <f t="shared" ca="1" si="22"/>
        <v>0</v>
      </c>
      <c r="BJ63" s="253">
        <f t="shared" ca="1" si="23"/>
        <v>0</v>
      </c>
      <c r="BK63" s="253">
        <f t="shared" ca="1" si="24"/>
        <v>0</v>
      </c>
      <c r="BL63" s="253">
        <f t="shared" ca="1" si="25"/>
        <v>0</v>
      </c>
      <c r="BM63" s="253">
        <f t="shared" ca="1" si="26"/>
        <v>0</v>
      </c>
      <c r="BN63" s="1231"/>
      <c r="BO63" s="1231"/>
      <c r="BP63" s="1231"/>
      <c r="BQ63" s="177"/>
      <c r="BR63" s="177"/>
      <c r="BS63" s="971" t="s">
        <v>602</v>
      </c>
    </row>
    <row r="64" spans="1:71" s="1167" customFormat="1" ht="27" customHeight="1" x14ac:dyDescent="0.15">
      <c r="A64" s="175"/>
      <c r="B64" s="773"/>
      <c r="C64" s="175"/>
      <c r="D64" s="175"/>
      <c r="E64" s="668">
        <v>27.8</v>
      </c>
      <c r="F64" s="769" t="str" cm="1">
        <f t="array" aca="1" ref="F64" ca="1">OFFSET(G64,-1,-1)</f>
        <v>1</v>
      </c>
      <c r="G64" s="140" t="s">
        <v>1309</v>
      </c>
      <c r="H64" s="177"/>
      <c r="I64" s="177"/>
      <c r="J64" s="177"/>
      <c r="K64" s="177"/>
      <c r="L64" s="177"/>
      <c r="M64" s="177"/>
      <c r="N64" s="177"/>
      <c r="O64" s="177"/>
      <c r="P64" s="177"/>
      <c r="Q64" s="140"/>
      <c r="R64" s="140"/>
      <c r="S64" s="177"/>
      <c r="T64" s="679" t="b" cm="1">
        <f t="array" ref="T64">T63</f>
        <v>1</v>
      </c>
      <c r="U64" s="1152"/>
      <c r="V64" s="1152"/>
      <c r="W64" s="1152"/>
      <c r="X64" s="1485"/>
      <c r="Y64" s="1152"/>
      <c r="Z64" s="1485"/>
      <c r="AA64" s="177"/>
      <c r="AB64" s="108" t="s">
        <v>431</v>
      </c>
      <c r="AC64" s="115" t="s">
        <v>1403</v>
      </c>
      <c r="AD64" s="108" t="s">
        <v>830</v>
      </c>
      <c r="AE64" s="1316"/>
      <c r="AF64" s="1316"/>
      <c r="AG64" s="1316"/>
      <c r="AH64" s="253">
        <f t="shared" si="16"/>
        <v>0</v>
      </c>
      <c r="AI64" s="1316"/>
      <c r="AJ64" s="507">
        <f ca="1">SUMIFS(Экономия_корр!AE$26:AE$43,Экономия_корр!$F$26:$F$43,$F64,Экономия_корр!$G$26:$G$43,$G64)</f>
        <v>0</v>
      </c>
      <c r="AK64" s="507">
        <f ca="1">SUMIFS(Экономия_корр!AF$26:AF$43,Экономия_корр!$F$26:$F$43,$F64,Экономия_корр!$G$26:$G$43,$G64)</f>
        <v>0</v>
      </c>
      <c r="AL64" s="507">
        <f ca="1">SUMIFS(Экономия_корр!AG$26:AG$43,Экономия_корр!$F$26:$F$43,$F64,Экономия_корр!$G$26:$G$43,$G64)</f>
        <v>0</v>
      </c>
      <c r="AM64" s="507">
        <f ca="1">SUMIFS(Экономия_корр!AH$26:AH$43,Экономия_корр!$F$26:$F$43,$F64,Экономия_корр!$G$26:$G$43,$G64)</f>
        <v>0</v>
      </c>
      <c r="AN64" s="507">
        <f ca="1">SUMIFS(Экономия_корр!AI$26:AI$43,Экономия_корр!$F$26:$F$43,$F64,Экономия_корр!$G$26:$G$43,$G64)</f>
        <v>0</v>
      </c>
      <c r="AO64" s="507">
        <f ca="1">SUMIFS(Экономия_корр!AJ$26:AJ$43,Экономия_корр!$F$26:$F$43,$F64,Экономия_корр!$G$26:$G$43,$G64)</f>
        <v>0</v>
      </c>
      <c r="AP64" s="507">
        <f ca="1">SUMIFS(Экономия_корр!AK$26:AK$43,Экономия_корр!$F$26:$F$43,$F64,Экономия_корр!$G$26:$G$43,$G64)</f>
        <v>0</v>
      </c>
      <c r="AQ64" s="507">
        <f ca="1">SUMIFS(Экономия_корр!AL$26:AL$43,Экономия_корр!$F$26:$F$43,$F64,Экономия_корр!$G$26:$G$43,$G64)</f>
        <v>0</v>
      </c>
      <c r="AR64" s="507">
        <f ca="1">SUMIFS(Экономия_корр!AM$26:AM$43,Экономия_корр!$F$26:$F$43,$F64,Экономия_корр!$G$26:$G$43,$G64)</f>
        <v>0</v>
      </c>
      <c r="AS64" s="507">
        <f ca="1">SUMIFS(Экономия_корр!AN$26:AN$43,Экономия_корр!$F$26:$F$43,$F64,Экономия_корр!$G$26:$G$43,$G64)</f>
        <v>0</v>
      </c>
      <c r="AT64" s="507">
        <f ca="1">SUMIFS(Экономия_корр!AO$26:AO$43,Экономия_корр!$F$26:$F$43,$F64,Экономия_корр!$G$26:$G$43,$G64)</f>
        <v>0</v>
      </c>
      <c r="AU64" s="507">
        <f ca="1">SUMIFS(Экономия_корр!AP$26:AP$43,Экономия_корр!$F$26:$F$43,$F64,Экономия_корр!$G$26:$G$43,$G64)</f>
        <v>0</v>
      </c>
      <c r="AV64" s="507">
        <f ca="1">SUMIFS(Экономия_корр!AQ$26:AQ$43,Экономия_корр!$F$26:$F$43,$F64,Экономия_корр!$G$26:$G$43,$G64)</f>
        <v>0</v>
      </c>
      <c r="AW64" s="507">
        <f ca="1">SUMIFS(Экономия_корр!AR$26:AR$43,Экономия_корр!$F$26:$F$43,$F64,Экономия_корр!$G$26:$G$43,$G64)</f>
        <v>0</v>
      </c>
      <c r="AX64" s="507">
        <f ca="1">SUMIFS(Экономия_корр!AS$26:AS$43,Экономия_корр!$F$26:$F$43,$F64,Экономия_корр!$G$26:$G$43,$G64)</f>
        <v>0</v>
      </c>
      <c r="AY64" s="507">
        <f ca="1">SUMIFS(Экономия_корр!AT$26:AT$43,Экономия_корр!$F$26:$F$43,$F64,Экономия_корр!$G$26:$G$43,$G64)</f>
        <v>0</v>
      </c>
      <c r="AZ64" s="507">
        <f ca="1">SUMIFS(Экономия_корр!AU$26:AU$43,Экономия_корр!$F$26:$F$43,$F64,Экономия_корр!$G$26:$G$43,$G64)</f>
        <v>0</v>
      </c>
      <c r="BA64" s="507">
        <f ca="1">SUMIFS(Экономия_корр!AV$26:AV$43,Экономия_корр!$F$26:$F$43,$F64,Экономия_корр!$G$26:$G$43,$G64)</f>
        <v>0</v>
      </c>
      <c r="BB64" s="507">
        <f ca="1">SUMIFS(Экономия_корр!AW$26:AW$43,Экономия_корр!$F$26:$F$43,$F64,Экономия_корр!$G$26:$G$43,$G64)</f>
        <v>0</v>
      </c>
      <c r="BC64" s="507">
        <f ca="1">SUMIFS(Экономия_корр!AX$26:AX$43,Экономия_корр!$F$26:$F$43,$F64,Экономия_корр!$G$26:$G$43,$G64)</f>
        <v>0</v>
      </c>
      <c r="BD64" s="253">
        <f t="shared" si="17"/>
        <v>0</v>
      </c>
      <c r="BE64" s="253">
        <f t="shared" ca="1" si="18"/>
        <v>0</v>
      </c>
      <c r="BF64" s="253">
        <f t="shared" ca="1" si="19"/>
        <v>0</v>
      </c>
      <c r="BG64" s="253">
        <f t="shared" ca="1" si="20"/>
        <v>0</v>
      </c>
      <c r="BH64" s="253">
        <f t="shared" ca="1" si="21"/>
        <v>0</v>
      </c>
      <c r="BI64" s="253">
        <f t="shared" ca="1" si="22"/>
        <v>0</v>
      </c>
      <c r="BJ64" s="253">
        <f t="shared" ca="1" si="23"/>
        <v>0</v>
      </c>
      <c r="BK64" s="253">
        <f t="shared" ca="1" si="24"/>
        <v>0</v>
      </c>
      <c r="BL64" s="253">
        <f t="shared" ca="1" si="25"/>
        <v>0</v>
      </c>
      <c r="BM64" s="253">
        <f t="shared" ca="1" si="26"/>
        <v>0</v>
      </c>
      <c r="BN64" s="1231"/>
      <c r="BO64" s="1231"/>
      <c r="BP64" s="1231"/>
      <c r="BQ64" s="177"/>
      <c r="BR64" s="177"/>
      <c r="BS64" s="971" t="s">
        <v>1404</v>
      </c>
    </row>
    <row r="65" spans="1:71" s="1167" customFormat="1" ht="27" customHeight="1" x14ac:dyDescent="0.15">
      <c r="A65" s="175"/>
      <c r="B65" s="773"/>
      <c r="C65" s="175"/>
      <c r="D65" s="175"/>
      <c r="E65" s="668">
        <v>27.8</v>
      </c>
      <c r="F65" s="769" t="str" cm="1">
        <f t="array" aca="1" ref="F65" ca="1">OFFSET(G65,-1,-1)</f>
        <v>1</v>
      </c>
      <c r="G65" s="177"/>
      <c r="H65" s="177"/>
      <c r="I65" s="177"/>
      <c r="J65" s="177"/>
      <c r="K65" s="177"/>
      <c r="L65" s="177"/>
      <c r="M65" s="177"/>
      <c r="N65" s="177"/>
      <c r="O65" s="177"/>
      <c r="P65" s="177"/>
      <c r="Q65" s="140"/>
      <c r="R65" s="140"/>
      <c r="S65" s="177"/>
      <c r="T65" s="679" t="b" cm="1">
        <f t="array" ref="T65">T64</f>
        <v>1</v>
      </c>
      <c r="U65" s="1152"/>
      <c r="V65" s="1152"/>
      <c r="W65" s="1152"/>
      <c r="X65" s="1485"/>
      <c r="Y65" s="1152"/>
      <c r="Z65" s="1485"/>
      <c r="AA65" s="177"/>
      <c r="AB65" s="108" t="s">
        <v>437</v>
      </c>
      <c r="AC65" s="115" t="s">
        <v>1405</v>
      </c>
      <c r="AD65" s="108" t="s">
        <v>830</v>
      </c>
      <c r="AE65" s="1316"/>
      <c r="AF65" s="1316"/>
      <c r="AG65" s="1316"/>
      <c r="AH65" s="253">
        <f t="shared" si="16"/>
        <v>0</v>
      </c>
      <c r="AI65" s="1316"/>
      <c r="AJ65" s="509"/>
      <c r="AK65" s="1315"/>
      <c r="AL65" s="1315"/>
      <c r="AM65" s="1316"/>
      <c r="AN65" s="1316"/>
      <c r="AO65" s="1316"/>
      <c r="AP65" s="1316"/>
      <c r="AQ65" s="1316"/>
      <c r="AR65" s="1316"/>
      <c r="AS65" s="1316"/>
      <c r="AT65" s="509"/>
      <c r="AU65" s="1315"/>
      <c r="AV65" s="1315"/>
      <c r="AW65" s="1316"/>
      <c r="AX65" s="1316"/>
      <c r="AY65" s="1316"/>
      <c r="AZ65" s="1316"/>
      <c r="BA65" s="1316"/>
      <c r="BB65" s="1316"/>
      <c r="BC65" s="1316"/>
      <c r="BD65" s="253">
        <f t="shared" si="17"/>
        <v>0</v>
      </c>
      <c r="BE65" s="253">
        <f t="shared" si="18"/>
        <v>0</v>
      </c>
      <c r="BF65" s="253">
        <f t="shared" si="19"/>
        <v>0</v>
      </c>
      <c r="BG65" s="253">
        <f t="shared" si="20"/>
        <v>0</v>
      </c>
      <c r="BH65" s="253">
        <f t="shared" si="21"/>
        <v>0</v>
      </c>
      <c r="BI65" s="253">
        <f t="shared" si="22"/>
        <v>0</v>
      </c>
      <c r="BJ65" s="253">
        <f t="shared" si="23"/>
        <v>0</v>
      </c>
      <c r="BK65" s="253">
        <f t="shared" si="24"/>
        <v>0</v>
      </c>
      <c r="BL65" s="253">
        <f t="shared" si="25"/>
        <v>0</v>
      </c>
      <c r="BM65" s="253">
        <f t="shared" si="26"/>
        <v>0</v>
      </c>
      <c r="BN65" s="1231"/>
      <c r="BO65" s="1231"/>
      <c r="BP65" s="1231"/>
      <c r="BQ65" s="177"/>
      <c r="BR65" s="177"/>
      <c r="BS65" s="971" t="s">
        <v>1406</v>
      </c>
    </row>
    <row r="66" spans="1:71" s="1319" customFormat="1" ht="14.25" customHeight="1" x14ac:dyDescent="0.15">
      <c r="A66" s="182"/>
      <c r="B66" s="182"/>
      <c r="C66" s="182"/>
      <c r="D66" s="182"/>
      <c r="E66" s="668">
        <v>15</v>
      </c>
      <c r="F66" s="769" t="str" cm="1">
        <f t="array" aca="1" ref="F66" ca="1">OFFSET(G66,-1,-1)</f>
        <v>1</v>
      </c>
      <c r="G66" s="182"/>
      <c r="H66" s="182"/>
      <c r="I66" s="182"/>
      <c r="J66" s="182"/>
      <c r="K66" s="182"/>
      <c r="L66" s="182"/>
      <c r="M66" s="182"/>
      <c r="N66" s="182"/>
      <c r="O66" s="182"/>
      <c r="P66" s="182"/>
      <c r="Q66" s="182"/>
      <c r="R66" s="182"/>
      <c r="S66" s="182"/>
      <c r="T66" s="679" t="b" cm="1">
        <f t="array" ref="T66">T64</f>
        <v>1</v>
      </c>
      <c r="U66" s="182"/>
      <c r="V66" s="182"/>
      <c r="W66" s="182"/>
      <c r="X66" s="1586"/>
      <c r="Y66" s="182"/>
      <c r="Z66" s="1586"/>
      <c r="AA66" s="182"/>
      <c r="AB66" s="109" t="s">
        <v>441</v>
      </c>
      <c r="AC66" s="110" t="s">
        <v>1377</v>
      </c>
      <c r="AD66" s="109" t="s">
        <v>830</v>
      </c>
      <c r="AE66" s="510">
        <f ca="1">AE62+AE63+AE64+AE65</f>
        <v>48637.205513681904</v>
      </c>
      <c r="AF66" s="510">
        <f ca="1">AF62+AF63+AF64+AF65</f>
        <v>56924.579659999996</v>
      </c>
      <c r="AG66" s="1320">
        <f ca="1">AG62+AG63+AG64+AG65</f>
        <v>53625.669159999998</v>
      </c>
      <c r="AH66" s="253">
        <f t="shared" ca="1" si="16"/>
        <v>-3298.9104999999981</v>
      </c>
      <c r="AI66" s="510">
        <f t="shared" ref="AI66:BC66" ca="1" si="29">AI62+AI63+AI64+AI65</f>
        <v>48148.870809406202</v>
      </c>
      <c r="AJ66" s="510">
        <f t="shared" ca="1" si="29"/>
        <v>63532.536639999998</v>
      </c>
      <c r="AK66" s="510">
        <f t="shared" ca="1" si="29"/>
        <v>0</v>
      </c>
      <c r="AL66" s="510">
        <f t="shared" ca="1" si="29"/>
        <v>0</v>
      </c>
      <c r="AM66" s="510">
        <f t="shared" ca="1" si="29"/>
        <v>0</v>
      </c>
      <c r="AN66" s="510">
        <f t="shared" ca="1" si="29"/>
        <v>0</v>
      </c>
      <c r="AO66" s="510">
        <f t="shared" ca="1" si="29"/>
        <v>0</v>
      </c>
      <c r="AP66" s="510">
        <f t="shared" ca="1" si="29"/>
        <v>0</v>
      </c>
      <c r="AQ66" s="510">
        <f t="shared" ca="1" si="29"/>
        <v>0</v>
      </c>
      <c r="AR66" s="510">
        <f t="shared" ca="1" si="29"/>
        <v>0</v>
      </c>
      <c r="AS66" s="510">
        <f t="shared" ca="1" si="29"/>
        <v>0</v>
      </c>
      <c r="AT66" s="510">
        <f t="shared" ca="1" si="29"/>
        <v>57293.734485951107</v>
      </c>
      <c r="AU66" s="510">
        <f t="shared" ca="1" si="29"/>
        <v>0</v>
      </c>
      <c r="AV66" s="510">
        <f t="shared" ca="1" si="29"/>
        <v>0</v>
      </c>
      <c r="AW66" s="510">
        <f t="shared" ca="1" si="29"/>
        <v>0</v>
      </c>
      <c r="AX66" s="510">
        <f t="shared" ca="1" si="29"/>
        <v>0</v>
      </c>
      <c r="AY66" s="510">
        <f t="shared" ca="1" si="29"/>
        <v>0</v>
      </c>
      <c r="AZ66" s="510">
        <f t="shared" ca="1" si="29"/>
        <v>0</v>
      </c>
      <c r="BA66" s="510">
        <f t="shared" ca="1" si="29"/>
        <v>0</v>
      </c>
      <c r="BB66" s="510">
        <f t="shared" ca="1" si="29"/>
        <v>0</v>
      </c>
      <c r="BC66" s="510">
        <f t="shared" ca="1" si="29"/>
        <v>0</v>
      </c>
      <c r="BD66" s="252">
        <f t="shared" ca="1" si="17"/>
        <v>18.992893338546153</v>
      </c>
      <c r="BE66" s="252">
        <f t="shared" ca="1" si="18"/>
        <v>-100</v>
      </c>
      <c r="BF66" s="252">
        <f t="shared" ca="1" si="19"/>
        <v>0</v>
      </c>
      <c r="BG66" s="252">
        <f t="shared" ca="1" si="20"/>
        <v>0</v>
      </c>
      <c r="BH66" s="252">
        <f t="shared" ca="1" si="21"/>
        <v>0</v>
      </c>
      <c r="BI66" s="252">
        <f t="shared" ca="1" si="22"/>
        <v>0</v>
      </c>
      <c r="BJ66" s="252">
        <f t="shared" ca="1" si="23"/>
        <v>0</v>
      </c>
      <c r="BK66" s="252">
        <f t="shared" ca="1" si="24"/>
        <v>0</v>
      </c>
      <c r="BL66" s="252">
        <f t="shared" ca="1" si="25"/>
        <v>0</v>
      </c>
      <c r="BM66" s="252">
        <f t="shared" ca="1" si="26"/>
        <v>0</v>
      </c>
      <c r="BN66" s="1231"/>
      <c r="BO66" s="1231"/>
      <c r="BP66" s="1231"/>
      <c r="BQ66" s="182"/>
      <c r="BR66" s="182"/>
      <c r="BS66" s="971" t="s">
        <v>1407</v>
      </c>
    </row>
    <row r="67" spans="1:71" ht="9.9499999999999993" customHeight="1" x14ac:dyDescent="0.15">
      <c r="E67" s="668">
        <v>10.199999999999999</v>
      </c>
      <c r="U67" s="126" t="s">
        <v>239</v>
      </c>
      <c r="V67" s="119" t="s">
        <v>1408</v>
      </c>
    </row>
    <row r="68" spans="1:71" ht="11.25" hidden="1" customHeight="1" x14ac:dyDescent="0.15">
      <c r="E68" s="668">
        <v>0</v>
      </c>
    </row>
    <row r="69" spans="1:71" ht="14.65" customHeight="1" x14ac:dyDescent="0.15">
      <c r="E69" s="668">
        <v>15</v>
      </c>
      <c r="AB69" s="1558" t="s">
        <v>725</v>
      </c>
      <c r="AC69" s="1558"/>
      <c r="AD69" s="1558"/>
      <c r="AE69" s="1558"/>
      <c r="AF69" s="1558"/>
      <c r="AG69" s="1558"/>
      <c r="AH69" s="1558"/>
      <c r="AI69" s="1558"/>
      <c r="AJ69" s="1558"/>
      <c r="AK69" s="1558"/>
      <c r="AL69" s="1558"/>
      <c r="AM69" s="1558"/>
      <c r="AN69" s="1558"/>
      <c r="AO69" s="1558"/>
      <c r="AP69" s="1558"/>
      <c r="AQ69" s="1558"/>
      <c r="AR69" s="1558"/>
      <c r="AS69" s="1558"/>
      <c r="AT69" s="1558"/>
      <c r="AU69" s="1558"/>
      <c r="AV69" s="1558"/>
      <c r="AW69" s="1558"/>
      <c r="AX69" s="1558"/>
      <c r="AY69" s="1558"/>
      <c r="AZ69" s="1558"/>
      <c r="BA69" s="1558"/>
      <c r="BB69" s="1558"/>
      <c r="BC69" s="1558"/>
      <c r="BD69" s="1558"/>
      <c r="BE69" s="1558"/>
      <c r="BF69" s="1558"/>
      <c r="BG69" s="1558"/>
      <c r="BH69" s="1558"/>
      <c r="BI69" s="1558"/>
      <c r="BJ69" s="1558"/>
      <c r="BK69" s="1558"/>
      <c r="BL69" s="1558"/>
      <c r="BM69" s="1558"/>
      <c r="BN69" s="1558"/>
      <c r="BO69" s="1558"/>
      <c r="BP69" s="1558"/>
    </row>
    <row r="70" spans="1:71" ht="14.65" customHeight="1" x14ac:dyDescent="0.15">
      <c r="E70" s="668">
        <v>15</v>
      </c>
      <c r="AA70" s="768"/>
      <c r="AB70" s="1579"/>
      <c r="AC70" s="1576"/>
      <c r="AD70" s="1576"/>
      <c r="AE70" s="1576"/>
      <c r="AF70" s="1576"/>
      <c r="AG70" s="1576"/>
      <c r="AH70" s="1576"/>
      <c r="AI70" s="1576"/>
      <c r="AJ70" s="1576"/>
      <c r="AK70" s="1576"/>
      <c r="AL70" s="1576"/>
      <c r="AM70" s="1576"/>
      <c r="AN70" s="1576"/>
      <c r="AO70" s="1576"/>
      <c r="AP70" s="1576"/>
      <c r="AQ70" s="1576"/>
      <c r="AR70" s="1576"/>
      <c r="AS70" s="1576"/>
      <c r="AT70" s="1576"/>
      <c r="AU70" s="1576"/>
      <c r="AV70" s="1576"/>
      <c r="AW70" s="1576"/>
      <c r="AX70" s="1576"/>
      <c r="AY70" s="1576"/>
      <c r="AZ70" s="1576"/>
      <c r="BA70" s="1576"/>
      <c r="BB70" s="1576"/>
      <c r="BC70" s="1576"/>
      <c r="BD70" s="1576"/>
      <c r="BE70" s="1576"/>
      <c r="BF70" s="1576"/>
      <c r="BG70" s="1576"/>
      <c r="BH70" s="1576"/>
      <c r="BI70" s="1576"/>
      <c r="BJ70" s="1576"/>
      <c r="BK70" s="1576"/>
      <c r="BL70" s="1576"/>
      <c r="BM70" s="1576"/>
      <c r="BN70" s="1576"/>
      <c r="BO70" s="1576"/>
      <c r="BP70" s="1576"/>
    </row>
    <row r="71" spans="1:71" ht="14.65" hidden="1" customHeight="1" x14ac:dyDescent="0.15">
      <c r="E71" s="668">
        <v>15</v>
      </c>
      <c r="T71" s="679" t="b">
        <f>ROW(W71)&gt;ROW(W$71)</f>
        <v>0</v>
      </c>
      <c r="W71" s="123" t="s">
        <v>237</v>
      </c>
      <c r="AA71" s="764" t="s">
        <v>218</v>
      </c>
      <c r="AB71" s="1575"/>
      <c r="AC71" s="1576"/>
      <c r="AD71" s="1576"/>
      <c r="AE71" s="1576"/>
      <c r="AF71" s="1576"/>
      <c r="AG71" s="1576"/>
      <c r="AH71" s="1576"/>
      <c r="AI71" s="1576"/>
      <c r="AJ71" s="1576"/>
      <c r="AK71" s="1576"/>
      <c r="AL71" s="1576"/>
      <c r="AM71" s="1576"/>
      <c r="AN71" s="1576"/>
      <c r="AO71" s="1576"/>
      <c r="AP71" s="1576"/>
      <c r="AQ71" s="1576"/>
      <c r="AR71" s="1576"/>
      <c r="AS71" s="1576"/>
      <c r="AT71" s="1576"/>
      <c r="AU71" s="1576"/>
      <c r="AV71" s="1576"/>
      <c r="AW71" s="1576"/>
      <c r="AX71" s="1576"/>
      <c r="AY71" s="1576"/>
      <c r="AZ71" s="1576"/>
      <c r="BA71" s="1576"/>
      <c r="BB71" s="1576"/>
      <c r="BC71" s="1576"/>
      <c r="BD71" s="1576"/>
      <c r="BE71" s="1576"/>
      <c r="BF71" s="1576"/>
      <c r="BG71" s="1576"/>
      <c r="BH71" s="1576"/>
      <c r="BI71" s="1576"/>
      <c r="BJ71" s="1576"/>
      <c r="BK71" s="1576"/>
      <c r="BL71" s="1576"/>
      <c r="BM71" s="1576"/>
      <c r="BN71" s="1576"/>
      <c r="BO71" s="1576"/>
      <c r="BP71" s="1576"/>
    </row>
    <row r="72" spans="1:71" ht="14.65" customHeight="1" x14ac:dyDescent="0.15">
      <c r="E72" s="668">
        <v>15</v>
      </c>
      <c r="W72" s="119" t="s">
        <v>238</v>
      </c>
      <c r="AA72" s="160"/>
      <c r="AB72" s="1500" t="s">
        <v>726</v>
      </c>
      <c r="AC72" s="1501"/>
      <c r="AD72" s="317"/>
      <c r="AE72" s="317"/>
      <c r="AF72" s="317"/>
      <c r="AG72" s="317"/>
      <c r="AH72" s="317"/>
      <c r="AI72" s="317"/>
      <c r="AJ72" s="317"/>
      <c r="AK72" s="317"/>
      <c r="AL72" s="317"/>
      <c r="AM72" s="317"/>
      <c r="AN72" s="317"/>
      <c r="AO72" s="317"/>
      <c r="AP72" s="317"/>
      <c r="AQ72" s="317"/>
      <c r="AR72" s="317"/>
      <c r="AS72" s="317"/>
      <c r="AT72" s="317"/>
      <c r="AU72" s="317"/>
      <c r="AV72" s="317"/>
      <c r="AW72" s="317"/>
      <c r="AX72" s="317"/>
      <c r="AY72" s="317"/>
      <c r="AZ72" s="317"/>
      <c r="BA72" s="317"/>
      <c r="BB72" s="317"/>
      <c r="BC72" s="317"/>
      <c r="BD72" s="317"/>
      <c r="BE72" s="317"/>
      <c r="BF72" s="317"/>
      <c r="BG72" s="317"/>
      <c r="BH72" s="317"/>
      <c r="BI72" s="317"/>
      <c r="BJ72" s="317"/>
      <c r="BK72" s="317"/>
      <c r="BL72" s="317"/>
      <c r="BM72" s="317"/>
      <c r="BN72" s="317"/>
      <c r="BO72" s="317"/>
      <c r="BP72" s="290"/>
    </row>
  </sheetData>
  <sheetProtection formatColumns="0" formatRows="0" insertRows="0" deleteColumns="0" deleteRows="0" sort="0" autoFilter="0"/>
  <mergeCells count="17">
    <mergeCell ref="Z27:Z46"/>
    <mergeCell ref="X27:X46"/>
    <mergeCell ref="AB71:BP71"/>
    <mergeCell ref="AB69:BP69"/>
    <mergeCell ref="AB70:BP70"/>
    <mergeCell ref="Z47:Z66"/>
    <mergeCell ref="X47:X66"/>
    <mergeCell ref="BO24:BO25"/>
    <mergeCell ref="BP24:BP25"/>
    <mergeCell ref="BD25:BM25"/>
    <mergeCell ref="AB28:AC28"/>
    <mergeCell ref="AB72:AC72"/>
    <mergeCell ref="AB24:AB25"/>
    <mergeCell ref="AC24:AC25"/>
    <mergeCell ref="AD24:AD25"/>
    <mergeCell ref="BN24:BN25"/>
    <mergeCell ref="AB48:AC4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43066-0988-67DD-8B91-8705E78AAE28}">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F43" sqref="AF43"/>
    </sheetView>
  </sheetViews>
  <sheetFormatPr defaultColWidth="9.140625" defaultRowHeight="11.25" customHeight="1" x14ac:dyDescent="0.15"/>
  <cols>
    <col min="1" max="1" width="3.5703125" style="175" hidden="1" customWidth="1"/>
    <col min="2" max="2" width="8.5703125" style="773" hidden="1" customWidth="1"/>
    <col min="3" max="4" width="3.5703125" style="175" hidden="1" customWidth="1"/>
    <col min="5" max="5" width="8.42578125" style="772" hidden="1" customWidth="1"/>
    <col min="6" max="6" width="6.42578125" style="175" hidden="1" customWidth="1"/>
    <col min="7" max="11" width="3.5703125" style="177" hidden="1" customWidth="1"/>
    <col min="12" max="12" width="7" style="177" hidden="1" customWidth="1"/>
    <col min="13" max="16" width="3.5703125" style="177" hidden="1" customWidth="1"/>
    <col min="17" max="17" width="3.5703125" style="140" hidden="1" customWidth="1"/>
    <col min="18" max="18" width="12.7109375" style="140" hidden="1" customWidth="1"/>
    <col min="19" max="19" width="3.5703125" style="177" hidden="1" customWidth="1"/>
    <col min="20" max="20" width="8.7109375" style="175" hidden="1" customWidth="1"/>
    <col min="21" max="21" width="6" style="175" hidden="1" customWidth="1"/>
    <col min="22" max="23" width="6.28515625" style="175" hidden="1" customWidth="1"/>
    <col min="24" max="25" width="5.7109375" style="175" hidden="1" customWidth="1"/>
    <col min="26" max="26" width="5.42578125" style="175"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19" hidden="1"/>
  </cols>
  <sheetData>
    <row r="1" spans="1:71" s="175" customFormat="1" ht="12" hidden="1" customHeight="1" x14ac:dyDescent="0.15">
      <c r="B1" s="659"/>
      <c r="E1" s="659"/>
      <c r="F1" s="690" t="s">
        <v>83</v>
      </c>
      <c r="G1" s="177"/>
      <c r="H1" s="177"/>
      <c r="I1" s="177"/>
      <c r="J1" s="177"/>
      <c r="K1" s="177"/>
      <c r="L1" s="177"/>
      <c r="M1" s="177"/>
      <c r="N1" s="177"/>
      <c r="O1" s="177"/>
      <c r="P1" s="177"/>
      <c r="Q1" s="140"/>
      <c r="R1" s="140"/>
      <c r="S1" s="177"/>
      <c r="T1" s="679" t="s">
        <v>86</v>
      </c>
      <c r="U1" s="679" t="s">
        <v>91</v>
      </c>
      <c r="V1" s="679" t="s">
        <v>87</v>
      </c>
      <c r="W1" s="679" t="s">
        <v>88</v>
      </c>
      <c r="X1" s="679" t="s">
        <v>89</v>
      </c>
      <c r="Y1" s="690" t="s">
        <v>374</v>
      </c>
      <c r="Z1" s="679" t="s">
        <v>93</v>
      </c>
      <c r="AA1" s="690" t="s">
        <v>90</v>
      </c>
      <c r="AB1" s="690" t="s">
        <v>92</v>
      </c>
      <c r="AC1" s="179"/>
      <c r="BS1" s="948" t="s">
        <v>375</v>
      </c>
    </row>
    <row r="2" spans="1:71" s="773" customFormat="1" ht="12" hidden="1" customHeight="1" x14ac:dyDescent="0.15">
      <c r="B2" s="758" t="s">
        <v>15</v>
      </c>
      <c r="G2" s="776"/>
      <c r="H2" s="776"/>
      <c r="I2" s="776"/>
      <c r="J2" s="776"/>
      <c r="K2" s="776"/>
      <c r="L2" s="776"/>
      <c r="M2" s="776"/>
      <c r="N2" s="776"/>
      <c r="O2" s="776"/>
      <c r="P2" s="776"/>
      <c r="Q2" s="776"/>
      <c r="R2" s="776"/>
      <c r="S2" s="776"/>
      <c r="AC2" s="663"/>
      <c r="AJ2" s="680" t="b">
        <f t="shared" ref="AJ2:BM2" si="0">AJ6&lt;=last_year_vis</f>
        <v>1</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0</v>
      </c>
      <c r="AT2" s="680" t="b">
        <f t="shared" si="0"/>
        <v>1</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1</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si="0"/>
        <v>0</v>
      </c>
      <c r="BS2" s="947"/>
    </row>
    <row r="3" spans="1:71" s="175" customFormat="1" ht="12" hidden="1" customHeight="1" x14ac:dyDescent="0.15">
      <c r="B3" s="659"/>
      <c r="E3" s="659"/>
      <c r="G3" s="177"/>
      <c r="H3" s="177"/>
      <c r="I3" s="177"/>
      <c r="J3" s="177"/>
      <c r="K3" s="177"/>
      <c r="L3" s="177"/>
      <c r="M3" s="177"/>
      <c r="N3" s="177"/>
      <c r="O3" s="177"/>
      <c r="P3" s="177"/>
      <c r="Q3" s="140"/>
      <c r="R3" s="140"/>
      <c r="S3" s="177"/>
      <c r="AC3" s="179"/>
      <c r="BS3" s="1019"/>
    </row>
    <row r="4" spans="1:71" s="175" customFormat="1" ht="12" hidden="1" customHeight="1" x14ac:dyDescent="0.15">
      <c r="B4" s="659"/>
      <c r="E4" s="659"/>
      <c r="G4" s="177"/>
      <c r="H4" s="177"/>
      <c r="I4" s="177"/>
      <c r="J4" s="177"/>
      <c r="K4" s="177"/>
      <c r="L4" s="177"/>
      <c r="M4" s="177"/>
      <c r="N4" s="177"/>
      <c r="O4" s="177"/>
      <c r="P4" s="177"/>
      <c r="Q4" s="140"/>
      <c r="R4" s="140"/>
      <c r="S4" s="177"/>
      <c r="AC4" s="179"/>
      <c r="BS4" s="1019"/>
    </row>
    <row r="5" spans="1:71"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12.63</v>
      </c>
      <c r="AF5" s="668">
        <v>12.63</v>
      </c>
      <c r="AG5" s="668">
        <v>12.63</v>
      </c>
      <c r="AH5" s="668">
        <v>19.13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12.63</v>
      </c>
      <c r="BD5" s="668">
        <v>12.63</v>
      </c>
      <c r="BE5" s="668">
        <v>12.63</v>
      </c>
      <c r="BF5" s="668">
        <v>12.63</v>
      </c>
      <c r="BG5" s="668">
        <v>12.63</v>
      </c>
      <c r="BH5" s="668">
        <v>12.63</v>
      </c>
      <c r="BI5" s="668">
        <v>12.63</v>
      </c>
      <c r="BJ5" s="668">
        <v>12.63</v>
      </c>
      <c r="BK5" s="668">
        <v>12.63</v>
      </c>
      <c r="BL5" s="668">
        <v>12.63</v>
      </c>
      <c r="BM5" s="668">
        <v>12.63</v>
      </c>
      <c r="BN5" s="668">
        <v>19</v>
      </c>
      <c r="BO5" s="668">
        <v>17.25</v>
      </c>
      <c r="BP5" s="668">
        <v>31.25</v>
      </c>
      <c r="BQ5" s="668">
        <v>3</v>
      </c>
      <c r="BS5" s="947"/>
    </row>
    <row r="6" spans="1:71" s="175" customFormat="1" ht="12" hidden="1" customHeight="1" x14ac:dyDescent="0.15">
      <c r="B6" s="659"/>
      <c r="E6" s="668"/>
      <c r="G6" s="177"/>
      <c r="H6" s="177"/>
      <c r="I6" s="177"/>
      <c r="J6" s="177"/>
      <c r="K6" s="177"/>
      <c r="L6" s="177"/>
      <c r="M6" s="177"/>
      <c r="N6" s="177"/>
      <c r="O6" s="177"/>
      <c r="P6" s="177"/>
      <c r="Q6" s="140"/>
      <c r="R6" s="140"/>
      <c r="S6" s="177"/>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19"/>
    </row>
    <row r="7" spans="1:71" ht="12" hidden="1" customHeight="1" x14ac:dyDescent="0.15">
      <c r="F7" s="177"/>
      <c r="T7" s="177"/>
      <c r="U7" s="177"/>
      <c r="V7" s="177"/>
      <c r="W7" s="177"/>
      <c r="X7" s="177"/>
      <c r="Y7" s="177"/>
      <c r="Z7" s="177"/>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c r="BI7" s="160"/>
      <c r="BJ7" s="160"/>
      <c r="BK7" s="160"/>
      <c r="BL7" s="160"/>
      <c r="BM7" s="160"/>
    </row>
    <row r="8" spans="1:71" ht="12" hidden="1" customHeight="1" x14ac:dyDescent="0.15">
      <c r="F8" s="177"/>
      <c r="T8" s="177"/>
      <c r="U8" s="177"/>
      <c r="V8" s="177"/>
      <c r="W8" s="177"/>
      <c r="X8" s="177"/>
      <c r="Y8" s="177"/>
      <c r="Z8" s="177"/>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c r="BI8" s="160"/>
      <c r="BJ8" s="160"/>
      <c r="BK8" s="160"/>
      <c r="BL8" s="160"/>
      <c r="BM8" s="160"/>
    </row>
    <row r="9" spans="1:71" s="1020" customFormat="1" ht="12" hidden="1" customHeight="1" x14ac:dyDescent="0.15">
      <c r="A9" s="948" t="s">
        <v>461</v>
      </c>
      <c r="B9" s="941"/>
      <c r="E9" s="941"/>
      <c r="Q9" s="998"/>
      <c r="R9" s="998"/>
      <c r="AE9" s="1020">
        <f>god-2</f>
        <v>2024</v>
      </c>
      <c r="AF9" s="1020">
        <f>god-2</f>
        <v>2024</v>
      </c>
      <c r="AG9" s="1020">
        <f>god-2</f>
        <v>2024</v>
      </c>
      <c r="AH9" s="1020">
        <f>god-2</f>
        <v>2024</v>
      </c>
      <c r="AI9" s="1020">
        <f>god-1</f>
        <v>2025</v>
      </c>
      <c r="AJ9" s="1020" cm="1">
        <f t="array" ref="AJ9">god</f>
        <v>2026</v>
      </c>
      <c r="AK9" s="1020">
        <f>god+1</f>
        <v>2027</v>
      </c>
      <c r="AL9" s="1020">
        <f>god+2</f>
        <v>2028</v>
      </c>
      <c r="AM9" s="1020">
        <f>god+3</f>
        <v>2029</v>
      </c>
      <c r="AN9" s="1020">
        <f>god+4</f>
        <v>2030</v>
      </c>
      <c r="AO9" s="1020">
        <f>god+5</f>
        <v>2031</v>
      </c>
      <c r="AP9" s="1020">
        <f>god+6</f>
        <v>2032</v>
      </c>
      <c r="AQ9" s="1020">
        <f>god+7</f>
        <v>2033</v>
      </c>
      <c r="AR9" s="1020">
        <f>god+8</f>
        <v>2034</v>
      </c>
      <c r="AS9" s="1020">
        <f>god+9</f>
        <v>2035</v>
      </c>
      <c r="AT9" s="1020" cm="1">
        <f t="array" ref="AT9">god</f>
        <v>2026</v>
      </c>
      <c r="AU9" s="1020">
        <f>god+1</f>
        <v>2027</v>
      </c>
      <c r="AV9" s="1020">
        <f>god+2</f>
        <v>2028</v>
      </c>
      <c r="AW9" s="1020">
        <f>god+3</f>
        <v>2029</v>
      </c>
      <c r="AX9" s="1020">
        <f>god+4</f>
        <v>2030</v>
      </c>
      <c r="AY9" s="1020">
        <f>god+5</f>
        <v>2031</v>
      </c>
      <c r="AZ9" s="1020">
        <f>god+6</f>
        <v>2032</v>
      </c>
      <c r="BA9" s="1020">
        <f>god+7</f>
        <v>2033</v>
      </c>
      <c r="BB9" s="1020">
        <f>god+8</f>
        <v>2034</v>
      </c>
      <c r="BC9" s="1020">
        <f>god+9</f>
        <v>2035</v>
      </c>
      <c r="BD9" s="1020" cm="1">
        <f t="array" ref="BD9">god</f>
        <v>2026</v>
      </c>
      <c r="BE9" s="1020">
        <f>god+1</f>
        <v>2027</v>
      </c>
      <c r="BF9" s="1020">
        <f>god+2</f>
        <v>2028</v>
      </c>
      <c r="BG9" s="1020">
        <f>god+3</f>
        <v>2029</v>
      </c>
      <c r="BH9" s="1020">
        <f>god+4</f>
        <v>2030</v>
      </c>
      <c r="BI9" s="1020">
        <f>god+5</f>
        <v>2031</v>
      </c>
      <c r="BJ9" s="1020">
        <f>god+6</f>
        <v>2032</v>
      </c>
      <c r="BK9" s="1020">
        <f>god+7</f>
        <v>2033</v>
      </c>
      <c r="BL9" s="1020">
        <f>god+8</f>
        <v>2034</v>
      </c>
      <c r="BM9" s="1020">
        <f>god+9</f>
        <v>2035</v>
      </c>
      <c r="BS9" s="1019"/>
    </row>
    <row r="10" spans="1:71" s="1020" customFormat="1" ht="12" hidden="1" customHeight="1" x14ac:dyDescent="0.15">
      <c r="A10" s="948" t="s">
        <v>462</v>
      </c>
      <c r="B10" s="941"/>
      <c r="E10" s="941"/>
      <c r="Q10" s="998"/>
      <c r="R10" s="998"/>
      <c r="AE10" s="1020" t="str" cm="1">
        <f t="array" ref="AE10">AE25</f>
        <v>Принято органом регулирования</v>
      </c>
      <c r="AF10" s="1020" t="str" cm="1">
        <f t="array" ref="AF10">AF25</f>
        <v>Факт по данным организации</v>
      </c>
      <c r="AG10" s="1020" t="str" cm="1">
        <f t="array" ref="AG10">AG25</f>
        <v>Факт, принятый органом регулирования</v>
      </c>
      <c r="AH10" s="1020" t="str" cm="1">
        <f t="array" ref="AH10">AH25</f>
        <v>отклонение факта по данным организации к факту принятому органом регулирования</v>
      </c>
      <c r="AI10" s="1020" t="str" cm="1">
        <f t="array" ref="AI10">AI25</f>
        <v>Принято органом регулирования</v>
      </c>
      <c r="AJ10" s="1020" t="str" cm="1">
        <f t="array" ref="AJ10">AJ25</f>
        <v>Предложение организации</v>
      </c>
      <c r="AK10" s="1020" t="str" cm="1">
        <f t="array" ref="AK10">AK25</f>
        <v>Предложение организации</v>
      </c>
      <c r="AL10" s="1020" t="str" cm="1">
        <f t="array" ref="AL10">AL25</f>
        <v>Предложение организации</v>
      </c>
      <c r="AM10" s="1020" t="str" cm="1">
        <f t="array" ref="AM10">AM25</f>
        <v>Предложение организации</v>
      </c>
      <c r="AN10" s="1020" t="str" cm="1">
        <f t="array" ref="AN10">AN25</f>
        <v>Предложение организации</v>
      </c>
      <c r="AO10" s="1020" t="str" cm="1">
        <f t="array" ref="AO10">AO25</f>
        <v>Предложение организации</v>
      </c>
      <c r="AP10" s="1020" t="str" cm="1">
        <f t="array" ref="AP10">AP25</f>
        <v>Предложение организации</v>
      </c>
      <c r="AQ10" s="1020" t="str" cm="1">
        <f t="array" ref="AQ10">AQ25</f>
        <v>Предложение организации</v>
      </c>
      <c r="AR10" s="1020" t="str" cm="1">
        <f t="array" ref="AR10">AR25</f>
        <v>Предложение организации</v>
      </c>
      <c r="AS10" s="1020" t="str" cm="1">
        <f t="array" ref="AS10">AS25</f>
        <v>Предложение организации</v>
      </c>
      <c r="AT10" s="1020" t="str" cm="1">
        <f t="array" ref="AT10">AT25</f>
        <v>Принято органом регулирования</v>
      </c>
      <c r="AU10" s="1020" t="str" cm="1">
        <f t="array" ref="AU10">AU25</f>
        <v>Принято органом регулирования</v>
      </c>
      <c r="AV10" s="1020" t="str" cm="1">
        <f t="array" ref="AV10">AV25</f>
        <v>Принято органом регулирования</v>
      </c>
      <c r="AW10" s="1020" t="str" cm="1">
        <f t="array" ref="AW10">AW25</f>
        <v>Принято органом регулирования</v>
      </c>
      <c r="AX10" s="1020" t="str" cm="1">
        <f t="array" ref="AX10">AX25</f>
        <v>Принято органом регулирования</v>
      </c>
      <c r="AY10" s="1020" t="str" cm="1">
        <f t="array" ref="AY10">AY25</f>
        <v>Принято органом регулирования</v>
      </c>
      <c r="AZ10" s="1020" t="str" cm="1">
        <f t="array" ref="AZ10">AZ25</f>
        <v>Принято органом регулирования</v>
      </c>
      <c r="BA10" s="1020" t="str" cm="1">
        <f t="array" ref="BA10">BA25</f>
        <v>Принято органом регулирования</v>
      </c>
      <c r="BB10" s="1020" t="str" cm="1">
        <f t="array" ref="BB10">BB25</f>
        <v>Принято органом регулирования</v>
      </c>
      <c r="BC10" s="1020" t="str" cm="1">
        <f t="array" ref="BC10">BC25</f>
        <v>Принято органом регулирования</v>
      </c>
      <c r="BD10" s="102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9"/>
    </row>
    <row r="11" spans="1:71" s="1020" customFormat="1" ht="12" hidden="1" customHeight="1" x14ac:dyDescent="0.15">
      <c r="A11" s="948" t="s">
        <v>463</v>
      </c>
      <c r="B11" s="941"/>
      <c r="E11" s="941"/>
      <c r="G11" s="1023"/>
      <c r="H11" s="1023"/>
      <c r="I11" s="1023"/>
      <c r="J11" s="1023"/>
      <c r="K11" s="1023"/>
      <c r="L11" s="1023"/>
      <c r="M11" s="1023"/>
      <c r="N11" s="1023"/>
      <c r="O11" s="1023"/>
      <c r="P11" s="1023"/>
      <c r="Q11" s="1000"/>
      <c r="R11" s="1000"/>
      <c r="S11" s="1023"/>
      <c r="AC11" s="1024"/>
      <c r="BN11" s="1020" t="str" cm="1">
        <f t="array" ref="BN11">BN24</f>
        <v>Указание на подтверждающие документы / URL-ссылка на копии подтверждающих документов</v>
      </c>
      <c r="BO11" s="1020" t="str" cm="1">
        <f t="array" ref="BO11">BO24</f>
        <v>Ссылка на правовую норму (основание для принятия показателя в расчет тарифа)</v>
      </c>
      <c r="BP11" s="102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9"/>
    </row>
    <row r="12" spans="1:71" s="175" customFormat="1" ht="12" hidden="1" customHeight="1" x14ac:dyDescent="0.15">
      <c r="B12" s="659"/>
      <c r="E12" s="668"/>
      <c r="G12" s="177"/>
      <c r="H12" s="177"/>
      <c r="I12" s="177"/>
      <c r="J12" s="177"/>
      <c r="K12" s="177"/>
      <c r="L12" s="177"/>
      <c r="M12" s="177"/>
      <c r="N12" s="177"/>
      <c r="O12" s="177"/>
      <c r="P12" s="177"/>
      <c r="Q12" s="140"/>
      <c r="R12" s="140"/>
      <c r="S12" s="177"/>
      <c r="AC12" s="179"/>
      <c r="BS12" s="1019"/>
    </row>
    <row r="13" spans="1:71" s="175" customFormat="1" ht="12" hidden="1" customHeight="1" x14ac:dyDescent="0.15">
      <c r="B13" s="659"/>
      <c r="E13" s="668"/>
      <c r="G13" s="177"/>
      <c r="H13" s="177"/>
      <c r="I13" s="177"/>
      <c r="J13" s="177"/>
      <c r="K13" s="177"/>
      <c r="L13" s="177"/>
      <c r="M13" s="177"/>
      <c r="N13" s="177"/>
      <c r="O13" s="177"/>
      <c r="P13" s="177"/>
      <c r="Q13" s="140"/>
      <c r="R13" s="140"/>
      <c r="S13" s="177"/>
      <c r="AC13" s="179"/>
      <c r="BS13" s="1019"/>
    </row>
    <row r="14" spans="1:71" s="175" customFormat="1" ht="12" hidden="1" customHeight="1" x14ac:dyDescent="0.15">
      <c r="B14" s="659"/>
      <c r="E14" s="668"/>
      <c r="G14" s="177"/>
      <c r="H14" s="177"/>
      <c r="I14" s="177"/>
      <c r="J14" s="177"/>
      <c r="K14" s="177"/>
      <c r="L14" s="177"/>
      <c r="M14" s="177"/>
      <c r="N14" s="177"/>
      <c r="O14" s="177"/>
      <c r="P14" s="177"/>
      <c r="Q14" s="140"/>
      <c r="R14" s="140"/>
      <c r="S14" s="177"/>
      <c r="AC14" s="179"/>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S14" s="1019"/>
    </row>
    <row r="15" spans="1:71" s="175" customFormat="1" ht="12" hidden="1" customHeight="1" x14ac:dyDescent="0.15">
      <c r="B15" s="659"/>
      <c r="E15" s="668"/>
      <c r="G15" s="177"/>
      <c r="H15" s="177"/>
      <c r="I15" s="177"/>
      <c r="J15" s="177"/>
      <c r="K15" s="177"/>
      <c r="L15" s="177"/>
      <c r="M15" s="177"/>
      <c r="N15" s="177"/>
      <c r="O15" s="177"/>
      <c r="P15" s="177"/>
      <c r="Q15" s="140"/>
      <c r="R15" s="140"/>
      <c r="S15" s="177"/>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19"/>
    </row>
    <row r="16" spans="1:71" s="175" customFormat="1" ht="12" hidden="1" customHeight="1" x14ac:dyDescent="0.15">
      <c r="B16" s="659"/>
      <c r="E16" s="668"/>
      <c r="G16" s="177"/>
      <c r="H16" s="177"/>
      <c r="I16" s="177"/>
      <c r="J16" s="177"/>
      <c r="K16" s="177"/>
      <c r="L16" s="177"/>
      <c r="M16" s="177"/>
      <c r="N16" s="177"/>
      <c r="O16" s="177"/>
      <c r="P16" s="177"/>
      <c r="Q16" s="140"/>
      <c r="R16" s="140"/>
      <c r="S16" s="177"/>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19"/>
    </row>
    <row r="17" spans="1:71" s="175" customFormat="1" ht="12" hidden="1" customHeight="1" x14ac:dyDescent="0.15">
      <c r="B17" s="659"/>
      <c r="E17" s="668"/>
      <c r="G17" s="177"/>
      <c r="H17" s="177"/>
      <c r="I17" s="177"/>
      <c r="J17" s="177"/>
      <c r="K17" s="177"/>
      <c r="L17" s="177"/>
      <c r="M17" s="177"/>
      <c r="N17" s="177"/>
      <c r="O17" s="177"/>
      <c r="P17" s="177"/>
      <c r="Q17" s="140"/>
      <c r="R17" s="140"/>
      <c r="S17" s="177"/>
      <c r="AC17" s="179"/>
      <c r="BS17" s="1019"/>
    </row>
    <row r="18" spans="1:71" s="175" customFormat="1" ht="12" hidden="1" customHeight="1" x14ac:dyDescent="0.15">
      <c r="B18" s="659"/>
      <c r="E18" s="668"/>
      <c r="G18" s="177"/>
      <c r="H18" s="177"/>
      <c r="I18" s="177"/>
      <c r="J18" s="177"/>
      <c r="K18" s="177"/>
      <c r="L18" s="177"/>
      <c r="M18" s="177"/>
      <c r="N18" s="177"/>
      <c r="O18" s="177"/>
      <c r="P18" s="177"/>
      <c r="Q18" s="140"/>
      <c r="R18" s="140"/>
      <c r="S18" s="177"/>
      <c r="AC18" s="179"/>
      <c r="BS18" s="1019"/>
    </row>
    <row r="19" spans="1:71" s="175" customFormat="1" ht="12" hidden="1" customHeight="1" x14ac:dyDescent="0.15">
      <c r="B19" s="659"/>
      <c r="E19" s="668"/>
      <c r="G19" s="177"/>
      <c r="H19" s="177"/>
      <c r="I19" s="177"/>
      <c r="J19" s="177"/>
      <c r="K19" s="177"/>
      <c r="L19" s="177"/>
      <c r="M19" s="177"/>
      <c r="N19" s="177"/>
      <c r="O19" s="177"/>
      <c r="P19" s="177"/>
      <c r="Q19" s="140"/>
      <c r="R19" s="140"/>
      <c r="S19" s="177"/>
      <c r="AC19" s="179"/>
      <c r="BS19" s="1019"/>
    </row>
    <row r="20" spans="1:71" s="175" customFormat="1" ht="12" hidden="1" customHeight="1" x14ac:dyDescent="0.15">
      <c r="B20" s="659"/>
      <c r="E20" s="668"/>
      <c r="G20" s="177"/>
      <c r="H20" s="177"/>
      <c r="I20" s="177"/>
      <c r="J20" s="177"/>
      <c r="K20" s="177"/>
      <c r="L20" s="177"/>
      <c r="M20" s="177"/>
      <c r="N20" s="177"/>
      <c r="O20" s="177"/>
      <c r="P20" s="177"/>
      <c r="Q20" s="140"/>
      <c r="R20" s="140"/>
      <c r="S20" s="177"/>
      <c r="AC20" s="179"/>
      <c r="BS20" s="1019"/>
    </row>
    <row r="21" spans="1:71" ht="14.65" customHeight="1" x14ac:dyDescent="0.15">
      <c r="E21" s="668">
        <v>15</v>
      </c>
      <c r="AA21" s="691"/>
      <c r="AB21" s="177"/>
      <c r="AC21" s="335" t="str" cm="1">
        <f t="array" ref="AC21">tpl_title</f>
        <v>Кемеровская область / 2026 / ООО ХК "СДС - Энерго" (ИНН:4250003450, КПП:420501001) / ДПР: 2024-2028</v>
      </c>
      <c r="AD21" s="177"/>
    </row>
    <row r="22" spans="1:71" s="1153" customFormat="1" ht="19.5" customHeight="1" x14ac:dyDescent="0.15">
      <c r="A22" s="130"/>
      <c r="B22" s="659"/>
      <c r="C22" s="130"/>
      <c r="D22" s="130"/>
      <c r="E22" s="668">
        <v>20.100000000000001</v>
      </c>
      <c r="F22" s="130"/>
      <c r="Q22" s="140"/>
      <c r="R22" s="140"/>
      <c r="T22" s="130"/>
      <c r="U22" s="130"/>
      <c r="V22" s="130"/>
      <c r="W22" s="130"/>
      <c r="X22" s="130"/>
      <c r="Y22" s="130"/>
      <c r="Z22" s="130"/>
      <c r="AB22" s="325" t="s">
        <v>61</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1009"/>
    </row>
    <row r="23" spans="1:71" s="1153" customFormat="1" ht="9.9499999999999993" customHeight="1" x14ac:dyDescent="0.15">
      <c r="A23" s="130"/>
      <c r="B23" s="659"/>
      <c r="C23" s="130"/>
      <c r="D23" s="130"/>
      <c r="E23" s="668">
        <v>10.199999999999999</v>
      </c>
      <c r="F23" s="130"/>
      <c r="Q23" s="140"/>
      <c r="R23" s="140"/>
      <c r="T23" s="130"/>
      <c r="U23" s="130"/>
      <c r="V23" s="130"/>
      <c r="W23" s="130"/>
      <c r="X23" s="130"/>
      <c r="Y23" s="130"/>
      <c r="Z23" s="130"/>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1009"/>
    </row>
    <row r="24" spans="1:71" s="176" customFormat="1" ht="24.2" customHeight="1" x14ac:dyDescent="0.15">
      <c r="A24" s="179"/>
      <c r="B24" s="663"/>
      <c r="C24" s="179"/>
      <c r="D24" s="179"/>
      <c r="E24" s="674">
        <v>24.8</v>
      </c>
      <c r="F24" s="179"/>
      <c r="Q24" s="778"/>
      <c r="R24" s="778"/>
      <c r="T24" s="179"/>
      <c r="U24" s="179"/>
      <c r="V24" s="179"/>
      <c r="W24" s="179"/>
      <c r="X24" s="179"/>
      <c r="Y24" s="179"/>
      <c r="Z24" s="179"/>
      <c r="AB24" s="1581" t="s">
        <v>388</v>
      </c>
      <c r="AC24" s="1581" t="s">
        <v>464</v>
      </c>
      <c r="AD24" s="1581" t="s">
        <v>465</v>
      </c>
      <c r="AE24" s="208" t="str">
        <f>god-2&amp;" год"</f>
        <v>2024 год</v>
      </c>
      <c r="AF24" s="1137" t="str">
        <f>god-2&amp;" год"</f>
        <v>2024 год</v>
      </c>
      <c r="AG24" s="208" t="str">
        <f>god-2&amp;" год"</f>
        <v>2024 год</v>
      </c>
      <c r="AH24" s="208" t="str">
        <f>god-2&amp;" год"</f>
        <v>2024 год</v>
      </c>
      <c r="AI24" s="117" t="str">
        <f>god-1&amp;" год"</f>
        <v>2025 год</v>
      </c>
      <c r="AJ24" s="1131" t="str">
        <f>god&amp;" год"</f>
        <v>2026 год</v>
      </c>
      <c r="AK24" s="1131" t="str">
        <f>god+1&amp;" год"</f>
        <v>2027 год</v>
      </c>
      <c r="AL24" s="1131" t="str">
        <f>god+2&amp;" год"</f>
        <v>2028 год</v>
      </c>
      <c r="AM24" s="1131" t="str">
        <f>god+3&amp;" год"</f>
        <v>2029 год</v>
      </c>
      <c r="AN24" s="1131" t="str">
        <f>god+4&amp;" год"</f>
        <v>2030 год</v>
      </c>
      <c r="AO24" s="1131" t="str">
        <f>god+5&amp;" год"</f>
        <v>2031 год</v>
      </c>
      <c r="AP24" s="1131" t="str">
        <f>god+6&amp;" год"</f>
        <v>2032 год</v>
      </c>
      <c r="AQ24" s="1131" t="str">
        <f>god+7&amp;" год"</f>
        <v>2033 год</v>
      </c>
      <c r="AR24" s="1131" t="str">
        <f>god+8&amp;" год"</f>
        <v>2034 год</v>
      </c>
      <c r="AS24" s="1131"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580" t="s">
        <v>1313</v>
      </c>
      <c r="BO24" s="1580" t="s">
        <v>618</v>
      </c>
      <c r="BP24" s="1580" t="s">
        <v>1314</v>
      </c>
      <c r="BS24" s="1019"/>
    </row>
    <row r="25" spans="1:71" s="176" customFormat="1" ht="44.65" customHeight="1" x14ac:dyDescent="0.15">
      <c r="A25" s="179"/>
      <c r="B25" s="663"/>
      <c r="C25" s="179"/>
      <c r="D25" s="179"/>
      <c r="E25" s="674">
        <v>45.8</v>
      </c>
      <c r="F25" s="179"/>
      <c r="Q25" s="778"/>
      <c r="R25" s="778"/>
      <c r="T25" s="179"/>
      <c r="U25" s="179"/>
      <c r="V25" s="179"/>
      <c r="W25" s="179"/>
      <c r="X25" s="179"/>
      <c r="Y25" s="179"/>
      <c r="Z25" s="179"/>
      <c r="AB25" s="1581"/>
      <c r="AC25" s="1581"/>
      <c r="AD25" s="1581"/>
      <c r="AE25" s="117" t="s">
        <v>404</v>
      </c>
      <c r="AF25" s="1133" t="s">
        <v>619</v>
      </c>
      <c r="AG25" s="117" t="s">
        <v>620</v>
      </c>
      <c r="AH25" s="208" t="s">
        <v>1315</v>
      </c>
      <c r="AI25" s="117" t="s">
        <v>404</v>
      </c>
      <c r="AJ25" s="1132" t="s">
        <v>405</v>
      </c>
      <c r="AK25" s="1132" t="s">
        <v>405</v>
      </c>
      <c r="AL25" s="1132" t="s">
        <v>405</v>
      </c>
      <c r="AM25" s="1132" t="s">
        <v>405</v>
      </c>
      <c r="AN25" s="1132" t="s">
        <v>405</v>
      </c>
      <c r="AO25" s="1132" t="s">
        <v>405</v>
      </c>
      <c r="AP25" s="1132" t="s">
        <v>405</v>
      </c>
      <c r="AQ25" s="1132" t="s">
        <v>405</v>
      </c>
      <c r="AR25" s="1132" t="s">
        <v>405</v>
      </c>
      <c r="AS25" s="1132" t="s">
        <v>405</v>
      </c>
      <c r="AT25" s="343" t="s">
        <v>404</v>
      </c>
      <c r="AU25" s="343" t="s">
        <v>404</v>
      </c>
      <c r="AV25" s="343" t="s">
        <v>404</v>
      </c>
      <c r="AW25" s="343" t="s">
        <v>404</v>
      </c>
      <c r="AX25" s="343" t="s">
        <v>404</v>
      </c>
      <c r="AY25" s="343" t="s">
        <v>404</v>
      </c>
      <c r="AZ25" s="343" t="s">
        <v>404</v>
      </c>
      <c r="BA25" s="343" t="s">
        <v>404</v>
      </c>
      <c r="BB25" s="343" t="s">
        <v>404</v>
      </c>
      <c r="BC25" s="343" t="s">
        <v>404</v>
      </c>
      <c r="BD25" s="1580" t="s">
        <v>1316</v>
      </c>
      <c r="BE25" s="1580"/>
      <c r="BF25" s="1580"/>
      <c r="BG25" s="1580"/>
      <c r="BH25" s="1580"/>
      <c r="BI25" s="1580"/>
      <c r="BJ25" s="1580"/>
      <c r="BK25" s="1580"/>
      <c r="BL25" s="1580"/>
      <c r="BM25" s="1580"/>
      <c r="BN25" s="1580"/>
      <c r="BO25" s="1580"/>
      <c r="BP25" s="1580"/>
      <c r="BS25" s="1019"/>
    </row>
    <row r="26" spans="1:71" s="176" customFormat="1" ht="12" hidden="1" customHeight="1" x14ac:dyDescent="0.15">
      <c r="A26" s="179"/>
      <c r="B26" s="663"/>
      <c r="C26" s="179"/>
      <c r="D26" s="179"/>
      <c r="E26" s="674">
        <v>0</v>
      </c>
      <c r="F26" s="179"/>
      <c r="Q26" s="778"/>
      <c r="R26" s="778"/>
      <c r="T26" s="179"/>
      <c r="U26" s="179"/>
      <c r="V26" s="179"/>
      <c r="W26" s="179"/>
      <c r="X26" s="179"/>
      <c r="Y26" s="179"/>
      <c r="Z26" s="179"/>
      <c r="AB26" s="589"/>
      <c r="AC26" s="589"/>
      <c r="AD26" s="589"/>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19"/>
    </row>
    <row r="27" spans="1:71" s="167" customFormat="1" ht="16.5" hidden="1" customHeight="1" x14ac:dyDescent="0.15">
      <c r="E27" s="668">
        <v>17</v>
      </c>
      <c r="F27" s="769" cm="1">
        <f t="array" ref="F27">X27</f>
        <v>0</v>
      </c>
      <c r="G27" s="612" cm="1">
        <f t="array" ref="G27">INDEX('Общие сведения'!$AK$169:$AK$202,MATCH($F27,'Общие сведения'!$Z$169:$Z$202,0))</f>
        <v>0</v>
      </c>
      <c r="I27" s="160" t="str" cm="1">
        <f t="array" ref="I27">INDEX('Общие сведения'!$AE$169:$AE$202,MATCH($F27,'Общие сведения'!$Z$169:$Z$202,0))</f>
        <v>Теплоснабжение</v>
      </c>
      <c r="J27" s="160" cm="1">
        <f t="array" ref="J27">INDEX('Общие сведения'!$AK$169:$AK$202,MATCH($F27,'Общие сведения'!$Z$169:$Z$202,0))</f>
        <v>0</v>
      </c>
      <c r="K27" s="160" cm="1">
        <f t="array" ref="K27">INDEX('Общие сведения'!$AH$169:$AH$202,MATCH($F27,'Общие сведения'!$Z$169:$Z$202,0))</f>
        <v>0</v>
      </c>
      <c r="L27" s="160" cm="1">
        <f t="array" ref="L27">INDEX('Общие сведения'!$AI$169:$AI$202,MATCH($F27,'Общие сведения'!$Z$169:$Z$202,0))</f>
        <v>0</v>
      </c>
      <c r="M27" s="160" cm="1">
        <f t="array" ref="M27">INDEX('Общие сведения'!$AJ$169:$AJ$202,MATCH($F27,'Общие сведения'!$Z$169:$Z$202,0))</f>
        <v>0</v>
      </c>
      <c r="T27" s="679" t="b">
        <f>X27&gt;0</f>
        <v>0</v>
      </c>
      <c r="V27" s="123" t="s">
        <v>313</v>
      </c>
      <c r="X27" s="1485">
        <v>0</v>
      </c>
      <c r="Z27" s="1483"/>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92" t="str">
        <f>IF(AND(ISNUMBER(VALUE(TRIM(SUBSTITUTE(AB28,".","")))),TRIM(SUBSTITUTE(AB28,".",""))&lt;&gt;""),"P"&amp;SUBSTITUTE(AB28,".",""),"")</f>
        <v/>
      </c>
    </row>
    <row r="28" spans="1:71" s="167" customFormat="1" ht="16.5" hidden="1" customHeight="1" x14ac:dyDescent="0.15">
      <c r="E28" s="668">
        <v>17</v>
      </c>
      <c r="F28" s="769" cm="1">
        <f t="array" aca="1" ref="F28" ca="1">OFFSET(G28,-1,-1)</f>
        <v>0</v>
      </c>
      <c r="K28" s="177" t="str">
        <f ca="1">F28&amp;"komm"</f>
        <v>0komm</v>
      </c>
      <c r="L28" s="176" cm="1">
        <f t="array" ref="L28">BO28</f>
        <v>0</v>
      </c>
      <c r="T28" s="679" t="b" cm="1">
        <f t="array" ref="T28">T27</f>
        <v>0</v>
      </c>
      <c r="X28" s="1483"/>
      <c r="Z28" s="1483"/>
      <c r="AB28" s="1582" t="s">
        <v>1409</v>
      </c>
      <c r="AC28" s="1583"/>
      <c r="AD28" s="249" t="s">
        <v>830</v>
      </c>
      <c r="AE28" s="252" cm="1">
        <f t="array" aca="1" ref="AE28" ca="1">AE35</f>
        <v>0</v>
      </c>
      <c r="AF28" s="252" cm="1">
        <f t="array" aca="1" ref="AF28" ca="1">AF35</f>
        <v>0</v>
      </c>
      <c r="AG28" s="252" cm="1">
        <f t="array" aca="1" ref="AG28" ca="1">AG35</f>
        <v>0</v>
      </c>
      <c r="AH28" s="252" cm="1">
        <f t="array" aca="1" ref="AH28" ca="1">AH35</f>
        <v>0</v>
      </c>
      <c r="AI28" s="252" cm="1">
        <f t="array" aca="1" ref="AI28" ca="1">AI35</f>
        <v>0</v>
      </c>
      <c r="AJ28" s="252" cm="1">
        <f t="array" aca="1" ref="AJ28" ca="1">AJ35</f>
        <v>0</v>
      </c>
      <c r="AK28" s="252" cm="1">
        <f t="array" aca="1" ref="AK28" ca="1">AK35</f>
        <v>0</v>
      </c>
      <c r="AL28" s="252" cm="1">
        <f t="array" aca="1" ref="AL28" ca="1">AL35</f>
        <v>0</v>
      </c>
      <c r="AM28" s="252" cm="1">
        <f t="array" aca="1" ref="AM28" ca="1">AM35</f>
        <v>0</v>
      </c>
      <c r="AN28" s="252" cm="1">
        <f t="array" aca="1" ref="AN28" ca="1">AN35</f>
        <v>0</v>
      </c>
      <c r="AO28" s="252" cm="1">
        <f t="array" aca="1" ref="AO28" ca="1">AO35</f>
        <v>0</v>
      </c>
      <c r="AP28" s="252" cm="1">
        <f t="array" aca="1" ref="AP28" ca="1">AP35</f>
        <v>0</v>
      </c>
      <c r="AQ28" s="252" cm="1">
        <f t="array" aca="1" ref="AQ28" ca="1">AQ35</f>
        <v>0</v>
      </c>
      <c r="AR28" s="252" cm="1">
        <f t="array" aca="1" ref="AR28" ca="1">AR35</f>
        <v>0</v>
      </c>
      <c r="AS28" s="252" cm="1">
        <f t="array" aca="1" ref="AS28" ca="1">AS35</f>
        <v>0</v>
      </c>
      <c r="AT28" s="252" cm="1">
        <f t="array" aca="1" ref="AT28" ca="1">AT35</f>
        <v>0</v>
      </c>
      <c r="AU28" s="252" cm="1">
        <f t="array" aca="1" ref="AU28" ca="1">AU35</f>
        <v>0</v>
      </c>
      <c r="AV28" s="252" cm="1">
        <f t="array" aca="1" ref="AV28" ca="1">AV35</f>
        <v>0</v>
      </c>
      <c r="AW28" s="252" cm="1">
        <f t="array" aca="1" ref="AW28" ca="1">AW35</f>
        <v>0</v>
      </c>
      <c r="AX28" s="252" cm="1">
        <f t="array" aca="1" ref="AX28" ca="1">AX35</f>
        <v>0</v>
      </c>
      <c r="AY28" s="252" cm="1">
        <f t="array" aca="1" ref="AY28" ca="1">AY35</f>
        <v>0</v>
      </c>
      <c r="AZ28" s="252" cm="1">
        <f t="array" aca="1" ref="AZ28" ca="1">AZ35</f>
        <v>0</v>
      </c>
      <c r="BA28" s="252" cm="1">
        <f t="array" aca="1" ref="BA28" ca="1">BA35</f>
        <v>0</v>
      </c>
      <c r="BB28" s="252" cm="1">
        <f t="array" aca="1" ref="BB28" ca="1">BB35</f>
        <v>0</v>
      </c>
      <c r="BC28" s="252" cm="1">
        <f t="array" aca="1" ref="BC28" ca="1">BC35</f>
        <v>0</v>
      </c>
      <c r="BD28" s="252" cm="1">
        <f t="array" aca="1" ref="BD28" ca="1">BD35</f>
        <v>0</v>
      </c>
      <c r="BE28" s="252" cm="1">
        <f t="array" aca="1" ref="BE28" ca="1">BE35</f>
        <v>0</v>
      </c>
      <c r="BF28" s="252" cm="1">
        <f t="array" aca="1" ref="BF28" ca="1">BF35</f>
        <v>0</v>
      </c>
      <c r="BG28" s="252" cm="1">
        <f t="array" aca="1" ref="BG28" ca="1">BG35</f>
        <v>0</v>
      </c>
      <c r="BH28" s="252" cm="1">
        <f t="array" aca="1" ref="BH28" ca="1">BH35</f>
        <v>0</v>
      </c>
      <c r="BI28" s="252" cm="1">
        <f t="array" aca="1" ref="BI28" ca="1">BI35</f>
        <v>0</v>
      </c>
      <c r="BJ28" s="252" cm="1">
        <f t="array" aca="1" ref="BJ28" ca="1">BJ35</f>
        <v>0</v>
      </c>
      <c r="BK28" s="252" cm="1">
        <f t="array" aca="1" ref="BK28" ca="1">BK35</f>
        <v>0</v>
      </c>
      <c r="BL28" s="252" cm="1">
        <f t="array" aca="1" ref="BL28" ca="1">BL35</f>
        <v>0</v>
      </c>
      <c r="BM28" s="252" cm="1">
        <f t="array" aca="1" ref="BM28" ca="1">BM35</f>
        <v>0</v>
      </c>
      <c r="BN28" s="25"/>
      <c r="BO28" s="25"/>
      <c r="BP28" s="25"/>
      <c r="BS28" s="992" t="s">
        <v>1410</v>
      </c>
    </row>
    <row r="29" spans="1:71" ht="16.5" hidden="1" customHeight="1" x14ac:dyDescent="0.15">
      <c r="E29" s="668">
        <v>17</v>
      </c>
      <c r="F29" s="769" cm="1">
        <f t="array" aca="1" ref="F29" ca="1">OFFSET(G29,-1,-1)</f>
        <v>0</v>
      </c>
      <c r="G29" s="140" t="s">
        <v>1411</v>
      </c>
      <c r="T29" s="679" t="b" cm="1">
        <f t="array" ref="T29">T28</f>
        <v>0</v>
      </c>
      <c r="X29" s="1589"/>
      <c r="Z29" s="1589"/>
      <c r="AB29" s="404" t="s">
        <v>339</v>
      </c>
      <c r="AC29" s="620" t="s">
        <v>1412</v>
      </c>
      <c r="AD29" s="411" t="s">
        <v>1044</v>
      </c>
      <c r="AE29" s="253">
        <f ca="1">SUMIFS('Топливо 4.4'!AH$27:AH$275,'Топливо 4.4'!$F$27:$F$275,$F29,'Топливо 4.4'!$G$27:$G$275,$G29)</f>
        <v>0</v>
      </c>
      <c r="AF29" s="253">
        <f ca="1">SUMIFS('Топливо 4.4'!AI$27:AI$275,'Топливо 4.4'!$F$27:$F$275,$F29,'Топливо 4.4'!$G$27:$G$275,$G29)</f>
        <v>0</v>
      </c>
      <c r="AG29" s="253">
        <f ca="1">SUMIFS('Топливо 4.4'!AJ$27:AJ$275,'Топливо 4.4'!$F$27:$F$275,$F29,'Топливо 4.4'!$G$27:$G$275,$G29)</f>
        <v>0</v>
      </c>
      <c r="AH29" s="253">
        <f t="shared" ref="AH29:AH36" ca="1" si="2">AG29-AF29</f>
        <v>0</v>
      </c>
      <c r="AI29" s="253">
        <f ca="1">SUMIFS('Топливо 4.4'!AK$27:AK$275,'Топливо 4.4'!$F$27:$F$275,$F29,'Топливо 4.4'!$G$27:$G$275,$G29)</f>
        <v>0</v>
      </c>
      <c r="AJ29" s="253">
        <f ca="1">SUMIFS('Топливо 4.4'!AL$27:AL$275,'Топливо 4.4'!$F$27:$F$275,$F29,'Топливо 4.4'!$G$27:$G$275,$G29)</f>
        <v>0</v>
      </c>
      <c r="AK29" s="253">
        <f ca="1">SUMIFS('Топливо 4.4'!AO$27:AO$275,'Топливо 4.4'!$F$27:$F$275,$F29,'Топливо 4.4'!$G$27:$G$275,$G29)</f>
        <v>0</v>
      </c>
      <c r="AL29" s="253">
        <f ca="1">SUMIFS('Топливо 4.4'!AR$27:AR$275,'Топливо 4.4'!$F$27:$F$275,$F29,'Топливо 4.4'!$G$27:$G$275,$G29)</f>
        <v>0</v>
      </c>
      <c r="AM29" s="253">
        <f ca="1">SUMIFS('Топливо 4.4'!AU$27:AU$275,'Топливо 4.4'!$F$27:$F$275,$F29,'Топливо 4.4'!$G$27:$G$275,$G29)</f>
        <v>0</v>
      </c>
      <c r="AN29" s="253">
        <f ca="1">SUMIFS('Топливо 4.4'!AX$27:AX$275,'Топливо 4.4'!$F$27:$F$275,$F29,'Топливо 4.4'!$G$27:$G$275,$G29)</f>
        <v>0</v>
      </c>
      <c r="AO29" s="253">
        <f ca="1">SUMIFS('Топливо 4.4'!BA$27:BA$275,'Топливо 4.4'!$F$27:$F$275,$F29,'Топливо 4.4'!$G$27:$G$275,$G29)</f>
        <v>0</v>
      </c>
      <c r="AP29" s="253">
        <f ca="1">SUMIFS('Топливо 4.4'!BD$27:BD$275,'Топливо 4.4'!$F$27:$F$275,$F29,'Топливо 4.4'!$G$27:$G$275,$G29)</f>
        <v>0</v>
      </c>
      <c r="AQ29" s="253">
        <f ca="1">SUMIFS('Топливо 4.4'!BG$27:BG$275,'Топливо 4.4'!$F$27:$F$275,$F29,'Топливо 4.4'!$G$27:$G$275,$G29)</f>
        <v>0</v>
      </c>
      <c r="AR29" s="253">
        <f ca="1">SUMIFS('Топливо 4.4'!BJ$27:BJ$275,'Топливо 4.4'!$F$27:$F$275,$F29,'Топливо 4.4'!$G$27:$G$275,$G29)</f>
        <v>0</v>
      </c>
      <c r="AS29" s="253">
        <f ca="1">SUMIFS('Топливо 4.4'!BM$27:BM$275,'Топливо 4.4'!$F$27:$F$275,$F29,'Топливо 4.4'!$G$27:$G$275,$G29)</f>
        <v>0</v>
      </c>
      <c r="AT29" s="253">
        <f ca="1">SUMIFS('Топливо 4.4'!BP$27:BP$275,'Топливо 4.4'!$F$27:$F$275,$F29,'Топливо 4.4'!$G$27:$G$275,$G29)</f>
        <v>0</v>
      </c>
      <c r="AU29" s="253">
        <f ca="1">SUMIFS('Топливо 4.4'!BS$27:BS$275,'Топливо 4.4'!$F$27:$F$275,$F29,'Топливо 4.4'!$G$27:$G$275,$G29)</f>
        <v>0</v>
      </c>
      <c r="AV29" s="253">
        <f ca="1">SUMIFS('Топливо 4.4'!BV$27:BV$275,'Топливо 4.4'!$F$27:$F$275,$F29,'Топливо 4.4'!$G$27:$G$275,$G29)</f>
        <v>0</v>
      </c>
      <c r="AW29" s="253">
        <f ca="1">SUMIFS('Топливо 4.4'!BY$27:BY$275,'Топливо 4.4'!$F$27:$F$275,$F29,'Топливо 4.4'!$G$27:$G$275,$G29)</f>
        <v>0</v>
      </c>
      <c r="AX29" s="253">
        <f ca="1">SUMIFS('Топливо 4.4'!CB$27:CB$275,'Топливо 4.4'!$F$27:$F$275,$F29,'Топливо 4.4'!$G$27:$G$275,$G29)</f>
        <v>0</v>
      </c>
      <c r="AY29" s="253">
        <f ca="1">SUMIFS('Топливо 4.4'!CE$27:CE$275,'Топливо 4.4'!$F$27:$F$275,$F29,'Топливо 4.4'!$G$27:$G$275,$G29)</f>
        <v>0</v>
      </c>
      <c r="AZ29" s="253">
        <f ca="1">SUMIFS('Топливо 4.4'!CH$27:CH$275,'Топливо 4.4'!$F$27:$F$275,$F29,'Топливо 4.4'!$G$27:$G$275,$G29)</f>
        <v>0</v>
      </c>
      <c r="BA29" s="253">
        <f ca="1">SUMIFS('Топливо 4.4'!CK$27:CK$275,'Топливо 4.4'!$F$27:$F$275,$F29,'Топливо 4.4'!$G$27:$G$275,$G29)</f>
        <v>0</v>
      </c>
      <c r="BB29" s="253">
        <f ca="1">SUMIFS('Топливо 4.4'!CN$27:CN$275,'Топливо 4.4'!$F$27:$F$275,$F29,'Топливо 4.4'!$G$27:$G$275,$G29)</f>
        <v>0</v>
      </c>
      <c r="BC29" s="253">
        <f ca="1">SUMIFS('Топливо 4.4'!CQ$27:CQ$275,'Топливо 4.4'!$F$27:$F$275,$F29,'Топливо 4.4'!$G$27:$G$275,$G29)</f>
        <v>0</v>
      </c>
      <c r="BD29" s="253">
        <f t="shared" ref="BD29:BD36" ca="1" si="3">IF(AI29=0,0,(AT29-AI29)/AI29*100)</f>
        <v>0</v>
      </c>
      <c r="BE29" s="253">
        <f t="shared" ref="BE29:BM36" ca="1" si="4">IF(AT29=0,0,(AU29-AT29)/AT29*100)</f>
        <v>0</v>
      </c>
      <c r="BF29" s="253">
        <f t="shared" ca="1" si="4"/>
        <v>0</v>
      </c>
      <c r="BG29" s="253">
        <f t="shared" ca="1" si="4"/>
        <v>0</v>
      </c>
      <c r="BH29" s="253">
        <f t="shared" ca="1" si="4"/>
        <v>0</v>
      </c>
      <c r="BI29" s="253">
        <f t="shared" ca="1" si="4"/>
        <v>0</v>
      </c>
      <c r="BJ29" s="253">
        <f t="shared" ca="1" si="4"/>
        <v>0</v>
      </c>
      <c r="BK29" s="253">
        <f t="shared" ca="1" si="4"/>
        <v>0</v>
      </c>
      <c r="BL29" s="253">
        <f t="shared" ca="1" si="4"/>
        <v>0</v>
      </c>
      <c r="BM29" s="253">
        <f t="shared" ca="1" si="4"/>
        <v>0</v>
      </c>
      <c r="BN29" s="25"/>
      <c r="BO29" s="25"/>
      <c r="BP29" s="25"/>
      <c r="BS29" s="992" t="s">
        <v>1406</v>
      </c>
    </row>
    <row r="30" spans="1:71" ht="16.5" hidden="1" customHeight="1" x14ac:dyDescent="0.15">
      <c r="E30" s="668">
        <v>17</v>
      </c>
      <c r="F30" s="769" cm="1">
        <f t="array" aca="1" ref="F30" ca="1">OFFSET(G30,-1,-1)</f>
        <v>0</v>
      </c>
      <c r="G30" s="140" t="s">
        <v>949</v>
      </c>
      <c r="T30" s="679" t="b" cm="1">
        <f t="array" ref="T30">T29</f>
        <v>0</v>
      </c>
      <c r="X30" s="1589"/>
      <c r="Z30" s="1589"/>
      <c r="AB30" s="430" t="s">
        <v>426</v>
      </c>
      <c r="AC30" s="618" t="s">
        <v>951</v>
      </c>
      <c r="AD30" s="416" t="s">
        <v>1044</v>
      </c>
      <c r="AE30" s="253">
        <f ca="1">SUMIFS(ЭнергоРесурсы!AE$26:AE$112,ЭнергоРесурсы!$F$26:$F$112,$F30,ЭнергоРесурсы!$G$26:$G$112,$G30)</f>
        <v>0</v>
      </c>
      <c r="AF30" s="253">
        <f ca="1">SUMIFS(ЭнергоРесурсы!AF$26:AF$112,ЭнергоРесурсы!$F$26:$F$112,$F30,ЭнергоРесурсы!$G$26:$G$112,$G30)</f>
        <v>0</v>
      </c>
      <c r="AG30" s="253">
        <f ca="1">SUMIFS(ЭнергоРесурсы!AG$26:AG$112,ЭнергоРесурсы!$F$26:$F$112,$F30,ЭнергоРесурсы!$G$26:$G$112,$G30)</f>
        <v>0</v>
      </c>
      <c r="AH30" s="253">
        <f t="shared" ca="1" si="2"/>
        <v>0</v>
      </c>
      <c r="AI30" s="253">
        <f ca="1">SUMIFS(ЭнергоРесурсы!AH$26:AH$112,ЭнергоРесурсы!$F$26:$F$112,$F30,ЭнергоРесурсы!$G$26:$G$112,$G30)</f>
        <v>0</v>
      </c>
      <c r="AJ30" s="253">
        <f ca="1">SUMIFS(ЭнергоРесурсы!AI$26:AI$112,ЭнергоРесурсы!$F$26:$F$112,$F30,ЭнергоРесурсы!$G$26:$G$112,$G30)</f>
        <v>0</v>
      </c>
      <c r="AK30" s="253">
        <f ca="1">SUMIFS(ЭнергоРесурсы!AJ$26:AJ$112,ЭнергоРесурсы!$F$26:$F$112,$F30,ЭнергоРесурсы!$G$26:$G$112,$G30)</f>
        <v>0</v>
      </c>
      <c r="AL30" s="253">
        <f ca="1">SUMIFS(ЭнергоРесурсы!AK$26:AK$112,ЭнергоРесурсы!$F$26:$F$112,$F30,ЭнергоРесурсы!$G$26:$G$112,$G30)</f>
        <v>0</v>
      </c>
      <c r="AM30" s="253">
        <f ca="1">SUMIFS(ЭнергоРесурсы!AL$26:AL$112,ЭнергоРесурсы!$F$26:$F$112,$F30,ЭнергоРесурсы!$G$26:$G$112,$G30)</f>
        <v>0</v>
      </c>
      <c r="AN30" s="253">
        <f ca="1">SUMIFS(ЭнергоРесурсы!AM$26:AM$112,ЭнергоРесурсы!$F$26:$F$112,$F30,ЭнергоРесурсы!$G$26:$G$112,$G30)</f>
        <v>0</v>
      </c>
      <c r="AO30" s="253">
        <f ca="1">SUMIFS(ЭнергоРесурсы!AN$26:AN$112,ЭнергоРесурсы!$F$26:$F$112,$F30,ЭнергоРесурсы!$G$26:$G$112,$G30)</f>
        <v>0</v>
      </c>
      <c r="AP30" s="253">
        <f ca="1">SUMIFS(ЭнергоРесурсы!AO$26:AO$112,ЭнергоРесурсы!$F$26:$F$112,$F30,ЭнергоРесурсы!$G$26:$G$112,$G30)</f>
        <v>0</v>
      </c>
      <c r="AQ30" s="253">
        <f ca="1">SUMIFS(ЭнергоРесурсы!AP$26:AP$112,ЭнергоРесурсы!$F$26:$F$112,$F30,ЭнергоРесурсы!$G$26:$G$112,$G30)</f>
        <v>0</v>
      </c>
      <c r="AR30" s="253">
        <f ca="1">SUMIFS(ЭнергоРесурсы!AQ$26:AQ$112,ЭнергоРесурсы!$F$26:$F$112,$F30,ЭнергоРесурсы!$G$26:$G$112,$G30)</f>
        <v>0</v>
      </c>
      <c r="AS30" s="253">
        <f ca="1">SUMIFS(ЭнергоРесурсы!AR$26:AR$112,ЭнергоРесурсы!$F$26:$F$112,$F30,ЭнергоРесурсы!$G$26:$G$112,$G30)</f>
        <v>0</v>
      </c>
      <c r="AT30" s="253">
        <f ca="1">SUMIFS(ЭнергоРесурсы!AS$26:AS$112,ЭнергоРесурсы!$F$26:$F$112,$F30,ЭнергоРесурсы!$G$26:$G$112,$G30)</f>
        <v>0</v>
      </c>
      <c r="AU30" s="253">
        <f ca="1">SUMIFS(ЭнергоРесурсы!AT$26:AT$112,ЭнергоРесурсы!$F$26:$F$112,$F30,ЭнергоРесурсы!$G$26:$G$112,$G30)</f>
        <v>0</v>
      </c>
      <c r="AV30" s="253">
        <f ca="1">SUMIFS(ЭнергоРесурсы!AU$26:AU$112,ЭнергоРесурсы!$F$26:$F$112,$F30,ЭнергоРесурсы!$G$26:$G$112,$G30)</f>
        <v>0</v>
      </c>
      <c r="AW30" s="253">
        <f ca="1">SUMIFS(ЭнергоРесурсы!AV$26:AV$112,ЭнергоРесурсы!$F$26:$F$112,$F30,ЭнергоРесурсы!$G$26:$G$112,$G30)</f>
        <v>0</v>
      </c>
      <c r="AX30" s="253">
        <f ca="1">SUMIFS(ЭнергоРесурсы!AW$26:AW$112,ЭнергоРесурсы!$F$26:$F$112,$F30,ЭнергоРесурсы!$G$26:$G$112,$G30)</f>
        <v>0</v>
      </c>
      <c r="AY30" s="253">
        <f ca="1">SUMIFS(ЭнергоРесурсы!AX$26:AX$112,ЭнергоРесурсы!$F$26:$F$112,$F30,ЭнергоРесурсы!$G$26:$G$112,$G30)</f>
        <v>0</v>
      </c>
      <c r="AZ30" s="253">
        <f ca="1">SUMIFS(ЭнергоРесурсы!AY$26:AY$112,ЭнергоРесурсы!$F$26:$F$112,$F30,ЭнергоРесурсы!$G$26:$G$112,$G30)</f>
        <v>0</v>
      </c>
      <c r="BA30" s="253">
        <f ca="1">SUMIFS(ЭнергоРесурсы!AZ$26:AZ$112,ЭнергоРесурсы!$F$26:$F$112,$F30,ЭнергоРесурсы!$G$26:$G$112,$G30)</f>
        <v>0</v>
      </c>
      <c r="BB30" s="253">
        <f ca="1">SUMIFS(ЭнергоРесурсы!BA$26:BA$112,ЭнергоРесурсы!$F$26:$F$112,$F30,ЭнергоРесурсы!$G$26:$G$112,$G30)</f>
        <v>0</v>
      </c>
      <c r="BC30" s="253">
        <f ca="1">SUMIFS(ЭнергоРесурсы!BB$26:BB$112,ЭнергоРесурсы!$F$26:$F$112,$F30,ЭнергоРесурсы!$G$26:$G$112,$G30)</f>
        <v>0</v>
      </c>
      <c r="BD30" s="253">
        <f t="shared" ca="1" si="3"/>
        <v>0</v>
      </c>
      <c r="BE30" s="253">
        <f t="shared" ca="1" si="4"/>
        <v>0</v>
      </c>
      <c r="BF30" s="253">
        <f t="shared" ca="1" si="4"/>
        <v>0</v>
      </c>
      <c r="BG30" s="253">
        <f t="shared" ca="1" si="4"/>
        <v>0</v>
      </c>
      <c r="BH30" s="253">
        <f t="shared" ca="1" si="4"/>
        <v>0</v>
      </c>
      <c r="BI30" s="253">
        <f t="shared" ca="1" si="4"/>
        <v>0</v>
      </c>
      <c r="BJ30" s="253">
        <f t="shared" ca="1" si="4"/>
        <v>0</v>
      </c>
      <c r="BK30" s="253">
        <f t="shared" ca="1" si="4"/>
        <v>0</v>
      </c>
      <c r="BL30" s="253">
        <f t="shared" ca="1" si="4"/>
        <v>0</v>
      </c>
      <c r="BM30" s="253">
        <f t="shared" ca="1" si="4"/>
        <v>0</v>
      </c>
      <c r="BN30" s="25"/>
      <c r="BO30" s="25"/>
      <c r="BP30" s="25"/>
      <c r="BS30" s="992" t="s">
        <v>1413</v>
      </c>
    </row>
    <row r="31" spans="1:71" ht="16.5" hidden="1" customHeight="1" x14ac:dyDescent="0.15">
      <c r="E31" s="668">
        <v>17</v>
      </c>
      <c r="F31" s="769" cm="1">
        <f t="array" aca="1" ref="F31" ca="1">OFFSET(G31,-1,-1)</f>
        <v>0</v>
      </c>
      <c r="G31" s="140" t="s">
        <v>984</v>
      </c>
      <c r="T31" s="679" t="b" cm="1">
        <f t="array" ref="T31">T30</f>
        <v>0</v>
      </c>
      <c r="X31" s="1589"/>
      <c r="Z31" s="1589"/>
      <c r="AB31" s="232" t="s">
        <v>431</v>
      </c>
      <c r="AC31" s="619" t="s">
        <v>1004</v>
      </c>
      <c r="AD31" s="416" t="s">
        <v>1044</v>
      </c>
      <c r="AE31" s="253">
        <f ca="1">SUMIFS(ЭнергоРесурсы!AE$26:AE$112,ЭнергоРесурсы!$F$26:$F$112,$F31,ЭнергоРесурсы!$G$26:$G$112,$G31)</f>
        <v>0</v>
      </c>
      <c r="AF31" s="253">
        <f ca="1">SUMIFS(ЭнергоРесурсы!AF$26:AF$112,ЭнергоРесурсы!$F$26:$F$112,$F31,ЭнергоРесурсы!$G$26:$G$112,$G31)</f>
        <v>0</v>
      </c>
      <c r="AG31" s="253">
        <f ca="1">SUMIFS(ЭнергоРесурсы!AG$26:AG$112,ЭнергоРесурсы!$F$26:$F$112,$F31,ЭнергоРесурсы!$G$26:$G$112,$G31)</f>
        <v>0</v>
      </c>
      <c r="AH31" s="253">
        <f t="shared" ca="1" si="2"/>
        <v>0</v>
      </c>
      <c r="AI31" s="253">
        <f ca="1">SUMIFS(ЭнергоРесурсы!AH$26:AH$112,ЭнергоРесурсы!$F$26:$F$112,$F31,ЭнергоРесурсы!$G$26:$G$112,$G31)</f>
        <v>0</v>
      </c>
      <c r="AJ31" s="253">
        <f ca="1">SUMIFS(ЭнергоРесурсы!AI$26:AI$112,ЭнергоРесурсы!$F$26:$F$112,$F31,ЭнергоРесурсы!$G$26:$G$112,$G31)</f>
        <v>0</v>
      </c>
      <c r="AK31" s="253">
        <f ca="1">SUMIFS(ЭнергоРесурсы!AJ$26:AJ$112,ЭнергоРесурсы!$F$26:$F$112,$F31,ЭнергоРесурсы!$G$26:$G$112,$G31)</f>
        <v>0</v>
      </c>
      <c r="AL31" s="253">
        <f ca="1">SUMIFS(ЭнергоРесурсы!AK$26:AK$112,ЭнергоРесурсы!$F$26:$F$112,$F31,ЭнергоРесурсы!$G$26:$G$112,$G31)</f>
        <v>0</v>
      </c>
      <c r="AM31" s="253">
        <f ca="1">SUMIFS(ЭнергоРесурсы!AL$26:AL$112,ЭнергоРесурсы!$F$26:$F$112,$F31,ЭнергоРесурсы!$G$26:$G$112,$G31)</f>
        <v>0</v>
      </c>
      <c r="AN31" s="253">
        <f ca="1">SUMIFS(ЭнергоРесурсы!AM$26:AM$112,ЭнергоРесурсы!$F$26:$F$112,$F31,ЭнергоРесурсы!$G$26:$G$112,$G31)</f>
        <v>0</v>
      </c>
      <c r="AO31" s="253">
        <f ca="1">SUMIFS(ЭнергоРесурсы!AN$26:AN$112,ЭнергоРесурсы!$F$26:$F$112,$F31,ЭнергоРесурсы!$G$26:$G$112,$G31)</f>
        <v>0</v>
      </c>
      <c r="AP31" s="253">
        <f ca="1">SUMIFS(ЭнергоРесурсы!AO$26:AO$112,ЭнергоРесурсы!$F$26:$F$112,$F31,ЭнергоРесурсы!$G$26:$G$112,$G31)</f>
        <v>0</v>
      </c>
      <c r="AQ31" s="253">
        <f ca="1">SUMIFS(ЭнергоРесурсы!AP$26:AP$112,ЭнергоРесурсы!$F$26:$F$112,$F31,ЭнергоРесурсы!$G$26:$G$112,$G31)</f>
        <v>0</v>
      </c>
      <c r="AR31" s="253">
        <f ca="1">SUMIFS(ЭнергоРесурсы!AQ$26:AQ$112,ЭнергоРесурсы!$F$26:$F$112,$F31,ЭнергоРесурсы!$G$26:$G$112,$G31)</f>
        <v>0</v>
      </c>
      <c r="AS31" s="253">
        <f ca="1">SUMIFS(ЭнергоРесурсы!AR$26:AR$112,ЭнергоРесурсы!$F$26:$F$112,$F31,ЭнергоРесурсы!$G$26:$G$112,$G31)</f>
        <v>0</v>
      </c>
      <c r="AT31" s="253">
        <f ca="1">SUMIFS(ЭнергоРесурсы!AS$26:AS$112,ЭнергоРесурсы!$F$26:$F$112,$F31,ЭнергоРесурсы!$G$26:$G$112,$G31)</f>
        <v>0</v>
      </c>
      <c r="AU31" s="253">
        <f ca="1">SUMIFS(ЭнергоРесурсы!AT$26:AT$112,ЭнергоРесурсы!$F$26:$F$112,$F31,ЭнергоРесурсы!$G$26:$G$112,$G31)</f>
        <v>0</v>
      </c>
      <c r="AV31" s="253">
        <f ca="1">SUMIFS(ЭнергоРесурсы!AU$26:AU$112,ЭнергоРесурсы!$F$26:$F$112,$F31,ЭнергоРесурсы!$G$26:$G$112,$G31)</f>
        <v>0</v>
      </c>
      <c r="AW31" s="253">
        <f ca="1">SUMIFS(ЭнергоРесурсы!AV$26:AV$112,ЭнергоРесурсы!$F$26:$F$112,$F31,ЭнергоРесурсы!$G$26:$G$112,$G31)</f>
        <v>0</v>
      </c>
      <c r="AX31" s="253">
        <f ca="1">SUMIFS(ЭнергоРесурсы!AW$26:AW$112,ЭнергоРесурсы!$F$26:$F$112,$F31,ЭнергоРесурсы!$G$26:$G$112,$G31)</f>
        <v>0</v>
      </c>
      <c r="AY31" s="253">
        <f ca="1">SUMIFS(ЭнергоРесурсы!AX$26:AX$112,ЭнергоРесурсы!$F$26:$F$112,$F31,ЭнергоРесурсы!$G$26:$G$112,$G31)</f>
        <v>0</v>
      </c>
      <c r="AZ31" s="253">
        <f ca="1">SUMIFS(ЭнергоРесурсы!AY$26:AY$112,ЭнергоРесурсы!$F$26:$F$112,$F31,ЭнергоРесурсы!$G$26:$G$112,$G31)</f>
        <v>0</v>
      </c>
      <c r="BA31" s="253">
        <f ca="1">SUMIFS(ЭнергоРесурсы!AZ$26:AZ$112,ЭнергоРесурсы!$F$26:$F$112,$F31,ЭнергоРесурсы!$G$26:$G$112,$G31)</f>
        <v>0</v>
      </c>
      <c r="BB31" s="253">
        <f ca="1">SUMIFS(ЭнергоРесурсы!BA$26:BA$112,ЭнергоРесурсы!$F$26:$F$112,$F31,ЭнергоРесурсы!$G$26:$G$112,$G31)</f>
        <v>0</v>
      </c>
      <c r="BC31" s="253">
        <f ca="1">SUMIFS(ЭнергоРесурсы!BB$26:BB$112,ЭнергоРесурсы!$F$26:$F$112,$F31,ЭнергоРесурсы!$G$26:$G$112,$G31)</f>
        <v>0</v>
      </c>
      <c r="BD31" s="253">
        <f t="shared" ca="1" si="3"/>
        <v>0</v>
      </c>
      <c r="BE31" s="253">
        <f t="shared" ca="1" si="4"/>
        <v>0</v>
      </c>
      <c r="BF31" s="253">
        <f t="shared" ca="1" si="4"/>
        <v>0</v>
      </c>
      <c r="BG31" s="253">
        <f t="shared" ca="1" si="4"/>
        <v>0</v>
      </c>
      <c r="BH31" s="253">
        <f t="shared" ca="1" si="4"/>
        <v>0</v>
      </c>
      <c r="BI31" s="253">
        <f t="shared" ca="1" si="4"/>
        <v>0</v>
      </c>
      <c r="BJ31" s="253">
        <f t="shared" ca="1" si="4"/>
        <v>0</v>
      </c>
      <c r="BK31" s="253">
        <f t="shared" ca="1" si="4"/>
        <v>0</v>
      </c>
      <c r="BL31" s="253">
        <f t="shared" ca="1" si="4"/>
        <v>0</v>
      </c>
      <c r="BM31" s="253">
        <f t="shared" ca="1" si="4"/>
        <v>0</v>
      </c>
      <c r="BN31" s="25"/>
      <c r="BO31" s="25"/>
      <c r="BP31" s="25"/>
      <c r="BS31" s="992" t="s">
        <v>1414</v>
      </c>
    </row>
    <row r="32" spans="1:71" ht="16.5" hidden="1" customHeight="1" x14ac:dyDescent="0.15">
      <c r="E32" s="668">
        <v>17</v>
      </c>
      <c r="F32" s="769" cm="1">
        <f t="array" aca="1" ref="F32" ca="1">OFFSET(G32,-1,-1)</f>
        <v>0</v>
      </c>
      <c r="G32" s="140" t="s">
        <v>986</v>
      </c>
      <c r="R32" s="140" t="s">
        <v>987</v>
      </c>
      <c r="T32" s="679" t="b">
        <f>AND(T31,G27="двухставочный")</f>
        <v>0</v>
      </c>
      <c r="X32" s="1589"/>
      <c r="Z32" s="1589"/>
      <c r="AB32" s="232" t="s">
        <v>735</v>
      </c>
      <c r="AC32" s="892" t="s">
        <v>989</v>
      </c>
      <c r="AD32" s="858" t="s">
        <v>830</v>
      </c>
      <c r="AE32" s="456">
        <f ca="1">SUMIFS(ЭнергоРесурсы!AE$26:AE$112,ЭнергоРесурсы!$F$26:$F$112,$F32,ЭнергоРесурсы!$G$26:$G$112,$G32)</f>
        <v>0</v>
      </c>
      <c r="AF32" s="456">
        <f ca="1">SUMIFS(ЭнергоРесурсы!AF$26:AF$112,ЭнергоРесурсы!$F$26:$F$112,$F32,ЭнергоРесурсы!$G$26:$G$112,$G32)</f>
        <v>0</v>
      </c>
      <c r="AG32" s="456">
        <f ca="1">SUMIFS(ЭнергоРесурсы!AG$26:AG$112,ЭнергоРесурсы!$F$26:$F$112,$F32,ЭнергоРесурсы!$G$26:$G$112,$G32)</f>
        <v>0</v>
      </c>
      <c r="AH32" s="456">
        <f t="shared" ca="1" si="2"/>
        <v>0</v>
      </c>
      <c r="AI32" s="432" cm="1">
        <f t="array" ref="AI32">ЭнергоРесурсы!AH48</f>
        <v>0</v>
      </c>
      <c r="AJ32" s="432" cm="1">
        <f t="array" ref="AJ32">ЭнергоРесурсы!AI48</f>
        <v>0</v>
      </c>
      <c r="AK32" s="432" cm="1">
        <f t="array" ref="AK32">ЭнергоРесурсы!AJ48</f>
        <v>0</v>
      </c>
      <c r="AL32" s="432" cm="1">
        <f t="array" ref="AL32">ЭнергоРесурсы!AK48</f>
        <v>0</v>
      </c>
      <c r="AM32" s="432" cm="1">
        <f t="array" ref="AM32">ЭнергоРесурсы!AL48</f>
        <v>0</v>
      </c>
      <c r="AN32" s="432" cm="1">
        <f t="array" ref="AN32">ЭнергоРесурсы!AM48</f>
        <v>0</v>
      </c>
      <c r="AO32" s="432" cm="1">
        <f t="array" ref="AO32">ЭнергоРесурсы!AN48</f>
        <v>0</v>
      </c>
      <c r="AP32" s="432" cm="1">
        <f t="array" ref="AP32">ЭнергоРесурсы!AO48</f>
        <v>0</v>
      </c>
      <c r="AQ32" s="432" cm="1">
        <f t="array" ref="AQ32">ЭнергоРесурсы!AP48</f>
        <v>0</v>
      </c>
      <c r="AR32" s="432" cm="1">
        <f t="array" ref="AR32">ЭнергоРесурсы!AQ48</f>
        <v>0</v>
      </c>
      <c r="AS32" s="432" cm="1">
        <f t="array" ref="AS32">ЭнергоРесурсы!AR48</f>
        <v>0</v>
      </c>
      <c r="AT32" s="432" cm="1">
        <f t="array" ref="AT32">ЭнергоРесурсы!AS48</f>
        <v>0</v>
      </c>
      <c r="AU32" s="432" cm="1">
        <f t="array" ref="AU32">ЭнергоРесурсы!AT48</f>
        <v>0</v>
      </c>
      <c r="AV32" s="432" cm="1">
        <f t="array" ref="AV32">ЭнергоРесурсы!AU48</f>
        <v>0</v>
      </c>
      <c r="AW32" s="432" cm="1">
        <f t="array" ref="AW32">ЭнергоРесурсы!AV48</f>
        <v>0</v>
      </c>
      <c r="AX32" s="432" cm="1">
        <f t="array" ref="AX32">ЭнергоРесурсы!AW48</f>
        <v>0</v>
      </c>
      <c r="AY32" s="432" cm="1">
        <f t="array" ref="AY32">ЭнергоРесурсы!AX48</f>
        <v>0</v>
      </c>
      <c r="AZ32" s="432" cm="1">
        <f t="array" ref="AZ32">ЭнергоРесурсы!AY48</f>
        <v>0</v>
      </c>
      <c r="BA32" s="432" cm="1">
        <f t="array" ref="BA32">ЭнергоРесурсы!AZ48</f>
        <v>0</v>
      </c>
      <c r="BB32" s="432" cm="1">
        <f t="array" ref="BB32">ЭнергоРесурсы!BA48</f>
        <v>0</v>
      </c>
      <c r="BC32" s="432" cm="1">
        <f t="array" ref="BC32">ЭнергоРесурсы!BB48</f>
        <v>0</v>
      </c>
      <c r="BD32" s="253">
        <f t="shared" si="3"/>
        <v>0</v>
      </c>
      <c r="BE32" s="253">
        <f t="shared" si="4"/>
        <v>0</v>
      </c>
      <c r="BF32" s="253">
        <f t="shared" si="4"/>
        <v>0</v>
      </c>
      <c r="BG32" s="253">
        <f t="shared" si="4"/>
        <v>0</v>
      </c>
      <c r="BH32" s="253">
        <f t="shared" si="4"/>
        <v>0</v>
      </c>
      <c r="BI32" s="253">
        <f t="shared" si="4"/>
        <v>0</v>
      </c>
      <c r="BJ32" s="253">
        <f t="shared" si="4"/>
        <v>0</v>
      </c>
      <c r="BK32" s="253">
        <f t="shared" si="4"/>
        <v>0</v>
      </c>
      <c r="BL32" s="253">
        <f t="shared" si="4"/>
        <v>0</v>
      </c>
      <c r="BM32" s="253">
        <f t="shared" si="4"/>
        <v>0</v>
      </c>
      <c r="BN32" s="25"/>
      <c r="BO32" s="25"/>
      <c r="BP32" s="25"/>
      <c r="BS32" s="992" t="s">
        <v>1415</v>
      </c>
    </row>
    <row r="33" spans="1:71" ht="16.5" hidden="1" customHeight="1" x14ac:dyDescent="0.15">
      <c r="E33" s="668">
        <v>17</v>
      </c>
      <c r="F33" s="769" cm="1">
        <f t="array" aca="1" ref="F33" ca="1">OFFSET(G33,-1,-1)</f>
        <v>0</v>
      </c>
      <c r="G33" s="140" t="s">
        <v>1016</v>
      </c>
      <c r="T33" s="679" t="b" cm="1">
        <f t="array" ref="T33">T31</f>
        <v>0</v>
      </c>
      <c r="X33" s="1589"/>
      <c r="Z33" s="1589"/>
      <c r="AB33" s="477" t="s">
        <v>437</v>
      </c>
      <c r="AC33" s="835" t="s">
        <v>1017</v>
      </c>
      <c r="AD33" s="121" t="s">
        <v>1044</v>
      </c>
      <c r="AE33" s="253">
        <f ca="1">SUMIFS('ХВС, ТН'!AE$26:AE$59,'ХВС, ТН'!$F$26:$F$59,$F33,'ХВС, ТН'!$G$26:$G$59,$G33)</f>
        <v>0</v>
      </c>
      <c r="AF33" s="253">
        <f ca="1">SUMIFS('ХВС, ТН'!AF$26:AF$59,'ХВС, ТН'!$F$26:$F$59,$F33,'ХВС, ТН'!$G$26:$G$59,$G33)</f>
        <v>0</v>
      </c>
      <c r="AG33" s="253">
        <f ca="1">SUMIFS('ХВС, ТН'!AG$26:AG$59,'ХВС, ТН'!$F$26:$F$59,$F33,'ХВС, ТН'!$G$26:$G$59,$G33)</f>
        <v>0</v>
      </c>
      <c r="AH33" s="253">
        <f t="shared" ca="1" si="2"/>
        <v>0</v>
      </c>
      <c r="AI33" s="455">
        <f ca="1">SUMIFS('ХВС, ТН'!AH$26:AH$59,'ХВС, ТН'!$F$26:$F$59,$F33,'ХВС, ТН'!$G$26:$G$59,$G33)</f>
        <v>0</v>
      </c>
      <c r="AJ33" s="455">
        <f ca="1">SUMIFS('ХВС, ТН'!AI$26:AI$59,'ХВС, ТН'!$F$26:$F$59,$F33,'ХВС, ТН'!$G$26:$G$59,$G33)</f>
        <v>0</v>
      </c>
      <c r="AK33" s="455">
        <f ca="1">SUMIFS('ХВС, ТН'!AJ$26:AJ$59,'ХВС, ТН'!$F$26:$F$59,$F33,'ХВС, ТН'!$G$26:$G$59,$G33)</f>
        <v>0</v>
      </c>
      <c r="AL33" s="455">
        <f ca="1">SUMIFS('ХВС, ТН'!AK$26:AK$59,'ХВС, ТН'!$F$26:$F$59,$F33,'ХВС, ТН'!$G$26:$G$59,$G33)</f>
        <v>0</v>
      </c>
      <c r="AM33" s="455">
        <f ca="1">SUMIFS('ХВС, ТН'!AL$26:AL$59,'ХВС, ТН'!$F$26:$F$59,$F33,'ХВС, ТН'!$G$26:$G$59,$G33)</f>
        <v>0</v>
      </c>
      <c r="AN33" s="455">
        <f ca="1">SUMIFS('ХВС, ТН'!AM$26:AM$59,'ХВС, ТН'!$F$26:$F$59,$F33,'ХВС, ТН'!$G$26:$G$59,$G33)</f>
        <v>0</v>
      </c>
      <c r="AO33" s="455">
        <f ca="1">SUMIFS('ХВС, ТН'!AN$26:AN$59,'ХВС, ТН'!$F$26:$F$59,$F33,'ХВС, ТН'!$G$26:$G$59,$G33)</f>
        <v>0</v>
      </c>
      <c r="AP33" s="455">
        <f ca="1">SUMIFS('ХВС, ТН'!AO$26:AO$59,'ХВС, ТН'!$F$26:$F$59,$F33,'ХВС, ТН'!$G$26:$G$59,$G33)</f>
        <v>0</v>
      </c>
      <c r="AQ33" s="455">
        <f ca="1">SUMIFS('ХВС, ТН'!AP$26:AP$59,'ХВС, ТН'!$F$26:$F$59,$F33,'ХВС, ТН'!$G$26:$G$59,$G33)</f>
        <v>0</v>
      </c>
      <c r="AR33" s="455">
        <f ca="1">SUMIFS('ХВС, ТН'!AQ$26:AQ$59,'ХВС, ТН'!$F$26:$F$59,$F33,'ХВС, ТН'!$G$26:$G$59,$G33)</f>
        <v>0</v>
      </c>
      <c r="AS33" s="455">
        <f ca="1">SUMIFS('ХВС, ТН'!AR$26:AR$59,'ХВС, ТН'!$F$26:$F$59,$F33,'ХВС, ТН'!$G$26:$G$59,$G33)</f>
        <v>0</v>
      </c>
      <c r="AT33" s="455">
        <f ca="1">SUMIFS('ХВС, ТН'!AS$26:AS$59,'ХВС, ТН'!$F$26:$F$59,$F33,'ХВС, ТН'!$G$26:$G$59,$G33)</f>
        <v>0</v>
      </c>
      <c r="AU33" s="455">
        <f ca="1">SUMIFS('ХВС, ТН'!AT$26:AT$59,'ХВС, ТН'!$F$26:$F$59,$F33,'ХВС, ТН'!$G$26:$G$59,$G33)</f>
        <v>0</v>
      </c>
      <c r="AV33" s="455">
        <f ca="1">SUMIFS('ХВС, ТН'!AU$26:AU$59,'ХВС, ТН'!$F$26:$F$59,$F33,'ХВС, ТН'!$G$26:$G$59,$G33)</f>
        <v>0</v>
      </c>
      <c r="AW33" s="455">
        <f ca="1">SUMIFS('ХВС, ТН'!AV$26:AV$59,'ХВС, ТН'!$F$26:$F$59,$F33,'ХВС, ТН'!$G$26:$G$59,$G33)</f>
        <v>0</v>
      </c>
      <c r="AX33" s="455">
        <f ca="1">SUMIFS('ХВС, ТН'!AW$26:AW$59,'ХВС, ТН'!$F$26:$F$59,$F33,'ХВС, ТН'!$G$26:$G$59,$G33)</f>
        <v>0</v>
      </c>
      <c r="AY33" s="455">
        <f ca="1">SUMIFS('ХВС, ТН'!AX$26:AX$59,'ХВС, ТН'!$F$26:$F$59,$F33,'ХВС, ТН'!$G$26:$G$59,$G33)</f>
        <v>0</v>
      </c>
      <c r="AZ33" s="455">
        <f ca="1">SUMIFS('ХВС, ТН'!AY$26:AY$59,'ХВС, ТН'!$F$26:$F$59,$F33,'ХВС, ТН'!$G$26:$G$59,$G33)</f>
        <v>0</v>
      </c>
      <c r="BA33" s="455">
        <f ca="1">SUMIFS('ХВС, ТН'!AZ$26:AZ$59,'ХВС, ТН'!$F$26:$F$59,$F33,'ХВС, ТН'!$G$26:$G$59,$G33)</f>
        <v>0</v>
      </c>
      <c r="BB33" s="455">
        <f ca="1">SUMIFS('ХВС, ТН'!BA$26:BA$59,'ХВС, ТН'!$F$26:$F$59,$F33,'ХВС, ТН'!$G$26:$G$59,$G33)</f>
        <v>0</v>
      </c>
      <c r="BC33" s="455">
        <f ca="1">SUMIFS('ХВС, ТН'!BB$26:BB$59,'ХВС, ТН'!$F$26:$F$59,$F33,'ХВС, ТН'!$G$26:$G$59,$G33)</f>
        <v>0</v>
      </c>
      <c r="BD33" s="253">
        <f t="shared" ca="1" si="3"/>
        <v>0</v>
      </c>
      <c r="BE33" s="253">
        <f t="shared" ca="1" si="4"/>
        <v>0</v>
      </c>
      <c r="BF33" s="253">
        <f t="shared" ca="1" si="4"/>
        <v>0</v>
      </c>
      <c r="BG33" s="253">
        <f t="shared" ca="1" si="4"/>
        <v>0</v>
      </c>
      <c r="BH33" s="253">
        <f t="shared" ca="1" si="4"/>
        <v>0</v>
      </c>
      <c r="BI33" s="253">
        <f t="shared" ca="1" si="4"/>
        <v>0</v>
      </c>
      <c r="BJ33" s="253">
        <f t="shared" ca="1" si="4"/>
        <v>0</v>
      </c>
      <c r="BK33" s="253">
        <f t="shared" ca="1" si="4"/>
        <v>0</v>
      </c>
      <c r="BL33" s="253">
        <f t="shared" ca="1" si="4"/>
        <v>0</v>
      </c>
      <c r="BM33" s="253">
        <f t="shared" ca="1" si="4"/>
        <v>0</v>
      </c>
      <c r="BN33" s="25"/>
      <c r="BO33" s="25"/>
      <c r="BP33" s="25"/>
      <c r="BS33" s="992" t="s">
        <v>1416</v>
      </c>
    </row>
    <row r="34" spans="1:71" ht="16.5" hidden="1" customHeight="1" x14ac:dyDescent="0.15">
      <c r="E34" s="668">
        <v>17</v>
      </c>
      <c r="F34" s="769" cm="1">
        <f t="array" aca="1" ref="F34" ca="1">OFFSET(G34,-1,-1)</f>
        <v>0</v>
      </c>
      <c r="G34" s="140" t="s">
        <v>1027</v>
      </c>
      <c r="T34" s="679" t="b" cm="1">
        <f t="array" ref="T34">T33</f>
        <v>0</v>
      </c>
      <c r="X34" s="1589"/>
      <c r="Z34" s="1589"/>
      <c r="AB34" s="477" t="s">
        <v>441</v>
      </c>
      <c r="AC34" s="835" t="s">
        <v>1028</v>
      </c>
      <c r="AD34" s="121" t="s">
        <v>1044</v>
      </c>
      <c r="AE34" s="253">
        <f ca="1">SUMIFS('ХВС, ТН'!AE$26:AE$59,'ХВС, ТН'!$F$26:$F$59,$F34,'ХВС, ТН'!$G$26:$G$59,$G34)</f>
        <v>0</v>
      </c>
      <c r="AF34" s="253">
        <f ca="1">SUMIFS('ХВС, ТН'!AF$26:AF$59,'ХВС, ТН'!$F$26:$F$59,$F34,'ХВС, ТН'!$G$26:$G$59,$G34)</f>
        <v>0</v>
      </c>
      <c r="AG34" s="253">
        <f ca="1">SUMIFS('ХВС, ТН'!AG$26:AG$59,'ХВС, ТН'!$F$26:$F$59,$F34,'ХВС, ТН'!$G$26:$G$59,$G34)</f>
        <v>0</v>
      </c>
      <c r="AH34" s="253">
        <f t="shared" ca="1" si="2"/>
        <v>0</v>
      </c>
      <c r="AI34" s="455">
        <f ca="1">SUMIFS('ХВС, ТН'!AH$26:AH$59,'ХВС, ТН'!$F$26:$F$59,$F34,'ХВС, ТН'!$G$26:$G$59,$G34)</f>
        <v>0</v>
      </c>
      <c r="AJ34" s="455">
        <f ca="1">SUMIFS('ХВС, ТН'!AI$26:AI$59,'ХВС, ТН'!$F$26:$F$59,$F34,'ХВС, ТН'!$G$26:$G$59,$G34)</f>
        <v>0</v>
      </c>
      <c r="AK34" s="455">
        <f ca="1">SUMIFS('ХВС, ТН'!AJ$26:AJ$59,'ХВС, ТН'!$F$26:$F$59,$F34,'ХВС, ТН'!$G$26:$G$59,$G34)</f>
        <v>0</v>
      </c>
      <c r="AL34" s="455">
        <f ca="1">SUMIFS('ХВС, ТН'!AK$26:AK$59,'ХВС, ТН'!$F$26:$F$59,$F34,'ХВС, ТН'!$G$26:$G$59,$G34)</f>
        <v>0</v>
      </c>
      <c r="AM34" s="455">
        <f ca="1">SUMIFS('ХВС, ТН'!AL$26:AL$59,'ХВС, ТН'!$F$26:$F$59,$F34,'ХВС, ТН'!$G$26:$G$59,$G34)</f>
        <v>0</v>
      </c>
      <c r="AN34" s="455">
        <f ca="1">SUMIFS('ХВС, ТН'!AM$26:AM$59,'ХВС, ТН'!$F$26:$F$59,$F34,'ХВС, ТН'!$G$26:$G$59,$G34)</f>
        <v>0</v>
      </c>
      <c r="AO34" s="455">
        <f ca="1">SUMIFS('ХВС, ТН'!AN$26:AN$59,'ХВС, ТН'!$F$26:$F$59,$F34,'ХВС, ТН'!$G$26:$G$59,$G34)</f>
        <v>0</v>
      </c>
      <c r="AP34" s="455">
        <f ca="1">SUMIFS('ХВС, ТН'!AO$26:AO$59,'ХВС, ТН'!$F$26:$F$59,$F34,'ХВС, ТН'!$G$26:$G$59,$G34)</f>
        <v>0</v>
      </c>
      <c r="AQ34" s="455">
        <f ca="1">SUMIFS('ХВС, ТН'!AP$26:AP$59,'ХВС, ТН'!$F$26:$F$59,$F34,'ХВС, ТН'!$G$26:$G$59,$G34)</f>
        <v>0</v>
      </c>
      <c r="AR34" s="455">
        <f ca="1">SUMIFS('ХВС, ТН'!AQ$26:AQ$59,'ХВС, ТН'!$F$26:$F$59,$F34,'ХВС, ТН'!$G$26:$G$59,$G34)</f>
        <v>0</v>
      </c>
      <c r="AS34" s="455">
        <f ca="1">SUMIFS('ХВС, ТН'!AR$26:AR$59,'ХВС, ТН'!$F$26:$F$59,$F34,'ХВС, ТН'!$G$26:$G$59,$G34)</f>
        <v>0</v>
      </c>
      <c r="AT34" s="455">
        <f ca="1">SUMIFS('ХВС, ТН'!AS$26:AS$59,'ХВС, ТН'!$F$26:$F$59,$F34,'ХВС, ТН'!$G$26:$G$59,$G34)</f>
        <v>0</v>
      </c>
      <c r="AU34" s="455">
        <f ca="1">SUMIFS('ХВС, ТН'!AT$26:AT$59,'ХВС, ТН'!$F$26:$F$59,$F34,'ХВС, ТН'!$G$26:$G$59,$G34)</f>
        <v>0</v>
      </c>
      <c r="AV34" s="455">
        <f ca="1">SUMIFS('ХВС, ТН'!AU$26:AU$59,'ХВС, ТН'!$F$26:$F$59,$F34,'ХВС, ТН'!$G$26:$G$59,$G34)</f>
        <v>0</v>
      </c>
      <c r="AW34" s="455">
        <f ca="1">SUMIFS('ХВС, ТН'!AV$26:AV$59,'ХВС, ТН'!$F$26:$F$59,$F34,'ХВС, ТН'!$G$26:$G$59,$G34)</f>
        <v>0</v>
      </c>
      <c r="AX34" s="455">
        <f ca="1">SUMIFS('ХВС, ТН'!AW$26:AW$59,'ХВС, ТН'!$F$26:$F$59,$F34,'ХВС, ТН'!$G$26:$G$59,$G34)</f>
        <v>0</v>
      </c>
      <c r="AY34" s="455">
        <f ca="1">SUMIFS('ХВС, ТН'!AX$26:AX$59,'ХВС, ТН'!$F$26:$F$59,$F34,'ХВС, ТН'!$G$26:$G$59,$G34)</f>
        <v>0</v>
      </c>
      <c r="AZ34" s="455">
        <f ca="1">SUMIFS('ХВС, ТН'!AY$26:AY$59,'ХВС, ТН'!$F$26:$F$59,$F34,'ХВС, ТН'!$G$26:$G$59,$G34)</f>
        <v>0</v>
      </c>
      <c r="BA34" s="455">
        <f ca="1">SUMIFS('ХВС, ТН'!AZ$26:AZ$59,'ХВС, ТН'!$F$26:$F$59,$F34,'ХВС, ТН'!$G$26:$G$59,$G34)</f>
        <v>0</v>
      </c>
      <c r="BB34" s="455">
        <f ca="1">SUMIFS('ХВС, ТН'!BA$26:BA$59,'ХВС, ТН'!$F$26:$F$59,$F34,'ХВС, ТН'!$G$26:$G$59,$G34)</f>
        <v>0</v>
      </c>
      <c r="BC34" s="455">
        <f ca="1">SUMIFS('ХВС, ТН'!BB$26:BB$59,'ХВС, ТН'!$F$26:$F$59,$F34,'ХВС, ТН'!$G$26:$G$59,$G34)</f>
        <v>0</v>
      </c>
      <c r="BD34" s="253">
        <f t="shared" ca="1" si="3"/>
        <v>0</v>
      </c>
      <c r="BE34" s="253">
        <f t="shared" ca="1" si="4"/>
        <v>0</v>
      </c>
      <c r="BF34" s="253">
        <f t="shared" ca="1" si="4"/>
        <v>0</v>
      </c>
      <c r="BG34" s="253">
        <f t="shared" ca="1" si="4"/>
        <v>0</v>
      </c>
      <c r="BH34" s="253">
        <f t="shared" ca="1" si="4"/>
        <v>0</v>
      </c>
      <c r="BI34" s="253">
        <f t="shared" ca="1" si="4"/>
        <v>0</v>
      </c>
      <c r="BJ34" s="253">
        <f t="shared" ca="1" si="4"/>
        <v>0</v>
      </c>
      <c r="BK34" s="253">
        <f t="shared" ca="1" si="4"/>
        <v>0</v>
      </c>
      <c r="BL34" s="253">
        <f t="shared" ca="1" si="4"/>
        <v>0</v>
      </c>
      <c r="BM34" s="253">
        <f t="shared" ca="1" si="4"/>
        <v>0</v>
      </c>
      <c r="BN34" s="25"/>
      <c r="BO34" s="25"/>
      <c r="BP34" s="25"/>
      <c r="BS34" s="992" t="s">
        <v>1417</v>
      </c>
    </row>
    <row r="35" spans="1:71" ht="16.5" hidden="1" customHeight="1" x14ac:dyDescent="0.15">
      <c r="E35" s="668">
        <v>17</v>
      </c>
      <c r="F35" s="769" cm="1">
        <f t="array" aca="1" ref="F35" ca="1">OFFSET(G35,-1,-1)</f>
        <v>0</v>
      </c>
      <c r="G35" s="140" t="s">
        <v>1418</v>
      </c>
      <c r="T35" s="679" t="b" cm="1">
        <f t="array" ref="T35">T34</f>
        <v>0</v>
      </c>
      <c r="X35" s="1589"/>
      <c r="Z35" s="1589"/>
      <c r="AB35" s="890" t="s">
        <v>445</v>
      </c>
      <c r="AC35" s="111" t="s">
        <v>1401</v>
      </c>
      <c r="AD35" s="268" t="s">
        <v>1044</v>
      </c>
      <c r="AE35" s="252">
        <f ca="1">AE29+AE30+AE31+AE33+AE34</f>
        <v>0</v>
      </c>
      <c r="AF35" s="252">
        <f ca="1">AF29+AF30+AF31+AF33+AF34</f>
        <v>0</v>
      </c>
      <c r="AG35" s="252">
        <f ca="1">AG29+AG30+AG31+AG33+AG34</f>
        <v>0</v>
      </c>
      <c r="AH35" s="252">
        <f t="shared" ca="1" si="2"/>
        <v>0</v>
      </c>
      <c r="AI35" s="891">
        <f t="shared" ref="AI35:BC35" ca="1" si="5">AI29+AI30+AI31+AI33+AI34</f>
        <v>0</v>
      </c>
      <c r="AJ35" s="552">
        <f t="shared" ca="1" si="5"/>
        <v>0</v>
      </c>
      <c r="AK35" s="552">
        <f t="shared" ca="1" si="5"/>
        <v>0</v>
      </c>
      <c r="AL35" s="552">
        <f t="shared" ca="1" si="5"/>
        <v>0</v>
      </c>
      <c r="AM35" s="552">
        <f t="shared" ca="1" si="5"/>
        <v>0</v>
      </c>
      <c r="AN35" s="552">
        <f t="shared" ca="1" si="5"/>
        <v>0</v>
      </c>
      <c r="AO35" s="552">
        <f t="shared" ca="1" si="5"/>
        <v>0</v>
      </c>
      <c r="AP35" s="552">
        <f t="shared" ca="1" si="5"/>
        <v>0</v>
      </c>
      <c r="AQ35" s="552">
        <f t="shared" ca="1" si="5"/>
        <v>0</v>
      </c>
      <c r="AR35" s="552">
        <f t="shared" ca="1" si="5"/>
        <v>0</v>
      </c>
      <c r="AS35" s="552">
        <f t="shared" ca="1" si="5"/>
        <v>0</v>
      </c>
      <c r="AT35" s="552">
        <f t="shared" ca="1" si="5"/>
        <v>0</v>
      </c>
      <c r="AU35" s="552">
        <f t="shared" ca="1" si="5"/>
        <v>0</v>
      </c>
      <c r="AV35" s="552">
        <f t="shared" ca="1" si="5"/>
        <v>0</v>
      </c>
      <c r="AW35" s="552">
        <f t="shared" ca="1" si="5"/>
        <v>0</v>
      </c>
      <c r="AX35" s="552">
        <f t="shared" ca="1" si="5"/>
        <v>0</v>
      </c>
      <c r="AY35" s="552">
        <f t="shared" ca="1" si="5"/>
        <v>0</v>
      </c>
      <c r="AZ35" s="552">
        <f t="shared" ca="1" si="5"/>
        <v>0</v>
      </c>
      <c r="BA35" s="552">
        <f t="shared" ca="1" si="5"/>
        <v>0</v>
      </c>
      <c r="BB35" s="552">
        <f t="shared" ca="1" si="5"/>
        <v>0</v>
      </c>
      <c r="BC35" s="552">
        <f t="shared" ca="1" si="5"/>
        <v>0</v>
      </c>
      <c r="BD35" s="552">
        <f t="shared" ca="1" si="3"/>
        <v>0</v>
      </c>
      <c r="BE35" s="552">
        <f t="shared" ca="1" si="4"/>
        <v>0</v>
      </c>
      <c r="BF35" s="552">
        <f t="shared" ca="1" si="4"/>
        <v>0</v>
      </c>
      <c r="BG35" s="552">
        <f t="shared" ca="1" si="4"/>
        <v>0</v>
      </c>
      <c r="BH35" s="552">
        <f t="shared" ca="1" si="4"/>
        <v>0</v>
      </c>
      <c r="BI35" s="552">
        <f t="shared" ca="1" si="4"/>
        <v>0</v>
      </c>
      <c r="BJ35" s="552">
        <f t="shared" ca="1" si="4"/>
        <v>0</v>
      </c>
      <c r="BK35" s="552">
        <f t="shared" ca="1" si="4"/>
        <v>0</v>
      </c>
      <c r="BL35" s="552">
        <f t="shared" ca="1" si="4"/>
        <v>0</v>
      </c>
      <c r="BM35" s="552">
        <f t="shared" ca="1" si="4"/>
        <v>0</v>
      </c>
      <c r="BN35" s="20"/>
      <c r="BO35" s="20"/>
      <c r="BP35" s="20"/>
      <c r="BS35" s="992" t="s">
        <v>623</v>
      </c>
    </row>
    <row r="36" spans="1:71" ht="16.5" hidden="1" customHeight="1" x14ac:dyDescent="0.15">
      <c r="E36" s="668">
        <v>17</v>
      </c>
      <c r="F36" s="769" cm="1">
        <f t="array" aca="1" ref="F36" ca="1">OFFSET(G36,-1,-1)</f>
        <v>0</v>
      </c>
      <c r="G36" s="140" t="s">
        <v>986</v>
      </c>
      <c r="R36" s="140" t="s">
        <v>987</v>
      </c>
      <c r="T36" s="679" t="b" cm="1">
        <f t="array" ref="T36">T32</f>
        <v>0</v>
      </c>
      <c r="X36" s="1589"/>
      <c r="Z36" s="1589"/>
      <c r="AB36" s="479" t="s">
        <v>1419</v>
      </c>
      <c r="AC36" s="238" t="s">
        <v>989</v>
      </c>
      <c r="AD36" s="102" t="s">
        <v>830</v>
      </c>
      <c r="AE36" s="253">
        <f ca="1">SUM(AE29,AE32)</f>
        <v>0</v>
      </c>
      <c r="AF36" s="253">
        <f ca="1">SUM(AF29,AF32)</f>
        <v>0</v>
      </c>
      <c r="AG36" s="253">
        <f ca="1">SUM(AG29,AG32)</f>
        <v>0</v>
      </c>
      <c r="AH36" s="253">
        <f t="shared" ca="1" si="2"/>
        <v>0</v>
      </c>
      <c r="AI36" s="432">
        <f t="shared" ref="AI36:BC36" ca="1" si="6">SUM(AI29,AI32)</f>
        <v>0</v>
      </c>
      <c r="AJ36" s="253">
        <f t="shared" ca="1" si="6"/>
        <v>0</v>
      </c>
      <c r="AK36" s="253">
        <f t="shared" ca="1" si="6"/>
        <v>0</v>
      </c>
      <c r="AL36" s="253">
        <f t="shared" ca="1" si="6"/>
        <v>0</v>
      </c>
      <c r="AM36" s="253">
        <f t="shared" ca="1" si="6"/>
        <v>0</v>
      </c>
      <c r="AN36" s="253">
        <f t="shared" ca="1" si="6"/>
        <v>0</v>
      </c>
      <c r="AO36" s="253">
        <f t="shared" ca="1" si="6"/>
        <v>0</v>
      </c>
      <c r="AP36" s="253">
        <f t="shared" ca="1" si="6"/>
        <v>0</v>
      </c>
      <c r="AQ36" s="253">
        <f t="shared" ca="1" si="6"/>
        <v>0</v>
      </c>
      <c r="AR36" s="253">
        <f t="shared" ca="1" si="6"/>
        <v>0</v>
      </c>
      <c r="AS36" s="253">
        <f t="shared" ca="1" si="6"/>
        <v>0</v>
      </c>
      <c r="AT36" s="253">
        <f t="shared" ca="1" si="6"/>
        <v>0</v>
      </c>
      <c r="AU36" s="253">
        <f t="shared" ca="1" si="6"/>
        <v>0</v>
      </c>
      <c r="AV36" s="253">
        <f t="shared" ca="1" si="6"/>
        <v>0</v>
      </c>
      <c r="AW36" s="253">
        <f t="shared" ca="1" si="6"/>
        <v>0</v>
      </c>
      <c r="AX36" s="253">
        <f t="shared" ca="1" si="6"/>
        <v>0</v>
      </c>
      <c r="AY36" s="253">
        <f t="shared" ca="1" si="6"/>
        <v>0</v>
      </c>
      <c r="AZ36" s="253">
        <f t="shared" ca="1" si="6"/>
        <v>0</v>
      </c>
      <c r="BA36" s="253">
        <f t="shared" ca="1" si="6"/>
        <v>0</v>
      </c>
      <c r="BB36" s="253">
        <f t="shared" ca="1" si="6"/>
        <v>0</v>
      </c>
      <c r="BC36" s="253">
        <f t="shared" ca="1" si="6"/>
        <v>0</v>
      </c>
      <c r="BD36" s="253">
        <f t="shared" ca="1" si="3"/>
        <v>0</v>
      </c>
      <c r="BE36" s="253">
        <f t="shared" ca="1" si="4"/>
        <v>0</v>
      </c>
      <c r="BF36" s="253">
        <f t="shared" ca="1" si="4"/>
        <v>0</v>
      </c>
      <c r="BG36" s="253">
        <f t="shared" ca="1" si="4"/>
        <v>0</v>
      </c>
      <c r="BH36" s="253">
        <f t="shared" ca="1" si="4"/>
        <v>0</v>
      </c>
      <c r="BI36" s="253">
        <f t="shared" ca="1" si="4"/>
        <v>0</v>
      </c>
      <c r="BJ36" s="253">
        <f t="shared" ca="1" si="4"/>
        <v>0</v>
      </c>
      <c r="BK36" s="253">
        <f t="shared" ca="1" si="4"/>
        <v>0</v>
      </c>
      <c r="BL36" s="253">
        <f t="shared" ca="1" si="4"/>
        <v>0</v>
      </c>
      <c r="BM36" s="253">
        <f t="shared" ca="1" si="4"/>
        <v>0</v>
      </c>
      <c r="BN36" s="31"/>
      <c r="BO36" s="31"/>
      <c r="BP36" s="31"/>
      <c r="BS36" s="992" t="s">
        <v>1420</v>
      </c>
    </row>
    <row r="37" spans="1:71" s="1291" customFormat="1" ht="16.5" customHeight="1" x14ac:dyDescent="0.15">
      <c r="A37" s="167"/>
      <c r="B37" s="167"/>
      <c r="C37" s="167"/>
      <c r="D37" s="167"/>
      <c r="E37" s="668">
        <v>17</v>
      </c>
      <c r="F37" s="769" t="str" cm="1">
        <f t="array" ref="F37">X37</f>
        <v>1</v>
      </c>
      <c r="G37" s="612" t="str" cm="1">
        <f t="array" ref="G37">INDEX('Общие сведения'!$AK$169:$AK$202,MATCH($F37,'Общие сведения'!$Z$169:$Z$202,0))</f>
        <v>одноставочный</v>
      </c>
      <c r="H37" s="167"/>
      <c r="I37" s="160" t="str" cm="1">
        <f t="array" ref="I37">INDEX('Общие сведения'!$AE$169:$AE$202,MATCH($F37,'Общие сведения'!$Z$169:$Z$202,0))</f>
        <v>Теплоснабжение</v>
      </c>
      <c r="J37" s="160" t="str" cm="1">
        <f t="array" ref="J37">INDEX('Общие сведения'!$AK$169:$AK$202,MATCH($F37,'Общие сведения'!$Z$169:$Z$202,0))</f>
        <v>одноставочный</v>
      </c>
      <c r="K37" s="160" cm="1">
        <f t="array" ref="K37">INDEX('Общие сведения'!$AH$169:$AH$202,MATCH($F37,'Общие сведения'!$Z$169:$Z$202,0))</f>
        <v>0</v>
      </c>
      <c r="L37" s="160" t="str" cm="1">
        <f t="array" ref="L37">INDEX('Общие сведения'!$AI$169:$AI$202,MATCH($F37,'Общие сведения'!$Z$169:$Z$202,0))</f>
        <v>вода</v>
      </c>
      <c r="M37" s="160" t="str" cm="1">
        <f t="array" ref="M37">INDEX('Общие сведения'!$AJ$169:$AJ$202,MATCH($F37,'Общие сведения'!$Z$169:$Z$202,0))</f>
        <v>Не определено</v>
      </c>
      <c r="N37" s="167"/>
      <c r="O37" s="167"/>
      <c r="P37" s="167"/>
      <c r="Q37" s="167"/>
      <c r="R37" s="167"/>
      <c r="S37" s="167"/>
      <c r="T37" s="679" t="b">
        <f>X37&gt;0</f>
        <v>1</v>
      </c>
      <c r="U37" s="167"/>
      <c r="V37" s="123" t="str" cm="1">
        <f t="array" ref="V37">'Неподконтрольные (5.3)'!$AB$47</f>
        <v>Тариф 1 (Теплоснабжение) - Тариф на тепловую энергию (мощность), поставляемую потребителям (Не определено)</v>
      </c>
      <c r="W37" s="167"/>
      <c r="X37" s="1485" t="s">
        <v>339</v>
      </c>
      <c r="Y37" s="167"/>
      <c r="Z37" s="1483"/>
      <c r="AA37" s="167"/>
      <c r="AB37" s="271" t="str" cm="1">
        <f t="array" ref="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72"/>
      <c r="BD37" s="272"/>
      <c r="BE37" s="272"/>
      <c r="BF37" s="272"/>
      <c r="BG37" s="272"/>
      <c r="BH37" s="272"/>
      <c r="BI37" s="272"/>
      <c r="BJ37" s="272"/>
      <c r="BK37" s="272"/>
      <c r="BL37" s="272"/>
      <c r="BM37" s="272"/>
      <c r="BN37" s="272"/>
      <c r="BO37" s="272"/>
      <c r="BP37" s="272"/>
      <c r="BQ37" s="167"/>
      <c r="BR37" s="167"/>
      <c r="BS37" s="992" t="str">
        <f>IF(AND(ISNUMBER(VALUE(TRIM(SUBSTITUTE(AB38,".","")))),TRIM(SUBSTITUTE(AB38,".",""))&lt;&gt;""),"P"&amp;SUBSTITUTE(AB38,".",""),"")</f>
        <v/>
      </c>
    </row>
    <row r="38" spans="1:71" s="1291" customFormat="1" ht="16.5" customHeight="1" x14ac:dyDescent="0.15">
      <c r="A38" s="167"/>
      <c r="B38" s="167"/>
      <c r="C38" s="167"/>
      <c r="D38" s="167"/>
      <c r="E38" s="668">
        <v>17</v>
      </c>
      <c r="F38" s="769" t="str" cm="1">
        <f t="array" aca="1" ref="F38" ca="1">OFFSET(G38,-1,-1)</f>
        <v>1</v>
      </c>
      <c r="G38" s="167"/>
      <c r="H38" s="167"/>
      <c r="I38" s="167"/>
      <c r="J38" s="167"/>
      <c r="K38" s="177" t="str">
        <f ca="1">F38&amp;"komm"</f>
        <v>1komm</v>
      </c>
      <c r="L38" s="176" cm="1">
        <f t="array" ref="L38">BO38</f>
        <v>0</v>
      </c>
      <c r="M38" s="167"/>
      <c r="N38" s="167"/>
      <c r="O38" s="167"/>
      <c r="P38" s="167"/>
      <c r="Q38" s="167"/>
      <c r="R38" s="167"/>
      <c r="S38" s="167"/>
      <c r="T38" s="679" t="b" cm="1">
        <f t="array" ref="T38">T37</f>
        <v>1</v>
      </c>
      <c r="U38" s="167"/>
      <c r="V38" s="167"/>
      <c r="W38" s="167"/>
      <c r="X38" s="1483"/>
      <c r="Y38" s="167"/>
      <c r="Z38" s="1483"/>
      <c r="AA38" s="167"/>
      <c r="AB38" s="1582" t="s">
        <v>1409</v>
      </c>
      <c r="AC38" s="1583"/>
      <c r="AD38" s="249" t="s">
        <v>830</v>
      </c>
      <c r="AE38" s="252" cm="1">
        <f t="array" aca="1" ref="AE38" ca="1">AE45</f>
        <v>58879.932110260001</v>
      </c>
      <c r="AF38" s="252" cm="1">
        <f t="array" aca="1" ref="AF38" ca="1">AF45</f>
        <v>56882.001999999993</v>
      </c>
      <c r="AG38" s="252" cm="1">
        <f t="array" aca="1" ref="AG38" ca="1">AG45</f>
        <v>56554.617999999995</v>
      </c>
      <c r="AH38" s="252" cm="1">
        <f t="array" aca="1" ref="AH38" ca="1">AH45</f>
        <v>-327.3839999999982</v>
      </c>
      <c r="AI38" s="252" cm="1">
        <f t="array" aca="1" ref="AI38" ca="1">AI45</f>
        <v>66685.946888916587</v>
      </c>
      <c r="AJ38" s="252" cm="1">
        <f t="array" aca="1" ref="AJ38" ca="1">AJ45</f>
        <v>84274.265880262057</v>
      </c>
      <c r="AK38" s="252" cm="1">
        <f t="array" aca="1" ref="AK38" ca="1">AK45</f>
        <v>0</v>
      </c>
      <c r="AL38" s="252" cm="1">
        <f t="array" aca="1" ref="AL38" ca="1">AL45</f>
        <v>0</v>
      </c>
      <c r="AM38" s="252" cm="1">
        <f t="array" aca="1" ref="AM38" ca="1">AM45</f>
        <v>0</v>
      </c>
      <c r="AN38" s="252" cm="1">
        <f t="array" aca="1" ref="AN38" ca="1">AN45</f>
        <v>0</v>
      </c>
      <c r="AO38" s="252" cm="1">
        <f t="array" aca="1" ref="AO38" ca="1">AO45</f>
        <v>0</v>
      </c>
      <c r="AP38" s="252" cm="1">
        <f t="array" aca="1" ref="AP38" ca="1">AP45</f>
        <v>0</v>
      </c>
      <c r="AQ38" s="252" cm="1">
        <f t="array" aca="1" ref="AQ38" ca="1">AQ45</f>
        <v>0</v>
      </c>
      <c r="AR38" s="252" cm="1">
        <f t="array" aca="1" ref="AR38" ca="1">AR45</f>
        <v>0</v>
      </c>
      <c r="AS38" s="252" cm="1">
        <f t="array" aca="1" ref="AS38" ca="1">AS45</f>
        <v>0</v>
      </c>
      <c r="AT38" s="252" cm="1">
        <f t="array" aca="1" ref="AT38" ca="1">AT45</f>
        <v>78831.752546436517</v>
      </c>
      <c r="AU38" s="252" cm="1">
        <f t="array" aca="1" ref="AU38" ca="1">AU45</f>
        <v>0</v>
      </c>
      <c r="AV38" s="252" cm="1">
        <f t="array" aca="1" ref="AV38" ca="1">AV45</f>
        <v>0</v>
      </c>
      <c r="AW38" s="252" cm="1">
        <f t="array" aca="1" ref="AW38" ca="1">AW45</f>
        <v>0</v>
      </c>
      <c r="AX38" s="252" cm="1">
        <f t="array" aca="1" ref="AX38" ca="1">AX45</f>
        <v>0</v>
      </c>
      <c r="AY38" s="252" cm="1">
        <f t="array" aca="1" ref="AY38" ca="1">AY45</f>
        <v>0</v>
      </c>
      <c r="AZ38" s="252" cm="1">
        <f t="array" aca="1" ref="AZ38" ca="1">AZ45</f>
        <v>0</v>
      </c>
      <c r="BA38" s="252" cm="1">
        <f t="array" aca="1" ref="BA38" ca="1">BA45</f>
        <v>0</v>
      </c>
      <c r="BB38" s="252" cm="1">
        <f t="array" aca="1" ref="BB38" ca="1">BB45</f>
        <v>0</v>
      </c>
      <c r="BC38" s="252" cm="1">
        <f t="array" aca="1" ref="BC38" ca="1">BC45</f>
        <v>0</v>
      </c>
      <c r="BD38" s="252" cm="1">
        <f t="array" aca="1" ref="BD38" ca="1">BD45</f>
        <v>18.213441098395201</v>
      </c>
      <c r="BE38" s="252" cm="1">
        <f t="array" aca="1" ref="BE38" ca="1">BE45</f>
        <v>-100</v>
      </c>
      <c r="BF38" s="252" cm="1">
        <f t="array" aca="1" ref="BF38" ca="1">BF45</f>
        <v>0</v>
      </c>
      <c r="BG38" s="252" cm="1">
        <f t="array" aca="1" ref="BG38" ca="1">BG45</f>
        <v>0</v>
      </c>
      <c r="BH38" s="252" cm="1">
        <f t="array" aca="1" ref="BH38" ca="1">BH45</f>
        <v>0</v>
      </c>
      <c r="BI38" s="252" cm="1">
        <f t="array" aca="1" ref="BI38" ca="1">BI45</f>
        <v>0</v>
      </c>
      <c r="BJ38" s="252" cm="1">
        <f t="array" aca="1" ref="BJ38" ca="1">BJ45</f>
        <v>0</v>
      </c>
      <c r="BK38" s="252" cm="1">
        <f t="array" aca="1" ref="BK38" ca="1">BK45</f>
        <v>0</v>
      </c>
      <c r="BL38" s="252" cm="1">
        <f t="array" aca="1" ref="BL38" ca="1">BL45</f>
        <v>0</v>
      </c>
      <c r="BM38" s="252" cm="1">
        <f t="array" aca="1" ref="BM38" ca="1">BM45</f>
        <v>0</v>
      </c>
      <c r="BN38" s="1231"/>
      <c r="BO38" s="1231"/>
      <c r="BP38" s="1231"/>
      <c r="BQ38" s="167"/>
      <c r="BR38" s="167"/>
      <c r="BS38" s="992" t="s">
        <v>1410</v>
      </c>
    </row>
    <row r="39" spans="1:71" s="1167" customFormat="1" ht="16.5" customHeight="1" x14ac:dyDescent="0.15">
      <c r="A39" s="175"/>
      <c r="B39" s="773"/>
      <c r="C39" s="175"/>
      <c r="D39" s="175"/>
      <c r="E39" s="668">
        <v>17</v>
      </c>
      <c r="F39" s="769" t="str" cm="1">
        <f t="array" aca="1" ref="F39" ca="1">OFFSET(G39,-1,-1)</f>
        <v>1</v>
      </c>
      <c r="G39" s="140" t="s">
        <v>1411</v>
      </c>
      <c r="H39" s="177"/>
      <c r="I39" s="177"/>
      <c r="J39" s="177"/>
      <c r="K39" s="177"/>
      <c r="L39" s="177"/>
      <c r="M39" s="177"/>
      <c r="N39" s="177"/>
      <c r="O39" s="177"/>
      <c r="P39" s="177"/>
      <c r="Q39" s="140"/>
      <c r="R39" s="140"/>
      <c r="S39" s="177"/>
      <c r="T39" s="679" t="b" cm="1">
        <f t="array" ref="T39">T38</f>
        <v>1</v>
      </c>
      <c r="U39" s="175"/>
      <c r="V39" s="175"/>
      <c r="W39" s="175"/>
      <c r="X39" s="1589"/>
      <c r="Y39" s="175"/>
      <c r="Z39" s="1589"/>
      <c r="AA39" s="177"/>
      <c r="AB39" s="404" t="s">
        <v>339</v>
      </c>
      <c r="AC39" s="620" t="s">
        <v>1412</v>
      </c>
      <c r="AD39" s="411" t="s">
        <v>1044</v>
      </c>
      <c r="AE39" s="253">
        <f ca="1">SUMIFS('Топливо 4.4'!AH$27:AH$275,'Топливо 4.4'!$F$27:$F$275,$F39,'Топливо 4.4'!$G$27:$G$275,$G39)</f>
        <v>42676.951000000001</v>
      </c>
      <c r="AF39" s="253">
        <f ca="1">SUMIFS('Топливо 4.4'!AI$27:AI$275,'Топливо 4.4'!$F$27:$F$275,$F39,'Топливо 4.4'!$G$27:$G$275,$G39)</f>
        <v>42513.225999999995</v>
      </c>
      <c r="AG39" s="253">
        <f ca="1">SUMIFS('Топливо 4.4'!AJ$27:AJ$275,'Топливо 4.4'!$F$27:$F$275,$F39,'Топливо 4.4'!$G$27:$G$275,$G39)</f>
        <v>42513.227999999996</v>
      </c>
      <c r="AH39" s="253">
        <f t="shared" ref="AH39:AH46" ca="1" si="7">AG39-AF39</f>
        <v>2.0000000004074536E-3</v>
      </c>
      <c r="AI39" s="253">
        <f ca="1">SUMIFS('Топливо 4.4'!AK$27:AK$275,'Топливо 4.4'!$F$27:$F$275,$F39,'Топливо 4.4'!$G$27:$G$275,$G39)</f>
        <v>49203.479999999996</v>
      </c>
      <c r="AJ39" s="253">
        <f ca="1">SUMIFS('Топливо 4.4'!AL$27:AL$275,'Топливо 4.4'!$F$27:$F$275,$F39,'Топливо 4.4'!$G$27:$G$275,$G39)</f>
        <v>63706.505880262062</v>
      </c>
      <c r="AK39" s="253">
        <f ca="1">SUMIFS('Топливо 4.4'!AO$27:AO$275,'Топливо 4.4'!$F$27:$F$275,$F39,'Топливо 4.4'!$G$27:$G$275,$G39)</f>
        <v>0</v>
      </c>
      <c r="AL39" s="253">
        <f ca="1">SUMIFS('Топливо 4.4'!AR$27:AR$275,'Топливо 4.4'!$F$27:$F$275,$F39,'Топливо 4.4'!$G$27:$G$275,$G39)</f>
        <v>0</v>
      </c>
      <c r="AM39" s="253">
        <f ca="1">SUMIFS('Топливо 4.4'!AU$27:AU$275,'Топливо 4.4'!$F$27:$F$275,$F39,'Топливо 4.4'!$G$27:$G$275,$G39)</f>
        <v>0</v>
      </c>
      <c r="AN39" s="253">
        <f ca="1">SUMIFS('Топливо 4.4'!AX$27:AX$275,'Топливо 4.4'!$F$27:$F$275,$F39,'Топливо 4.4'!$G$27:$G$275,$G39)</f>
        <v>0</v>
      </c>
      <c r="AO39" s="253">
        <f ca="1">SUMIFS('Топливо 4.4'!BA$27:BA$275,'Топливо 4.4'!$F$27:$F$275,$F39,'Топливо 4.4'!$G$27:$G$275,$G39)</f>
        <v>0</v>
      </c>
      <c r="AP39" s="253">
        <f ca="1">SUMIFS('Топливо 4.4'!BD$27:BD$275,'Топливо 4.4'!$F$27:$F$275,$F39,'Топливо 4.4'!$G$27:$G$275,$G39)</f>
        <v>0</v>
      </c>
      <c r="AQ39" s="253">
        <f ca="1">SUMIFS('Топливо 4.4'!BG$27:BG$275,'Топливо 4.4'!$F$27:$F$275,$F39,'Топливо 4.4'!$G$27:$G$275,$G39)</f>
        <v>0</v>
      </c>
      <c r="AR39" s="253">
        <f ca="1">SUMIFS('Топливо 4.4'!BJ$27:BJ$275,'Топливо 4.4'!$F$27:$F$275,$F39,'Топливо 4.4'!$G$27:$G$275,$G39)</f>
        <v>0</v>
      </c>
      <c r="AS39" s="253">
        <f ca="1">SUMIFS('Топливо 4.4'!BM$27:BM$275,'Топливо 4.4'!$F$27:$F$275,$F39,'Топливо 4.4'!$G$27:$G$275,$G39)</f>
        <v>0</v>
      </c>
      <c r="AT39" s="253">
        <f ca="1">SUMIFS('Топливо 4.4'!BP$27:BP$275,'Топливо 4.4'!$F$27:$F$275,$F39,'Топливо 4.4'!$G$27:$G$275,$G39)</f>
        <v>59960.620675622908</v>
      </c>
      <c r="AU39" s="253">
        <f ca="1">SUMIFS('Топливо 4.4'!BS$27:BS$275,'Топливо 4.4'!$F$27:$F$275,$F39,'Топливо 4.4'!$G$27:$G$275,$G39)</f>
        <v>0</v>
      </c>
      <c r="AV39" s="253">
        <f ca="1">SUMIFS('Топливо 4.4'!BV$27:BV$275,'Топливо 4.4'!$F$27:$F$275,$F39,'Топливо 4.4'!$G$27:$G$275,$G39)</f>
        <v>0</v>
      </c>
      <c r="AW39" s="253">
        <f ca="1">SUMIFS('Топливо 4.4'!BY$27:BY$275,'Топливо 4.4'!$F$27:$F$275,$F39,'Топливо 4.4'!$G$27:$G$275,$G39)</f>
        <v>0</v>
      </c>
      <c r="AX39" s="253">
        <f ca="1">SUMIFS('Топливо 4.4'!CB$27:CB$275,'Топливо 4.4'!$F$27:$F$275,$F39,'Топливо 4.4'!$G$27:$G$275,$G39)</f>
        <v>0</v>
      </c>
      <c r="AY39" s="253">
        <f ca="1">SUMIFS('Топливо 4.4'!CE$27:CE$275,'Топливо 4.4'!$F$27:$F$275,$F39,'Топливо 4.4'!$G$27:$G$275,$G39)</f>
        <v>0</v>
      </c>
      <c r="AZ39" s="253">
        <f ca="1">SUMIFS('Топливо 4.4'!CH$27:CH$275,'Топливо 4.4'!$F$27:$F$275,$F39,'Топливо 4.4'!$G$27:$G$275,$G39)</f>
        <v>0</v>
      </c>
      <c r="BA39" s="253">
        <f ca="1">SUMIFS('Топливо 4.4'!CK$27:CK$275,'Топливо 4.4'!$F$27:$F$275,$F39,'Топливо 4.4'!$G$27:$G$275,$G39)</f>
        <v>0</v>
      </c>
      <c r="BB39" s="253">
        <f ca="1">SUMIFS('Топливо 4.4'!CN$27:CN$275,'Топливо 4.4'!$F$27:$F$275,$F39,'Топливо 4.4'!$G$27:$G$275,$G39)</f>
        <v>0</v>
      </c>
      <c r="BC39" s="253">
        <f ca="1">SUMIFS('Топливо 4.4'!CQ$27:CQ$275,'Топливо 4.4'!$F$27:$F$275,$F39,'Топливо 4.4'!$G$27:$G$275,$G39)</f>
        <v>0</v>
      </c>
      <c r="BD39" s="253">
        <f t="shared" ref="BD39:BD46" ca="1" si="8">IF(AI39=0,0,(AT39-AI39)/AI39*100)</f>
        <v>21.862560688030424</v>
      </c>
      <c r="BE39" s="253">
        <f t="shared" ref="BE39:BM46" ca="1" si="9">IF(AT39=0,0,(AU39-AT39)/AT39*100)</f>
        <v>-100</v>
      </c>
      <c r="BF39" s="253">
        <f t="shared" ca="1" si="9"/>
        <v>0</v>
      </c>
      <c r="BG39" s="253">
        <f t="shared" ca="1" si="9"/>
        <v>0</v>
      </c>
      <c r="BH39" s="253">
        <f t="shared" ca="1" si="9"/>
        <v>0</v>
      </c>
      <c r="BI39" s="253">
        <f t="shared" ca="1" si="9"/>
        <v>0</v>
      </c>
      <c r="BJ39" s="253">
        <f t="shared" ca="1" si="9"/>
        <v>0</v>
      </c>
      <c r="BK39" s="253">
        <f t="shared" ca="1" si="9"/>
        <v>0</v>
      </c>
      <c r="BL39" s="253">
        <f t="shared" ca="1" si="9"/>
        <v>0</v>
      </c>
      <c r="BM39" s="253">
        <f t="shared" ca="1" si="9"/>
        <v>0</v>
      </c>
      <c r="BN39" s="1231"/>
      <c r="BO39" s="1231"/>
      <c r="BP39" s="1231"/>
      <c r="BQ39" s="177"/>
      <c r="BR39" s="177"/>
      <c r="BS39" s="992" t="s">
        <v>1406</v>
      </c>
    </row>
    <row r="40" spans="1:71" s="1167" customFormat="1" ht="16.5" customHeight="1" x14ac:dyDescent="0.15">
      <c r="A40" s="175"/>
      <c r="B40" s="773"/>
      <c r="C40" s="175"/>
      <c r="D40" s="175"/>
      <c r="E40" s="668">
        <v>17</v>
      </c>
      <c r="F40" s="769" t="str" cm="1">
        <f t="array" aca="1" ref="F40" ca="1">OFFSET(G40,-1,-1)</f>
        <v>1</v>
      </c>
      <c r="G40" s="140" t="s">
        <v>949</v>
      </c>
      <c r="H40" s="177"/>
      <c r="I40" s="177"/>
      <c r="J40" s="177"/>
      <c r="K40" s="177"/>
      <c r="L40" s="177"/>
      <c r="M40" s="177"/>
      <c r="N40" s="177"/>
      <c r="O40" s="177"/>
      <c r="P40" s="177"/>
      <c r="Q40" s="140"/>
      <c r="R40" s="140"/>
      <c r="S40" s="177"/>
      <c r="T40" s="679" t="b" cm="1">
        <f t="array" ref="T40">T39</f>
        <v>1</v>
      </c>
      <c r="U40" s="175"/>
      <c r="V40" s="175"/>
      <c r="W40" s="175"/>
      <c r="X40" s="1589"/>
      <c r="Y40" s="175"/>
      <c r="Z40" s="1589"/>
      <c r="AA40" s="177"/>
      <c r="AB40" s="430" t="s">
        <v>426</v>
      </c>
      <c r="AC40" s="618" t="s">
        <v>951</v>
      </c>
      <c r="AD40" s="416" t="s">
        <v>1044</v>
      </c>
      <c r="AE40" s="253">
        <f ca="1">SUMIFS(ЭнергоРесурсы!AE$26:AE$112,ЭнергоРесурсы!$F$26:$F$112,$F40,ЭнергоРесурсы!$G$26:$G$112,$G40)</f>
        <v>14221.181011043998</v>
      </c>
      <c r="AF40" s="253">
        <f ca="1">SUMIFS(ЭнергоРесурсы!AF$26:AF$112,ЭнергоРесурсы!$F$26:$F$112,$F40,ЭнергоРесурсы!$G$26:$G$112,$G40)</f>
        <v>13493.036</v>
      </c>
      <c r="AG40" s="253">
        <f ca="1">SUMIFS(ЭнергоРесурсы!AG$26:AG$112,ЭнергоРесурсы!$F$26:$F$112,$F40,ЭнергоРесурсы!$G$26:$G$112,$G40)</f>
        <v>13165.65</v>
      </c>
      <c r="AH40" s="253">
        <f t="shared" ca="1" si="7"/>
        <v>-327.38600000000042</v>
      </c>
      <c r="AI40" s="253">
        <f ca="1">SUMIFS(ЭнергоРесурсы!AH$26:AH$112,ЭнергоРесурсы!$F$26:$F$112,$F40,ЭнергоРесурсы!$G$26:$G$112,$G40)</f>
        <v>15270.465071049999</v>
      </c>
      <c r="AJ40" s="253">
        <f ca="1">SUMIFS(ЭнергоРесурсы!AI$26:AI$112,ЭнергоРесурсы!$F$26:$F$112,$F40,ЭнергоРесурсы!$G$26:$G$112,$G40)</f>
        <v>17989.060000000001</v>
      </c>
      <c r="AK40" s="253">
        <f ca="1">SUMIFS(ЭнергоРесурсы!AJ$26:AJ$112,ЭнергоРесурсы!$F$26:$F$112,$F40,ЭнергоРесурсы!$G$26:$G$112,$G40)</f>
        <v>0</v>
      </c>
      <c r="AL40" s="253">
        <f ca="1">SUMIFS(ЭнергоРесурсы!AK$26:AK$112,ЭнергоРесурсы!$F$26:$F$112,$F40,ЭнергоРесурсы!$G$26:$G$112,$G40)</f>
        <v>0</v>
      </c>
      <c r="AM40" s="253">
        <f ca="1">SUMIFS(ЭнергоРесурсы!AL$26:AL$112,ЭнергоРесурсы!$F$26:$F$112,$F40,ЭнергоРесурсы!$G$26:$G$112,$G40)</f>
        <v>0</v>
      </c>
      <c r="AN40" s="253">
        <f ca="1">SUMIFS(ЭнергоРесурсы!AM$26:AM$112,ЭнергоРесурсы!$F$26:$F$112,$F40,ЭнергоРесурсы!$G$26:$G$112,$G40)</f>
        <v>0</v>
      </c>
      <c r="AO40" s="253">
        <f ca="1">SUMIFS(ЭнергоРесурсы!AN$26:AN$112,ЭнергоРесурсы!$F$26:$F$112,$F40,ЭнергоРесурсы!$G$26:$G$112,$G40)</f>
        <v>0</v>
      </c>
      <c r="AP40" s="253">
        <f ca="1">SUMIFS(ЭнергоРесурсы!AO$26:AO$112,ЭнергоРесурсы!$F$26:$F$112,$F40,ЭнергоРесурсы!$G$26:$G$112,$G40)</f>
        <v>0</v>
      </c>
      <c r="AQ40" s="253">
        <f ca="1">SUMIFS(ЭнергоРесурсы!AP$26:AP$112,ЭнергоРесурсы!$F$26:$F$112,$F40,ЭнергоРесурсы!$G$26:$G$112,$G40)</f>
        <v>0</v>
      </c>
      <c r="AR40" s="253">
        <f ca="1">SUMIFS(ЭнергоРесурсы!AQ$26:AQ$112,ЭнергоРесурсы!$F$26:$F$112,$F40,ЭнергоРесурсы!$G$26:$G$112,$G40)</f>
        <v>0</v>
      </c>
      <c r="AS40" s="253">
        <f ca="1">SUMIFS(ЭнергоРесурсы!AR$26:AR$112,ЭнергоРесурсы!$F$26:$F$112,$F40,ЭнергоРесурсы!$G$26:$G$112,$G40)</f>
        <v>0</v>
      </c>
      <c r="AT40" s="253">
        <f ca="1">SUMIFS(ЭнергоРесурсы!AS$26:AS$112,ЭнергоРесурсы!$F$26:$F$112,$F40,ЭнергоРесурсы!$G$26:$G$112,$G40)</f>
        <v>16686.6852702</v>
      </c>
      <c r="AU40" s="253">
        <f ca="1">SUMIFS(ЭнергоРесурсы!AT$26:AT$112,ЭнергоРесурсы!$F$26:$F$112,$F40,ЭнергоРесурсы!$G$26:$G$112,$G40)</f>
        <v>0</v>
      </c>
      <c r="AV40" s="253">
        <f ca="1">SUMIFS(ЭнергоРесурсы!AU$26:AU$112,ЭнергоРесурсы!$F$26:$F$112,$F40,ЭнергоРесурсы!$G$26:$G$112,$G40)</f>
        <v>0</v>
      </c>
      <c r="AW40" s="253">
        <f ca="1">SUMIFS(ЭнергоРесурсы!AV$26:AV$112,ЭнергоРесурсы!$F$26:$F$112,$F40,ЭнергоРесурсы!$G$26:$G$112,$G40)</f>
        <v>0</v>
      </c>
      <c r="AX40" s="253">
        <f ca="1">SUMIFS(ЭнергоРесурсы!AW$26:AW$112,ЭнергоРесурсы!$F$26:$F$112,$F40,ЭнергоРесурсы!$G$26:$G$112,$G40)</f>
        <v>0</v>
      </c>
      <c r="AY40" s="253">
        <f ca="1">SUMIFS(ЭнергоРесурсы!AX$26:AX$112,ЭнергоРесурсы!$F$26:$F$112,$F40,ЭнергоРесурсы!$G$26:$G$112,$G40)</f>
        <v>0</v>
      </c>
      <c r="AZ40" s="253">
        <f ca="1">SUMIFS(ЭнергоРесурсы!AY$26:AY$112,ЭнергоРесурсы!$F$26:$F$112,$F40,ЭнергоРесурсы!$G$26:$G$112,$G40)</f>
        <v>0</v>
      </c>
      <c r="BA40" s="253">
        <f ca="1">SUMIFS(ЭнергоРесурсы!AZ$26:AZ$112,ЭнергоРесурсы!$F$26:$F$112,$F40,ЭнергоРесурсы!$G$26:$G$112,$G40)</f>
        <v>0</v>
      </c>
      <c r="BB40" s="253">
        <f ca="1">SUMIFS(ЭнергоРесурсы!BA$26:BA$112,ЭнергоРесурсы!$F$26:$F$112,$F40,ЭнергоРесурсы!$G$26:$G$112,$G40)</f>
        <v>0</v>
      </c>
      <c r="BC40" s="253">
        <f ca="1">SUMIFS(ЭнергоРесурсы!BB$26:BB$112,ЭнергоРесурсы!$F$26:$F$112,$F40,ЭнергоРесурсы!$G$26:$G$112,$G40)</f>
        <v>0</v>
      </c>
      <c r="BD40" s="253">
        <f t="shared" ca="1" si="8"/>
        <v>9.2742440558336003</v>
      </c>
      <c r="BE40" s="253">
        <f t="shared" ca="1" si="9"/>
        <v>-100</v>
      </c>
      <c r="BF40" s="253">
        <f t="shared" ca="1" si="9"/>
        <v>0</v>
      </c>
      <c r="BG40" s="253">
        <f t="shared" ca="1" si="9"/>
        <v>0</v>
      </c>
      <c r="BH40" s="253">
        <f t="shared" ca="1" si="9"/>
        <v>0</v>
      </c>
      <c r="BI40" s="253">
        <f t="shared" ca="1" si="9"/>
        <v>0</v>
      </c>
      <c r="BJ40" s="253">
        <f t="shared" ca="1" si="9"/>
        <v>0</v>
      </c>
      <c r="BK40" s="253">
        <f t="shared" ca="1" si="9"/>
        <v>0</v>
      </c>
      <c r="BL40" s="253">
        <f t="shared" ca="1" si="9"/>
        <v>0</v>
      </c>
      <c r="BM40" s="253">
        <f t="shared" ca="1" si="9"/>
        <v>0</v>
      </c>
      <c r="BN40" s="1231"/>
      <c r="BO40" s="1231"/>
      <c r="BP40" s="1231"/>
      <c r="BQ40" s="177"/>
      <c r="BR40" s="177"/>
      <c r="BS40" s="992" t="s">
        <v>1413</v>
      </c>
    </row>
    <row r="41" spans="1:71" s="1167" customFormat="1" ht="16.5" customHeight="1" x14ac:dyDescent="0.15">
      <c r="A41" s="175"/>
      <c r="B41" s="773"/>
      <c r="C41" s="175"/>
      <c r="D41" s="175"/>
      <c r="E41" s="668">
        <v>17</v>
      </c>
      <c r="F41" s="769" t="str" cm="1">
        <f t="array" aca="1" ref="F41" ca="1">OFFSET(G41,-1,-1)</f>
        <v>1</v>
      </c>
      <c r="G41" s="140" t="s">
        <v>984</v>
      </c>
      <c r="H41" s="177"/>
      <c r="I41" s="177"/>
      <c r="J41" s="177"/>
      <c r="K41" s="177"/>
      <c r="L41" s="177"/>
      <c r="M41" s="177"/>
      <c r="N41" s="177"/>
      <c r="O41" s="177"/>
      <c r="P41" s="177"/>
      <c r="Q41" s="140"/>
      <c r="R41" s="140"/>
      <c r="S41" s="177"/>
      <c r="T41" s="679" t="b" cm="1">
        <f t="array" ref="T41">T40</f>
        <v>1</v>
      </c>
      <c r="U41" s="175"/>
      <c r="V41" s="175"/>
      <c r="W41" s="175"/>
      <c r="X41" s="1589"/>
      <c r="Y41" s="175"/>
      <c r="Z41" s="1589"/>
      <c r="AA41" s="177"/>
      <c r="AB41" s="232" t="s">
        <v>431</v>
      </c>
      <c r="AC41" s="619" t="s">
        <v>1004</v>
      </c>
      <c r="AD41" s="416" t="s">
        <v>1044</v>
      </c>
      <c r="AE41" s="253">
        <f ca="1">SUMIFS(ЭнергоРесурсы!AE$26:AE$112,ЭнергоРесурсы!$F$26:$F$112,$F41,ЭнергоРесурсы!$G$26:$G$112,$G41)</f>
        <v>0</v>
      </c>
      <c r="AF41" s="253">
        <f ca="1">SUMIFS(ЭнергоРесурсы!AF$26:AF$112,ЭнергоРесурсы!$F$26:$F$112,$F41,ЭнергоРесурсы!$G$26:$G$112,$G41)</f>
        <v>0</v>
      </c>
      <c r="AG41" s="253">
        <f ca="1">SUMIFS(ЭнергоРесурсы!AG$26:AG$112,ЭнергоРесурсы!$F$26:$F$112,$F41,ЭнергоРесурсы!$G$26:$G$112,$G41)</f>
        <v>0</v>
      </c>
      <c r="AH41" s="253">
        <f t="shared" ca="1" si="7"/>
        <v>0</v>
      </c>
      <c r="AI41" s="253">
        <f ca="1">SUMIFS(ЭнергоРесурсы!AH$26:AH$112,ЭнергоРесурсы!$F$26:$F$112,$F41,ЭнергоРесурсы!$G$26:$G$112,$G41)</f>
        <v>0</v>
      </c>
      <c r="AJ41" s="253">
        <f ca="1">SUMIFS(ЭнергоРесурсы!AI$26:AI$112,ЭнергоРесурсы!$F$26:$F$112,$F41,ЭнергоРесурсы!$G$26:$G$112,$G41)</f>
        <v>0</v>
      </c>
      <c r="AK41" s="253">
        <f ca="1">SUMIFS(ЭнергоРесурсы!AJ$26:AJ$112,ЭнергоРесурсы!$F$26:$F$112,$F41,ЭнергоРесурсы!$G$26:$G$112,$G41)</f>
        <v>0</v>
      </c>
      <c r="AL41" s="253">
        <f ca="1">SUMIFS(ЭнергоРесурсы!AK$26:AK$112,ЭнергоРесурсы!$F$26:$F$112,$F41,ЭнергоРесурсы!$G$26:$G$112,$G41)</f>
        <v>0</v>
      </c>
      <c r="AM41" s="253">
        <f ca="1">SUMIFS(ЭнергоРесурсы!AL$26:AL$112,ЭнергоРесурсы!$F$26:$F$112,$F41,ЭнергоРесурсы!$G$26:$G$112,$G41)</f>
        <v>0</v>
      </c>
      <c r="AN41" s="253">
        <f ca="1">SUMIFS(ЭнергоРесурсы!AM$26:AM$112,ЭнергоРесурсы!$F$26:$F$112,$F41,ЭнергоРесурсы!$G$26:$G$112,$G41)</f>
        <v>0</v>
      </c>
      <c r="AO41" s="253">
        <f ca="1">SUMIFS(ЭнергоРесурсы!AN$26:AN$112,ЭнергоРесурсы!$F$26:$F$112,$F41,ЭнергоРесурсы!$G$26:$G$112,$G41)</f>
        <v>0</v>
      </c>
      <c r="AP41" s="253">
        <f ca="1">SUMIFS(ЭнергоРесурсы!AO$26:AO$112,ЭнергоРесурсы!$F$26:$F$112,$F41,ЭнергоРесурсы!$G$26:$G$112,$G41)</f>
        <v>0</v>
      </c>
      <c r="AQ41" s="253">
        <f ca="1">SUMIFS(ЭнергоРесурсы!AP$26:AP$112,ЭнергоРесурсы!$F$26:$F$112,$F41,ЭнергоРесурсы!$G$26:$G$112,$G41)</f>
        <v>0</v>
      </c>
      <c r="AR41" s="253">
        <f ca="1">SUMIFS(ЭнергоРесурсы!AQ$26:AQ$112,ЭнергоРесурсы!$F$26:$F$112,$F41,ЭнергоРесурсы!$G$26:$G$112,$G41)</f>
        <v>0</v>
      </c>
      <c r="AS41" s="253">
        <f ca="1">SUMIFS(ЭнергоРесурсы!AR$26:AR$112,ЭнергоРесурсы!$F$26:$F$112,$F41,ЭнергоРесурсы!$G$26:$G$112,$G41)</f>
        <v>0</v>
      </c>
      <c r="AT41" s="253">
        <f ca="1">SUMIFS(ЭнергоРесурсы!AS$26:AS$112,ЭнергоРесурсы!$F$26:$F$112,$F41,ЭнергоРесурсы!$G$26:$G$112,$G41)</f>
        <v>0</v>
      </c>
      <c r="AU41" s="253">
        <f ca="1">SUMIFS(ЭнергоРесурсы!AT$26:AT$112,ЭнергоРесурсы!$F$26:$F$112,$F41,ЭнергоРесурсы!$G$26:$G$112,$G41)</f>
        <v>0</v>
      </c>
      <c r="AV41" s="253">
        <f ca="1">SUMIFS(ЭнергоРесурсы!AU$26:AU$112,ЭнергоРесурсы!$F$26:$F$112,$F41,ЭнергоРесурсы!$G$26:$G$112,$G41)</f>
        <v>0</v>
      </c>
      <c r="AW41" s="253">
        <f ca="1">SUMIFS(ЭнергоРесурсы!AV$26:AV$112,ЭнергоРесурсы!$F$26:$F$112,$F41,ЭнергоРесурсы!$G$26:$G$112,$G41)</f>
        <v>0</v>
      </c>
      <c r="AX41" s="253">
        <f ca="1">SUMIFS(ЭнергоРесурсы!AW$26:AW$112,ЭнергоРесурсы!$F$26:$F$112,$F41,ЭнергоРесурсы!$G$26:$G$112,$G41)</f>
        <v>0</v>
      </c>
      <c r="AY41" s="253">
        <f ca="1">SUMIFS(ЭнергоРесурсы!AX$26:AX$112,ЭнергоРесурсы!$F$26:$F$112,$F41,ЭнергоРесурсы!$G$26:$G$112,$G41)</f>
        <v>0</v>
      </c>
      <c r="AZ41" s="253">
        <f ca="1">SUMIFS(ЭнергоРесурсы!AY$26:AY$112,ЭнергоРесурсы!$F$26:$F$112,$F41,ЭнергоРесурсы!$G$26:$G$112,$G41)</f>
        <v>0</v>
      </c>
      <c r="BA41" s="253">
        <f ca="1">SUMIFS(ЭнергоРесурсы!AZ$26:AZ$112,ЭнергоРесурсы!$F$26:$F$112,$F41,ЭнергоРесурсы!$G$26:$G$112,$G41)</f>
        <v>0</v>
      </c>
      <c r="BB41" s="253">
        <f ca="1">SUMIFS(ЭнергоРесурсы!BA$26:BA$112,ЭнергоРесурсы!$F$26:$F$112,$F41,ЭнергоРесурсы!$G$26:$G$112,$G41)</f>
        <v>0</v>
      </c>
      <c r="BC41" s="253">
        <f ca="1">SUMIFS(ЭнергоРесурсы!BB$26:BB$112,ЭнергоРесурсы!$F$26:$F$112,$F41,ЭнергоРесурсы!$G$26:$G$112,$G41)</f>
        <v>0</v>
      </c>
      <c r="BD41" s="253">
        <f t="shared" ca="1" si="8"/>
        <v>0</v>
      </c>
      <c r="BE41" s="253">
        <f t="shared" ca="1" si="9"/>
        <v>0</v>
      </c>
      <c r="BF41" s="253">
        <f t="shared" ca="1" si="9"/>
        <v>0</v>
      </c>
      <c r="BG41" s="253">
        <f t="shared" ca="1" si="9"/>
        <v>0</v>
      </c>
      <c r="BH41" s="253">
        <f t="shared" ca="1" si="9"/>
        <v>0</v>
      </c>
      <c r="BI41" s="253">
        <f t="shared" ca="1" si="9"/>
        <v>0</v>
      </c>
      <c r="BJ41" s="253">
        <f t="shared" ca="1" si="9"/>
        <v>0</v>
      </c>
      <c r="BK41" s="253">
        <f t="shared" ca="1" si="9"/>
        <v>0</v>
      </c>
      <c r="BL41" s="253">
        <f t="shared" ca="1" si="9"/>
        <v>0</v>
      </c>
      <c r="BM41" s="253">
        <f t="shared" ca="1" si="9"/>
        <v>0</v>
      </c>
      <c r="BN41" s="1231"/>
      <c r="BO41" s="1231"/>
      <c r="BP41" s="1231"/>
      <c r="BQ41" s="177"/>
      <c r="BR41" s="177"/>
      <c r="BS41" s="992" t="s">
        <v>1414</v>
      </c>
    </row>
    <row r="42" spans="1:71" s="1167" customFormat="1" ht="16.5" hidden="1" customHeight="1" x14ac:dyDescent="0.15">
      <c r="A42" s="175"/>
      <c r="B42" s="773"/>
      <c r="C42" s="175"/>
      <c r="D42" s="175"/>
      <c r="E42" s="668">
        <v>17</v>
      </c>
      <c r="F42" s="769" t="str" cm="1">
        <f t="array" aca="1" ref="F42" ca="1">OFFSET(G42,-1,-1)</f>
        <v>1</v>
      </c>
      <c r="G42" s="140" t="s">
        <v>986</v>
      </c>
      <c r="H42" s="177"/>
      <c r="I42" s="177"/>
      <c r="J42" s="177"/>
      <c r="K42" s="177"/>
      <c r="L42" s="177"/>
      <c r="M42" s="177"/>
      <c r="N42" s="177"/>
      <c r="O42" s="177"/>
      <c r="P42" s="177"/>
      <c r="Q42" s="140"/>
      <c r="R42" s="140" t="s">
        <v>987</v>
      </c>
      <c r="S42" s="177"/>
      <c r="T42" s="679" t="b">
        <f>AND(T41,G37="двухставочный")</f>
        <v>0</v>
      </c>
      <c r="U42" s="175"/>
      <c r="V42" s="175"/>
      <c r="W42" s="175"/>
      <c r="X42" s="1589"/>
      <c r="Y42" s="175"/>
      <c r="Z42" s="1589"/>
      <c r="AA42" s="177"/>
      <c r="AB42" s="232" t="s">
        <v>735</v>
      </c>
      <c r="AC42" s="892" t="s">
        <v>989</v>
      </c>
      <c r="AD42" s="858" t="s">
        <v>830</v>
      </c>
      <c r="AE42" s="456">
        <f ca="1">SUMIFS(ЭнергоРесурсы!AE$26:AE$112,ЭнергоРесурсы!$F$26:$F$112,$F42,ЭнергоРесурсы!$G$26:$G$112,$G42)</f>
        <v>0</v>
      </c>
      <c r="AF42" s="456">
        <f ca="1">SUMIFS(ЭнергоРесурсы!AF$26:AF$112,ЭнергоРесурсы!$F$26:$F$112,$F42,ЭнергоРесурсы!$G$26:$G$112,$G42)</f>
        <v>0</v>
      </c>
      <c r="AG42" s="456">
        <f ca="1">SUMIFS(ЭнергоРесурсы!AG$26:AG$112,ЭнергоРесурсы!$F$26:$F$112,$F42,ЭнергоРесурсы!$G$26:$G$112,$G42)</f>
        <v>0</v>
      </c>
      <c r="AH42" s="456">
        <f t="shared" ca="1" si="7"/>
        <v>0</v>
      </c>
      <c r="AI42" s="432" cm="1">
        <f t="array" ref="AI42">ЭнергоРесурсы!AH58</f>
        <v>0</v>
      </c>
      <c r="AJ42" s="432" cm="1">
        <f t="array" ref="AJ42">ЭнергоРесурсы!AI58</f>
        <v>0</v>
      </c>
      <c r="AK42" s="432" cm="1">
        <f t="array" ref="AK42">ЭнергоРесурсы!AJ58</f>
        <v>0</v>
      </c>
      <c r="AL42" s="432" cm="1">
        <f t="array" ref="AL42">ЭнергоРесурсы!AK58</f>
        <v>0</v>
      </c>
      <c r="AM42" s="432" cm="1">
        <f t="array" ref="AM42">ЭнергоРесурсы!AL58</f>
        <v>0</v>
      </c>
      <c r="AN42" s="432" cm="1">
        <f t="array" ref="AN42">ЭнергоРесурсы!AM58</f>
        <v>0</v>
      </c>
      <c r="AO42" s="432" cm="1">
        <f t="array" ref="AO42">ЭнергоРесурсы!AN58</f>
        <v>0</v>
      </c>
      <c r="AP42" s="432" cm="1">
        <f t="array" ref="AP42">ЭнергоРесурсы!AO58</f>
        <v>0</v>
      </c>
      <c r="AQ42" s="432" cm="1">
        <f t="array" ref="AQ42">ЭнергоРесурсы!AP58</f>
        <v>0</v>
      </c>
      <c r="AR42" s="432" cm="1">
        <f t="array" ref="AR42">ЭнергоРесурсы!AQ58</f>
        <v>0</v>
      </c>
      <c r="AS42" s="432" cm="1">
        <f t="array" ref="AS42">ЭнергоРесурсы!AR58</f>
        <v>0</v>
      </c>
      <c r="AT42" s="432" cm="1">
        <f t="array" ref="AT42">ЭнергоРесурсы!AS58</f>
        <v>0</v>
      </c>
      <c r="AU42" s="432" cm="1">
        <f t="array" ref="AU42">ЭнергоРесурсы!AT58</f>
        <v>0</v>
      </c>
      <c r="AV42" s="432" cm="1">
        <f t="array" ref="AV42">ЭнергоРесурсы!AU58</f>
        <v>0</v>
      </c>
      <c r="AW42" s="432" cm="1">
        <f t="array" ref="AW42">ЭнергоРесурсы!AV58</f>
        <v>0</v>
      </c>
      <c r="AX42" s="432" cm="1">
        <f t="array" ref="AX42">ЭнергоРесурсы!AW58</f>
        <v>0</v>
      </c>
      <c r="AY42" s="432" cm="1">
        <f t="array" ref="AY42">ЭнергоРесурсы!AX58</f>
        <v>0</v>
      </c>
      <c r="AZ42" s="432" cm="1">
        <f t="array" ref="AZ42">ЭнергоРесурсы!AY58</f>
        <v>0</v>
      </c>
      <c r="BA42" s="432" cm="1">
        <f t="array" ref="BA42">ЭнергоРесурсы!AZ58</f>
        <v>0</v>
      </c>
      <c r="BB42" s="432" cm="1">
        <f t="array" ref="BB42">ЭнергоРесурсы!BA58</f>
        <v>0</v>
      </c>
      <c r="BC42" s="432" cm="1">
        <f t="array" ref="BC42">ЭнергоРесурсы!BB58</f>
        <v>0</v>
      </c>
      <c r="BD42" s="253">
        <f t="shared" si="8"/>
        <v>0</v>
      </c>
      <c r="BE42" s="253">
        <f t="shared" si="9"/>
        <v>0</v>
      </c>
      <c r="BF42" s="253">
        <f t="shared" si="9"/>
        <v>0</v>
      </c>
      <c r="BG42" s="253">
        <f t="shared" si="9"/>
        <v>0</v>
      </c>
      <c r="BH42" s="253">
        <f t="shared" si="9"/>
        <v>0</v>
      </c>
      <c r="BI42" s="253">
        <f t="shared" si="9"/>
        <v>0</v>
      </c>
      <c r="BJ42" s="253">
        <f t="shared" si="9"/>
        <v>0</v>
      </c>
      <c r="BK42" s="253">
        <f t="shared" si="9"/>
        <v>0</v>
      </c>
      <c r="BL42" s="253">
        <f t="shared" si="9"/>
        <v>0</v>
      </c>
      <c r="BM42" s="253">
        <f t="shared" si="9"/>
        <v>0</v>
      </c>
      <c r="BN42" s="25"/>
      <c r="BO42" s="25"/>
      <c r="BP42" s="25"/>
      <c r="BQ42" s="177"/>
      <c r="BR42" s="177"/>
      <c r="BS42" s="992" t="s">
        <v>1415</v>
      </c>
    </row>
    <row r="43" spans="1:71" s="1167" customFormat="1" ht="16.5" customHeight="1" x14ac:dyDescent="0.15">
      <c r="A43" s="175"/>
      <c r="B43" s="773"/>
      <c r="C43" s="175"/>
      <c r="D43" s="175"/>
      <c r="E43" s="668">
        <v>17</v>
      </c>
      <c r="F43" s="769" t="str" cm="1">
        <f t="array" aca="1" ref="F43" ca="1">OFFSET(G43,-1,-1)</f>
        <v>1</v>
      </c>
      <c r="G43" s="140" t="s">
        <v>1016</v>
      </c>
      <c r="H43" s="177"/>
      <c r="I43" s="177"/>
      <c r="J43" s="177"/>
      <c r="K43" s="177"/>
      <c r="L43" s="177"/>
      <c r="M43" s="177"/>
      <c r="N43" s="177"/>
      <c r="O43" s="177"/>
      <c r="P43" s="177"/>
      <c r="Q43" s="140"/>
      <c r="R43" s="140"/>
      <c r="S43" s="177"/>
      <c r="T43" s="679" t="b" cm="1">
        <f t="array" ref="T43">T41</f>
        <v>1</v>
      </c>
      <c r="U43" s="175"/>
      <c r="V43" s="175"/>
      <c r="W43" s="175"/>
      <c r="X43" s="1589"/>
      <c r="Y43" s="175"/>
      <c r="Z43" s="1589"/>
      <c r="AA43" s="177"/>
      <c r="AB43" s="477" t="s">
        <v>437</v>
      </c>
      <c r="AC43" s="835" t="s">
        <v>1017</v>
      </c>
      <c r="AD43" s="121" t="s">
        <v>1044</v>
      </c>
      <c r="AE43" s="253">
        <f ca="1">SUMIFS('ХВС, ТН'!AE$26:AE$59,'ХВС, ТН'!$F$26:$F$59,$F43,'ХВС, ТН'!$G$26:$G$59,$G43)</f>
        <v>1498.554378216</v>
      </c>
      <c r="AF43" s="253">
        <f ca="1">SUMIFS('ХВС, ТН'!AF$26:AF$59,'ХВС, ТН'!$F$26:$F$59,$F43,'ХВС, ТН'!$G$26:$G$59,$G43)</f>
        <v>875.74</v>
      </c>
      <c r="AG43" s="253">
        <f ca="1">SUMIFS('ХВС, ТН'!AG$26:AG$59,'ХВС, ТН'!$F$26:$F$59,$F43,'ХВС, ТН'!$G$26:$G$59,$G43)</f>
        <v>875.74</v>
      </c>
      <c r="AH43" s="253">
        <f t="shared" ca="1" si="7"/>
        <v>0</v>
      </c>
      <c r="AI43" s="455">
        <f ca="1">SUMIFS('ХВС, ТН'!AH$26:AH$59,'ХВС, ТН'!$F$26:$F$59,$F43,'ХВС, ТН'!$G$26:$G$59,$G43)</f>
        <v>1669.9772478666</v>
      </c>
      <c r="AJ43" s="455">
        <f ca="1">SUMIFS('ХВС, ТН'!AI$26:AI$59,'ХВС, ТН'!$F$26:$F$59,$F43,'ХВС, ТН'!$G$26:$G$59,$G43)</f>
        <v>1785.14</v>
      </c>
      <c r="AK43" s="455">
        <f ca="1">SUMIFS('ХВС, ТН'!AJ$26:AJ$59,'ХВС, ТН'!$F$26:$F$59,$F43,'ХВС, ТН'!$G$26:$G$59,$G43)</f>
        <v>0</v>
      </c>
      <c r="AL43" s="455">
        <f ca="1">SUMIFS('ХВС, ТН'!AK$26:AK$59,'ХВС, ТН'!$F$26:$F$59,$F43,'ХВС, ТН'!$G$26:$G$59,$G43)</f>
        <v>0</v>
      </c>
      <c r="AM43" s="455">
        <f ca="1">SUMIFS('ХВС, ТН'!AL$26:AL$59,'ХВС, ТН'!$F$26:$F$59,$F43,'ХВС, ТН'!$G$26:$G$59,$G43)</f>
        <v>0</v>
      </c>
      <c r="AN43" s="455">
        <f ca="1">SUMIFS('ХВС, ТН'!AM$26:AM$59,'ХВС, ТН'!$F$26:$F$59,$F43,'ХВС, ТН'!$G$26:$G$59,$G43)</f>
        <v>0</v>
      </c>
      <c r="AO43" s="455">
        <f ca="1">SUMIFS('ХВС, ТН'!AN$26:AN$59,'ХВС, ТН'!$F$26:$F$59,$F43,'ХВС, ТН'!$G$26:$G$59,$G43)</f>
        <v>0</v>
      </c>
      <c r="AP43" s="455">
        <f ca="1">SUMIFS('ХВС, ТН'!AO$26:AO$59,'ХВС, ТН'!$F$26:$F$59,$F43,'ХВС, ТН'!$G$26:$G$59,$G43)</f>
        <v>0</v>
      </c>
      <c r="AQ43" s="455">
        <f ca="1">SUMIFS('ХВС, ТН'!AP$26:AP$59,'ХВС, ТН'!$F$26:$F$59,$F43,'ХВС, ТН'!$G$26:$G$59,$G43)</f>
        <v>0</v>
      </c>
      <c r="AR43" s="455">
        <f ca="1">SUMIFS('ХВС, ТН'!AQ$26:AQ$59,'ХВС, ТН'!$F$26:$F$59,$F43,'ХВС, ТН'!$G$26:$G$59,$G43)</f>
        <v>0</v>
      </c>
      <c r="AS43" s="455">
        <f ca="1">SUMIFS('ХВС, ТН'!AR$26:AR$59,'ХВС, ТН'!$F$26:$F$59,$F43,'ХВС, ТН'!$G$26:$G$59,$G43)</f>
        <v>0</v>
      </c>
      <c r="AT43" s="455">
        <f ca="1">SUMIFS('ХВС, ТН'!AS$26:AS$59,'ХВС, ТН'!$F$26:$F$59,$F43,'ХВС, ТН'!$G$26:$G$59,$G43)</f>
        <v>1633.6022497535</v>
      </c>
      <c r="AU43" s="455">
        <f ca="1">SUMIFS('ХВС, ТН'!AT$26:AT$59,'ХВС, ТН'!$F$26:$F$59,$F43,'ХВС, ТН'!$G$26:$G$59,$G43)</f>
        <v>0</v>
      </c>
      <c r="AV43" s="455">
        <f ca="1">SUMIFS('ХВС, ТН'!AU$26:AU$59,'ХВС, ТН'!$F$26:$F$59,$F43,'ХВС, ТН'!$G$26:$G$59,$G43)</f>
        <v>0</v>
      </c>
      <c r="AW43" s="455">
        <f ca="1">SUMIFS('ХВС, ТН'!AV$26:AV$59,'ХВС, ТН'!$F$26:$F$59,$F43,'ХВС, ТН'!$G$26:$G$59,$G43)</f>
        <v>0</v>
      </c>
      <c r="AX43" s="455">
        <f ca="1">SUMIFS('ХВС, ТН'!AW$26:AW$59,'ХВС, ТН'!$F$26:$F$59,$F43,'ХВС, ТН'!$G$26:$G$59,$G43)</f>
        <v>0</v>
      </c>
      <c r="AY43" s="455">
        <f ca="1">SUMIFS('ХВС, ТН'!AX$26:AX$59,'ХВС, ТН'!$F$26:$F$59,$F43,'ХВС, ТН'!$G$26:$G$59,$G43)</f>
        <v>0</v>
      </c>
      <c r="AZ43" s="455">
        <f ca="1">SUMIFS('ХВС, ТН'!AY$26:AY$59,'ХВС, ТН'!$F$26:$F$59,$F43,'ХВС, ТН'!$G$26:$G$59,$G43)</f>
        <v>0</v>
      </c>
      <c r="BA43" s="455">
        <f ca="1">SUMIFS('ХВС, ТН'!AZ$26:AZ$59,'ХВС, ТН'!$F$26:$F$59,$F43,'ХВС, ТН'!$G$26:$G$59,$G43)</f>
        <v>0</v>
      </c>
      <c r="BB43" s="455">
        <f ca="1">SUMIFS('ХВС, ТН'!BA$26:BA$59,'ХВС, ТН'!$F$26:$F$59,$F43,'ХВС, ТН'!$G$26:$G$59,$G43)</f>
        <v>0</v>
      </c>
      <c r="BC43" s="455">
        <f ca="1">SUMIFS('ХВС, ТН'!BB$26:BB$59,'ХВС, ТН'!$F$26:$F$59,$F43,'ХВС, ТН'!$G$26:$G$59,$G43)</f>
        <v>0</v>
      </c>
      <c r="BD43" s="253">
        <f t="shared" ca="1" si="8"/>
        <v>-2.1781732750891751</v>
      </c>
      <c r="BE43" s="253">
        <f t="shared" ca="1" si="9"/>
        <v>-100</v>
      </c>
      <c r="BF43" s="253">
        <f t="shared" ca="1" si="9"/>
        <v>0</v>
      </c>
      <c r="BG43" s="253">
        <f t="shared" ca="1" si="9"/>
        <v>0</v>
      </c>
      <c r="BH43" s="253">
        <f t="shared" ca="1" si="9"/>
        <v>0</v>
      </c>
      <c r="BI43" s="253">
        <f t="shared" ca="1" si="9"/>
        <v>0</v>
      </c>
      <c r="BJ43" s="253">
        <f t="shared" ca="1" si="9"/>
        <v>0</v>
      </c>
      <c r="BK43" s="253">
        <f t="shared" ca="1" si="9"/>
        <v>0</v>
      </c>
      <c r="BL43" s="253">
        <f t="shared" ca="1" si="9"/>
        <v>0</v>
      </c>
      <c r="BM43" s="253">
        <f t="shared" ca="1" si="9"/>
        <v>0</v>
      </c>
      <c r="BN43" s="1231"/>
      <c r="BO43" s="1231"/>
      <c r="BP43" s="1231"/>
      <c r="BQ43" s="177"/>
      <c r="BR43" s="177"/>
      <c r="BS43" s="992" t="s">
        <v>1416</v>
      </c>
    </row>
    <row r="44" spans="1:71" s="1167" customFormat="1" ht="16.5" customHeight="1" x14ac:dyDescent="0.15">
      <c r="A44" s="175"/>
      <c r="B44" s="773"/>
      <c r="C44" s="175"/>
      <c r="D44" s="175"/>
      <c r="E44" s="668">
        <v>17</v>
      </c>
      <c r="F44" s="769" t="str" cm="1">
        <f t="array" aca="1" ref="F44" ca="1">OFFSET(G44,-1,-1)</f>
        <v>1</v>
      </c>
      <c r="G44" s="140" t="s">
        <v>1027</v>
      </c>
      <c r="H44" s="177"/>
      <c r="I44" s="177"/>
      <c r="J44" s="177"/>
      <c r="K44" s="177"/>
      <c r="L44" s="177"/>
      <c r="M44" s="177"/>
      <c r="N44" s="177"/>
      <c r="O44" s="177"/>
      <c r="P44" s="177"/>
      <c r="Q44" s="140"/>
      <c r="R44" s="140"/>
      <c r="S44" s="177"/>
      <c r="T44" s="679" t="b" cm="1">
        <f t="array" ref="T44">T43</f>
        <v>1</v>
      </c>
      <c r="U44" s="175"/>
      <c r="V44" s="175"/>
      <c r="W44" s="175"/>
      <c r="X44" s="1589"/>
      <c r="Y44" s="175"/>
      <c r="Z44" s="1589"/>
      <c r="AA44" s="177"/>
      <c r="AB44" s="477" t="s">
        <v>441</v>
      </c>
      <c r="AC44" s="835" t="s">
        <v>1028</v>
      </c>
      <c r="AD44" s="121" t="s">
        <v>1044</v>
      </c>
      <c r="AE44" s="253">
        <f ca="1">SUMIFS('ХВС, ТН'!AE$26:AE$59,'ХВС, ТН'!$F$26:$F$59,$F44,'ХВС, ТН'!$G$26:$G$59,$G44)</f>
        <v>483.24572100000006</v>
      </c>
      <c r="AF44" s="253">
        <f ca="1">SUMIFS('ХВС, ТН'!AF$26:AF$59,'ХВС, ТН'!$F$26:$F$59,$F44,'ХВС, ТН'!$G$26:$G$59,$G44)</f>
        <v>0</v>
      </c>
      <c r="AG44" s="253">
        <f ca="1">SUMIFS('ХВС, ТН'!AG$26:AG$59,'ХВС, ТН'!$F$26:$F$59,$F44,'ХВС, ТН'!$G$26:$G$59,$G44)</f>
        <v>0</v>
      </c>
      <c r="AH44" s="253">
        <f t="shared" ca="1" si="7"/>
        <v>0</v>
      </c>
      <c r="AI44" s="455">
        <f ca="1">SUMIFS('ХВС, ТН'!AH$26:AH$59,'ХВС, ТН'!$F$26:$F$59,$F44,'ХВС, ТН'!$G$26:$G$59,$G44)</f>
        <v>542.02457000000004</v>
      </c>
      <c r="AJ44" s="455">
        <f ca="1">SUMIFS('ХВС, ТН'!AI$26:AI$59,'ХВС, ТН'!$F$26:$F$59,$F44,'ХВС, ТН'!$G$26:$G$59,$G44)</f>
        <v>793.56</v>
      </c>
      <c r="AK44" s="455">
        <f ca="1">SUMIFS('ХВС, ТН'!AJ$26:AJ$59,'ХВС, ТН'!$F$26:$F$59,$F44,'ХВС, ТН'!$G$26:$G$59,$G44)</f>
        <v>0</v>
      </c>
      <c r="AL44" s="455">
        <f ca="1">SUMIFS('ХВС, ТН'!AK$26:AK$59,'ХВС, ТН'!$F$26:$F$59,$F44,'ХВС, ТН'!$G$26:$G$59,$G44)</f>
        <v>0</v>
      </c>
      <c r="AM44" s="455">
        <f ca="1">SUMIFS('ХВС, ТН'!AL$26:AL$59,'ХВС, ТН'!$F$26:$F$59,$F44,'ХВС, ТН'!$G$26:$G$59,$G44)</f>
        <v>0</v>
      </c>
      <c r="AN44" s="455">
        <f ca="1">SUMIFS('ХВС, ТН'!AM$26:AM$59,'ХВС, ТН'!$F$26:$F$59,$F44,'ХВС, ТН'!$G$26:$G$59,$G44)</f>
        <v>0</v>
      </c>
      <c r="AO44" s="455">
        <f ca="1">SUMIFS('ХВС, ТН'!AN$26:AN$59,'ХВС, ТН'!$F$26:$F$59,$F44,'ХВС, ТН'!$G$26:$G$59,$G44)</f>
        <v>0</v>
      </c>
      <c r="AP44" s="455">
        <f ca="1">SUMIFS('ХВС, ТН'!AO$26:AO$59,'ХВС, ТН'!$F$26:$F$59,$F44,'ХВС, ТН'!$G$26:$G$59,$G44)</f>
        <v>0</v>
      </c>
      <c r="AQ44" s="455">
        <f ca="1">SUMIFS('ХВС, ТН'!AP$26:AP$59,'ХВС, ТН'!$F$26:$F$59,$F44,'ХВС, ТН'!$G$26:$G$59,$G44)</f>
        <v>0</v>
      </c>
      <c r="AR44" s="455">
        <f ca="1">SUMIFS('ХВС, ТН'!AQ$26:AQ$59,'ХВС, ТН'!$F$26:$F$59,$F44,'ХВС, ТН'!$G$26:$G$59,$G44)</f>
        <v>0</v>
      </c>
      <c r="AS44" s="455">
        <f ca="1">SUMIFS('ХВС, ТН'!AR$26:AR$59,'ХВС, ТН'!$F$26:$F$59,$F44,'ХВС, ТН'!$G$26:$G$59,$G44)</f>
        <v>0</v>
      </c>
      <c r="AT44" s="455">
        <f ca="1">SUMIFS('ХВС, ТН'!AS$26:AS$59,'ХВС, ТН'!$F$26:$F$59,$F44,'ХВС, ТН'!$G$26:$G$59,$G44)</f>
        <v>550.84435086010001</v>
      </c>
      <c r="AU44" s="455">
        <f ca="1">SUMIFS('ХВС, ТН'!AT$26:AT$59,'ХВС, ТН'!$F$26:$F$59,$F44,'ХВС, ТН'!$G$26:$G$59,$G44)</f>
        <v>0</v>
      </c>
      <c r="AV44" s="455">
        <f ca="1">SUMIFS('ХВС, ТН'!AU$26:AU$59,'ХВС, ТН'!$F$26:$F$59,$F44,'ХВС, ТН'!$G$26:$G$59,$G44)</f>
        <v>0</v>
      </c>
      <c r="AW44" s="455">
        <f ca="1">SUMIFS('ХВС, ТН'!AV$26:AV$59,'ХВС, ТН'!$F$26:$F$59,$F44,'ХВС, ТН'!$G$26:$G$59,$G44)</f>
        <v>0</v>
      </c>
      <c r="AX44" s="455">
        <f ca="1">SUMIFS('ХВС, ТН'!AW$26:AW$59,'ХВС, ТН'!$F$26:$F$59,$F44,'ХВС, ТН'!$G$26:$G$59,$G44)</f>
        <v>0</v>
      </c>
      <c r="AY44" s="455">
        <f ca="1">SUMIFS('ХВС, ТН'!AX$26:AX$59,'ХВС, ТН'!$F$26:$F$59,$F44,'ХВС, ТН'!$G$26:$G$59,$G44)</f>
        <v>0</v>
      </c>
      <c r="AZ44" s="455">
        <f ca="1">SUMIFS('ХВС, ТН'!AY$26:AY$59,'ХВС, ТН'!$F$26:$F$59,$F44,'ХВС, ТН'!$G$26:$G$59,$G44)</f>
        <v>0</v>
      </c>
      <c r="BA44" s="455">
        <f ca="1">SUMIFS('ХВС, ТН'!AZ$26:AZ$59,'ХВС, ТН'!$F$26:$F$59,$F44,'ХВС, ТН'!$G$26:$G$59,$G44)</f>
        <v>0</v>
      </c>
      <c r="BB44" s="455">
        <f ca="1">SUMIFS('ХВС, ТН'!BA$26:BA$59,'ХВС, ТН'!$F$26:$F$59,$F44,'ХВС, ТН'!$G$26:$G$59,$G44)</f>
        <v>0</v>
      </c>
      <c r="BC44" s="455">
        <f ca="1">SUMIFS('ХВС, ТН'!BB$26:BB$59,'ХВС, ТН'!$F$26:$F$59,$F44,'ХВС, ТН'!$G$26:$G$59,$G44)</f>
        <v>0</v>
      </c>
      <c r="BD44" s="253">
        <f t="shared" ca="1" si="8"/>
        <v>1.6271920773074857</v>
      </c>
      <c r="BE44" s="253">
        <f t="shared" ca="1" si="9"/>
        <v>-100</v>
      </c>
      <c r="BF44" s="253">
        <f t="shared" ca="1" si="9"/>
        <v>0</v>
      </c>
      <c r="BG44" s="253">
        <f t="shared" ca="1" si="9"/>
        <v>0</v>
      </c>
      <c r="BH44" s="253">
        <f t="shared" ca="1" si="9"/>
        <v>0</v>
      </c>
      <c r="BI44" s="253">
        <f t="shared" ca="1" si="9"/>
        <v>0</v>
      </c>
      <c r="BJ44" s="253">
        <f t="shared" ca="1" si="9"/>
        <v>0</v>
      </c>
      <c r="BK44" s="253">
        <f t="shared" ca="1" si="9"/>
        <v>0</v>
      </c>
      <c r="BL44" s="253">
        <f t="shared" ca="1" si="9"/>
        <v>0</v>
      </c>
      <c r="BM44" s="253">
        <f t="shared" ca="1" si="9"/>
        <v>0</v>
      </c>
      <c r="BN44" s="1231"/>
      <c r="BO44" s="1231"/>
      <c r="BP44" s="1231"/>
      <c r="BQ44" s="177"/>
      <c r="BR44" s="177"/>
      <c r="BS44" s="992" t="s">
        <v>1417</v>
      </c>
    </row>
    <row r="45" spans="1:71" s="1167" customFormat="1" ht="16.5" customHeight="1" x14ac:dyDescent="0.15">
      <c r="A45" s="175"/>
      <c r="B45" s="773"/>
      <c r="C45" s="175"/>
      <c r="D45" s="175"/>
      <c r="E45" s="668">
        <v>17</v>
      </c>
      <c r="F45" s="769" t="str" cm="1">
        <f t="array" aca="1" ref="F45" ca="1">OFFSET(G45,-1,-1)</f>
        <v>1</v>
      </c>
      <c r="G45" s="140" t="s">
        <v>1418</v>
      </c>
      <c r="H45" s="177"/>
      <c r="I45" s="177"/>
      <c r="J45" s="177"/>
      <c r="K45" s="177"/>
      <c r="L45" s="177"/>
      <c r="M45" s="177"/>
      <c r="N45" s="177"/>
      <c r="O45" s="177"/>
      <c r="P45" s="177"/>
      <c r="Q45" s="140"/>
      <c r="R45" s="140"/>
      <c r="S45" s="177"/>
      <c r="T45" s="679" t="b" cm="1">
        <f t="array" ref="T45">T44</f>
        <v>1</v>
      </c>
      <c r="U45" s="175"/>
      <c r="V45" s="175"/>
      <c r="W45" s="175"/>
      <c r="X45" s="1589"/>
      <c r="Y45" s="175"/>
      <c r="Z45" s="1589"/>
      <c r="AA45" s="177"/>
      <c r="AB45" s="890" t="s">
        <v>445</v>
      </c>
      <c r="AC45" s="111" t="s">
        <v>1401</v>
      </c>
      <c r="AD45" s="268" t="s">
        <v>1044</v>
      </c>
      <c r="AE45" s="252">
        <f ca="1">AE39+AE40+AE41+AE43+AE44</f>
        <v>58879.932110260001</v>
      </c>
      <c r="AF45" s="252">
        <f ca="1">AF39+AF40+AF41+AF43+AF44</f>
        <v>56882.001999999993</v>
      </c>
      <c r="AG45" s="252">
        <f ca="1">AG39+AG40+AG41+AG43+AG44</f>
        <v>56554.617999999995</v>
      </c>
      <c r="AH45" s="252">
        <f t="shared" ca="1" si="7"/>
        <v>-327.3839999999982</v>
      </c>
      <c r="AI45" s="891">
        <f t="shared" ref="AI45:BC45" ca="1" si="10">AI39+AI40+AI41+AI43+AI44</f>
        <v>66685.946888916587</v>
      </c>
      <c r="AJ45" s="552">
        <f t="shared" ca="1" si="10"/>
        <v>84274.265880262057</v>
      </c>
      <c r="AK45" s="552">
        <f t="shared" ca="1" si="10"/>
        <v>0</v>
      </c>
      <c r="AL45" s="552">
        <f t="shared" ca="1" si="10"/>
        <v>0</v>
      </c>
      <c r="AM45" s="552">
        <f t="shared" ca="1" si="10"/>
        <v>0</v>
      </c>
      <c r="AN45" s="552">
        <f t="shared" ca="1" si="10"/>
        <v>0</v>
      </c>
      <c r="AO45" s="552">
        <f t="shared" ca="1" si="10"/>
        <v>0</v>
      </c>
      <c r="AP45" s="552">
        <f t="shared" ca="1" si="10"/>
        <v>0</v>
      </c>
      <c r="AQ45" s="552">
        <f t="shared" ca="1" si="10"/>
        <v>0</v>
      </c>
      <c r="AR45" s="552">
        <f t="shared" ca="1" si="10"/>
        <v>0</v>
      </c>
      <c r="AS45" s="552">
        <f t="shared" ca="1" si="10"/>
        <v>0</v>
      </c>
      <c r="AT45" s="552">
        <f t="shared" ca="1" si="10"/>
        <v>78831.752546436517</v>
      </c>
      <c r="AU45" s="552">
        <f t="shared" ca="1" si="10"/>
        <v>0</v>
      </c>
      <c r="AV45" s="552">
        <f t="shared" ca="1" si="10"/>
        <v>0</v>
      </c>
      <c r="AW45" s="552">
        <f t="shared" ca="1" si="10"/>
        <v>0</v>
      </c>
      <c r="AX45" s="552">
        <f t="shared" ca="1" si="10"/>
        <v>0</v>
      </c>
      <c r="AY45" s="552">
        <f t="shared" ca="1" si="10"/>
        <v>0</v>
      </c>
      <c r="AZ45" s="552">
        <f t="shared" ca="1" si="10"/>
        <v>0</v>
      </c>
      <c r="BA45" s="552">
        <f t="shared" ca="1" si="10"/>
        <v>0</v>
      </c>
      <c r="BB45" s="552">
        <f t="shared" ca="1" si="10"/>
        <v>0</v>
      </c>
      <c r="BC45" s="552">
        <f t="shared" ca="1" si="10"/>
        <v>0</v>
      </c>
      <c r="BD45" s="552">
        <f t="shared" ca="1" si="8"/>
        <v>18.213441098395201</v>
      </c>
      <c r="BE45" s="552">
        <f t="shared" ca="1" si="9"/>
        <v>-100</v>
      </c>
      <c r="BF45" s="552">
        <f t="shared" ca="1" si="9"/>
        <v>0</v>
      </c>
      <c r="BG45" s="552">
        <f t="shared" ca="1" si="9"/>
        <v>0</v>
      </c>
      <c r="BH45" s="552">
        <f t="shared" ca="1" si="9"/>
        <v>0</v>
      </c>
      <c r="BI45" s="552">
        <f t="shared" ca="1" si="9"/>
        <v>0</v>
      </c>
      <c r="BJ45" s="552">
        <f t="shared" ca="1" si="9"/>
        <v>0</v>
      </c>
      <c r="BK45" s="552">
        <f t="shared" ca="1" si="9"/>
        <v>0</v>
      </c>
      <c r="BL45" s="552">
        <f t="shared" ca="1" si="9"/>
        <v>0</v>
      </c>
      <c r="BM45" s="552">
        <f t="shared" ca="1" si="9"/>
        <v>0</v>
      </c>
      <c r="BN45" s="1237"/>
      <c r="BO45" s="1237"/>
      <c r="BP45" s="1237"/>
      <c r="BQ45" s="177"/>
      <c r="BR45" s="177"/>
      <c r="BS45" s="992" t="s">
        <v>623</v>
      </c>
    </row>
    <row r="46" spans="1:71" s="1167" customFormat="1" ht="16.5" hidden="1" customHeight="1" x14ac:dyDescent="0.15">
      <c r="A46" s="175"/>
      <c r="B46" s="773"/>
      <c r="C46" s="175"/>
      <c r="D46" s="175"/>
      <c r="E46" s="668">
        <v>17</v>
      </c>
      <c r="F46" s="769" t="str" cm="1">
        <f t="array" aca="1" ref="F46" ca="1">OFFSET(G46,-1,-1)</f>
        <v>1</v>
      </c>
      <c r="G46" s="140" t="s">
        <v>986</v>
      </c>
      <c r="H46" s="177"/>
      <c r="I46" s="177"/>
      <c r="J46" s="177"/>
      <c r="K46" s="177"/>
      <c r="L46" s="177"/>
      <c r="M46" s="177"/>
      <c r="N46" s="177"/>
      <c r="O46" s="177"/>
      <c r="P46" s="177"/>
      <c r="Q46" s="140"/>
      <c r="R46" s="140" t="s">
        <v>987</v>
      </c>
      <c r="S46" s="177"/>
      <c r="T46" s="679" t="b" cm="1">
        <f t="array" ref="T46">T42</f>
        <v>0</v>
      </c>
      <c r="U46" s="175"/>
      <c r="V46" s="175"/>
      <c r="W46" s="175"/>
      <c r="X46" s="1589"/>
      <c r="Y46" s="175"/>
      <c r="Z46" s="1589"/>
      <c r="AA46" s="177"/>
      <c r="AB46" s="479" t="s">
        <v>1419</v>
      </c>
      <c r="AC46" s="238" t="s">
        <v>989</v>
      </c>
      <c r="AD46" s="102" t="s">
        <v>830</v>
      </c>
      <c r="AE46" s="253">
        <f ca="1">SUM(AE39,AE42)</f>
        <v>42676.951000000001</v>
      </c>
      <c r="AF46" s="253">
        <f ca="1">SUM(AF39,AF42)</f>
        <v>42513.225999999995</v>
      </c>
      <c r="AG46" s="253">
        <f ca="1">SUM(AG39,AG42)</f>
        <v>42513.227999999996</v>
      </c>
      <c r="AH46" s="253">
        <f t="shared" ca="1" si="7"/>
        <v>2.0000000004074536E-3</v>
      </c>
      <c r="AI46" s="432">
        <f t="shared" ref="AI46:BC46" ca="1" si="11">SUM(AI39,AI42)</f>
        <v>49203.479999999996</v>
      </c>
      <c r="AJ46" s="253">
        <f t="shared" ca="1" si="11"/>
        <v>63706.505880262062</v>
      </c>
      <c r="AK46" s="253">
        <f t="shared" ca="1" si="11"/>
        <v>0</v>
      </c>
      <c r="AL46" s="253">
        <f t="shared" ca="1" si="11"/>
        <v>0</v>
      </c>
      <c r="AM46" s="253">
        <f t="shared" ca="1" si="11"/>
        <v>0</v>
      </c>
      <c r="AN46" s="253">
        <f t="shared" ca="1" si="11"/>
        <v>0</v>
      </c>
      <c r="AO46" s="253">
        <f t="shared" ca="1" si="11"/>
        <v>0</v>
      </c>
      <c r="AP46" s="253">
        <f t="shared" ca="1" si="11"/>
        <v>0</v>
      </c>
      <c r="AQ46" s="253">
        <f t="shared" ca="1" si="11"/>
        <v>0</v>
      </c>
      <c r="AR46" s="253">
        <f t="shared" ca="1" si="11"/>
        <v>0</v>
      </c>
      <c r="AS46" s="253">
        <f t="shared" ca="1" si="11"/>
        <v>0</v>
      </c>
      <c r="AT46" s="253">
        <f t="shared" ca="1" si="11"/>
        <v>59960.620675622908</v>
      </c>
      <c r="AU46" s="253">
        <f t="shared" ca="1" si="11"/>
        <v>0</v>
      </c>
      <c r="AV46" s="253">
        <f t="shared" ca="1" si="11"/>
        <v>0</v>
      </c>
      <c r="AW46" s="253">
        <f t="shared" ca="1" si="11"/>
        <v>0</v>
      </c>
      <c r="AX46" s="253">
        <f t="shared" ca="1" si="11"/>
        <v>0</v>
      </c>
      <c r="AY46" s="253">
        <f t="shared" ca="1" si="11"/>
        <v>0</v>
      </c>
      <c r="AZ46" s="253">
        <f t="shared" ca="1" si="11"/>
        <v>0</v>
      </c>
      <c r="BA46" s="253">
        <f t="shared" ca="1" si="11"/>
        <v>0</v>
      </c>
      <c r="BB46" s="253">
        <f t="shared" ca="1" si="11"/>
        <v>0</v>
      </c>
      <c r="BC46" s="253">
        <f t="shared" ca="1" si="11"/>
        <v>0</v>
      </c>
      <c r="BD46" s="253">
        <f t="shared" ca="1" si="8"/>
        <v>21.862560688030424</v>
      </c>
      <c r="BE46" s="253">
        <f t="shared" ca="1" si="9"/>
        <v>-100</v>
      </c>
      <c r="BF46" s="253">
        <f t="shared" ca="1" si="9"/>
        <v>0</v>
      </c>
      <c r="BG46" s="253">
        <f t="shared" ca="1" si="9"/>
        <v>0</v>
      </c>
      <c r="BH46" s="253">
        <f t="shared" ca="1" si="9"/>
        <v>0</v>
      </c>
      <c r="BI46" s="253">
        <f t="shared" ca="1" si="9"/>
        <v>0</v>
      </c>
      <c r="BJ46" s="253">
        <f t="shared" ca="1" si="9"/>
        <v>0</v>
      </c>
      <c r="BK46" s="253">
        <f t="shared" ca="1" si="9"/>
        <v>0</v>
      </c>
      <c r="BL46" s="253">
        <f t="shared" ca="1" si="9"/>
        <v>0</v>
      </c>
      <c r="BM46" s="253">
        <f t="shared" ca="1" si="9"/>
        <v>0</v>
      </c>
      <c r="BN46" s="31"/>
      <c r="BO46" s="31"/>
      <c r="BP46" s="31"/>
      <c r="BQ46" s="177"/>
      <c r="BR46" s="177"/>
      <c r="BS46" s="992" t="s">
        <v>1420</v>
      </c>
    </row>
    <row r="47" spans="1:71" ht="9.9499999999999993" customHeight="1" x14ac:dyDescent="0.15">
      <c r="E47" s="668">
        <v>10.199999999999999</v>
      </c>
      <c r="U47" s="126" t="s">
        <v>239</v>
      </c>
      <c r="V47" s="119" t="s">
        <v>1421</v>
      </c>
      <c r="BS47" s="992"/>
    </row>
    <row r="48" spans="1:71" ht="11.25" hidden="1" customHeight="1" x14ac:dyDescent="0.15">
      <c r="E48" s="668">
        <v>0</v>
      </c>
    </row>
    <row r="49" spans="5:68" ht="14.65" customHeight="1" x14ac:dyDescent="0.15">
      <c r="E49" s="668">
        <v>15</v>
      </c>
      <c r="AB49" s="1558" t="s">
        <v>725</v>
      </c>
      <c r="AC49" s="1558"/>
      <c r="AD49" s="1558"/>
      <c r="AE49" s="1558"/>
      <c r="AF49" s="1558"/>
      <c r="AG49" s="1558"/>
      <c r="AH49" s="1558"/>
      <c r="AI49" s="1558"/>
      <c r="AJ49" s="1558"/>
      <c r="AK49" s="1558"/>
      <c r="AL49" s="1558"/>
      <c r="AM49" s="1558"/>
      <c r="AN49" s="1558"/>
      <c r="AO49" s="1558"/>
      <c r="AP49" s="1558"/>
      <c r="AQ49" s="1558"/>
      <c r="AR49" s="1558"/>
      <c r="AS49" s="1558"/>
      <c r="AT49" s="1558"/>
      <c r="AU49" s="1558"/>
      <c r="AV49" s="1558"/>
      <c r="AW49" s="1558"/>
      <c r="AX49" s="1558"/>
      <c r="AY49" s="1558"/>
      <c r="AZ49" s="1558"/>
      <c r="BA49" s="1558"/>
      <c r="BB49" s="1558"/>
      <c r="BC49" s="1558"/>
      <c r="BD49" s="1558"/>
      <c r="BE49" s="1558"/>
      <c r="BF49" s="1558"/>
      <c r="BG49" s="1558"/>
      <c r="BH49" s="1558"/>
      <c r="BI49" s="1558"/>
      <c r="BJ49" s="1558"/>
      <c r="BK49" s="1558"/>
      <c r="BL49" s="1558"/>
      <c r="BM49" s="1558"/>
      <c r="BN49" s="1558"/>
      <c r="BO49" s="1558"/>
      <c r="BP49" s="1558"/>
    </row>
    <row r="50" spans="5:68" ht="14.65" customHeight="1" x14ac:dyDescent="0.15">
      <c r="E50" s="668">
        <v>15</v>
      </c>
      <c r="AA50" s="768"/>
      <c r="AB50" s="1579"/>
      <c r="AC50" s="1576"/>
      <c r="AD50" s="1576"/>
      <c r="AE50" s="1576"/>
      <c r="AF50" s="1576"/>
      <c r="AG50" s="1576"/>
      <c r="AH50" s="1576"/>
      <c r="AI50" s="1576"/>
      <c r="AJ50" s="1576"/>
      <c r="AK50" s="1576"/>
      <c r="AL50" s="1576"/>
      <c r="AM50" s="1576"/>
      <c r="AN50" s="1576"/>
      <c r="AO50" s="1576"/>
      <c r="AP50" s="1576"/>
      <c r="AQ50" s="1576"/>
      <c r="AR50" s="1576"/>
      <c r="AS50" s="1576"/>
      <c r="AT50" s="1576"/>
      <c r="AU50" s="1576"/>
      <c r="AV50" s="1576"/>
      <c r="AW50" s="1576"/>
      <c r="AX50" s="1576"/>
      <c r="AY50" s="1576"/>
      <c r="AZ50" s="1576"/>
      <c r="BA50" s="1576"/>
      <c r="BB50" s="1576"/>
      <c r="BC50" s="1576"/>
      <c r="BD50" s="1576"/>
      <c r="BE50" s="1576"/>
      <c r="BF50" s="1576"/>
      <c r="BG50" s="1576"/>
      <c r="BH50" s="1576"/>
      <c r="BI50" s="1576"/>
      <c r="BJ50" s="1576"/>
      <c r="BK50" s="1576"/>
      <c r="BL50" s="1576"/>
      <c r="BM50" s="1576"/>
      <c r="BN50" s="1576"/>
      <c r="BO50" s="1576"/>
      <c r="BP50" s="1576"/>
    </row>
    <row r="51" spans="5:68" ht="14.65" hidden="1" customHeight="1" x14ac:dyDescent="0.15">
      <c r="E51" s="668">
        <v>15</v>
      </c>
      <c r="T51" s="679" t="b">
        <f>ROW(W51)&gt;ROW(W$51)</f>
        <v>0</v>
      </c>
      <c r="U51" s="123"/>
      <c r="V51" s="123"/>
      <c r="W51" s="123" t="s">
        <v>237</v>
      </c>
      <c r="X51" s="123"/>
      <c r="Y51" s="123"/>
      <c r="Z51" s="123"/>
      <c r="AA51" s="764" t="s">
        <v>218</v>
      </c>
      <c r="AB51" s="1575"/>
      <c r="AC51" s="1576"/>
      <c r="AD51" s="1576"/>
      <c r="AE51" s="1576"/>
      <c r="AF51" s="1576"/>
      <c r="AG51" s="1576"/>
      <c r="AH51" s="1576"/>
      <c r="AI51" s="1576"/>
      <c r="AJ51" s="1576"/>
      <c r="AK51" s="1576"/>
      <c r="AL51" s="1576"/>
      <c r="AM51" s="1576"/>
      <c r="AN51" s="1576"/>
      <c r="AO51" s="1576"/>
      <c r="AP51" s="1576"/>
      <c r="AQ51" s="1576"/>
      <c r="AR51" s="1576"/>
      <c r="AS51" s="1576"/>
      <c r="AT51" s="1576"/>
      <c r="AU51" s="1576"/>
      <c r="AV51" s="1576"/>
      <c r="AW51" s="1576"/>
      <c r="AX51" s="1576"/>
      <c r="AY51" s="1576"/>
      <c r="AZ51" s="1576"/>
      <c r="BA51" s="1576"/>
      <c r="BB51" s="1576"/>
      <c r="BC51" s="1576"/>
      <c r="BD51" s="1576"/>
      <c r="BE51" s="1576"/>
      <c r="BF51" s="1576"/>
      <c r="BG51" s="1576"/>
      <c r="BH51" s="1576"/>
      <c r="BI51" s="1576"/>
      <c r="BJ51" s="1576"/>
      <c r="BK51" s="1576"/>
      <c r="BL51" s="1576"/>
      <c r="BM51" s="1576"/>
      <c r="BN51" s="1576"/>
      <c r="BO51" s="1576"/>
      <c r="BP51" s="1576"/>
    </row>
    <row r="52" spans="5:68" ht="14.65" customHeight="1" x14ac:dyDescent="0.15">
      <c r="E52" s="668">
        <v>15</v>
      </c>
      <c r="T52" s="123"/>
      <c r="U52" s="123"/>
      <c r="V52" s="123"/>
      <c r="W52" s="119" t="s">
        <v>238</v>
      </c>
      <c r="X52" s="123"/>
      <c r="Y52" s="123"/>
      <c r="Z52" s="123"/>
      <c r="AA52" s="160"/>
      <c r="AB52" s="1500" t="s">
        <v>726</v>
      </c>
      <c r="AC52" s="1501"/>
      <c r="AD52" s="317"/>
      <c r="AE52" s="317"/>
      <c r="AF52" s="317"/>
      <c r="AG52" s="317"/>
      <c r="AH52" s="317"/>
      <c r="AI52" s="317"/>
      <c r="AJ52" s="317"/>
      <c r="AK52" s="317"/>
      <c r="AL52" s="317"/>
      <c r="AM52" s="317"/>
      <c r="AN52" s="317"/>
      <c r="AO52" s="317"/>
      <c r="AP52" s="317"/>
      <c r="AQ52" s="317"/>
      <c r="AR52" s="317"/>
      <c r="AS52" s="317"/>
      <c r="AT52" s="317"/>
      <c r="AU52" s="317"/>
      <c r="AV52" s="317"/>
      <c r="AW52" s="317"/>
      <c r="AX52" s="317"/>
      <c r="AY52" s="317"/>
      <c r="AZ52" s="317"/>
      <c r="BA52" s="317"/>
      <c r="BB52" s="317"/>
      <c r="BC52" s="317"/>
      <c r="BD52" s="317"/>
      <c r="BE52" s="317"/>
      <c r="BF52" s="317"/>
      <c r="BG52" s="317"/>
      <c r="BH52" s="317"/>
      <c r="BI52" s="317"/>
      <c r="BJ52" s="317"/>
      <c r="BK52" s="317"/>
      <c r="BL52" s="317"/>
      <c r="BM52" s="317"/>
      <c r="BN52" s="317"/>
      <c r="BO52" s="317"/>
      <c r="BP52" s="290"/>
    </row>
  </sheetData>
  <sheetProtection formatColumns="0" formatRows="0" insertRows="0" deleteColumns="0" deleteRows="0" sort="0" autoFilter="0"/>
  <mergeCells count="17">
    <mergeCell ref="X27:X36"/>
    <mergeCell ref="Z27:Z36"/>
    <mergeCell ref="AB49:BP49"/>
    <mergeCell ref="AB50:BP50"/>
    <mergeCell ref="AB52:AC52"/>
    <mergeCell ref="X37:X46"/>
    <mergeCell ref="Z37:Z46"/>
    <mergeCell ref="BP24:BP25"/>
    <mergeCell ref="BD25:BM25"/>
    <mergeCell ref="AB28:AC28"/>
    <mergeCell ref="AB51:BP51"/>
    <mergeCell ref="AB24:AB25"/>
    <mergeCell ref="AC24:AC25"/>
    <mergeCell ref="AD24:AD25"/>
    <mergeCell ref="BN24:BN25"/>
    <mergeCell ref="BO24:BO25"/>
    <mergeCell ref="AB38:AC3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C1A8-7D18-B948-5831-1DA8B3AADE44}">
  <sheetPr>
    <tabColor rgb="FF002060"/>
    <outlinePr summaryBelow="0"/>
  </sheetPr>
  <dimension ref="A1:AZ122"/>
  <sheetViews>
    <sheetView showGridLines="0" workbookViewId="0">
      <pane xSplit="31" ySplit="26" topLeftCell="AM114" activePane="bottomRight" state="frozen"/>
      <selection pane="topRight" activeCell="AF1" sqref="AF1"/>
      <selection pane="bottomLeft" activeCell="A27" sqref="A27"/>
      <selection pane="bottomRight" activeCell="AN121" sqref="AN121"/>
    </sheetView>
  </sheetViews>
  <sheetFormatPr defaultColWidth="9.140625" defaultRowHeight="11.25" customHeight="1" x14ac:dyDescent="0.15"/>
  <cols>
    <col min="1" max="1" width="3.5703125" style="1150" hidden="1" customWidth="1"/>
    <col min="2" max="2" width="8.5703125" style="773" hidden="1" customWidth="1"/>
    <col min="3" max="4" width="3.5703125" style="1150" hidden="1" customWidth="1"/>
    <col min="5" max="5" width="8.42578125" style="772" hidden="1" customWidth="1"/>
    <col min="6" max="6" width="6.42578125" style="1150" hidden="1" customWidth="1"/>
    <col min="7" max="16" width="3.5703125" style="804" hidden="1" customWidth="1"/>
    <col min="17" max="18" width="3.5703125" style="774" hidden="1" customWidth="1"/>
    <col min="19" max="19" width="3.5703125" style="804" hidden="1" customWidth="1"/>
    <col min="20" max="20" width="8.28515625" style="1150" hidden="1" customWidth="1"/>
    <col min="21" max="21" width="6" style="1150" hidden="1" customWidth="1"/>
    <col min="22" max="23" width="6.28515625" style="1150" hidden="1" customWidth="1"/>
    <col min="24" max="25" width="5.7109375" style="1150" hidden="1" customWidth="1"/>
    <col min="26" max="26" width="5.42578125" style="1150" hidden="1" customWidth="1"/>
    <col min="27" max="27" width="3" style="781" customWidth="1"/>
    <col min="28" max="28" width="11.28515625" style="809" customWidth="1"/>
    <col min="29" max="29" width="49.28515625" style="809" customWidth="1"/>
    <col min="30" max="30" width="15" style="809" customWidth="1"/>
    <col min="31" max="33" width="19.28515625" style="809" customWidth="1"/>
    <col min="34" max="34" width="18.5703125" style="449" customWidth="1"/>
    <col min="35" max="38" width="19.28515625" style="449" hidden="1" customWidth="1"/>
    <col min="39" max="40" width="19.28515625" style="449" customWidth="1"/>
    <col min="41" max="44" width="19.28515625" style="449" hidden="1" customWidth="1"/>
    <col min="45" max="45" width="19.28515625" style="449" customWidth="1"/>
    <col min="46" max="46" width="8.5703125" style="449" customWidth="1"/>
    <col min="47" max="47" width="57.42578125" style="449" customWidth="1"/>
    <col min="48" max="48" width="3" style="449" customWidth="1"/>
    <col min="49" max="51" width="9.140625" style="449" hidden="1"/>
    <col min="52" max="52" width="9.140625" style="1033" hidden="1"/>
  </cols>
  <sheetData>
    <row r="1" spans="1:52" s="1150" customFormat="1" ht="12" hidden="1" customHeight="1" x14ac:dyDescent="0.15">
      <c r="B1" s="659"/>
      <c r="E1" s="659"/>
      <c r="F1" s="690" t="s">
        <v>83</v>
      </c>
      <c r="G1" s="609"/>
      <c r="H1" s="609"/>
      <c r="I1" s="609"/>
      <c r="J1" s="609"/>
      <c r="K1" s="609"/>
      <c r="L1" s="609"/>
      <c r="M1" s="609"/>
      <c r="N1" s="609"/>
      <c r="O1" s="609"/>
      <c r="P1" s="609"/>
      <c r="Q1" s="612"/>
      <c r="R1" s="612"/>
      <c r="S1" s="609"/>
      <c r="T1" s="679" t="s">
        <v>86</v>
      </c>
      <c r="U1" s="679" t="s">
        <v>91</v>
      </c>
      <c r="V1" s="679" t="s">
        <v>87</v>
      </c>
      <c r="W1" s="679" t="s">
        <v>88</v>
      </c>
      <c r="X1" s="679" t="s">
        <v>89</v>
      </c>
      <c r="Y1" s="690" t="s">
        <v>374</v>
      </c>
      <c r="Z1" s="679" t="s">
        <v>93</v>
      </c>
      <c r="AA1" s="690" t="s">
        <v>90</v>
      </c>
      <c r="AB1" s="690" t="s">
        <v>92</v>
      </c>
      <c r="AZ1" s="960" t="s">
        <v>375</v>
      </c>
    </row>
    <row r="2" spans="1:52" s="773" customFormat="1" ht="12" hidden="1" customHeight="1" x14ac:dyDescent="0.15">
      <c r="B2" s="758" t="s">
        <v>15</v>
      </c>
      <c r="G2" s="776"/>
      <c r="H2" s="776"/>
      <c r="I2" s="776"/>
      <c r="J2" s="776"/>
      <c r="K2" s="776"/>
      <c r="L2" s="776"/>
      <c r="M2" s="776"/>
      <c r="N2" s="776"/>
      <c r="O2" s="776"/>
      <c r="P2" s="776"/>
      <c r="Q2" s="776"/>
      <c r="R2" s="776"/>
      <c r="S2" s="776"/>
      <c r="AH2" s="680" t="b">
        <f>AH6&lt;=last_year_vis</f>
        <v>1</v>
      </c>
      <c r="AI2" s="680" t="b">
        <f>AI6&lt;=last_year_vis</f>
        <v>0</v>
      </c>
      <c r="AJ2" s="680" t="b">
        <f>AJ6&lt;=last_year_vis</f>
        <v>0</v>
      </c>
      <c r="AK2" s="680" t="b">
        <f>AK6&lt;=last_year_vis</f>
        <v>0</v>
      </c>
      <c r="AL2" s="680" t="b">
        <f>AL6&lt;=last_year_vis</f>
        <v>0</v>
      </c>
      <c r="AM2" s="107"/>
      <c r="AN2" s="680" t="b">
        <f>AN6&lt;=last_year_vis</f>
        <v>1</v>
      </c>
      <c r="AO2" s="680" t="b">
        <f>AO6&lt;=last_year_vis</f>
        <v>0</v>
      </c>
      <c r="AP2" s="680" t="b">
        <f>AP6&lt;=last_year_vis</f>
        <v>0</v>
      </c>
      <c r="AQ2" s="680" t="b">
        <f>AQ6&lt;=last_year_vis</f>
        <v>0</v>
      </c>
      <c r="AR2" s="680" t="b">
        <f>AR6&lt;=last_year_vis</f>
        <v>0</v>
      </c>
      <c r="AZ2" s="963"/>
    </row>
    <row r="3" spans="1:52" s="1150" customFormat="1" ht="12" hidden="1" customHeight="1" x14ac:dyDescent="0.15">
      <c r="B3" s="659"/>
      <c r="E3" s="659"/>
      <c r="G3" s="609"/>
      <c r="H3" s="609"/>
      <c r="I3" s="609"/>
      <c r="J3" s="609"/>
      <c r="K3" s="609"/>
      <c r="L3" s="609"/>
      <c r="M3" s="609"/>
      <c r="N3" s="609"/>
      <c r="O3" s="609"/>
      <c r="P3" s="609"/>
      <c r="Q3" s="612"/>
      <c r="R3" s="612"/>
      <c r="S3" s="609"/>
      <c r="AZ3" s="960"/>
    </row>
    <row r="4" spans="1:52" s="1150" customFormat="1" ht="12" hidden="1" customHeight="1" x14ac:dyDescent="0.15">
      <c r="B4" s="659"/>
      <c r="E4" s="659"/>
      <c r="G4" s="609"/>
      <c r="H4" s="609"/>
      <c r="I4" s="609"/>
      <c r="J4" s="609"/>
      <c r="K4" s="609"/>
      <c r="L4" s="609"/>
      <c r="M4" s="609"/>
      <c r="N4" s="609"/>
      <c r="O4" s="609"/>
      <c r="P4" s="609"/>
      <c r="Q4" s="612"/>
      <c r="R4" s="612"/>
      <c r="S4" s="609"/>
      <c r="AZ4" s="960"/>
    </row>
    <row r="5" spans="1:52"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15</v>
      </c>
      <c r="AC5" s="668">
        <v>65.25</v>
      </c>
      <c r="AD5" s="668">
        <v>25</v>
      </c>
      <c r="AE5" s="668">
        <v>19.25</v>
      </c>
      <c r="AF5" s="668">
        <v>19.25</v>
      </c>
      <c r="AG5" s="668">
        <v>19.25</v>
      </c>
      <c r="AH5" s="668">
        <v>18.63</v>
      </c>
      <c r="AI5" s="668">
        <v>19.25</v>
      </c>
      <c r="AJ5" s="668">
        <v>19.25</v>
      </c>
      <c r="AK5" s="668">
        <v>19.25</v>
      </c>
      <c r="AL5" s="668">
        <v>19.25</v>
      </c>
      <c r="AM5" s="668">
        <v>19.25</v>
      </c>
      <c r="AN5" s="668">
        <v>19.25</v>
      </c>
      <c r="AO5" s="668">
        <v>19.25</v>
      </c>
      <c r="AP5" s="668">
        <v>19.25</v>
      </c>
      <c r="AQ5" s="668">
        <v>19.25</v>
      </c>
      <c r="AR5" s="668">
        <v>19.25</v>
      </c>
      <c r="AS5" s="668">
        <v>19.25</v>
      </c>
      <c r="AT5" s="668">
        <v>8.5</v>
      </c>
      <c r="AU5" s="668">
        <v>57.38</v>
      </c>
      <c r="AV5" s="668">
        <v>3</v>
      </c>
      <c r="AZ5" s="963"/>
    </row>
    <row r="6" spans="1:52" s="1150" customFormat="1" ht="12" hidden="1" customHeight="1" x14ac:dyDescent="0.15">
      <c r="B6" s="659"/>
      <c r="E6" s="668"/>
      <c r="G6" s="609"/>
      <c r="H6" s="609"/>
      <c r="I6" s="609"/>
      <c r="J6" s="609"/>
      <c r="K6" s="609"/>
      <c r="L6" s="609"/>
      <c r="M6" s="609"/>
      <c r="N6" s="609"/>
      <c r="O6" s="609"/>
      <c r="P6" s="609"/>
      <c r="Q6" s="612"/>
      <c r="R6" s="612"/>
      <c r="S6" s="609"/>
      <c r="AF6" s="107" cm="1">
        <f t="array" ref="AF6">AF25</f>
        <v>2024</v>
      </c>
      <c r="AG6" s="107" cm="1">
        <f t="array" ref="AG6">AG25</f>
        <v>2024</v>
      </c>
      <c r="AH6" s="107" cm="1">
        <f t="array" ref="AH6">AH70</f>
        <v>2026</v>
      </c>
      <c r="AI6" s="107" cm="1">
        <f t="array" ref="AI6">AI70</f>
        <v>2027</v>
      </c>
      <c r="AJ6" s="107" cm="1">
        <f t="array" ref="AJ6">AJ70</f>
        <v>2028</v>
      </c>
      <c r="AK6" s="107" cm="1">
        <f t="array" ref="AK6">AK70</f>
        <v>2029</v>
      </c>
      <c r="AL6" s="107" cm="1">
        <f t="array" ref="AL6">AL70</f>
        <v>2030</v>
      </c>
      <c r="AN6" s="107" cm="1">
        <f t="array" ref="AN6">AN70</f>
        <v>2026</v>
      </c>
      <c r="AO6" s="107" cm="1">
        <f t="array" ref="AO6">AO70</f>
        <v>2027</v>
      </c>
      <c r="AP6" s="107" cm="1">
        <f t="array" ref="AP6">AP70</f>
        <v>2028</v>
      </c>
      <c r="AQ6" s="107" cm="1">
        <f t="array" ref="AQ6">AQ70</f>
        <v>2029</v>
      </c>
      <c r="AR6" s="107" cm="1">
        <f t="array" ref="AR6">AR70</f>
        <v>2030</v>
      </c>
      <c r="AZ6" s="960"/>
    </row>
    <row r="7" spans="1:52" s="804" customFormat="1" ht="12" hidden="1" customHeight="1" x14ac:dyDescent="0.15">
      <c r="A7" s="107"/>
      <c r="B7" s="659"/>
      <c r="C7" s="107"/>
      <c r="D7" s="107"/>
      <c r="E7" s="668"/>
      <c r="Q7" s="612"/>
      <c r="R7" s="612"/>
      <c r="AF7" s="609" t="str" cm="1">
        <f t="array" ref="AF7">AF26</f>
        <v>Факт по данным организации</v>
      </c>
      <c r="AG7" s="609" t="str" cm="1">
        <f t="array" ref="AG7">AG26</f>
        <v>Принято органом регулирования</v>
      </c>
      <c r="AZ7" s="960"/>
    </row>
    <row r="8" spans="1:52" s="804" customFormat="1" ht="12" hidden="1" customHeight="1" x14ac:dyDescent="0.15">
      <c r="A8" s="107"/>
      <c r="B8" s="659"/>
      <c r="C8" s="107"/>
      <c r="D8" s="107"/>
      <c r="E8" s="668"/>
      <c r="Q8" s="612"/>
      <c r="R8" s="612"/>
      <c r="AF8" s="609" t="str">
        <f>AF6&amp;AF7</f>
        <v>2024Факт по данным организации</v>
      </c>
      <c r="AG8" s="609" t="str">
        <f>AG6&amp;AG7</f>
        <v>2024Принято органом регулирования</v>
      </c>
      <c r="AZ8" s="960"/>
    </row>
    <row r="9" spans="1:52" s="959" customFormat="1" ht="12" hidden="1" customHeight="1" x14ac:dyDescent="0.15">
      <c r="A9" s="958" t="s">
        <v>461</v>
      </c>
      <c r="B9" s="941"/>
      <c r="E9" s="941"/>
      <c r="Q9" s="950"/>
      <c r="R9" s="950"/>
      <c r="AF9" s="959" cm="1">
        <f t="array" ref="AF9">AF25</f>
        <v>2024</v>
      </c>
      <c r="AG9" s="959" cm="1">
        <f t="array" ref="AG9">AG25</f>
        <v>2024</v>
      </c>
      <c r="AH9" s="959" cm="1">
        <f t="array" ref="AH9">AH70</f>
        <v>2026</v>
      </c>
      <c r="AJ9" s="959" cm="1">
        <f t="array" ref="AJ9">AJ70</f>
        <v>2028</v>
      </c>
      <c r="AK9" s="959" cm="1">
        <f t="array" ref="AK9">AK70</f>
        <v>2029</v>
      </c>
      <c r="AL9" s="959" cm="1">
        <f t="array" ref="AL9">AL70</f>
        <v>2030</v>
      </c>
      <c r="AM9" s="959" t="str" cm="1">
        <f t="array" ref="AM9">AM70</f>
        <v>всего</v>
      </c>
      <c r="AN9" s="959" cm="1">
        <f t="array" ref="AN9">AN70</f>
        <v>2026</v>
      </c>
      <c r="AP9" s="959" cm="1">
        <f t="array" ref="AP9">AP70</f>
        <v>2028</v>
      </c>
      <c r="AQ9" s="959" cm="1">
        <f t="array" ref="AQ9">AQ70</f>
        <v>2029</v>
      </c>
      <c r="AR9" s="959" cm="1">
        <f t="array" ref="AR9">AR70</f>
        <v>2030</v>
      </c>
      <c r="AS9" s="959" cm="1">
        <f t="array" ref="AS9">AS70</f>
        <v>0</v>
      </c>
      <c r="AT9" s="959" cm="1">
        <f t="array" ref="AT9">AT70</f>
        <v>0</v>
      </c>
      <c r="AZ9" s="960"/>
    </row>
    <row r="10" spans="1:52" s="959" customFormat="1" ht="12" hidden="1" customHeight="1" x14ac:dyDescent="0.15">
      <c r="A10" s="958" t="s">
        <v>462</v>
      </c>
      <c r="B10" s="941"/>
      <c r="E10" s="941"/>
      <c r="Q10" s="950"/>
      <c r="R10" s="950"/>
      <c r="AF10" s="959" t="str" cm="1">
        <f t="array" ref="AF10">AF26</f>
        <v>Факт по данным организации</v>
      </c>
      <c r="AG10" s="959" t="str" cm="1">
        <f t="array" ref="AG10">AG26</f>
        <v>Принято органом регулирования</v>
      </c>
      <c r="AH10" s="1032" t="str" cm="1">
        <f t="array" ref="AH10">AH71</f>
        <v>План организации</v>
      </c>
      <c r="AJ10" s="1032" t="str" cm="1">
        <f t="array" ref="AJ10">AJ71</f>
        <v>План организации</v>
      </c>
      <c r="AK10" s="1032" t="str" cm="1">
        <f t="array" ref="AK10">AK71</f>
        <v>План организации</v>
      </c>
      <c r="AL10" s="1032" t="str" cm="1">
        <f t="array" ref="AL10">AL71</f>
        <v>План организации</v>
      </c>
      <c r="AM10" s="1032" cm="1">
        <f t="array" ref="AM10">AM71</f>
        <v>0</v>
      </c>
      <c r="AN10" s="1032" t="str" cm="1">
        <f t="array" ref="AN10">AN71</f>
        <v>План органа регулирования</v>
      </c>
      <c r="AP10" s="1032" t="str" cm="1">
        <f t="array" ref="AP10">AP71</f>
        <v>План органа регулирования</v>
      </c>
      <c r="AQ10" s="1032" t="str" cm="1">
        <f t="array" ref="AQ10">AQ71</f>
        <v>План органа регулирования</v>
      </c>
      <c r="AR10" s="1032" t="str" cm="1">
        <f t="array" ref="AR10">AR71</f>
        <v>План органа регулирования</v>
      </c>
      <c r="AS10" s="1032" cm="1">
        <f t="array" ref="AS10">AS71</f>
        <v>0</v>
      </c>
      <c r="AT10" s="1032" cm="1">
        <f t="array" ref="AT10">AT71</f>
        <v>0</v>
      </c>
      <c r="AZ10" s="960"/>
    </row>
    <row r="11" spans="1:52" s="1150" customFormat="1" ht="12" hidden="1" customHeight="1" x14ac:dyDescent="0.15">
      <c r="B11" s="659"/>
      <c r="E11" s="668"/>
      <c r="G11" s="609"/>
      <c r="H11" s="609"/>
      <c r="I11" s="609"/>
      <c r="J11" s="609"/>
      <c r="K11" s="609"/>
      <c r="L11" s="609"/>
      <c r="M11" s="609"/>
      <c r="N11" s="609"/>
      <c r="O11" s="609"/>
      <c r="P11" s="609"/>
      <c r="Q11" s="612"/>
      <c r="R11" s="612"/>
      <c r="S11" s="609"/>
      <c r="AZ11" s="960"/>
    </row>
    <row r="12" spans="1:52" s="1150" customFormat="1" ht="12" hidden="1" customHeight="1" x14ac:dyDescent="0.15">
      <c r="B12" s="659"/>
      <c r="E12" s="668"/>
      <c r="G12" s="609"/>
      <c r="H12" s="609"/>
      <c r="I12" s="609"/>
      <c r="J12" s="609"/>
      <c r="K12" s="609"/>
      <c r="L12" s="609"/>
      <c r="M12" s="609"/>
      <c r="N12" s="609"/>
      <c r="O12" s="609"/>
      <c r="P12" s="609"/>
      <c r="Q12" s="612"/>
      <c r="R12" s="612"/>
      <c r="S12" s="609"/>
      <c r="AZ12" s="960"/>
    </row>
    <row r="13" spans="1:52" s="1150" customFormat="1" ht="12" hidden="1" customHeight="1" x14ac:dyDescent="0.15">
      <c r="B13" s="659"/>
      <c r="E13" s="668"/>
      <c r="G13" s="609"/>
      <c r="H13" s="609"/>
      <c r="I13" s="609"/>
      <c r="J13" s="609"/>
      <c r="K13" s="609"/>
      <c r="L13" s="609"/>
      <c r="M13" s="609"/>
      <c r="N13" s="609"/>
      <c r="O13" s="609"/>
      <c r="P13" s="609"/>
      <c r="Q13" s="612"/>
      <c r="R13" s="612"/>
      <c r="S13" s="609"/>
      <c r="AZ13" s="960"/>
    </row>
    <row r="14" spans="1:52" s="1150" customFormat="1" ht="12" hidden="1" customHeight="1" x14ac:dyDescent="0.15">
      <c r="B14" s="659"/>
      <c r="E14" s="668"/>
      <c r="G14" s="609"/>
      <c r="H14" s="609"/>
      <c r="I14" s="609"/>
      <c r="J14" s="609"/>
      <c r="K14" s="609"/>
      <c r="L14" s="609"/>
      <c r="M14" s="609"/>
      <c r="N14" s="609"/>
      <c r="O14" s="609"/>
      <c r="P14" s="609"/>
      <c r="Q14" s="612"/>
      <c r="R14" s="612"/>
      <c r="S14" s="609"/>
      <c r="AZ14" s="960"/>
    </row>
    <row r="15" spans="1:52" s="1150" customFormat="1" ht="12" hidden="1" customHeight="1" x14ac:dyDescent="0.15">
      <c r="B15" s="659"/>
      <c r="E15" s="668"/>
      <c r="G15" s="609"/>
      <c r="H15" s="609"/>
      <c r="I15" s="609"/>
      <c r="J15" s="609"/>
      <c r="K15" s="609"/>
      <c r="L15" s="609"/>
      <c r="M15" s="609"/>
      <c r="N15" s="609"/>
      <c r="O15" s="609"/>
      <c r="P15" s="609"/>
      <c r="Q15" s="612"/>
      <c r="R15" s="612"/>
      <c r="S15" s="609"/>
      <c r="AZ15" s="960"/>
    </row>
    <row r="16" spans="1:52" s="1150" customFormat="1" ht="12" hidden="1" customHeight="1" x14ac:dyDescent="0.15">
      <c r="B16" s="659"/>
      <c r="E16" s="668"/>
      <c r="G16" s="609"/>
      <c r="H16" s="609"/>
      <c r="I16" s="609"/>
      <c r="J16" s="609"/>
      <c r="K16" s="609"/>
      <c r="L16" s="609"/>
      <c r="M16" s="609"/>
      <c r="N16" s="609"/>
      <c r="O16" s="609"/>
      <c r="P16" s="609"/>
      <c r="Q16" s="612"/>
      <c r="R16" s="612"/>
      <c r="S16" s="609"/>
      <c r="AZ16" s="960"/>
    </row>
    <row r="17" spans="1:52" s="1150" customFormat="1" ht="12" hidden="1" customHeight="1" x14ac:dyDescent="0.15">
      <c r="B17" s="659"/>
      <c r="E17" s="668"/>
      <c r="G17" s="609"/>
      <c r="H17" s="609"/>
      <c r="I17" s="609"/>
      <c r="J17" s="609"/>
      <c r="K17" s="609"/>
      <c r="L17" s="609"/>
      <c r="M17" s="609"/>
      <c r="N17" s="609"/>
      <c r="O17" s="609"/>
      <c r="P17" s="609"/>
      <c r="Q17" s="612"/>
      <c r="R17" s="612"/>
      <c r="S17" s="609"/>
      <c r="AZ17" s="960"/>
    </row>
    <row r="18" spans="1:52" s="1150" customFormat="1" ht="12" hidden="1" customHeight="1" x14ac:dyDescent="0.15">
      <c r="B18" s="659"/>
      <c r="E18" s="668"/>
      <c r="G18" s="609"/>
      <c r="H18" s="609"/>
      <c r="I18" s="609"/>
      <c r="J18" s="609"/>
      <c r="K18" s="609"/>
      <c r="L18" s="609"/>
      <c r="M18" s="609"/>
      <c r="N18" s="609"/>
      <c r="O18" s="609"/>
      <c r="P18" s="609"/>
      <c r="Q18" s="612"/>
      <c r="R18" s="612"/>
      <c r="S18" s="609"/>
      <c r="AZ18" s="960"/>
    </row>
    <row r="19" spans="1:52" s="1150" customFormat="1" ht="12" hidden="1" customHeight="1" x14ac:dyDescent="0.15">
      <c r="B19" s="659"/>
      <c r="E19" s="668"/>
      <c r="G19" s="609"/>
      <c r="H19" s="609"/>
      <c r="I19" s="609"/>
      <c r="J19" s="609"/>
      <c r="K19" s="609"/>
      <c r="L19" s="609"/>
      <c r="M19" s="609"/>
      <c r="N19" s="609"/>
      <c r="O19" s="609"/>
      <c r="P19" s="609"/>
      <c r="Q19" s="612"/>
      <c r="R19" s="612"/>
      <c r="S19" s="609"/>
      <c r="AZ19" s="960"/>
    </row>
    <row r="20" spans="1:52" s="1150" customFormat="1" ht="11.1" hidden="1" customHeight="1" x14ac:dyDescent="0.15">
      <c r="B20" s="659"/>
      <c r="E20" s="668">
        <v>11.4</v>
      </c>
      <c r="G20" s="609"/>
      <c r="H20" s="609"/>
      <c r="I20" s="609"/>
      <c r="J20" s="609"/>
      <c r="K20" s="609"/>
      <c r="L20" s="609"/>
      <c r="M20" s="609"/>
      <c r="N20" s="609"/>
      <c r="O20" s="609"/>
      <c r="P20" s="609"/>
      <c r="Q20" s="612"/>
      <c r="R20" s="612"/>
      <c r="S20" s="609"/>
      <c r="AZ20" s="960"/>
    </row>
    <row r="21" spans="1:52" s="781" customFormat="1" ht="11.1" customHeight="1" x14ac:dyDescent="0.15">
      <c r="A21" s="107"/>
      <c r="B21" s="659"/>
      <c r="C21" s="107"/>
      <c r="D21" s="107"/>
      <c r="E21" s="668">
        <v>11.4</v>
      </c>
      <c r="F21" s="107"/>
      <c r="G21" s="609"/>
      <c r="H21" s="609"/>
      <c r="I21" s="609"/>
      <c r="J21" s="609"/>
      <c r="K21" s="609"/>
      <c r="L21" s="609"/>
      <c r="M21" s="609"/>
      <c r="N21" s="609"/>
      <c r="O21" s="609"/>
      <c r="P21" s="609"/>
      <c r="Q21" s="612"/>
      <c r="R21" s="612"/>
      <c r="S21" s="609"/>
      <c r="T21" s="107"/>
      <c r="U21" s="107"/>
      <c r="V21" s="107"/>
      <c r="W21" s="107"/>
      <c r="X21" s="107"/>
      <c r="Y21" s="107"/>
      <c r="Z21" s="107"/>
      <c r="AA21" s="691"/>
      <c r="AB21" s="174"/>
      <c r="AC21" s="335" t="str" cm="1">
        <f t="array" ref="AC21">tpl_title</f>
        <v>Кемеровская область / 2026 / ООО ХК "СДС - Энерго" (ИНН:4250003450, КПП:420501001) / ДПР: 2024-2028</v>
      </c>
      <c r="AD21" s="609"/>
      <c r="AE21" s="609"/>
      <c r="AF21" s="609"/>
      <c r="AG21" s="609"/>
      <c r="AZ21" s="960"/>
    </row>
    <row r="22" spans="1:52" ht="11.1" customHeight="1" x14ac:dyDescent="0.15">
      <c r="E22" s="668">
        <v>11.4</v>
      </c>
      <c r="AB22" s="32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9"/>
    </row>
    <row r="23" spans="1:52" ht="11.1" customHeight="1" x14ac:dyDescent="0.15">
      <c r="E23" s="668">
        <v>11.4</v>
      </c>
      <c r="AB23" s="451"/>
      <c r="AC23" s="452"/>
      <c r="AD23" s="452"/>
      <c r="AE23" s="452"/>
      <c r="AF23" s="453"/>
      <c r="AG23" s="453"/>
      <c r="AH23" s="454"/>
      <c r="AI23" s="454"/>
      <c r="AJ23" s="454"/>
    </row>
    <row r="24" spans="1:52" ht="11.1" customHeight="1" x14ac:dyDescent="0.15">
      <c r="E24" s="668">
        <v>11.4</v>
      </c>
      <c r="AB24" s="451"/>
      <c r="AC24" s="452"/>
      <c r="AD24" s="452"/>
      <c r="AE24" s="452"/>
      <c r="AF24" s="453"/>
      <c r="AG24" s="453"/>
      <c r="AH24" s="454"/>
      <c r="AI24" s="454"/>
      <c r="AJ24" s="454"/>
    </row>
    <row r="25" spans="1:52" ht="11.1" customHeight="1" x14ac:dyDescent="0.15">
      <c r="E25" s="668">
        <v>11.3</v>
      </c>
      <c r="AB25" s="1592" t="s">
        <v>1422</v>
      </c>
      <c r="AC25" s="1594" t="s">
        <v>464</v>
      </c>
      <c r="AD25" s="1594" t="s">
        <v>1423</v>
      </c>
      <c r="AE25" s="1592" t="s">
        <v>1424</v>
      </c>
      <c r="AF25" s="1138">
        <f>god-2</f>
        <v>2024</v>
      </c>
      <c r="AG25" s="249">
        <f>god-2</f>
        <v>2024</v>
      </c>
      <c r="AH25" s="454"/>
      <c r="AI25" s="557"/>
      <c r="AJ25" s="557"/>
    </row>
    <row r="26" spans="1:52" ht="22.15" customHeight="1" x14ac:dyDescent="0.15">
      <c r="E26" s="668">
        <v>22.8</v>
      </c>
      <c r="AB26" s="1593"/>
      <c r="AC26" s="1595"/>
      <c r="AD26" s="1595"/>
      <c r="AE26" s="1593"/>
      <c r="AF26" s="1139" t="s">
        <v>619</v>
      </c>
      <c r="AG26" s="105" t="s">
        <v>404</v>
      </c>
      <c r="AH26" s="454"/>
      <c r="AI26" s="454"/>
      <c r="AJ26" s="454"/>
      <c r="AK26" s="454"/>
      <c r="AL26" s="454"/>
      <c r="AM26" s="454"/>
      <c r="AN26" s="454"/>
      <c r="AO26" s="454"/>
      <c r="AP26" s="454"/>
      <c r="AQ26" s="454"/>
      <c r="AR26" s="454"/>
      <c r="AS26" s="454"/>
      <c r="AT26" s="454"/>
      <c r="AU26" s="454"/>
    </row>
    <row r="27" spans="1:52" ht="11.25" hidden="1" customHeight="1" x14ac:dyDescent="0.15">
      <c r="E27" s="668">
        <v>0</v>
      </c>
      <c r="AB27" s="512"/>
      <c r="AC27" s="590"/>
      <c r="AD27" s="590"/>
      <c r="AE27" s="512"/>
      <c r="AF27" s="512"/>
      <c r="AG27" s="512"/>
      <c r="AH27" s="454"/>
      <c r="AI27" s="454"/>
      <c r="AJ27" s="454"/>
      <c r="AK27" s="454"/>
      <c r="AL27" s="454"/>
      <c r="AM27" s="454"/>
      <c r="AN27" s="454"/>
      <c r="AO27" s="454"/>
      <c r="AP27" s="454"/>
      <c r="AQ27" s="454"/>
      <c r="AR27" s="454"/>
      <c r="AS27" s="454"/>
      <c r="AT27" s="454"/>
      <c r="AU27" s="454"/>
    </row>
    <row r="28" spans="1:52" s="167" customFormat="1" ht="11.1" hidden="1" customHeight="1" x14ac:dyDescent="0.15">
      <c r="E28" s="668">
        <v>11.4</v>
      </c>
      <c r="F28" s="769" cm="1">
        <f t="array" ref="F28">X28</f>
        <v>0</v>
      </c>
      <c r="T28" s="679" t="b">
        <f>X28&gt;0</f>
        <v>0</v>
      </c>
      <c r="V28" s="123" t="s">
        <v>313</v>
      </c>
      <c r="X28" s="1485">
        <v>0</v>
      </c>
      <c r="Z28" s="1483"/>
      <c r="AB28" s="263" t="str" cm="1">
        <f t="array" ref="AB28">INDEX('Общие сведения'!$AG$169:$AG$202,MATCH($F28,'Общие сведения'!$Z$169:$Z$202,0))</f>
        <v xml:space="preserve">Тариф 0 (Теплоснабжение) - </v>
      </c>
      <c r="AC28" s="264"/>
      <c r="AD28" s="264"/>
      <c r="AE28" s="264"/>
      <c r="AF28" s="264"/>
      <c r="AG28" s="264"/>
      <c r="AZ28" s="971"/>
    </row>
    <row r="29" spans="1:52" ht="50.45" hidden="1" customHeight="1" x14ac:dyDescent="0.15">
      <c r="E29" s="668">
        <v>51.8</v>
      </c>
      <c r="F29" s="769" cm="1">
        <f t="array" ref="F29">F28</f>
        <v>0</v>
      </c>
      <c r="T29" s="690" t="b" cm="1">
        <f t="array" ref="T29">T28</f>
        <v>0</v>
      </c>
      <c r="X29" s="1428"/>
      <c r="Z29" s="1428"/>
      <c r="AB29" s="268" t="s">
        <v>339</v>
      </c>
      <c r="AC29" s="518" t="s">
        <v>63</v>
      </c>
      <c r="AD29" s="519" t="s">
        <v>1425</v>
      </c>
      <c r="AE29" s="520" t="s">
        <v>1426</v>
      </c>
      <c r="AF29" s="305">
        <f ca="1">AF30-AF68</f>
        <v>0</v>
      </c>
      <c r="AG29" s="305">
        <f ca="1">AG30-AG68</f>
        <v>0</v>
      </c>
      <c r="AZ29" s="971" t="s">
        <v>1427</v>
      </c>
    </row>
    <row r="30" spans="1:52" ht="51.2" hidden="1" customHeight="1" x14ac:dyDescent="0.15">
      <c r="E30" s="668">
        <v>52.5</v>
      </c>
      <c r="F30" s="769" cm="1">
        <f t="array" ref="F30">F29</f>
        <v>0</v>
      </c>
      <c r="T30" s="690" t="b" cm="1">
        <f t="array" ref="T30">T29</f>
        <v>0</v>
      </c>
      <c r="X30" s="1428"/>
      <c r="Z30" s="1428"/>
      <c r="AB30" s="121" t="s">
        <v>473</v>
      </c>
      <c r="AC30" s="112" t="s">
        <v>1428</v>
      </c>
      <c r="AD30" s="519" t="s">
        <v>1429</v>
      </c>
      <c r="AE30" s="520" t="s">
        <v>1426</v>
      </c>
      <c r="AF30" s="305">
        <f ca="1">AF32+AF33+AF59+AF60+AF62+AF63+AF64+AF65-AF66+AF67</f>
        <v>0</v>
      </c>
      <c r="AG30" s="26">
        <f ca="1">AG32+AG33+AG59+AG60+AG62+AG63+AG64+AG65-AG66+AG67</f>
        <v>0</v>
      </c>
      <c r="AZ30" s="971" t="s">
        <v>1430</v>
      </c>
    </row>
    <row r="31" spans="1:52" ht="27.2" hidden="1" customHeight="1" x14ac:dyDescent="0.15">
      <c r="E31" s="668">
        <v>27.8</v>
      </c>
      <c r="F31" s="769" cm="1">
        <f t="array" ref="F31">F30</f>
        <v>0</v>
      </c>
      <c r="T31" s="690" t="b" cm="1">
        <f t="array" ref="T31">T30</f>
        <v>0</v>
      </c>
      <c r="X31" s="1428"/>
      <c r="Z31" s="1428"/>
      <c r="AB31" s="121"/>
      <c r="AC31" s="526" t="s">
        <v>1431</v>
      </c>
      <c r="AD31" s="521" t="s">
        <v>1432</v>
      </c>
      <c r="AE31" s="520" t="s">
        <v>1426</v>
      </c>
      <c r="AF31" s="26"/>
      <c r="AG31" s="26"/>
      <c r="AZ31" s="971" t="s">
        <v>1433</v>
      </c>
    </row>
    <row r="32" spans="1:52" ht="29.25" hidden="1" customHeight="1" x14ac:dyDescent="0.15">
      <c r="E32" s="668">
        <v>30</v>
      </c>
      <c r="F32" s="769" cm="1">
        <f t="array" ref="F32">F31</f>
        <v>0</v>
      </c>
      <c r="G32" s="612" t="s">
        <v>1317</v>
      </c>
      <c r="T32" s="690" t="b" cm="1">
        <f t="array" ref="T32">T31</f>
        <v>0</v>
      </c>
      <c r="X32" s="1428"/>
      <c r="Z32" s="1428"/>
      <c r="AB32" s="121" t="s">
        <v>1177</v>
      </c>
      <c r="AC32" s="463" t="s">
        <v>1434</v>
      </c>
      <c r="AD32" s="522" t="s">
        <v>1435</v>
      </c>
      <c r="AE32" s="519" t="s">
        <v>1426</v>
      </c>
      <c r="AF32" s="26">
        <f ca="1">SUMIFS('Операционные (5.1)'!AF$26:AF$76,'Операционные (5.1)'!$F$26:$F$76,$F32,'Операционные (5.1)'!$G$26:$G$76,$G32)</f>
        <v>0</v>
      </c>
      <c r="AG32" s="26">
        <f ca="1">SUMIFS('Операционные (5.1)'!AG$26:AG$76,'Операционные (5.1)'!$F$26:$F$76,$F32,'Операционные (5.1)'!$G$26:$G$76,$G32)</f>
        <v>0</v>
      </c>
      <c r="AZ32" s="971" t="s">
        <v>1436</v>
      </c>
    </row>
    <row r="33" spans="5:52" ht="40.35" hidden="1" customHeight="1" x14ac:dyDescent="0.15">
      <c r="E33" s="668">
        <v>41.3</v>
      </c>
      <c r="F33" s="769" cm="1">
        <f t="array" ref="F33">F32</f>
        <v>0</v>
      </c>
      <c r="T33" s="690" t="b" cm="1">
        <f t="array" ref="T33">T32</f>
        <v>0</v>
      </c>
      <c r="X33" s="1428"/>
      <c r="Z33" s="1428"/>
      <c r="AB33" s="121" t="s">
        <v>1181</v>
      </c>
      <c r="AC33" s="463" t="s">
        <v>1437</v>
      </c>
      <c r="AD33" s="522" t="s">
        <v>1438</v>
      </c>
      <c r="AE33" s="519" t="s">
        <v>1426</v>
      </c>
      <c r="AF33" s="305">
        <f ca="1">AF34+AF38</f>
        <v>0</v>
      </c>
      <c r="AG33" s="305">
        <f ca="1">AG34+AG38</f>
        <v>0</v>
      </c>
      <c r="AZ33" s="971" t="s">
        <v>1439</v>
      </c>
    </row>
    <row r="34" spans="5:52" ht="55.5" hidden="1" customHeight="1" x14ac:dyDescent="0.15">
      <c r="E34" s="668">
        <v>57</v>
      </c>
      <c r="F34" s="769" cm="1">
        <f t="array" ref="F34">F33</f>
        <v>0</v>
      </c>
      <c r="G34" s="612" t="s">
        <v>1411</v>
      </c>
      <c r="T34" s="690" t="b" cm="1">
        <f t="array" ref="T34">T33</f>
        <v>0</v>
      </c>
      <c r="X34" s="1428"/>
      <c r="Z34" s="1428"/>
      <c r="AB34" s="121" t="s">
        <v>1440</v>
      </c>
      <c r="AC34" s="480" t="s">
        <v>1441</v>
      </c>
      <c r="AD34" s="117" t="s">
        <v>1442</v>
      </c>
      <c r="AE34" s="520" t="s">
        <v>1426</v>
      </c>
      <c r="AF34" s="26">
        <f ca="1">SUMIFS('Ресурсы (5.4)'!AF$26:AF$47,'Ресурсы (5.4)'!$F$26:$F$47,$F34,'Ресурсы (5.4)'!$G$26:$G$47,$G34)</f>
        <v>0</v>
      </c>
      <c r="AG34" s="26">
        <f ca="1">SUMIFS('Ресурсы (5.4)'!AG$26:AG$47,'Ресурсы (5.4)'!$F$26:$F$47,$F34,'Ресурсы (5.4)'!$G$26:$G$47,$G34)</f>
        <v>0</v>
      </c>
      <c r="AZ34" s="971" t="s">
        <v>1443</v>
      </c>
    </row>
    <row r="35" spans="5:52" ht="24.95" hidden="1" customHeight="1" x14ac:dyDescent="0.15">
      <c r="E35" s="668">
        <v>25.5</v>
      </c>
      <c r="F35" s="769" cm="1">
        <f t="array" ref="F35">F34</f>
        <v>0</v>
      </c>
      <c r="T35" s="690" t="b" cm="1">
        <f t="array" ref="T35">T34</f>
        <v>0</v>
      </c>
      <c r="X35" s="1428"/>
      <c r="Z35" s="1428"/>
      <c r="AB35" s="121" t="s">
        <v>1444</v>
      </c>
      <c r="AC35" s="524" t="s">
        <v>1445</v>
      </c>
      <c r="AD35" s="117" t="s">
        <v>1446</v>
      </c>
      <c r="AE35" s="520" t="s">
        <v>798</v>
      </c>
      <c r="AF35" s="26"/>
      <c r="AG35" s="26"/>
      <c r="AZ35" s="971" t="s">
        <v>1447</v>
      </c>
    </row>
    <row r="36" spans="5:52" ht="38.85" hidden="1" customHeight="1" x14ac:dyDescent="0.15">
      <c r="E36" s="668">
        <v>39.799999999999997</v>
      </c>
      <c r="F36" s="769" cm="1">
        <f t="array" ref="F36">F35</f>
        <v>0</v>
      </c>
      <c r="T36" s="690" t="b" cm="1">
        <f t="array" ref="T36">T35</f>
        <v>0</v>
      </c>
      <c r="X36" s="1428"/>
      <c r="Z36" s="1428"/>
      <c r="AB36" s="121" t="s">
        <v>1448</v>
      </c>
      <c r="AC36" s="524" t="s">
        <v>1449</v>
      </c>
      <c r="AD36" s="117" t="s">
        <v>1450</v>
      </c>
      <c r="AE36" s="520" t="s">
        <v>622</v>
      </c>
      <c r="AF36" s="26"/>
      <c r="AG36" s="26"/>
      <c r="AZ36" s="971" t="s">
        <v>1451</v>
      </c>
    </row>
    <row r="37" spans="5:52" ht="23.45" hidden="1" customHeight="1" x14ac:dyDescent="0.15">
      <c r="E37" s="668">
        <v>24</v>
      </c>
      <c r="F37" s="769" cm="1">
        <f t="array" ref="F37">F36</f>
        <v>0</v>
      </c>
      <c r="T37" s="690" t="b" cm="1">
        <f t="array" ref="T37">T36</f>
        <v>0</v>
      </c>
      <c r="X37" s="1428"/>
      <c r="Z37" s="1428"/>
      <c r="AB37" s="121" t="s">
        <v>1452</v>
      </c>
      <c r="AC37" s="524" t="s">
        <v>1453</v>
      </c>
      <c r="AD37" s="117" t="s">
        <v>1454</v>
      </c>
      <c r="AE37" s="520" t="s">
        <v>1455</v>
      </c>
      <c r="AF37" s="26"/>
      <c r="AG37" s="26"/>
      <c r="AZ37" s="971" t="s">
        <v>1456</v>
      </c>
    </row>
    <row r="38" spans="5:52" ht="56.45" hidden="1" customHeight="1" x14ac:dyDescent="0.15">
      <c r="E38" s="668">
        <v>57.8</v>
      </c>
      <c r="F38" s="769" cm="1">
        <f t="array" ref="F38">F37</f>
        <v>0</v>
      </c>
      <c r="T38" s="690" t="b" cm="1">
        <f t="array" ref="T38">T37</f>
        <v>0</v>
      </c>
      <c r="X38" s="1428"/>
      <c r="Z38" s="1428"/>
      <c r="AB38" s="121" t="s">
        <v>1457</v>
      </c>
      <c r="AC38" s="463" t="s">
        <v>1458</v>
      </c>
      <c r="AD38" s="117" t="s">
        <v>1459</v>
      </c>
      <c r="AE38" s="520" t="s">
        <v>1426</v>
      </c>
      <c r="AF38" s="305">
        <f ca="1">AF39+AF44+AF49+AF54</f>
        <v>0</v>
      </c>
      <c r="AG38" s="305">
        <f ca="1">AG39+AG44+AG49+AG54</f>
        <v>0</v>
      </c>
      <c r="AZ38" s="971" t="s">
        <v>1460</v>
      </c>
    </row>
    <row r="39" spans="5:52" ht="19.7" hidden="1" customHeight="1" x14ac:dyDescent="0.15">
      <c r="E39" s="668">
        <v>20.3</v>
      </c>
      <c r="F39" s="769" cm="1">
        <f t="array" ref="F39">F38</f>
        <v>0</v>
      </c>
      <c r="G39" s="612" t="s">
        <v>949</v>
      </c>
      <c r="T39" s="690" t="b" cm="1">
        <f t="array" ref="T39">T38</f>
        <v>0</v>
      </c>
      <c r="X39" s="1428"/>
      <c r="Z39" s="1428"/>
      <c r="AB39" s="121" t="s">
        <v>1461</v>
      </c>
      <c r="AC39" s="480" t="s">
        <v>1462</v>
      </c>
      <c r="AD39" s="522"/>
      <c r="AE39" s="520" t="s">
        <v>1426</v>
      </c>
      <c r="AF39" s="26">
        <f ca="1">SUMIFS('Ресурсы (5.4)'!AF$26:AF$47,'Ресурсы (5.4)'!$F$26:$F$47,$F39,'Ресурсы (5.4)'!$G$26:$G$47,$G39)</f>
        <v>0</v>
      </c>
      <c r="AG39" s="26">
        <f ca="1">SUMIFS('Ресурсы (5.4)'!AG$26:AG$47,'Ресурсы (5.4)'!$F$26:$F$47,$F39,'Ресурсы (5.4)'!$G$26:$G$47,$G39)</f>
        <v>0</v>
      </c>
      <c r="AZ39" s="971" t="s">
        <v>1463</v>
      </c>
    </row>
    <row r="40" spans="5:52" ht="27.2" hidden="1" customHeight="1" x14ac:dyDescent="0.15">
      <c r="E40" s="668">
        <v>27.8</v>
      </c>
      <c r="F40" s="769" cm="1">
        <f t="array" ref="F40">F39</f>
        <v>0</v>
      </c>
      <c r="T40" s="690" t="b" cm="1">
        <f t="array" ref="T40">T39</f>
        <v>0</v>
      </c>
      <c r="X40" s="1428"/>
      <c r="Z40" s="1428"/>
      <c r="AB40" s="121" t="s">
        <v>1464</v>
      </c>
      <c r="AC40" s="524" t="s">
        <v>1465</v>
      </c>
      <c r="AD40" s="117" t="s">
        <v>1466</v>
      </c>
      <c r="AE40" s="105" t="s">
        <v>1467</v>
      </c>
      <c r="AF40" s="26"/>
      <c r="AG40" s="26"/>
      <c r="AZ40" s="971" t="s">
        <v>970</v>
      </c>
    </row>
    <row r="41" spans="5:52" ht="26.25" hidden="1" customHeight="1" x14ac:dyDescent="0.15">
      <c r="E41" s="668">
        <v>27</v>
      </c>
      <c r="F41" s="769" cm="1">
        <f t="array" ref="F41">F40</f>
        <v>0</v>
      </c>
      <c r="T41" s="690" t="b" cm="1">
        <f t="array" ref="T41">T40</f>
        <v>0</v>
      </c>
      <c r="X41" s="1428"/>
      <c r="Z41" s="1428"/>
      <c r="AB41" s="121" t="s">
        <v>1468</v>
      </c>
      <c r="AC41" s="524" t="s">
        <v>1469</v>
      </c>
      <c r="AD41" s="117" t="s">
        <v>1470</v>
      </c>
      <c r="AE41" s="520" t="s">
        <v>622</v>
      </c>
      <c r="AF41" s="26"/>
      <c r="AG41" s="26"/>
      <c r="AZ41" s="971" t="s">
        <v>1471</v>
      </c>
    </row>
    <row r="42" spans="5:52" ht="28.5" hidden="1" customHeight="1" x14ac:dyDescent="0.15">
      <c r="E42" s="668">
        <v>29.3</v>
      </c>
      <c r="F42" s="769" cm="1">
        <f t="array" ref="F42">F41</f>
        <v>0</v>
      </c>
      <c r="T42" s="690" t="b" cm="1">
        <f t="array" ref="T42">T41</f>
        <v>0</v>
      </c>
      <c r="X42" s="1428"/>
      <c r="Z42" s="1428"/>
      <c r="AB42" s="121" t="s">
        <v>1472</v>
      </c>
      <c r="AC42" s="524" t="s">
        <v>1473</v>
      </c>
      <c r="AD42" s="117" t="s">
        <v>1474</v>
      </c>
      <c r="AE42" s="520" t="s">
        <v>622</v>
      </c>
      <c r="AF42" s="26"/>
      <c r="AG42" s="26"/>
      <c r="AZ42" s="971" t="s">
        <v>1475</v>
      </c>
    </row>
    <row r="43" spans="5:52" ht="33.6" hidden="1" customHeight="1" x14ac:dyDescent="0.15">
      <c r="E43" s="668">
        <v>34.5</v>
      </c>
      <c r="F43" s="769" cm="1">
        <f t="array" ref="F43">F42</f>
        <v>0</v>
      </c>
      <c r="T43" s="690" t="b" cm="1">
        <f t="array" ref="T43">T42</f>
        <v>0</v>
      </c>
      <c r="X43" s="1428"/>
      <c r="Z43" s="1428"/>
      <c r="AB43" s="121" t="s">
        <v>1476</v>
      </c>
      <c r="AC43" s="524" t="s">
        <v>1477</v>
      </c>
      <c r="AD43" s="117" t="s">
        <v>1478</v>
      </c>
      <c r="AE43" s="520" t="s">
        <v>959</v>
      </c>
      <c r="AF43" s="26"/>
      <c r="AG43" s="26"/>
      <c r="AZ43" s="971" t="s">
        <v>1479</v>
      </c>
    </row>
    <row r="44" spans="5:52" ht="16.899999999999999" hidden="1" customHeight="1" x14ac:dyDescent="0.15">
      <c r="E44" s="668">
        <v>17.3</v>
      </c>
      <c r="F44" s="769" cm="1">
        <f t="array" ref="F44">F43</f>
        <v>0</v>
      </c>
      <c r="G44" s="612" t="s">
        <v>1016</v>
      </c>
      <c r="T44" s="690" t="b" cm="1">
        <f t="array" ref="T44">T43</f>
        <v>0</v>
      </c>
      <c r="X44" s="1428"/>
      <c r="Z44" s="1428"/>
      <c r="AB44" s="121" t="s">
        <v>1480</v>
      </c>
      <c r="AC44" s="480" t="s">
        <v>1481</v>
      </c>
      <c r="AD44" s="522"/>
      <c r="AE44" s="520" t="s">
        <v>1426</v>
      </c>
      <c r="AF44" s="26">
        <f ca="1">SUMIFS('Ресурсы (5.4)'!AF$26:AF$47,'Ресурсы (5.4)'!$F$26:$F$47,$F44,'Ресурсы (5.4)'!$G$26:$G$47,$G44)</f>
        <v>0</v>
      </c>
      <c r="AG44" s="26">
        <f ca="1">SUMIFS('Ресурсы (5.4)'!AG$26:AG$47,'Ресурсы (5.4)'!$F$26:$F$47,$F44,'Ресурсы (5.4)'!$G$26:$G$47,$G44)</f>
        <v>0</v>
      </c>
      <c r="AZ44" s="971" t="s">
        <v>1482</v>
      </c>
    </row>
    <row r="45" spans="5:52" ht="30" hidden="1" customHeight="1" x14ac:dyDescent="0.15">
      <c r="E45" s="668">
        <v>30.8</v>
      </c>
      <c r="F45" s="769" cm="1">
        <f t="array" ref="F45">F44</f>
        <v>0</v>
      </c>
      <c r="T45" s="690" t="b" cm="1">
        <f t="array" ref="T45">T44</f>
        <v>0</v>
      </c>
      <c r="X45" s="1428"/>
      <c r="Z45" s="1428"/>
      <c r="AB45" s="121" t="s">
        <v>1483</v>
      </c>
      <c r="AC45" s="524" t="s">
        <v>1484</v>
      </c>
      <c r="AD45" s="117" t="s">
        <v>1485</v>
      </c>
      <c r="AE45" s="520" t="s">
        <v>1486</v>
      </c>
      <c r="AF45" s="26"/>
      <c r="AG45" s="26"/>
      <c r="AZ45" s="971" t="s">
        <v>1025</v>
      </c>
    </row>
    <row r="46" spans="5:52" ht="30" hidden="1" customHeight="1" x14ac:dyDescent="0.15">
      <c r="E46" s="668">
        <v>30.8</v>
      </c>
      <c r="F46" s="769" cm="1">
        <f t="array" ref="F46">F45</f>
        <v>0</v>
      </c>
      <c r="T46" s="690" t="b" cm="1">
        <f t="array" ref="T46">T45</f>
        <v>0</v>
      </c>
      <c r="X46" s="1428"/>
      <c r="Z46" s="1428"/>
      <c r="AB46" s="121" t="s">
        <v>1487</v>
      </c>
      <c r="AC46" s="524" t="s">
        <v>1469</v>
      </c>
      <c r="AD46" s="117" t="s">
        <v>1470</v>
      </c>
      <c r="AE46" s="520" t="s">
        <v>622</v>
      </c>
      <c r="AF46" s="26"/>
      <c r="AG46" s="26"/>
      <c r="AZ46" s="971" t="s">
        <v>1488</v>
      </c>
    </row>
    <row r="47" spans="5:52" ht="29.25" hidden="1" customHeight="1" x14ac:dyDescent="0.15">
      <c r="E47" s="668">
        <v>30</v>
      </c>
      <c r="F47" s="769" cm="1">
        <f t="array" ref="F47">F46</f>
        <v>0</v>
      </c>
      <c r="T47" s="690" t="b" cm="1">
        <f t="array" ref="T47">T46</f>
        <v>0</v>
      </c>
      <c r="X47" s="1428"/>
      <c r="Z47" s="1428"/>
      <c r="AB47" s="121" t="s">
        <v>1489</v>
      </c>
      <c r="AC47" s="524" t="s">
        <v>1473</v>
      </c>
      <c r="AD47" s="117" t="s">
        <v>1474</v>
      </c>
      <c r="AE47" s="520" t="s">
        <v>622</v>
      </c>
      <c r="AF47" s="26"/>
      <c r="AG47" s="26"/>
      <c r="AZ47" s="971" t="s">
        <v>1490</v>
      </c>
    </row>
    <row r="48" spans="5:52" ht="21.2" hidden="1" customHeight="1" x14ac:dyDescent="0.15">
      <c r="E48" s="668">
        <v>21.8</v>
      </c>
      <c r="F48" s="769" cm="1">
        <f t="array" ref="F48">F47</f>
        <v>0</v>
      </c>
      <c r="T48" s="690" t="b" cm="1">
        <f t="array" ref="T48">T47</f>
        <v>0</v>
      </c>
      <c r="X48" s="1428"/>
      <c r="Z48" s="1428"/>
      <c r="AB48" s="121" t="s">
        <v>1491</v>
      </c>
      <c r="AC48" s="524" t="s">
        <v>1492</v>
      </c>
      <c r="AD48" s="117" t="s">
        <v>1478</v>
      </c>
      <c r="AE48" s="520" t="s">
        <v>1493</v>
      </c>
      <c r="AF48" s="26"/>
      <c r="AG48" s="26"/>
      <c r="AZ48" s="971" t="s">
        <v>1494</v>
      </c>
    </row>
    <row r="49" spans="5:52" ht="16.149999999999999" hidden="1" customHeight="1" x14ac:dyDescent="0.15">
      <c r="E49" s="668">
        <v>16.5</v>
      </c>
      <c r="F49" s="769" cm="1">
        <f t="array" ref="F49">F48</f>
        <v>0</v>
      </c>
      <c r="G49" s="612" t="s">
        <v>984</v>
      </c>
      <c r="T49" s="690" t="b" cm="1">
        <f t="array" ref="T49">T48</f>
        <v>0</v>
      </c>
      <c r="X49" s="1428"/>
      <c r="Z49" s="1428"/>
      <c r="AB49" s="121" t="s">
        <v>1495</v>
      </c>
      <c r="AC49" s="480" t="s">
        <v>1496</v>
      </c>
      <c r="AD49" s="522"/>
      <c r="AE49" s="520" t="s">
        <v>1426</v>
      </c>
      <c r="AF49" s="26">
        <f ca="1">SUMIFS('Ресурсы (5.4)'!AF$26:AF$47,'Ресурсы (5.4)'!$F$26:$F$47,$F49,'Ресурсы (5.4)'!$G$26:$G$47,$G49)</f>
        <v>0</v>
      </c>
      <c r="AG49" s="26">
        <f ca="1">SUMIFS('Ресурсы (5.4)'!AG$26:AG$47,'Ресурсы (5.4)'!$F$26:$F$47,$F49,'Ресурсы (5.4)'!$G$26:$G$47,$G49)</f>
        <v>0</v>
      </c>
      <c r="AZ49" s="971" t="s">
        <v>1497</v>
      </c>
    </row>
    <row r="50" spans="5:52" ht="28.5" hidden="1" customHeight="1" x14ac:dyDescent="0.15">
      <c r="E50" s="668">
        <v>29.3</v>
      </c>
      <c r="F50" s="769" cm="1">
        <f t="array" ref="F50">F49</f>
        <v>0</v>
      </c>
      <c r="T50" s="690" t="b" cm="1">
        <f t="array" ref="T50">T49</f>
        <v>0</v>
      </c>
      <c r="X50" s="1428"/>
      <c r="Z50" s="1428"/>
      <c r="AB50" s="121" t="s">
        <v>1498</v>
      </c>
      <c r="AC50" s="524" t="s">
        <v>1499</v>
      </c>
      <c r="AD50" s="117" t="s">
        <v>1500</v>
      </c>
      <c r="AE50" s="520" t="s">
        <v>622</v>
      </c>
      <c r="AF50" s="26"/>
      <c r="AG50" s="26"/>
      <c r="AZ50" s="971" t="s">
        <v>1006</v>
      </c>
    </row>
    <row r="51" spans="5:52" ht="30.75" hidden="1" customHeight="1" x14ac:dyDescent="0.15">
      <c r="E51" s="668">
        <v>31.5</v>
      </c>
      <c r="F51" s="769" cm="1">
        <f t="array" ref="F51">F50</f>
        <v>0</v>
      </c>
      <c r="T51" s="690" t="b" cm="1">
        <f t="array" ref="T51">T50</f>
        <v>0</v>
      </c>
      <c r="X51" s="1428"/>
      <c r="Z51" s="1428"/>
      <c r="AB51" s="121" t="s">
        <v>1501</v>
      </c>
      <c r="AC51" s="524" t="s">
        <v>1469</v>
      </c>
      <c r="AD51" s="117" t="s">
        <v>1470</v>
      </c>
      <c r="AE51" s="520" t="s">
        <v>622</v>
      </c>
      <c r="AF51" s="26"/>
      <c r="AG51" s="26"/>
      <c r="AZ51" s="971" t="s">
        <v>1451</v>
      </c>
    </row>
    <row r="52" spans="5:52" ht="27.75" hidden="1" customHeight="1" x14ac:dyDescent="0.15">
      <c r="E52" s="668">
        <v>28.5</v>
      </c>
      <c r="F52" s="769" cm="1">
        <f t="array" ref="F52">F51</f>
        <v>0</v>
      </c>
      <c r="T52" s="690" t="b" cm="1">
        <f t="array" ref="T52">T51</f>
        <v>0</v>
      </c>
      <c r="X52" s="1428"/>
      <c r="Z52" s="1428"/>
      <c r="AB52" s="121" t="s">
        <v>1502</v>
      </c>
      <c r="AC52" s="524" t="s">
        <v>1473</v>
      </c>
      <c r="AD52" s="117" t="s">
        <v>1474</v>
      </c>
      <c r="AE52" s="520" t="s">
        <v>622</v>
      </c>
      <c r="AF52" s="26"/>
      <c r="AG52" s="26"/>
      <c r="AZ52" s="971" t="s">
        <v>1503</v>
      </c>
    </row>
    <row r="53" spans="5:52" ht="22.15" hidden="1" customHeight="1" x14ac:dyDescent="0.15">
      <c r="E53" s="668">
        <v>22.8</v>
      </c>
      <c r="F53" s="769" cm="1">
        <f t="array" ref="F53">F52</f>
        <v>0</v>
      </c>
      <c r="T53" s="690" t="b" cm="1">
        <f t="array" ref="T53">T52</f>
        <v>0</v>
      </c>
      <c r="X53" s="1428"/>
      <c r="Z53" s="1428"/>
      <c r="AB53" s="121" t="s">
        <v>1504</v>
      </c>
      <c r="AC53" s="524" t="s">
        <v>1505</v>
      </c>
      <c r="AD53" s="117" t="s">
        <v>1478</v>
      </c>
      <c r="AE53" s="520" t="s">
        <v>920</v>
      </c>
      <c r="AF53" s="26"/>
      <c r="AG53" s="26"/>
      <c r="AZ53" s="971" t="s">
        <v>1506</v>
      </c>
    </row>
    <row r="54" spans="5:52" ht="16.149999999999999" hidden="1" customHeight="1" x14ac:dyDescent="0.15">
      <c r="E54" s="668">
        <v>16.5</v>
      </c>
      <c r="F54" s="769" cm="1">
        <f t="array" ref="F54">F53</f>
        <v>0</v>
      </c>
      <c r="G54" s="612" t="s">
        <v>1027</v>
      </c>
      <c r="T54" s="690" t="b" cm="1">
        <f t="array" ref="T54">T53</f>
        <v>0</v>
      </c>
      <c r="X54" s="1428"/>
      <c r="Z54" s="1428"/>
      <c r="AB54" s="121" t="s">
        <v>1507</v>
      </c>
      <c r="AC54" s="480" t="s">
        <v>1508</v>
      </c>
      <c r="AD54" s="522"/>
      <c r="AE54" s="520" t="s">
        <v>1426</v>
      </c>
      <c r="AF54" s="26">
        <f ca="1">SUMIFS('Ресурсы (5.4)'!AF$26:AF$47,'Ресурсы (5.4)'!$F$26:$F$47,$F54,'Ресурсы (5.4)'!$G$26:$G$47,$G54)</f>
        <v>0</v>
      </c>
      <c r="AG54" s="26">
        <f ca="1">SUMIFS('Ресурсы (5.4)'!AG$26:AG$47,'Ресурсы (5.4)'!$F$26:$F$47,$F54,'Ресурсы (5.4)'!$G$26:$G$47,$G54)</f>
        <v>0</v>
      </c>
      <c r="AZ54" s="971" t="s">
        <v>1509</v>
      </c>
    </row>
    <row r="55" spans="5:52" ht="28.5" hidden="1" customHeight="1" x14ac:dyDescent="0.15">
      <c r="E55" s="668">
        <v>29.3</v>
      </c>
      <c r="F55" s="769" cm="1">
        <f t="array" ref="F55">F54</f>
        <v>0</v>
      </c>
      <c r="T55" s="690" t="b" cm="1">
        <f t="array" ref="T55">T54</f>
        <v>0</v>
      </c>
      <c r="X55" s="1428"/>
      <c r="Z55" s="1428"/>
      <c r="AB55" s="121" t="s">
        <v>1510</v>
      </c>
      <c r="AC55" s="524" t="s">
        <v>1511</v>
      </c>
      <c r="AD55" s="117" t="s">
        <v>1500</v>
      </c>
      <c r="AE55" s="520" t="s">
        <v>1486</v>
      </c>
      <c r="AF55" s="26"/>
      <c r="AG55" s="26"/>
      <c r="AZ55" s="971" t="s">
        <v>1034</v>
      </c>
    </row>
    <row r="56" spans="5:52" ht="30.75" hidden="1" customHeight="1" x14ac:dyDescent="0.15">
      <c r="E56" s="668">
        <v>31.5</v>
      </c>
      <c r="F56" s="769" cm="1">
        <f t="array" ref="F56">F55</f>
        <v>0</v>
      </c>
      <c r="T56" s="690" t="b" cm="1">
        <f t="array" ref="T56">T55</f>
        <v>0</v>
      </c>
      <c r="X56" s="1428"/>
      <c r="Z56" s="1428"/>
      <c r="AB56" s="121" t="s">
        <v>1512</v>
      </c>
      <c r="AC56" s="524" t="s">
        <v>1469</v>
      </c>
      <c r="AD56" s="117" t="s">
        <v>1470</v>
      </c>
      <c r="AE56" s="520" t="s">
        <v>622</v>
      </c>
      <c r="AF56" s="26"/>
      <c r="AG56" s="26"/>
      <c r="AZ56" s="971" t="s">
        <v>1513</v>
      </c>
    </row>
    <row r="57" spans="5:52" ht="27.75" hidden="1" customHeight="1" x14ac:dyDescent="0.15">
      <c r="E57" s="668">
        <v>28.5</v>
      </c>
      <c r="F57" s="769" cm="1">
        <f t="array" ref="F57">F56</f>
        <v>0</v>
      </c>
      <c r="T57" s="690" t="b" cm="1">
        <f t="array" ref="T57">T56</f>
        <v>0</v>
      </c>
      <c r="X57" s="1428"/>
      <c r="Z57" s="1428"/>
      <c r="AB57" s="121" t="s">
        <v>1514</v>
      </c>
      <c r="AC57" s="524" t="s">
        <v>1473</v>
      </c>
      <c r="AD57" s="117" t="s">
        <v>1474</v>
      </c>
      <c r="AE57" s="520" t="s">
        <v>622</v>
      </c>
      <c r="AF57" s="26"/>
      <c r="AG57" s="26"/>
      <c r="AZ57" s="971" t="s">
        <v>1515</v>
      </c>
    </row>
    <row r="58" spans="5:52" ht="22.15" hidden="1" customHeight="1" x14ac:dyDescent="0.15">
      <c r="E58" s="668">
        <v>22.8</v>
      </c>
      <c r="F58" s="769" cm="1">
        <f t="array" ref="F58">F57</f>
        <v>0</v>
      </c>
      <c r="T58" s="690" t="b" cm="1">
        <f t="array" ref="T58">T57</f>
        <v>0</v>
      </c>
      <c r="X58" s="1428"/>
      <c r="Z58" s="1428"/>
      <c r="AB58" s="121" t="s">
        <v>1516</v>
      </c>
      <c r="AC58" s="524" t="s">
        <v>1517</v>
      </c>
      <c r="AD58" s="117" t="s">
        <v>1478</v>
      </c>
      <c r="AE58" s="520" t="s">
        <v>1493</v>
      </c>
      <c r="AF58" s="26"/>
      <c r="AG58" s="26"/>
      <c r="AZ58" s="971" t="s">
        <v>1518</v>
      </c>
    </row>
    <row r="59" spans="5:52" ht="37.35" hidden="1" customHeight="1" x14ac:dyDescent="0.15">
      <c r="E59" s="668">
        <v>38.299999999999997</v>
      </c>
      <c r="F59" s="769" cm="1">
        <f t="array" ref="F59">F58</f>
        <v>0</v>
      </c>
      <c r="G59" s="612" t="s">
        <v>1376</v>
      </c>
      <c r="T59" s="690" t="b" cm="1">
        <f t="array" ref="T59">T58</f>
        <v>0</v>
      </c>
      <c r="X59" s="1428"/>
      <c r="Z59" s="1428"/>
      <c r="AB59" s="121" t="s">
        <v>1519</v>
      </c>
      <c r="AC59" s="463" t="s">
        <v>1520</v>
      </c>
      <c r="AD59" s="522" t="s">
        <v>1521</v>
      </c>
      <c r="AE59" s="520" t="s">
        <v>830</v>
      </c>
      <c r="AF59" s="26">
        <f ca="1">SUMIFS('Калькуляция (5.9)'!AF$26:AF$137,'Калькуляция (5.9)'!$F$26:$F$137,$F59,'Калькуляция (5.9)'!$G$26:$G$137,$G59)</f>
        <v>0</v>
      </c>
      <c r="AG59" s="26">
        <f ca="1">SUMIFS('Калькуляция (5.9)'!AG$26:AG$137,'Калькуляция (5.9)'!$F$26:$F$137,$F59,'Калькуляция (5.9)'!$G$26:$G$137,$G59)</f>
        <v>0</v>
      </c>
      <c r="AZ59" s="971" t="s">
        <v>1522</v>
      </c>
    </row>
    <row r="60" spans="5:52" ht="20.45" hidden="1" customHeight="1" x14ac:dyDescent="0.15">
      <c r="E60" s="668">
        <v>21</v>
      </c>
      <c r="F60" s="769" cm="1">
        <f t="array" ref="F60">F59</f>
        <v>0</v>
      </c>
      <c r="G60" s="612" t="s">
        <v>1523</v>
      </c>
      <c r="T60" s="690" t="b" cm="1">
        <f t="array" ref="T60">T59</f>
        <v>0</v>
      </c>
      <c r="X60" s="1428"/>
      <c r="Z60" s="1428"/>
      <c r="AB60" s="121" t="s">
        <v>1524</v>
      </c>
      <c r="AC60" s="114" t="s">
        <v>1525</v>
      </c>
      <c r="AD60" s="520"/>
      <c r="AE60" s="520" t="s">
        <v>830</v>
      </c>
      <c r="AF60" s="26">
        <f ca="1">SUMIFS('Калькуляция (5.9)'!AF$26:AF$137,'Калькуляция (5.9)'!$F$26:$F$137,$F60,'Калькуляция (5.9)'!$G$26:$G$137,$G60)</f>
        <v>0</v>
      </c>
      <c r="AG60" s="26">
        <f ca="1">SUMIFS('Калькуляция (5.9)'!AG$26:AG$137,'Калькуляция (5.9)'!$F$26:$F$137,$F60,'Калькуляция (5.9)'!$G$26:$G$137,$G60)</f>
        <v>0</v>
      </c>
      <c r="AZ60" s="971" t="s">
        <v>1526</v>
      </c>
    </row>
    <row r="61" spans="5:52" ht="20.45" hidden="1" customHeight="1" x14ac:dyDescent="0.15">
      <c r="E61" s="668">
        <v>21</v>
      </c>
      <c r="F61" s="769" cm="1">
        <f t="array" ref="F61">F60</f>
        <v>0</v>
      </c>
      <c r="T61" s="690" t="b" cm="1">
        <f t="array" ref="T61">T60</f>
        <v>0</v>
      </c>
      <c r="X61" s="1428"/>
      <c r="Z61" s="1428"/>
      <c r="AB61" s="121" t="s">
        <v>1527</v>
      </c>
      <c r="AC61" s="882" t="s">
        <v>1528</v>
      </c>
      <c r="AD61" s="520"/>
      <c r="AE61" s="520" t="s">
        <v>521</v>
      </c>
      <c r="AF61" s="75"/>
      <c r="AG61" s="75"/>
      <c r="AZ61" s="971" t="s">
        <v>1529</v>
      </c>
    </row>
    <row r="62" spans="5:52" ht="21.95" hidden="1" customHeight="1" x14ac:dyDescent="0.15">
      <c r="E62" s="668">
        <v>22.5</v>
      </c>
      <c r="F62" s="769" cm="1">
        <f t="array" ref="F62">F60</f>
        <v>0</v>
      </c>
      <c r="G62" s="612" t="s">
        <v>1530</v>
      </c>
      <c r="T62" s="690" t="b" cm="1">
        <f t="array" ref="T62">T60</f>
        <v>0</v>
      </c>
      <c r="X62" s="1428"/>
      <c r="Z62" s="1428"/>
      <c r="AB62" s="121" t="s">
        <v>1531</v>
      </c>
      <c r="AC62" s="114" t="s">
        <v>1532</v>
      </c>
      <c r="AD62" s="520"/>
      <c r="AE62" s="520" t="s">
        <v>830</v>
      </c>
      <c r="AF62" s="26">
        <f ca="1">SUMIFS('Калькуляция (5.9)'!AF$26:AF$137,'Калькуляция (5.9)'!$F$26:$F$137,$F62,'Калькуляция (5.9)'!$G$26:$G$137,$G62)</f>
        <v>0</v>
      </c>
      <c r="AG62" s="26">
        <f ca="1">SUMIFS('Калькуляция (5.9)'!AG$26:AG$137,'Калькуляция (5.9)'!$F$26:$F$137,$F62,'Калькуляция (5.9)'!$G$26:$G$137,$G62)</f>
        <v>0</v>
      </c>
      <c r="AZ62" s="971" t="s">
        <v>1533</v>
      </c>
    </row>
    <row r="63" spans="5:52" ht="22.15" hidden="1" customHeight="1" x14ac:dyDescent="0.15">
      <c r="E63" s="668">
        <v>22.8</v>
      </c>
      <c r="F63" s="769" cm="1">
        <f t="array" ref="F63">F62</f>
        <v>0</v>
      </c>
      <c r="G63" s="612" t="s">
        <v>445</v>
      </c>
      <c r="T63" s="690" t="b" cm="1">
        <f t="array" ref="T63">T62</f>
        <v>0</v>
      </c>
      <c r="X63" s="1428"/>
      <c r="Z63" s="1428"/>
      <c r="AB63" s="121" t="s">
        <v>1534</v>
      </c>
      <c r="AC63" s="114" t="s">
        <v>1535</v>
      </c>
      <c r="AD63" s="520"/>
      <c r="AE63" s="520" t="s">
        <v>830</v>
      </c>
      <c r="AF63" s="26">
        <f ca="1">SUMIFS('Калькуляция (5.9)'!AF$26:AF$137,'Калькуляция (5.9)'!$F$26:$F$137,$F63,'Калькуляция (5.9)'!$G$26:$G$137,$G63)</f>
        <v>0</v>
      </c>
      <c r="AG63" s="26">
        <f ca="1">SUMIFS('Калькуляция (5.9)'!AG$26:AG$137,'Калькуляция (5.9)'!$F$26:$F$137,$F63,'Калькуляция (5.9)'!$G$26:$G$137,$G63)</f>
        <v>0</v>
      </c>
      <c r="AZ63" s="971" t="s">
        <v>1536</v>
      </c>
    </row>
    <row r="64" spans="5:52" ht="29.25" hidden="1" customHeight="1" x14ac:dyDescent="0.15">
      <c r="E64" s="668">
        <v>30</v>
      </c>
      <c r="F64" s="769" cm="1">
        <f t="array" ref="F64">F63</f>
        <v>0</v>
      </c>
      <c r="T64" s="690" t="b" cm="1">
        <f t="array" ref="T64">T63</f>
        <v>0</v>
      </c>
      <c r="X64" s="1428"/>
      <c r="Z64" s="1428"/>
      <c r="AB64" s="121" t="s">
        <v>1537</v>
      </c>
      <c r="AC64" s="114" t="s">
        <v>1538</v>
      </c>
      <c r="AD64" s="523"/>
      <c r="AE64" s="520" t="s">
        <v>830</v>
      </c>
      <c r="AF64" s="26"/>
      <c r="AG64" s="26"/>
      <c r="AZ64" s="971" t="s">
        <v>1539</v>
      </c>
    </row>
    <row r="65" spans="1:52" ht="37.35" hidden="1" customHeight="1" x14ac:dyDescent="0.15">
      <c r="E65" s="668">
        <v>38.299999999999997</v>
      </c>
      <c r="F65" s="769" cm="1">
        <f t="array" ref="F65">F64</f>
        <v>0</v>
      </c>
      <c r="T65" s="690" t="b" cm="1">
        <f t="array" ref="T65">T64</f>
        <v>0</v>
      </c>
      <c r="X65" s="1428"/>
      <c r="Z65" s="1428"/>
      <c r="AB65" s="121" t="s">
        <v>1540</v>
      </c>
      <c r="AC65" s="114" t="s">
        <v>1541</v>
      </c>
      <c r="AD65" s="520"/>
      <c r="AE65" s="520" t="s">
        <v>830</v>
      </c>
      <c r="AF65" s="26"/>
      <c r="AG65" s="26"/>
      <c r="AZ65" s="971" t="s">
        <v>1542</v>
      </c>
    </row>
    <row r="66" spans="1:52" ht="73.150000000000006" hidden="1" customHeight="1" x14ac:dyDescent="0.15">
      <c r="E66" s="668">
        <v>75</v>
      </c>
      <c r="F66" s="769" cm="1">
        <f t="array" ref="F66">F65</f>
        <v>0</v>
      </c>
      <c r="T66" s="690" t="b" cm="1">
        <f t="array" ref="T66">T65</f>
        <v>0</v>
      </c>
      <c r="X66" s="1428"/>
      <c r="Z66" s="1428"/>
      <c r="AB66" s="121" t="s">
        <v>1543</v>
      </c>
      <c r="AC66" s="114" t="s">
        <v>1544</v>
      </c>
      <c r="AD66" s="520"/>
      <c r="AE66" s="520" t="s">
        <v>830</v>
      </c>
      <c r="AF66" s="26"/>
      <c r="AG66" s="26"/>
      <c r="AZ66" s="971" t="s">
        <v>1545</v>
      </c>
    </row>
    <row r="67" spans="1:52" ht="72.400000000000006" hidden="1" customHeight="1" x14ac:dyDescent="0.15">
      <c r="E67" s="668">
        <v>74.3</v>
      </c>
      <c r="F67" s="769" cm="1">
        <f t="array" ref="F67">F66</f>
        <v>0</v>
      </c>
      <c r="T67" s="690" t="b" cm="1">
        <f t="array" ref="T67">T66</f>
        <v>0</v>
      </c>
      <c r="X67" s="1428"/>
      <c r="Z67" s="1428"/>
      <c r="AB67" s="121" t="s">
        <v>1546</v>
      </c>
      <c r="AC67" s="114" t="s">
        <v>1547</v>
      </c>
      <c r="AD67" s="520"/>
      <c r="AE67" s="520" t="s">
        <v>1426</v>
      </c>
      <c r="AF67" s="26"/>
      <c r="AG67" s="26"/>
      <c r="AZ67" s="971" t="s">
        <v>1548</v>
      </c>
    </row>
    <row r="68" spans="1:52" ht="55.5" hidden="1" customHeight="1" x14ac:dyDescent="0.15">
      <c r="E68" s="668">
        <v>57</v>
      </c>
      <c r="F68" s="769" cm="1">
        <f t="array" ref="F68">F67</f>
        <v>0</v>
      </c>
      <c r="T68" s="690" t="b" cm="1">
        <f t="array" ref="T68">T67</f>
        <v>0</v>
      </c>
      <c r="X68" s="1428"/>
      <c r="Z68" s="1428"/>
      <c r="AB68" s="121" t="s">
        <v>426</v>
      </c>
      <c r="AC68" s="518" t="s">
        <v>1549</v>
      </c>
      <c r="AD68" s="117" t="s">
        <v>1550</v>
      </c>
      <c r="AE68" s="520" t="s">
        <v>1426</v>
      </c>
      <c r="AF68" s="26"/>
      <c r="AG68" s="26"/>
      <c r="AZ68" s="971" t="s">
        <v>1551</v>
      </c>
    </row>
    <row r="69" spans="1:52" ht="11.1" hidden="1" customHeight="1" x14ac:dyDescent="0.15">
      <c r="E69" s="668">
        <v>11.4</v>
      </c>
      <c r="F69" s="769" cm="1">
        <f t="array" ref="F69">F68</f>
        <v>0</v>
      </c>
      <c r="T69" s="690" t="b" cm="1">
        <f t="array" ref="T69">T68</f>
        <v>0</v>
      </c>
      <c r="X69" s="1428"/>
      <c r="Z69" s="1428"/>
    </row>
    <row r="70" spans="1:52" ht="11.1" hidden="1" customHeight="1" x14ac:dyDescent="0.15">
      <c r="E70" s="668">
        <v>11.3</v>
      </c>
      <c r="F70" s="769" cm="1">
        <f t="array" ref="F70">F69</f>
        <v>0</v>
      </c>
      <c r="T70" s="690" t="b" cm="1">
        <f t="array" ref="T70">T69</f>
        <v>0</v>
      </c>
      <c r="X70" s="1428"/>
      <c r="Z70" s="1428"/>
      <c r="AB70" s="1592" t="s">
        <v>1422</v>
      </c>
      <c r="AC70" s="1594" t="s">
        <v>519</v>
      </c>
      <c r="AD70" s="1590" t="s">
        <v>1171</v>
      </c>
      <c r="AE70" s="105">
        <f>god-2</f>
        <v>2024</v>
      </c>
      <c r="AF70" s="105">
        <f>god-1</f>
        <v>2025</v>
      </c>
      <c r="AG70" s="1590" t="s">
        <v>1552</v>
      </c>
      <c r="AH70" s="249" cm="1">
        <f t="array" ref="AH70">god</f>
        <v>2026</v>
      </c>
      <c r="AI70" s="105">
        <f>god+1</f>
        <v>2027</v>
      </c>
      <c r="AJ70" s="105">
        <f>god+2</f>
        <v>2028</v>
      </c>
      <c r="AK70" s="105">
        <f>god+3</f>
        <v>2029</v>
      </c>
      <c r="AL70" s="105">
        <f>god+4</f>
        <v>2030</v>
      </c>
      <c r="AM70" s="1590" t="s">
        <v>1552</v>
      </c>
      <c r="AN70" s="249" cm="1">
        <f t="array" ref="AN70">god</f>
        <v>2026</v>
      </c>
      <c r="AO70" s="105">
        <f>god+1</f>
        <v>2027</v>
      </c>
      <c r="AP70" s="105">
        <f>god+2</f>
        <v>2028</v>
      </c>
      <c r="AQ70" s="105">
        <f>god+3</f>
        <v>2029</v>
      </c>
      <c r="AR70" s="105">
        <f>god+4</f>
        <v>2030</v>
      </c>
      <c r="AU70" s="1591" t="s">
        <v>1553</v>
      </c>
    </row>
    <row r="71" spans="1:52" ht="21.95" hidden="1" customHeight="1" x14ac:dyDescent="0.15">
      <c r="E71" s="668">
        <v>22.5</v>
      </c>
      <c r="F71" s="769" cm="1">
        <f t="array" ref="F71">F70</f>
        <v>0</v>
      </c>
      <c r="T71" s="690" t="b" cm="1">
        <f t="array" ref="T71">T70</f>
        <v>0</v>
      </c>
      <c r="X71" s="1428"/>
      <c r="Z71" s="1428"/>
      <c r="AB71" s="1593"/>
      <c r="AC71" s="1595"/>
      <c r="AD71" s="1590"/>
      <c r="AE71" s="121" t="s">
        <v>1554</v>
      </c>
      <c r="AF71" s="121" t="s">
        <v>1554</v>
      </c>
      <c r="AG71" s="1590"/>
      <c r="AH71" s="121" t="s">
        <v>1555</v>
      </c>
      <c r="AI71" s="121" t="s">
        <v>1555</v>
      </c>
      <c r="AJ71" s="121" t="s">
        <v>1555</v>
      </c>
      <c r="AK71" s="121" t="s">
        <v>1555</v>
      </c>
      <c r="AL71" s="121" t="s">
        <v>1555</v>
      </c>
      <c r="AM71" s="1590"/>
      <c r="AN71" s="121" t="s">
        <v>1556</v>
      </c>
      <c r="AO71" s="121" t="s">
        <v>1556</v>
      </c>
      <c r="AP71" s="121" t="s">
        <v>1556</v>
      </c>
      <c r="AQ71" s="121" t="s">
        <v>1556</v>
      </c>
      <c r="AR71" s="121" t="s">
        <v>1556</v>
      </c>
      <c r="AU71" s="1591"/>
    </row>
    <row r="72" spans="1:52" ht="15.4" hidden="1" customHeight="1" x14ac:dyDescent="0.15">
      <c r="E72" s="668">
        <v>15.8</v>
      </c>
      <c r="F72" s="769" cm="1">
        <f t="array" ref="F72">F71</f>
        <v>0</v>
      </c>
      <c r="T72" s="690" t="b" cm="1">
        <f t="array" ref="T72">T71</f>
        <v>0</v>
      </c>
      <c r="X72" s="1428"/>
      <c r="Z72" s="1428"/>
      <c r="AB72" s="232" t="s">
        <v>431</v>
      </c>
      <c r="AC72" s="339" t="s">
        <v>1557</v>
      </c>
      <c r="AD72" s="520" t="s">
        <v>830</v>
      </c>
      <c r="AE72" s="692" t="s">
        <v>1558</v>
      </c>
      <c r="AF72" s="692" t="s">
        <v>1558</v>
      </c>
      <c r="AG72" s="351" cm="1">
        <f t="array" aca="1" ref="AG72" ca="1">AF29</f>
        <v>0</v>
      </c>
      <c r="AH72" s="864"/>
      <c r="AI72" s="1321"/>
      <c r="AJ72" s="1321"/>
      <c r="AK72" s="76"/>
      <c r="AL72" s="76"/>
      <c r="AM72" s="351" cm="1">
        <f t="array" aca="1" ref="AM72" ca="1">AG29</f>
        <v>0</v>
      </c>
      <c r="AN72" s="865"/>
      <c r="AO72" s="1322"/>
      <c r="AP72" s="1322"/>
      <c r="AQ72" s="77"/>
      <c r="AR72" s="77"/>
      <c r="AU72" s="78"/>
      <c r="AZ72" s="971" t="s">
        <v>1559</v>
      </c>
    </row>
    <row r="73" spans="1:52" ht="27.2" hidden="1" customHeight="1" x14ac:dyDescent="0.15">
      <c r="E73" s="668">
        <v>27.8</v>
      </c>
      <c r="F73" s="769" cm="1">
        <f t="array" ref="F73">F72</f>
        <v>0</v>
      </c>
      <c r="T73" s="690" t="b" cm="1">
        <f t="array" ref="T73">T72</f>
        <v>0</v>
      </c>
      <c r="X73" s="1428"/>
      <c r="Z73" s="1428"/>
      <c r="AB73" s="232" t="s">
        <v>437</v>
      </c>
      <c r="AC73" s="525" t="s">
        <v>1560</v>
      </c>
      <c r="AD73" s="520" t="s">
        <v>830</v>
      </c>
      <c r="AE73" s="76"/>
      <c r="AF73" s="76"/>
      <c r="AG73" s="351">
        <f>SUM(AH73:AL73)</f>
        <v>0</v>
      </c>
      <c r="AH73" s="864"/>
      <c r="AI73" s="1321"/>
      <c r="AJ73" s="1321"/>
      <c r="AK73" s="76"/>
      <c r="AL73" s="76"/>
      <c r="AM73" s="351">
        <f>SUM(AN73:AR73)</f>
        <v>0</v>
      </c>
      <c r="AN73" s="865"/>
      <c r="AO73" s="1322"/>
      <c r="AP73" s="1322"/>
      <c r="AQ73" s="77"/>
      <c r="AR73" s="77"/>
      <c r="AU73" s="78"/>
      <c r="AZ73" s="971" t="s">
        <v>1561</v>
      </c>
    </row>
    <row r="74" spans="1:52" ht="15.4" hidden="1" customHeight="1" x14ac:dyDescent="0.15">
      <c r="E74" s="668">
        <v>15.8</v>
      </c>
      <c r="F74" s="769" cm="1">
        <f t="array" ref="F74">F73</f>
        <v>0</v>
      </c>
      <c r="G74" s="612" t="s">
        <v>1562</v>
      </c>
      <c r="T74" s="690" t="b" cm="1">
        <f t="array" ref="T74">T73</f>
        <v>0</v>
      </c>
      <c r="X74" s="1428"/>
      <c r="Z74" s="1428"/>
      <c r="AB74" s="257" t="s">
        <v>441</v>
      </c>
      <c r="AC74" s="518" t="s">
        <v>1563</v>
      </c>
      <c r="AD74" s="520" t="s">
        <v>830</v>
      </c>
      <c r="AE74" s="351" cm="1">
        <f t="array" ref="AE74">AE73</f>
        <v>0</v>
      </c>
      <c r="AF74" s="351" cm="1">
        <f t="array" ref="AF74">AF73</f>
        <v>0</v>
      </c>
      <c r="AG74" s="351">
        <f t="shared" ref="AG74:AR74" ca="1" si="0">AG72+AG73</f>
        <v>0</v>
      </c>
      <c r="AH74" s="351">
        <f t="shared" si="0"/>
        <v>0</v>
      </c>
      <c r="AI74" s="351">
        <f t="shared" si="0"/>
        <v>0</v>
      </c>
      <c r="AJ74" s="351">
        <f t="shared" si="0"/>
        <v>0</v>
      </c>
      <c r="AK74" s="351">
        <f t="shared" si="0"/>
        <v>0</v>
      </c>
      <c r="AL74" s="351">
        <f t="shared" si="0"/>
        <v>0</v>
      </c>
      <c r="AM74" s="351">
        <f t="shared" ca="1" si="0"/>
        <v>0</v>
      </c>
      <c r="AN74" s="351">
        <f t="shared" si="0"/>
        <v>0</v>
      </c>
      <c r="AO74" s="351">
        <f t="shared" si="0"/>
        <v>0</v>
      </c>
      <c r="AP74" s="351">
        <f t="shared" si="0"/>
        <v>0</v>
      </c>
      <c r="AQ74" s="351">
        <f t="shared" si="0"/>
        <v>0</v>
      </c>
      <c r="AR74" s="351">
        <f t="shared" si="0"/>
        <v>0</v>
      </c>
      <c r="AU74" s="78"/>
      <c r="AZ74" s="971" t="s">
        <v>1564</v>
      </c>
    </row>
    <row r="75" spans="1:52" s="1291" customFormat="1" ht="10.5" customHeight="1" x14ac:dyDescent="0.15">
      <c r="A75" s="167"/>
      <c r="B75" s="167"/>
      <c r="C75" s="167"/>
      <c r="D75" s="167"/>
      <c r="E75" s="668">
        <v>11.4</v>
      </c>
      <c r="F75" s="769" t="str" cm="1">
        <f t="array" ref="F75">X75</f>
        <v>1</v>
      </c>
      <c r="G75" s="167"/>
      <c r="H75" s="167"/>
      <c r="I75" s="167"/>
      <c r="J75" s="167"/>
      <c r="K75" s="167"/>
      <c r="L75" s="167"/>
      <c r="M75" s="167"/>
      <c r="N75" s="167"/>
      <c r="O75" s="167"/>
      <c r="P75" s="167"/>
      <c r="Q75" s="167"/>
      <c r="R75" s="167"/>
      <c r="S75" s="167"/>
      <c r="T75" s="679" t="b">
        <f>X75&gt;0</f>
        <v>1</v>
      </c>
      <c r="U75" s="167"/>
      <c r="V75" s="123" t="str" cm="1">
        <f t="array" ref="V75">'Ресурсы (5.4)'!$AB$37</f>
        <v>Тариф 1 (Теплоснабжение) - Тариф на тепловую энергию (мощность), поставляемую потребителям (Не определено)</v>
      </c>
      <c r="W75" s="167"/>
      <c r="X75" s="1485" t="s">
        <v>339</v>
      </c>
      <c r="Y75" s="167"/>
      <c r="Z75" s="1483"/>
      <c r="AA75" s="167"/>
      <c r="AB75" s="263" t="str" cm="1">
        <f t="array" ref="AB75">IF(ISBLANK('Ресурсы (5.4)'!$AB$37),"",'Ресурсы (5.4)'!$AB$37)</f>
        <v>Тариф 1 (Теплоснабжение) - Тариф на тепловую энергию (мощность), поставляемую потребителям (Не определено)</v>
      </c>
      <c r="AC75" s="264"/>
      <c r="AD75" s="264"/>
      <c r="AE75" s="264"/>
      <c r="AF75" s="264"/>
      <c r="AG75" s="264"/>
      <c r="AH75" s="167"/>
      <c r="AI75" s="167"/>
      <c r="AJ75" s="167"/>
      <c r="AK75" s="167"/>
      <c r="AL75" s="167"/>
      <c r="AM75" s="167"/>
      <c r="AN75" s="167"/>
      <c r="AO75" s="167"/>
      <c r="AP75" s="167"/>
      <c r="AQ75" s="167"/>
      <c r="AR75" s="167"/>
      <c r="AS75" s="167"/>
      <c r="AT75" s="167"/>
      <c r="AU75" s="167"/>
      <c r="AV75" s="167"/>
      <c r="AW75" s="167"/>
      <c r="AX75" s="167"/>
      <c r="AY75" s="167"/>
      <c r="AZ75" s="971"/>
    </row>
    <row r="76" spans="1:52" s="1167" customFormat="1" ht="50.25" customHeight="1" x14ac:dyDescent="0.15">
      <c r="A76" s="1150"/>
      <c r="B76" s="773"/>
      <c r="C76" s="1150"/>
      <c r="D76" s="1150"/>
      <c r="E76" s="668">
        <v>51.8</v>
      </c>
      <c r="F76" s="769" t="str" cm="1">
        <f t="array" ref="F76">F75</f>
        <v>1</v>
      </c>
      <c r="G76" s="804"/>
      <c r="H76" s="804"/>
      <c r="I76" s="804"/>
      <c r="J76" s="804"/>
      <c r="K76" s="804"/>
      <c r="L76" s="804"/>
      <c r="M76" s="804"/>
      <c r="N76" s="804"/>
      <c r="O76" s="804"/>
      <c r="P76" s="804"/>
      <c r="Q76" s="774"/>
      <c r="R76" s="774"/>
      <c r="S76" s="804"/>
      <c r="T76" s="690" t="b" cm="1">
        <f t="array" ref="T76">T75</f>
        <v>1</v>
      </c>
      <c r="U76" s="1150"/>
      <c r="V76" s="1150"/>
      <c r="W76" s="1150"/>
      <c r="X76" s="1428"/>
      <c r="Y76" s="1150"/>
      <c r="Z76" s="1428"/>
      <c r="AA76" s="781"/>
      <c r="AB76" s="268" t="s">
        <v>339</v>
      </c>
      <c r="AC76" s="518" t="s">
        <v>63</v>
      </c>
      <c r="AD76" s="519" t="s">
        <v>1425</v>
      </c>
      <c r="AE76" s="520" t="s">
        <v>1426</v>
      </c>
      <c r="AF76" s="305">
        <f ca="1">AF77-AF115</f>
        <v>32306.02404982259</v>
      </c>
      <c r="AG76" s="305">
        <f ca="1">AG77-AG115</f>
        <v>9196.4588697201107</v>
      </c>
      <c r="AH76" s="449"/>
      <c r="AI76" s="449"/>
      <c r="AJ76" s="449"/>
      <c r="AK76" s="449"/>
      <c r="AL76" s="449"/>
      <c r="AM76" s="449"/>
      <c r="AN76" s="449"/>
      <c r="AO76" s="449"/>
      <c r="AP76" s="449"/>
      <c r="AQ76" s="449"/>
      <c r="AR76" s="449"/>
      <c r="AS76" s="449"/>
      <c r="AT76" s="449"/>
      <c r="AU76" s="449"/>
      <c r="AV76" s="449"/>
      <c r="AW76" s="449"/>
      <c r="AX76" s="449"/>
      <c r="AY76" s="449"/>
      <c r="AZ76" s="971" t="s">
        <v>1427</v>
      </c>
    </row>
    <row r="77" spans="1:52" s="1167" customFormat="1" ht="51" customHeight="1" x14ac:dyDescent="0.15">
      <c r="A77" s="1150"/>
      <c r="B77" s="773"/>
      <c r="C77" s="1150"/>
      <c r="D77" s="1150"/>
      <c r="E77" s="668">
        <v>52.5</v>
      </c>
      <c r="F77" s="769" t="str" cm="1">
        <f t="array" ref="F77">F76</f>
        <v>1</v>
      </c>
      <c r="G77" s="804"/>
      <c r="H77" s="804"/>
      <c r="I77" s="804"/>
      <c r="J77" s="804"/>
      <c r="K77" s="804"/>
      <c r="L77" s="804"/>
      <c r="M77" s="804"/>
      <c r="N77" s="804"/>
      <c r="O77" s="804"/>
      <c r="P77" s="804"/>
      <c r="Q77" s="774"/>
      <c r="R77" s="774"/>
      <c r="S77" s="804"/>
      <c r="T77" s="690" t="b" cm="1">
        <f t="array" ref="T77">T76</f>
        <v>1</v>
      </c>
      <c r="U77" s="1150"/>
      <c r="V77" s="1150"/>
      <c r="W77" s="1150"/>
      <c r="X77" s="1428"/>
      <c r="Y77" s="1150"/>
      <c r="Z77" s="1428"/>
      <c r="AA77" s="781"/>
      <c r="AB77" s="121" t="s">
        <v>473</v>
      </c>
      <c r="AC77" s="112" t="s">
        <v>1428</v>
      </c>
      <c r="AD77" s="519" t="s">
        <v>1565</v>
      </c>
      <c r="AE77" s="520" t="s">
        <v>1426</v>
      </c>
      <c r="AF77" s="305">
        <f ca="1">AF79+AF80+AF106+AF107+AF109+AF110+AF111+AF112-AF113+AF114</f>
        <v>306219.74491782259</v>
      </c>
      <c r="AG77" s="1232">
        <f ca="1">AG79+AG80+AG106+AG107+AG109+AG110+AG111+AG112-AG113+AG114</f>
        <v>284223.1388697201</v>
      </c>
      <c r="AH77" s="449"/>
      <c r="AI77" s="449"/>
      <c r="AJ77" s="449"/>
      <c r="AK77" s="449"/>
      <c r="AL77" s="449"/>
      <c r="AM77" s="449"/>
      <c r="AN77" s="449"/>
      <c r="AO77" s="449"/>
      <c r="AP77" s="449"/>
      <c r="AQ77" s="449"/>
      <c r="AR77" s="449"/>
      <c r="AS77" s="449"/>
      <c r="AT77" s="449"/>
      <c r="AU77" s="449"/>
      <c r="AV77" s="449"/>
      <c r="AW77" s="449"/>
      <c r="AX77" s="449"/>
      <c r="AY77" s="449"/>
      <c r="AZ77" s="971" t="s">
        <v>1430</v>
      </c>
    </row>
    <row r="78" spans="1:52" s="1167" customFormat="1" ht="27" customHeight="1" x14ac:dyDescent="0.15">
      <c r="A78" s="1150"/>
      <c r="B78" s="773"/>
      <c r="C78" s="1150"/>
      <c r="D78" s="1150"/>
      <c r="E78" s="668">
        <v>27.8</v>
      </c>
      <c r="F78" s="769" t="str" cm="1">
        <f t="array" ref="F78">F77</f>
        <v>1</v>
      </c>
      <c r="G78" s="804"/>
      <c r="H78" s="804"/>
      <c r="I78" s="804"/>
      <c r="J78" s="804"/>
      <c r="K78" s="804"/>
      <c r="L78" s="804"/>
      <c r="M78" s="804"/>
      <c r="N78" s="804"/>
      <c r="O78" s="804"/>
      <c r="P78" s="804"/>
      <c r="Q78" s="774"/>
      <c r="R78" s="774"/>
      <c r="S78" s="804"/>
      <c r="T78" s="690" t="b" cm="1">
        <f t="array" ref="T78">T77</f>
        <v>1</v>
      </c>
      <c r="U78" s="1150"/>
      <c r="V78" s="1150"/>
      <c r="W78" s="1150"/>
      <c r="X78" s="1428"/>
      <c r="Y78" s="1150"/>
      <c r="Z78" s="1428"/>
      <c r="AA78" s="781"/>
      <c r="AB78" s="121"/>
      <c r="AC78" s="526" t="s">
        <v>1431</v>
      </c>
      <c r="AD78" s="521" t="s">
        <v>1566</v>
      </c>
      <c r="AE78" s="520" t="s">
        <v>1426</v>
      </c>
      <c r="AF78" s="1232"/>
      <c r="AG78" s="1232"/>
      <c r="AH78" s="449"/>
      <c r="AI78" s="449"/>
      <c r="AJ78" s="449"/>
      <c r="AK78" s="449"/>
      <c r="AL78" s="449"/>
      <c r="AM78" s="449"/>
      <c r="AN78" s="449"/>
      <c r="AO78" s="449"/>
      <c r="AP78" s="449"/>
      <c r="AQ78" s="449"/>
      <c r="AR78" s="449"/>
      <c r="AS78" s="449"/>
      <c r="AT78" s="449"/>
      <c r="AU78" s="449"/>
      <c r="AV78" s="449"/>
      <c r="AW78" s="449"/>
      <c r="AX78" s="449"/>
      <c r="AY78" s="449"/>
      <c r="AZ78" s="971" t="s">
        <v>1433</v>
      </c>
    </row>
    <row r="79" spans="1:52" s="1167" customFormat="1" ht="29.25" customHeight="1" x14ac:dyDescent="0.15">
      <c r="A79" s="1150"/>
      <c r="B79" s="773"/>
      <c r="C79" s="1150"/>
      <c r="D79" s="1150"/>
      <c r="E79" s="668">
        <v>30</v>
      </c>
      <c r="F79" s="769" t="str" cm="1">
        <f t="array" ref="F79">F78</f>
        <v>1</v>
      </c>
      <c r="G79" s="612" t="s">
        <v>1317</v>
      </c>
      <c r="H79" s="804"/>
      <c r="I79" s="804"/>
      <c r="J79" s="804"/>
      <c r="K79" s="804"/>
      <c r="L79" s="804"/>
      <c r="M79" s="804"/>
      <c r="N79" s="804"/>
      <c r="O79" s="804"/>
      <c r="P79" s="804"/>
      <c r="Q79" s="774"/>
      <c r="R79" s="774"/>
      <c r="S79" s="804"/>
      <c r="T79" s="690" t="b" cm="1">
        <f t="array" ref="T79">T78</f>
        <v>1</v>
      </c>
      <c r="U79" s="1150"/>
      <c r="V79" s="1150"/>
      <c r="W79" s="1150"/>
      <c r="X79" s="1428"/>
      <c r="Y79" s="1150"/>
      <c r="Z79" s="1428"/>
      <c r="AA79" s="781"/>
      <c r="AB79" s="121" t="s">
        <v>1177</v>
      </c>
      <c r="AC79" s="463" t="s">
        <v>1434</v>
      </c>
      <c r="AD79" s="522" t="s">
        <v>1567</v>
      </c>
      <c r="AE79" s="519" t="s">
        <v>1426</v>
      </c>
      <c r="AF79" s="1232">
        <f ca="1">SUMIFS('Операционные (5.1)'!AF$26:AF$76,'Операционные (5.1)'!$F$26:$F$76,$F79,'Операционные (5.1)'!$G$26:$G$76,$G79)</f>
        <v>173169.05414999998</v>
      </c>
      <c r="AG79" s="1232">
        <f ca="1">SUMIFS('Операционные (5.1)'!AG$26:AG$76,'Операционные (5.1)'!$F$26:$F$76,$F79,'Операционные (5.1)'!$G$26:$G$76,$G79)</f>
        <v>160906.02270972016</v>
      </c>
      <c r="AH79" s="449"/>
      <c r="AI79" s="449"/>
      <c r="AJ79" s="449"/>
      <c r="AK79" s="449"/>
      <c r="AL79" s="449"/>
      <c r="AM79" s="449"/>
      <c r="AN79" s="449"/>
      <c r="AO79" s="449"/>
      <c r="AP79" s="449"/>
      <c r="AQ79" s="449"/>
      <c r="AR79" s="449"/>
      <c r="AS79" s="449"/>
      <c r="AT79" s="449"/>
      <c r="AU79" s="449"/>
      <c r="AV79" s="449"/>
      <c r="AW79" s="449"/>
      <c r="AX79" s="449"/>
      <c r="AY79" s="449"/>
      <c r="AZ79" s="971" t="s">
        <v>1436</v>
      </c>
    </row>
    <row r="80" spans="1:52" s="1167" customFormat="1" ht="39.75" customHeight="1" x14ac:dyDescent="0.15">
      <c r="A80" s="1150"/>
      <c r="B80" s="773"/>
      <c r="C80" s="1150"/>
      <c r="D80" s="1150"/>
      <c r="E80" s="668">
        <v>41.3</v>
      </c>
      <c r="F80" s="769" t="str" cm="1">
        <f t="array" ref="F80">F79</f>
        <v>1</v>
      </c>
      <c r="G80" s="804"/>
      <c r="H80" s="804"/>
      <c r="I80" s="804"/>
      <c r="J80" s="804"/>
      <c r="K80" s="804"/>
      <c r="L80" s="804"/>
      <c r="M80" s="804"/>
      <c r="N80" s="804"/>
      <c r="O80" s="804"/>
      <c r="P80" s="804"/>
      <c r="Q80" s="774"/>
      <c r="R80" s="774"/>
      <c r="S80" s="804"/>
      <c r="T80" s="690" t="b" cm="1">
        <f t="array" ref="T80">T79</f>
        <v>1</v>
      </c>
      <c r="U80" s="1150"/>
      <c r="V80" s="1150"/>
      <c r="W80" s="1150"/>
      <c r="X80" s="1428"/>
      <c r="Y80" s="1150"/>
      <c r="Z80" s="1428"/>
      <c r="AA80" s="781"/>
      <c r="AB80" s="121" t="s">
        <v>1181</v>
      </c>
      <c r="AC80" s="463" t="s">
        <v>1437</v>
      </c>
      <c r="AD80" s="522" t="s">
        <v>1438</v>
      </c>
      <c r="AE80" s="519" t="s">
        <v>1426</v>
      </c>
      <c r="AF80" s="305">
        <f ca="1">AF81+AF85</f>
        <v>56882.001999999993</v>
      </c>
      <c r="AG80" s="305">
        <f ca="1">AG81+AG85</f>
        <v>56554.617999999995</v>
      </c>
      <c r="AH80" s="449"/>
      <c r="AI80" s="449"/>
      <c r="AJ80" s="449"/>
      <c r="AK80" s="449"/>
      <c r="AL80" s="449"/>
      <c r="AM80" s="449"/>
      <c r="AN80" s="449"/>
      <c r="AO80" s="449"/>
      <c r="AP80" s="449"/>
      <c r="AQ80" s="449"/>
      <c r="AR80" s="449"/>
      <c r="AS80" s="449"/>
      <c r="AT80" s="449"/>
      <c r="AU80" s="449"/>
      <c r="AV80" s="449"/>
      <c r="AW80" s="449"/>
      <c r="AX80" s="449"/>
      <c r="AY80" s="449"/>
      <c r="AZ80" s="971" t="s">
        <v>1439</v>
      </c>
    </row>
    <row r="81" spans="1:52" s="1167" customFormat="1" ht="55.5" customHeight="1" x14ac:dyDescent="0.15">
      <c r="A81" s="1150"/>
      <c r="B81" s="773"/>
      <c r="C81" s="1150"/>
      <c r="D81" s="1150"/>
      <c r="E81" s="668">
        <v>57</v>
      </c>
      <c r="F81" s="769" t="str" cm="1">
        <f t="array" ref="F81">F80</f>
        <v>1</v>
      </c>
      <c r="G81" s="612" t="s">
        <v>1411</v>
      </c>
      <c r="H81" s="804"/>
      <c r="I81" s="804"/>
      <c r="J81" s="804"/>
      <c r="K81" s="804"/>
      <c r="L81" s="804"/>
      <c r="M81" s="804"/>
      <c r="N81" s="804"/>
      <c r="O81" s="804"/>
      <c r="P81" s="804"/>
      <c r="Q81" s="774"/>
      <c r="R81" s="774"/>
      <c r="S81" s="804"/>
      <c r="T81" s="690" t="b" cm="1">
        <f t="array" ref="T81">T80</f>
        <v>1</v>
      </c>
      <c r="U81" s="1150"/>
      <c r="V81" s="1150"/>
      <c r="W81" s="1150"/>
      <c r="X81" s="1428"/>
      <c r="Y81" s="1150"/>
      <c r="Z81" s="1428"/>
      <c r="AA81" s="781"/>
      <c r="AB81" s="121" t="s">
        <v>1440</v>
      </c>
      <c r="AC81" s="480" t="s">
        <v>1441</v>
      </c>
      <c r="AD81" s="117" t="s">
        <v>1442</v>
      </c>
      <c r="AE81" s="520" t="s">
        <v>1426</v>
      </c>
      <c r="AF81" s="1232">
        <f ca="1">SUMIFS('Ресурсы (5.4)'!AF$26:AF$47,'Ресурсы (5.4)'!$F$26:$F$47,$F81,'Ресурсы (5.4)'!$G$26:$G$47,$G81)</f>
        <v>42513.225999999995</v>
      </c>
      <c r="AG81" s="1232">
        <f ca="1">SUMIFS('Ресурсы (5.4)'!AG$26:AG$47,'Ресурсы (5.4)'!$F$26:$F$47,$F81,'Ресурсы (5.4)'!$G$26:$G$47,$G81)</f>
        <v>42513.227999999996</v>
      </c>
      <c r="AH81" s="449"/>
      <c r="AI81" s="449"/>
      <c r="AJ81" s="449"/>
      <c r="AK81" s="449"/>
      <c r="AL81" s="449"/>
      <c r="AM81" s="449"/>
      <c r="AN81" s="449"/>
      <c r="AO81" s="449"/>
      <c r="AP81" s="449"/>
      <c r="AQ81" s="449"/>
      <c r="AR81" s="449"/>
      <c r="AS81" s="449"/>
      <c r="AT81" s="449"/>
      <c r="AU81" s="449"/>
      <c r="AV81" s="449"/>
      <c r="AW81" s="449"/>
      <c r="AX81" s="449"/>
      <c r="AY81" s="449"/>
      <c r="AZ81" s="971" t="s">
        <v>1443</v>
      </c>
    </row>
    <row r="82" spans="1:52" s="1167" customFormat="1" ht="24.75" customHeight="1" x14ac:dyDescent="0.15">
      <c r="A82" s="1150"/>
      <c r="B82" s="773"/>
      <c r="C82" s="1150"/>
      <c r="D82" s="1150"/>
      <c r="E82" s="668">
        <v>25.5</v>
      </c>
      <c r="F82" s="769" t="str" cm="1">
        <f t="array" ref="F82">F81</f>
        <v>1</v>
      </c>
      <c r="G82" s="804"/>
      <c r="H82" s="804"/>
      <c r="I82" s="804"/>
      <c r="J82" s="804"/>
      <c r="K82" s="804"/>
      <c r="L82" s="804"/>
      <c r="M82" s="804"/>
      <c r="N82" s="804"/>
      <c r="O82" s="804"/>
      <c r="P82" s="804"/>
      <c r="Q82" s="774"/>
      <c r="R82" s="774"/>
      <c r="S82" s="804"/>
      <c r="T82" s="690" t="b" cm="1">
        <f t="array" ref="T82">T81</f>
        <v>1</v>
      </c>
      <c r="U82" s="1150"/>
      <c r="V82" s="1150"/>
      <c r="W82" s="1150"/>
      <c r="X82" s="1428"/>
      <c r="Y82" s="1150"/>
      <c r="Z82" s="1428"/>
      <c r="AA82" s="781"/>
      <c r="AB82" s="121" t="s">
        <v>1444</v>
      </c>
      <c r="AC82" s="524" t="s">
        <v>1445</v>
      </c>
      <c r="AD82" s="117" t="s">
        <v>1446</v>
      </c>
      <c r="AE82" s="520" t="s">
        <v>798</v>
      </c>
      <c r="AF82" s="1232"/>
      <c r="AG82" s="1232"/>
      <c r="AH82" s="449"/>
      <c r="AI82" s="449"/>
      <c r="AJ82" s="449"/>
      <c r="AK82" s="449"/>
      <c r="AL82" s="449"/>
      <c r="AM82" s="449"/>
      <c r="AN82" s="449"/>
      <c r="AO82" s="449"/>
      <c r="AP82" s="449"/>
      <c r="AQ82" s="449"/>
      <c r="AR82" s="449"/>
      <c r="AS82" s="449"/>
      <c r="AT82" s="449"/>
      <c r="AU82" s="449"/>
      <c r="AV82" s="449"/>
      <c r="AW82" s="449"/>
      <c r="AX82" s="449"/>
      <c r="AY82" s="449"/>
      <c r="AZ82" s="971" t="s">
        <v>1447</v>
      </c>
    </row>
    <row r="83" spans="1:52" s="1167" customFormat="1" ht="38.25" customHeight="1" x14ac:dyDescent="0.15">
      <c r="A83" s="1150"/>
      <c r="B83" s="773"/>
      <c r="C83" s="1150"/>
      <c r="D83" s="1150"/>
      <c r="E83" s="668">
        <v>39.799999999999997</v>
      </c>
      <c r="F83" s="769" t="str" cm="1">
        <f t="array" ref="F83">F82</f>
        <v>1</v>
      </c>
      <c r="G83" s="804"/>
      <c r="H83" s="804"/>
      <c r="I83" s="804"/>
      <c r="J83" s="804"/>
      <c r="K83" s="804"/>
      <c r="L83" s="804"/>
      <c r="M83" s="804"/>
      <c r="N83" s="804"/>
      <c r="O83" s="804"/>
      <c r="P83" s="804"/>
      <c r="Q83" s="774"/>
      <c r="R83" s="774"/>
      <c r="S83" s="804"/>
      <c r="T83" s="690" t="b" cm="1">
        <f t="array" ref="T83">T82</f>
        <v>1</v>
      </c>
      <c r="U83" s="1150"/>
      <c r="V83" s="1150"/>
      <c r="W83" s="1150"/>
      <c r="X83" s="1428"/>
      <c r="Y83" s="1150"/>
      <c r="Z83" s="1428"/>
      <c r="AA83" s="781"/>
      <c r="AB83" s="121" t="s">
        <v>1448</v>
      </c>
      <c r="AC83" s="524" t="s">
        <v>1449</v>
      </c>
      <c r="AD83" s="117" t="s">
        <v>1450</v>
      </c>
      <c r="AE83" s="520" t="s">
        <v>622</v>
      </c>
      <c r="AF83" s="1232"/>
      <c r="AG83" s="1232"/>
      <c r="AH83" s="449"/>
      <c r="AI83" s="449"/>
      <c r="AJ83" s="449"/>
      <c r="AK83" s="449"/>
      <c r="AL83" s="449"/>
      <c r="AM83" s="449"/>
      <c r="AN83" s="449"/>
      <c r="AO83" s="449"/>
      <c r="AP83" s="449"/>
      <c r="AQ83" s="449"/>
      <c r="AR83" s="449"/>
      <c r="AS83" s="449"/>
      <c r="AT83" s="449"/>
      <c r="AU83" s="449"/>
      <c r="AV83" s="449"/>
      <c r="AW83" s="449"/>
      <c r="AX83" s="449"/>
      <c r="AY83" s="449"/>
      <c r="AZ83" s="971" t="s">
        <v>1451</v>
      </c>
    </row>
    <row r="84" spans="1:52" s="1167" customFormat="1" ht="23.25" customHeight="1" x14ac:dyDescent="0.15">
      <c r="A84" s="1150"/>
      <c r="B84" s="773"/>
      <c r="C84" s="1150"/>
      <c r="D84" s="1150"/>
      <c r="E84" s="668">
        <v>24</v>
      </c>
      <c r="F84" s="769" t="str" cm="1">
        <f t="array" ref="F84">F83</f>
        <v>1</v>
      </c>
      <c r="G84" s="804"/>
      <c r="H84" s="804"/>
      <c r="I84" s="804"/>
      <c r="J84" s="804"/>
      <c r="K84" s="804"/>
      <c r="L84" s="804"/>
      <c r="M84" s="804"/>
      <c r="N84" s="804"/>
      <c r="O84" s="804"/>
      <c r="P84" s="804"/>
      <c r="Q84" s="774"/>
      <c r="R84" s="774"/>
      <c r="S84" s="804"/>
      <c r="T84" s="690" t="b" cm="1">
        <f t="array" ref="T84">T83</f>
        <v>1</v>
      </c>
      <c r="U84" s="1150"/>
      <c r="V84" s="1150"/>
      <c r="W84" s="1150"/>
      <c r="X84" s="1428"/>
      <c r="Y84" s="1150"/>
      <c r="Z84" s="1428"/>
      <c r="AA84" s="781"/>
      <c r="AB84" s="121" t="s">
        <v>1452</v>
      </c>
      <c r="AC84" s="524" t="s">
        <v>1453</v>
      </c>
      <c r="AD84" s="117" t="s">
        <v>1568</v>
      </c>
      <c r="AE84" s="520" t="s">
        <v>1455</v>
      </c>
      <c r="AF84" s="1232"/>
      <c r="AG84" s="1232"/>
      <c r="AH84" s="449"/>
      <c r="AI84" s="449"/>
      <c r="AJ84" s="449"/>
      <c r="AK84" s="449"/>
      <c r="AL84" s="449"/>
      <c r="AM84" s="449"/>
      <c r="AN84" s="449"/>
      <c r="AO84" s="449"/>
      <c r="AP84" s="449"/>
      <c r="AQ84" s="449"/>
      <c r="AR84" s="449"/>
      <c r="AS84" s="449"/>
      <c r="AT84" s="449"/>
      <c r="AU84" s="449"/>
      <c r="AV84" s="449"/>
      <c r="AW84" s="449"/>
      <c r="AX84" s="449"/>
      <c r="AY84" s="449"/>
      <c r="AZ84" s="971" t="s">
        <v>1456</v>
      </c>
    </row>
    <row r="85" spans="1:52" s="1167" customFormat="1" ht="56.25" customHeight="1" x14ac:dyDescent="0.15">
      <c r="A85" s="1150"/>
      <c r="B85" s="773"/>
      <c r="C85" s="1150"/>
      <c r="D85" s="1150"/>
      <c r="E85" s="668">
        <v>57.8</v>
      </c>
      <c r="F85" s="769" t="str" cm="1">
        <f t="array" ref="F85">F84</f>
        <v>1</v>
      </c>
      <c r="G85" s="804"/>
      <c r="H85" s="804"/>
      <c r="I85" s="804"/>
      <c r="J85" s="804"/>
      <c r="K85" s="804"/>
      <c r="L85" s="804"/>
      <c r="M85" s="804"/>
      <c r="N85" s="804"/>
      <c r="O85" s="804"/>
      <c r="P85" s="804"/>
      <c r="Q85" s="774"/>
      <c r="R85" s="774"/>
      <c r="S85" s="804"/>
      <c r="T85" s="690" t="b" cm="1">
        <f t="array" ref="T85">T84</f>
        <v>1</v>
      </c>
      <c r="U85" s="1150"/>
      <c r="V85" s="1150"/>
      <c r="W85" s="1150"/>
      <c r="X85" s="1428"/>
      <c r="Y85" s="1150"/>
      <c r="Z85" s="1428"/>
      <c r="AA85" s="781"/>
      <c r="AB85" s="121" t="s">
        <v>1457</v>
      </c>
      <c r="AC85" s="463" t="s">
        <v>1458</v>
      </c>
      <c r="AD85" s="117" t="s">
        <v>1459</v>
      </c>
      <c r="AE85" s="520" t="s">
        <v>1426</v>
      </c>
      <c r="AF85" s="305">
        <f ca="1">AF86+AF91+AF96+AF101</f>
        <v>14368.776</v>
      </c>
      <c r="AG85" s="305">
        <f ca="1">AG86+AG91+AG96+AG101</f>
        <v>14041.39</v>
      </c>
      <c r="AH85" s="449"/>
      <c r="AI85" s="449"/>
      <c r="AJ85" s="449"/>
      <c r="AK85" s="449"/>
      <c r="AL85" s="449"/>
      <c r="AM85" s="449"/>
      <c r="AN85" s="449"/>
      <c r="AO85" s="449"/>
      <c r="AP85" s="449"/>
      <c r="AQ85" s="449"/>
      <c r="AR85" s="449"/>
      <c r="AS85" s="449"/>
      <c r="AT85" s="449"/>
      <c r="AU85" s="449"/>
      <c r="AV85" s="449"/>
      <c r="AW85" s="449"/>
      <c r="AX85" s="449"/>
      <c r="AY85" s="449"/>
      <c r="AZ85" s="971" t="s">
        <v>1460</v>
      </c>
    </row>
    <row r="86" spans="1:52" s="1167" customFormat="1" ht="19.5" customHeight="1" x14ac:dyDescent="0.15">
      <c r="A86" s="1150"/>
      <c r="B86" s="773"/>
      <c r="C86" s="1150"/>
      <c r="D86" s="1150"/>
      <c r="E86" s="668">
        <v>20.3</v>
      </c>
      <c r="F86" s="769" t="str" cm="1">
        <f t="array" ref="F86">F85</f>
        <v>1</v>
      </c>
      <c r="G86" s="612" t="s">
        <v>949</v>
      </c>
      <c r="H86" s="804"/>
      <c r="I86" s="804"/>
      <c r="J86" s="804"/>
      <c r="K86" s="804"/>
      <c r="L86" s="804"/>
      <c r="M86" s="804"/>
      <c r="N86" s="804"/>
      <c r="O86" s="804"/>
      <c r="P86" s="804"/>
      <c r="Q86" s="774"/>
      <c r="R86" s="774"/>
      <c r="S86" s="804"/>
      <c r="T86" s="690" t="b" cm="1">
        <f t="array" ref="T86">T85</f>
        <v>1</v>
      </c>
      <c r="U86" s="1150"/>
      <c r="V86" s="1150"/>
      <c r="W86" s="1150"/>
      <c r="X86" s="1428"/>
      <c r="Y86" s="1150"/>
      <c r="Z86" s="1428"/>
      <c r="AA86" s="781"/>
      <c r="AB86" s="121" t="s">
        <v>1461</v>
      </c>
      <c r="AC86" s="480" t="s">
        <v>1462</v>
      </c>
      <c r="AD86" s="522"/>
      <c r="AE86" s="520" t="s">
        <v>1426</v>
      </c>
      <c r="AF86" s="1232">
        <f ca="1">SUMIFS('Ресурсы (5.4)'!AF$26:AF$47,'Ресурсы (5.4)'!$F$26:$F$47,$F86,'Ресурсы (5.4)'!$G$26:$G$47,$G86)</f>
        <v>13493.036</v>
      </c>
      <c r="AG86" s="1232">
        <f ca="1">SUMIFS('Ресурсы (5.4)'!AG$26:AG$47,'Ресурсы (5.4)'!$F$26:$F$47,$F86,'Ресурсы (5.4)'!$G$26:$G$47,$G86)</f>
        <v>13165.65</v>
      </c>
      <c r="AH86" s="449"/>
      <c r="AI86" s="449"/>
      <c r="AJ86" s="449"/>
      <c r="AK86" s="449"/>
      <c r="AL86" s="449"/>
      <c r="AM86" s="449"/>
      <c r="AN86" s="449"/>
      <c r="AO86" s="449"/>
      <c r="AP86" s="449"/>
      <c r="AQ86" s="449"/>
      <c r="AR86" s="449"/>
      <c r="AS86" s="449"/>
      <c r="AT86" s="449"/>
      <c r="AU86" s="449"/>
      <c r="AV86" s="449"/>
      <c r="AW86" s="449"/>
      <c r="AX86" s="449"/>
      <c r="AY86" s="449"/>
      <c r="AZ86" s="971" t="s">
        <v>1463</v>
      </c>
    </row>
    <row r="87" spans="1:52" s="1167" customFormat="1" ht="27" customHeight="1" x14ac:dyDescent="0.15">
      <c r="A87" s="1150"/>
      <c r="B87" s="773"/>
      <c r="C87" s="1150"/>
      <c r="D87" s="1150"/>
      <c r="E87" s="668">
        <v>27.8</v>
      </c>
      <c r="F87" s="769" t="str" cm="1">
        <f t="array" ref="F87">F86</f>
        <v>1</v>
      </c>
      <c r="G87" s="804"/>
      <c r="H87" s="804"/>
      <c r="I87" s="804"/>
      <c r="J87" s="804"/>
      <c r="K87" s="804"/>
      <c r="L87" s="804"/>
      <c r="M87" s="804"/>
      <c r="N87" s="804"/>
      <c r="O87" s="804"/>
      <c r="P87" s="804"/>
      <c r="Q87" s="774"/>
      <c r="R87" s="774"/>
      <c r="S87" s="804"/>
      <c r="T87" s="690" t="b" cm="1">
        <f t="array" ref="T87">T86</f>
        <v>1</v>
      </c>
      <c r="U87" s="1150"/>
      <c r="V87" s="1150"/>
      <c r="W87" s="1150"/>
      <c r="X87" s="1428"/>
      <c r="Y87" s="1150"/>
      <c r="Z87" s="1428"/>
      <c r="AA87" s="781"/>
      <c r="AB87" s="121" t="s">
        <v>1464</v>
      </c>
      <c r="AC87" s="524" t="s">
        <v>1465</v>
      </c>
      <c r="AD87" s="117" t="s">
        <v>1569</v>
      </c>
      <c r="AE87" s="105" t="s">
        <v>1467</v>
      </c>
      <c r="AF87" s="1232"/>
      <c r="AG87" s="1232"/>
      <c r="AH87" s="449"/>
      <c r="AI87" s="449"/>
      <c r="AJ87" s="449"/>
      <c r="AK87" s="449"/>
      <c r="AL87" s="449"/>
      <c r="AM87" s="449"/>
      <c r="AN87" s="449"/>
      <c r="AO87" s="449"/>
      <c r="AP87" s="449"/>
      <c r="AQ87" s="449"/>
      <c r="AR87" s="449"/>
      <c r="AS87" s="449"/>
      <c r="AT87" s="449"/>
      <c r="AU87" s="449"/>
      <c r="AV87" s="449"/>
      <c r="AW87" s="449"/>
      <c r="AX87" s="449"/>
      <c r="AY87" s="449"/>
      <c r="AZ87" s="971" t="s">
        <v>970</v>
      </c>
    </row>
    <row r="88" spans="1:52" s="1167" customFormat="1" ht="26.25" customHeight="1" x14ac:dyDescent="0.15">
      <c r="A88" s="1150"/>
      <c r="B88" s="773"/>
      <c r="C88" s="1150"/>
      <c r="D88" s="1150"/>
      <c r="E88" s="668">
        <v>27</v>
      </c>
      <c r="F88" s="769" t="str" cm="1">
        <f t="array" ref="F88">F87</f>
        <v>1</v>
      </c>
      <c r="G88" s="804"/>
      <c r="H88" s="804"/>
      <c r="I88" s="804"/>
      <c r="J88" s="804"/>
      <c r="K88" s="804"/>
      <c r="L88" s="804"/>
      <c r="M88" s="804"/>
      <c r="N88" s="804"/>
      <c r="O88" s="804"/>
      <c r="P88" s="804"/>
      <c r="Q88" s="774"/>
      <c r="R88" s="774"/>
      <c r="S88" s="804"/>
      <c r="T88" s="690" t="b" cm="1">
        <f t="array" ref="T88">T87</f>
        <v>1</v>
      </c>
      <c r="U88" s="1150"/>
      <c r="V88" s="1150"/>
      <c r="W88" s="1150"/>
      <c r="X88" s="1428"/>
      <c r="Y88" s="1150"/>
      <c r="Z88" s="1428"/>
      <c r="AA88" s="781"/>
      <c r="AB88" s="121" t="s">
        <v>1468</v>
      </c>
      <c r="AC88" s="524" t="s">
        <v>1469</v>
      </c>
      <c r="AD88" s="117" t="s">
        <v>1570</v>
      </c>
      <c r="AE88" s="520" t="s">
        <v>622</v>
      </c>
      <c r="AF88" s="1232"/>
      <c r="AG88" s="1232"/>
      <c r="AH88" s="449"/>
      <c r="AI88" s="449"/>
      <c r="AJ88" s="449"/>
      <c r="AK88" s="449"/>
      <c r="AL88" s="449"/>
      <c r="AM88" s="449"/>
      <c r="AN88" s="449"/>
      <c r="AO88" s="449"/>
      <c r="AP88" s="449"/>
      <c r="AQ88" s="449"/>
      <c r="AR88" s="449"/>
      <c r="AS88" s="449"/>
      <c r="AT88" s="449"/>
      <c r="AU88" s="449"/>
      <c r="AV88" s="449"/>
      <c r="AW88" s="449"/>
      <c r="AX88" s="449"/>
      <c r="AY88" s="449"/>
      <c r="AZ88" s="971" t="s">
        <v>1471</v>
      </c>
    </row>
    <row r="89" spans="1:52" s="1167" customFormat="1" ht="28.5" customHeight="1" x14ac:dyDescent="0.15">
      <c r="A89" s="1150"/>
      <c r="B89" s="773"/>
      <c r="C89" s="1150"/>
      <c r="D89" s="1150"/>
      <c r="E89" s="668">
        <v>29.3</v>
      </c>
      <c r="F89" s="769" t="str" cm="1">
        <f t="array" ref="F89">F88</f>
        <v>1</v>
      </c>
      <c r="G89" s="804"/>
      <c r="H89" s="804"/>
      <c r="I89" s="804"/>
      <c r="J89" s="804"/>
      <c r="K89" s="804"/>
      <c r="L89" s="804"/>
      <c r="M89" s="804"/>
      <c r="N89" s="804"/>
      <c r="O89" s="804"/>
      <c r="P89" s="804"/>
      <c r="Q89" s="774"/>
      <c r="R89" s="774"/>
      <c r="S89" s="804"/>
      <c r="T89" s="690" t="b" cm="1">
        <f t="array" ref="T89">T88</f>
        <v>1</v>
      </c>
      <c r="U89" s="1150"/>
      <c r="V89" s="1150"/>
      <c r="W89" s="1150"/>
      <c r="X89" s="1428"/>
      <c r="Y89" s="1150"/>
      <c r="Z89" s="1428"/>
      <c r="AA89" s="781"/>
      <c r="AB89" s="121" t="s">
        <v>1472</v>
      </c>
      <c r="AC89" s="524" t="s">
        <v>1473</v>
      </c>
      <c r="AD89" s="117" t="s">
        <v>1571</v>
      </c>
      <c r="AE89" s="520" t="s">
        <v>622</v>
      </c>
      <c r="AF89" s="1232"/>
      <c r="AG89" s="1232"/>
      <c r="AH89" s="449"/>
      <c r="AI89" s="449"/>
      <c r="AJ89" s="449"/>
      <c r="AK89" s="449"/>
      <c r="AL89" s="449"/>
      <c r="AM89" s="449"/>
      <c r="AN89" s="449"/>
      <c r="AO89" s="449"/>
      <c r="AP89" s="449"/>
      <c r="AQ89" s="449"/>
      <c r="AR89" s="449"/>
      <c r="AS89" s="449"/>
      <c r="AT89" s="449"/>
      <c r="AU89" s="449"/>
      <c r="AV89" s="449"/>
      <c r="AW89" s="449"/>
      <c r="AX89" s="449"/>
      <c r="AY89" s="449"/>
      <c r="AZ89" s="971" t="s">
        <v>1475</v>
      </c>
    </row>
    <row r="90" spans="1:52" s="1167" customFormat="1" ht="33" customHeight="1" x14ac:dyDescent="0.15">
      <c r="A90" s="1150"/>
      <c r="B90" s="773"/>
      <c r="C90" s="1150"/>
      <c r="D90" s="1150"/>
      <c r="E90" s="668">
        <v>34.5</v>
      </c>
      <c r="F90" s="769" t="str" cm="1">
        <f t="array" ref="F90">F89</f>
        <v>1</v>
      </c>
      <c r="G90" s="804"/>
      <c r="H90" s="804"/>
      <c r="I90" s="804"/>
      <c r="J90" s="804"/>
      <c r="K90" s="804"/>
      <c r="L90" s="804"/>
      <c r="M90" s="804"/>
      <c r="N90" s="804"/>
      <c r="O90" s="804"/>
      <c r="P90" s="804"/>
      <c r="Q90" s="774"/>
      <c r="R90" s="774"/>
      <c r="S90" s="804"/>
      <c r="T90" s="690" t="b" cm="1">
        <f t="array" ref="T90">T89</f>
        <v>1</v>
      </c>
      <c r="U90" s="1150"/>
      <c r="V90" s="1150"/>
      <c r="W90" s="1150"/>
      <c r="X90" s="1428"/>
      <c r="Y90" s="1150"/>
      <c r="Z90" s="1428"/>
      <c r="AA90" s="781"/>
      <c r="AB90" s="121" t="s">
        <v>1476</v>
      </c>
      <c r="AC90" s="524" t="s">
        <v>1477</v>
      </c>
      <c r="AD90" s="117" t="s">
        <v>1572</v>
      </c>
      <c r="AE90" s="520" t="s">
        <v>959</v>
      </c>
      <c r="AF90" s="1232"/>
      <c r="AG90" s="1232"/>
      <c r="AH90" s="449"/>
      <c r="AI90" s="449"/>
      <c r="AJ90" s="449"/>
      <c r="AK90" s="449"/>
      <c r="AL90" s="449"/>
      <c r="AM90" s="449"/>
      <c r="AN90" s="449"/>
      <c r="AO90" s="449"/>
      <c r="AP90" s="449"/>
      <c r="AQ90" s="449"/>
      <c r="AR90" s="449"/>
      <c r="AS90" s="449"/>
      <c r="AT90" s="449"/>
      <c r="AU90" s="449"/>
      <c r="AV90" s="449"/>
      <c r="AW90" s="449"/>
      <c r="AX90" s="449"/>
      <c r="AY90" s="449"/>
      <c r="AZ90" s="971" t="s">
        <v>1479</v>
      </c>
    </row>
    <row r="91" spans="1:52" s="1167" customFormat="1" ht="16.5" customHeight="1" x14ac:dyDescent="0.15">
      <c r="A91" s="1150"/>
      <c r="B91" s="773"/>
      <c r="C91" s="1150"/>
      <c r="D91" s="1150"/>
      <c r="E91" s="668">
        <v>17.3</v>
      </c>
      <c r="F91" s="769" t="str" cm="1">
        <f t="array" ref="F91">F90</f>
        <v>1</v>
      </c>
      <c r="G91" s="612" t="s">
        <v>1016</v>
      </c>
      <c r="H91" s="804"/>
      <c r="I91" s="804"/>
      <c r="J91" s="804"/>
      <c r="K91" s="804"/>
      <c r="L91" s="804"/>
      <c r="M91" s="804"/>
      <c r="N91" s="804"/>
      <c r="O91" s="804"/>
      <c r="P91" s="804"/>
      <c r="Q91" s="774"/>
      <c r="R91" s="774"/>
      <c r="S91" s="804"/>
      <c r="T91" s="690" t="b" cm="1">
        <f t="array" ref="T91">T90</f>
        <v>1</v>
      </c>
      <c r="U91" s="1150"/>
      <c r="V91" s="1150"/>
      <c r="W91" s="1150"/>
      <c r="X91" s="1428"/>
      <c r="Y91" s="1150"/>
      <c r="Z91" s="1428"/>
      <c r="AA91" s="781"/>
      <c r="AB91" s="121" t="s">
        <v>1480</v>
      </c>
      <c r="AC91" s="480" t="s">
        <v>1481</v>
      </c>
      <c r="AD91" s="522"/>
      <c r="AE91" s="520" t="s">
        <v>1426</v>
      </c>
      <c r="AF91" s="1232">
        <f ca="1">SUMIFS('Ресурсы (5.4)'!AF$26:AF$47,'Ресурсы (5.4)'!$F$26:$F$47,$F91,'Ресурсы (5.4)'!$G$26:$G$47,$G91)</f>
        <v>875.74</v>
      </c>
      <c r="AG91" s="1232">
        <f ca="1">SUMIFS('Ресурсы (5.4)'!AG$26:AG$47,'Ресурсы (5.4)'!$F$26:$F$47,$F91,'Ресурсы (5.4)'!$G$26:$G$47,$G91)</f>
        <v>875.74</v>
      </c>
      <c r="AH91" s="449"/>
      <c r="AI91" s="449"/>
      <c r="AJ91" s="449"/>
      <c r="AK91" s="449"/>
      <c r="AL91" s="449"/>
      <c r="AM91" s="449"/>
      <c r="AN91" s="449"/>
      <c r="AO91" s="449"/>
      <c r="AP91" s="449"/>
      <c r="AQ91" s="449"/>
      <c r="AR91" s="449"/>
      <c r="AS91" s="449"/>
      <c r="AT91" s="449"/>
      <c r="AU91" s="449"/>
      <c r="AV91" s="449"/>
      <c r="AW91" s="449"/>
      <c r="AX91" s="449"/>
      <c r="AY91" s="449"/>
      <c r="AZ91" s="971" t="s">
        <v>1482</v>
      </c>
    </row>
    <row r="92" spans="1:52" s="1167" customFormat="1" ht="30" customHeight="1" x14ac:dyDescent="0.15">
      <c r="A92" s="1150"/>
      <c r="B92" s="773"/>
      <c r="C92" s="1150"/>
      <c r="D92" s="1150"/>
      <c r="E92" s="668">
        <v>30.8</v>
      </c>
      <c r="F92" s="769" t="str" cm="1">
        <f t="array" ref="F92">F91</f>
        <v>1</v>
      </c>
      <c r="G92" s="804"/>
      <c r="H92" s="804"/>
      <c r="I92" s="804"/>
      <c r="J92" s="804"/>
      <c r="K92" s="804"/>
      <c r="L92" s="804"/>
      <c r="M92" s="804"/>
      <c r="N92" s="804"/>
      <c r="O92" s="804"/>
      <c r="P92" s="804"/>
      <c r="Q92" s="774"/>
      <c r="R92" s="774"/>
      <c r="S92" s="804"/>
      <c r="T92" s="690" t="b" cm="1">
        <f t="array" ref="T92">T91</f>
        <v>1</v>
      </c>
      <c r="U92" s="1150"/>
      <c r="V92" s="1150"/>
      <c r="W92" s="1150"/>
      <c r="X92" s="1428"/>
      <c r="Y92" s="1150"/>
      <c r="Z92" s="1428"/>
      <c r="AA92" s="781"/>
      <c r="AB92" s="121" t="s">
        <v>1483</v>
      </c>
      <c r="AC92" s="524" t="s">
        <v>1484</v>
      </c>
      <c r="AD92" s="117" t="s">
        <v>1573</v>
      </c>
      <c r="AE92" s="520" t="s">
        <v>1486</v>
      </c>
      <c r="AF92" s="1232"/>
      <c r="AG92" s="1232"/>
      <c r="AH92" s="449"/>
      <c r="AI92" s="449"/>
      <c r="AJ92" s="449"/>
      <c r="AK92" s="449"/>
      <c r="AL92" s="449"/>
      <c r="AM92" s="449"/>
      <c r="AN92" s="449"/>
      <c r="AO92" s="449"/>
      <c r="AP92" s="449"/>
      <c r="AQ92" s="449"/>
      <c r="AR92" s="449"/>
      <c r="AS92" s="449"/>
      <c r="AT92" s="449"/>
      <c r="AU92" s="449"/>
      <c r="AV92" s="449"/>
      <c r="AW92" s="449"/>
      <c r="AX92" s="449"/>
      <c r="AY92" s="449"/>
      <c r="AZ92" s="971" t="s">
        <v>1025</v>
      </c>
    </row>
    <row r="93" spans="1:52" s="1167" customFormat="1" ht="30" customHeight="1" x14ac:dyDescent="0.15">
      <c r="A93" s="1150"/>
      <c r="B93" s="773"/>
      <c r="C93" s="1150"/>
      <c r="D93" s="1150"/>
      <c r="E93" s="668">
        <v>30.8</v>
      </c>
      <c r="F93" s="769" t="str" cm="1">
        <f t="array" ref="F93">F92</f>
        <v>1</v>
      </c>
      <c r="G93" s="804"/>
      <c r="H93" s="804"/>
      <c r="I93" s="804"/>
      <c r="J93" s="804"/>
      <c r="K93" s="804"/>
      <c r="L93" s="804"/>
      <c r="M93" s="804"/>
      <c r="N93" s="804"/>
      <c r="O93" s="804"/>
      <c r="P93" s="804"/>
      <c r="Q93" s="774"/>
      <c r="R93" s="774"/>
      <c r="S93" s="804"/>
      <c r="T93" s="690" t="b" cm="1">
        <f t="array" ref="T93">T92</f>
        <v>1</v>
      </c>
      <c r="U93" s="1150"/>
      <c r="V93" s="1150"/>
      <c r="W93" s="1150"/>
      <c r="X93" s="1428"/>
      <c r="Y93" s="1150"/>
      <c r="Z93" s="1428"/>
      <c r="AA93" s="781"/>
      <c r="AB93" s="121" t="s">
        <v>1487</v>
      </c>
      <c r="AC93" s="524" t="s">
        <v>1469</v>
      </c>
      <c r="AD93" s="117" t="s">
        <v>1570</v>
      </c>
      <c r="AE93" s="520" t="s">
        <v>622</v>
      </c>
      <c r="AF93" s="1232"/>
      <c r="AG93" s="1232"/>
      <c r="AH93" s="449"/>
      <c r="AI93" s="449"/>
      <c r="AJ93" s="449"/>
      <c r="AK93" s="449"/>
      <c r="AL93" s="449"/>
      <c r="AM93" s="449"/>
      <c r="AN93" s="449"/>
      <c r="AO93" s="449"/>
      <c r="AP93" s="449"/>
      <c r="AQ93" s="449"/>
      <c r="AR93" s="449"/>
      <c r="AS93" s="449"/>
      <c r="AT93" s="449"/>
      <c r="AU93" s="449"/>
      <c r="AV93" s="449"/>
      <c r="AW93" s="449"/>
      <c r="AX93" s="449"/>
      <c r="AY93" s="449"/>
      <c r="AZ93" s="971" t="s">
        <v>1488</v>
      </c>
    </row>
    <row r="94" spans="1:52" s="1167" customFormat="1" ht="29.25" customHeight="1" x14ac:dyDescent="0.15">
      <c r="A94" s="1150"/>
      <c r="B94" s="773"/>
      <c r="C94" s="1150"/>
      <c r="D94" s="1150"/>
      <c r="E94" s="668">
        <v>30</v>
      </c>
      <c r="F94" s="769" t="str" cm="1">
        <f t="array" ref="F94">F93</f>
        <v>1</v>
      </c>
      <c r="G94" s="804"/>
      <c r="H94" s="804"/>
      <c r="I94" s="804"/>
      <c r="J94" s="804"/>
      <c r="K94" s="804"/>
      <c r="L94" s="804"/>
      <c r="M94" s="804"/>
      <c r="N94" s="804"/>
      <c r="O94" s="804"/>
      <c r="P94" s="804"/>
      <c r="Q94" s="774"/>
      <c r="R94" s="774"/>
      <c r="S94" s="804"/>
      <c r="T94" s="690" t="b" cm="1">
        <f t="array" ref="T94">T93</f>
        <v>1</v>
      </c>
      <c r="U94" s="1150"/>
      <c r="V94" s="1150"/>
      <c r="W94" s="1150"/>
      <c r="X94" s="1428"/>
      <c r="Y94" s="1150"/>
      <c r="Z94" s="1428"/>
      <c r="AA94" s="781"/>
      <c r="AB94" s="121" t="s">
        <v>1489</v>
      </c>
      <c r="AC94" s="524" t="s">
        <v>1473</v>
      </c>
      <c r="AD94" s="117" t="s">
        <v>1571</v>
      </c>
      <c r="AE94" s="520" t="s">
        <v>622</v>
      </c>
      <c r="AF94" s="1232"/>
      <c r="AG94" s="1232"/>
      <c r="AH94" s="449"/>
      <c r="AI94" s="449"/>
      <c r="AJ94" s="449"/>
      <c r="AK94" s="449"/>
      <c r="AL94" s="449"/>
      <c r="AM94" s="449"/>
      <c r="AN94" s="449"/>
      <c r="AO94" s="449"/>
      <c r="AP94" s="449"/>
      <c r="AQ94" s="449"/>
      <c r="AR94" s="449"/>
      <c r="AS94" s="449"/>
      <c r="AT94" s="449"/>
      <c r="AU94" s="449"/>
      <c r="AV94" s="449"/>
      <c r="AW94" s="449"/>
      <c r="AX94" s="449"/>
      <c r="AY94" s="449"/>
      <c r="AZ94" s="971" t="s">
        <v>1490</v>
      </c>
    </row>
    <row r="95" spans="1:52" s="1167" customFormat="1" ht="21" customHeight="1" x14ac:dyDescent="0.15">
      <c r="A95" s="1150"/>
      <c r="B95" s="773"/>
      <c r="C95" s="1150"/>
      <c r="D95" s="1150"/>
      <c r="E95" s="668">
        <v>21.8</v>
      </c>
      <c r="F95" s="769" t="str" cm="1">
        <f t="array" ref="F95">F94</f>
        <v>1</v>
      </c>
      <c r="G95" s="804"/>
      <c r="H95" s="804"/>
      <c r="I95" s="804"/>
      <c r="J95" s="804"/>
      <c r="K95" s="804"/>
      <c r="L95" s="804"/>
      <c r="M95" s="804"/>
      <c r="N95" s="804"/>
      <c r="O95" s="804"/>
      <c r="P95" s="804"/>
      <c r="Q95" s="774"/>
      <c r="R95" s="774"/>
      <c r="S95" s="804"/>
      <c r="T95" s="690" t="b" cm="1">
        <f t="array" ref="T95">T94</f>
        <v>1</v>
      </c>
      <c r="U95" s="1150"/>
      <c r="V95" s="1150"/>
      <c r="W95" s="1150"/>
      <c r="X95" s="1428"/>
      <c r="Y95" s="1150"/>
      <c r="Z95" s="1428"/>
      <c r="AA95" s="781"/>
      <c r="AB95" s="121" t="s">
        <v>1491</v>
      </c>
      <c r="AC95" s="524" t="s">
        <v>1492</v>
      </c>
      <c r="AD95" s="117" t="s">
        <v>1572</v>
      </c>
      <c r="AE95" s="520" t="s">
        <v>1493</v>
      </c>
      <c r="AF95" s="1232"/>
      <c r="AG95" s="1232"/>
      <c r="AH95" s="449"/>
      <c r="AI95" s="449"/>
      <c r="AJ95" s="449"/>
      <c r="AK95" s="449"/>
      <c r="AL95" s="449"/>
      <c r="AM95" s="449"/>
      <c r="AN95" s="449"/>
      <c r="AO95" s="449"/>
      <c r="AP95" s="449"/>
      <c r="AQ95" s="449"/>
      <c r="AR95" s="449"/>
      <c r="AS95" s="449"/>
      <c r="AT95" s="449"/>
      <c r="AU95" s="449"/>
      <c r="AV95" s="449"/>
      <c r="AW95" s="449"/>
      <c r="AX95" s="449"/>
      <c r="AY95" s="449"/>
      <c r="AZ95" s="971" t="s">
        <v>1494</v>
      </c>
    </row>
    <row r="96" spans="1:52" s="1167" customFormat="1" ht="15.75" customHeight="1" x14ac:dyDescent="0.15">
      <c r="A96" s="1150"/>
      <c r="B96" s="773"/>
      <c r="C96" s="1150"/>
      <c r="D96" s="1150"/>
      <c r="E96" s="668">
        <v>16.5</v>
      </c>
      <c r="F96" s="769" t="str" cm="1">
        <f t="array" ref="F96">F95</f>
        <v>1</v>
      </c>
      <c r="G96" s="612" t="s">
        <v>984</v>
      </c>
      <c r="H96" s="804"/>
      <c r="I96" s="804"/>
      <c r="J96" s="804"/>
      <c r="K96" s="804"/>
      <c r="L96" s="804"/>
      <c r="M96" s="804"/>
      <c r="N96" s="804"/>
      <c r="O96" s="804"/>
      <c r="P96" s="804"/>
      <c r="Q96" s="774"/>
      <c r="R96" s="774"/>
      <c r="S96" s="804"/>
      <c r="T96" s="690" t="b" cm="1">
        <f t="array" ref="T96">T95</f>
        <v>1</v>
      </c>
      <c r="U96" s="1150"/>
      <c r="V96" s="1150"/>
      <c r="W96" s="1150"/>
      <c r="X96" s="1428"/>
      <c r="Y96" s="1150"/>
      <c r="Z96" s="1428"/>
      <c r="AA96" s="781"/>
      <c r="AB96" s="121" t="s">
        <v>1495</v>
      </c>
      <c r="AC96" s="480" t="s">
        <v>1496</v>
      </c>
      <c r="AD96" s="522"/>
      <c r="AE96" s="520" t="s">
        <v>1426</v>
      </c>
      <c r="AF96" s="1232">
        <f ca="1">SUMIFS('Ресурсы (5.4)'!AF$26:AF$47,'Ресурсы (5.4)'!$F$26:$F$47,$F96,'Ресурсы (5.4)'!$G$26:$G$47,$G96)</f>
        <v>0</v>
      </c>
      <c r="AG96" s="1232">
        <f ca="1">SUMIFS('Ресурсы (5.4)'!AG$26:AG$47,'Ресурсы (5.4)'!$F$26:$F$47,$F96,'Ресурсы (5.4)'!$G$26:$G$47,$G96)</f>
        <v>0</v>
      </c>
      <c r="AH96" s="449"/>
      <c r="AI96" s="449"/>
      <c r="AJ96" s="449"/>
      <c r="AK96" s="449"/>
      <c r="AL96" s="449"/>
      <c r="AM96" s="449"/>
      <c r="AN96" s="449"/>
      <c r="AO96" s="449"/>
      <c r="AP96" s="449"/>
      <c r="AQ96" s="449"/>
      <c r="AR96" s="449"/>
      <c r="AS96" s="449"/>
      <c r="AT96" s="449"/>
      <c r="AU96" s="449"/>
      <c r="AV96" s="449"/>
      <c r="AW96" s="449"/>
      <c r="AX96" s="449"/>
      <c r="AY96" s="449"/>
      <c r="AZ96" s="971" t="s">
        <v>1497</v>
      </c>
    </row>
    <row r="97" spans="1:52" s="1167" customFormat="1" ht="28.5" customHeight="1" x14ac:dyDescent="0.15">
      <c r="A97" s="1150"/>
      <c r="B97" s="773"/>
      <c r="C97" s="1150"/>
      <c r="D97" s="1150"/>
      <c r="E97" s="668">
        <v>29.3</v>
      </c>
      <c r="F97" s="769" t="str" cm="1">
        <f t="array" ref="F97">F96</f>
        <v>1</v>
      </c>
      <c r="G97" s="804"/>
      <c r="H97" s="804"/>
      <c r="I97" s="804"/>
      <c r="J97" s="804"/>
      <c r="K97" s="804"/>
      <c r="L97" s="804"/>
      <c r="M97" s="804"/>
      <c r="N97" s="804"/>
      <c r="O97" s="804"/>
      <c r="P97" s="804"/>
      <c r="Q97" s="774"/>
      <c r="R97" s="774"/>
      <c r="S97" s="804"/>
      <c r="T97" s="690" t="b" cm="1">
        <f t="array" ref="T97">T96</f>
        <v>1</v>
      </c>
      <c r="U97" s="1150"/>
      <c r="V97" s="1150"/>
      <c r="W97" s="1150"/>
      <c r="X97" s="1428"/>
      <c r="Y97" s="1150"/>
      <c r="Z97" s="1428"/>
      <c r="AA97" s="781"/>
      <c r="AB97" s="121" t="s">
        <v>1498</v>
      </c>
      <c r="AC97" s="524" t="s">
        <v>1499</v>
      </c>
      <c r="AD97" s="117" t="s">
        <v>1574</v>
      </c>
      <c r="AE97" s="520" t="s">
        <v>622</v>
      </c>
      <c r="AF97" s="1232"/>
      <c r="AG97" s="1232"/>
      <c r="AH97" s="449"/>
      <c r="AI97" s="449"/>
      <c r="AJ97" s="449"/>
      <c r="AK97" s="449"/>
      <c r="AL97" s="449"/>
      <c r="AM97" s="449"/>
      <c r="AN97" s="449"/>
      <c r="AO97" s="449"/>
      <c r="AP97" s="449"/>
      <c r="AQ97" s="449"/>
      <c r="AR97" s="449"/>
      <c r="AS97" s="449"/>
      <c r="AT97" s="449"/>
      <c r="AU97" s="449"/>
      <c r="AV97" s="449"/>
      <c r="AW97" s="449"/>
      <c r="AX97" s="449"/>
      <c r="AY97" s="449"/>
      <c r="AZ97" s="971" t="s">
        <v>1006</v>
      </c>
    </row>
    <row r="98" spans="1:52" s="1167" customFormat="1" ht="30" customHeight="1" x14ac:dyDescent="0.15">
      <c r="A98" s="1150"/>
      <c r="B98" s="773"/>
      <c r="C98" s="1150"/>
      <c r="D98" s="1150"/>
      <c r="E98" s="668">
        <v>31.5</v>
      </c>
      <c r="F98" s="769" t="str" cm="1">
        <f t="array" ref="F98">F97</f>
        <v>1</v>
      </c>
      <c r="G98" s="804"/>
      <c r="H98" s="804"/>
      <c r="I98" s="804"/>
      <c r="J98" s="804"/>
      <c r="K98" s="804"/>
      <c r="L98" s="804"/>
      <c r="M98" s="804"/>
      <c r="N98" s="804"/>
      <c r="O98" s="804"/>
      <c r="P98" s="804"/>
      <c r="Q98" s="774"/>
      <c r="R98" s="774"/>
      <c r="S98" s="804"/>
      <c r="T98" s="690" t="b" cm="1">
        <f t="array" ref="T98">T97</f>
        <v>1</v>
      </c>
      <c r="U98" s="1150"/>
      <c r="V98" s="1150"/>
      <c r="W98" s="1150"/>
      <c r="X98" s="1428"/>
      <c r="Y98" s="1150"/>
      <c r="Z98" s="1428"/>
      <c r="AA98" s="781"/>
      <c r="AB98" s="121" t="s">
        <v>1501</v>
      </c>
      <c r="AC98" s="524" t="s">
        <v>1469</v>
      </c>
      <c r="AD98" s="117" t="s">
        <v>1570</v>
      </c>
      <c r="AE98" s="520" t="s">
        <v>622</v>
      </c>
      <c r="AF98" s="1232"/>
      <c r="AG98" s="1232"/>
      <c r="AH98" s="449"/>
      <c r="AI98" s="449"/>
      <c r="AJ98" s="449"/>
      <c r="AK98" s="449"/>
      <c r="AL98" s="449"/>
      <c r="AM98" s="449"/>
      <c r="AN98" s="449"/>
      <c r="AO98" s="449"/>
      <c r="AP98" s="449"/>
      <c r="AQ98" s="449"/>
      <c r="AR98" s="449"/>
      <c r="AS98" s="449"/>
      <c r="AT98" s="449"/>
      <c r="AU98" s="449"/>
      <c r="AV98" s="449"/>
      <c r="AW98" s="449"/>
      <c r="AX98" s="449"/>
      <c r="AY98" s="449"/>
      <c r="AZ98" s="971" t="s">
        <v>1451</v>
      </c>
    </row>
    <row r="99" spans="1:52" s="1167" customFormat="1" ht="27.75" customHeight="1" x14ac:dyDescent="0.15">
      <c r="A99" s="1150"/>
      <c r="B99" s="773"/>
      <c r="C99" s="1150"/>
      <c r="D99" s="1150"/>
      <c r="E99" s="668">
        <v>28.5</v>
      </c>
      <c r="F99" s="769" t="str" cm="1">
        <f t="array" ref="F99">F98</f>
        <v>1</v>
      </c>
      <c r="G99" s="804"/>
      <c r="H99" s="804"/>
      <c r="I99" s="804"/>
      <c r="J99" s="804"/>
      <c r="K99" s="804"/>
      <c r="L99" s="804"/>
      <c r="M99" s="804"/>
      <c r="N99" s="804"/>
      <c r="O99" s="804"/>
      <c r="P99" s="804"/>
      <c r="Q99" s="774"/>
      <c r="R99" s="774"/>
      <c r="S99" s="804"/>
      <c r="T99" s="690" t="b" cm="1">
        <f t="array" ref="T99">T98</f>
        <v>1</v>
      </c>
      <c r="U99" s="1150"/>
      <c r="V99" s="1150"/>
      <c r="W99" s="1150"/>
      <c r="X99" s="1428"/>
      <c r="Y99" s="1150"/>
      <c r="Z99" s="1428"/>
      <c r="AA99" s="781"/>
      <c r="AB99" s="121" t="s">
        <v>1502</v>
      </c>
      <c r="AC99" s="524" t="s">
        <v>1473</v>
      </c>
      <c r="AD99" s="117" t="s">
        <v>1571</v>
      </c>
      <c r="AE99" s="520" t="s">
        <v>622</v>
      </c>
      <c r="AF99" s="1232"/>
      <c r="AG99" s="1232"/>
      <c r="AH99" s="449"/>
      <c r="AI99" s="449"/>
      <c r="AJ99" s="449"/>
      <c r="AK99" s="449"/>
      <c r="AL99" s="449"/>
      <c r="AM99" s="449"/>
      <c r="AN99" s="449"/>
      <c r="AO99" s="449"/>
      <c r="AP99" s="449"/>
      <c r="AQ99" s="449"/>
      <c r="AR99" s="449"/>
      <c r="AS99" s="449"/>
      <c r="AT99" s="449"/>
      <c r="AU99" s="449"/>
      <c r="AV99" s="449"/>
      <c r="AW99" s="449"/>
      <c r="AX99" s="449"/>
      <c r="AY99" s="449"/>
      <c r="AZ99" s="971" t="s">
        <v>1503</v>
      </c>
    </row>
    <row r="100" spans="1:52" s="1167" customFormat="1" ht="21.75" customHeight="1" x14ac:dyDescent="0.15">
      <c r="A100" s="1150"/>
      <c r="B100" s="773"/>
      <c r="C100" s="1150"/>
      <c r="D100" s="1150"/>
      <c r="E100" s="668">
        <v>22.8</v>
      </c>
      <c r="F100" s="769" t="str" cm="1">
        <f t="array" ref="F100">F99</f>
        <v>1</v>
      </c>
      <c r="G100" s="804"/>
      <c r="H100" s="804"/>
      <c r="I100" s="804"/>
      <c r="J100" s="804"/>
      <c r="K100" s="804"/>
      <c r="L100" s="804"/>
      <c r="M100" s="804"/>
      <c r="N100" s="804"/>
      <c r="O100" s="804"/>
      <c r="P100" s="804"/>
      <c r="Q100" s="774"/>
      <c r="R100" s="774"/>
      <c r="S100" s="804"/>
      <c r="T100" s="690" t="b" cm="1">
        <f t="array" ref="T100">T99</f>
        <v>1</v>
      </c>
      <c r="U100" s="1150"/>
      <c r="V100" s="1150"/>
      <c r="W100" s="1150"/>
      <c r="X100" s="1428"/>
      <c r="Y100" s="1150"/>
      <c r="Z100" s="1428"/>
      <c r="AA100" s="781"/>
      <c r="AB100" s="121" t="s">
        <v>1504</v>
      </c>
      <c r="AC100" s="524" t="s">
        <v>1505</v>
      </c>
      <c r="AD100" s="117" t="s">
        <v>1572</v>
      </c>
      <c r="AE100" s="520" t="s">
        <v>920</v>
      </c>
      <c r="AF100" s="1232"/>
      <c r="AG100" s="1232"/>
      <c r="AH100" s="449"/>
      <c r="AI100" s="449"/>
      <c r="AJ100" s="449"/>
      <c r="AK100" s="449"/>
      <c r="AL100" s="449"/>
      <c r="AM100" s="449"/>
      <c r="AN100" s="449"/>
      <c r="AO100" s="449"/>
      <c r="AP100" s="449"/>
      <c r="AQ100" s="449"/>
      <c r="AR100" s="449"/>
      <c r="AS100" s="449"/>
      <c r="AT100" s="449"/>
      <c r="AU100" s="449"/>
      <c r="AV100" s="449"/>
      <c r="AW100" s="449"/>
      <c r="AX100" s="449"/>
      <c r="AY100" s="449"/>
      <c r="AZ100" s="971" t="s">
        <v>1506</v>
      </c>
    </row>
    <row r="101" spans="1:52" s="1167" customFormat="1" ht="15.75" customHeight="1" x14ac:dyDescent="0.15">
      <c r="A101" s="1150"/>
      <c r="B101" s="773"/>
      <c r="C101" s="1150"/>
      <c r="D101" s="1150"/>
      <c r="E101" s="668">
        <v>16.5</v>
      </c>
      <c r="F101" s="769" t="str" cm="1">
        <f t="array" ref="F101">F100</f>
        <v>1</v>
      </c>
      <c r="G101" s="612" t="s">
        <v>1027</v>
      </c>
      <c r="H101" s="804"/>
      <c r="I101" s="804"/>
      <c r="J101" s="804"/>
      <c r="K101" s="804"/>
      <c r="L101" s="804"/>
      <c r="M101" s="804"/>
      <c r="N101" s="804"/>
      <c r="O101" s="804"/>
      <c r="P101" s="804"/>
      <c r="Q101" s="774"/>
      <c r="R101" s="774"/>
      <c r="S101" s="804"/>
      <c r="T101" s="690" t="b" cm="1">
        <f t="array" ref="T101">T100</f>
        <v>1</v>
      </c>
      <c r="U101" s="1150"/>
      <c r="V101" s="1150"/>
      <c r="W101" s="1150"/>
      <c r="X101" s="1428"/>
      <c r="Y101" s="1150"/>
      <c r="Z101" s="1428"/>
      <c r="AA101" s="781"/>
      <c r="AB101" s="121" t="s">
        <v>1507</v>
      </c>
      <c r="AC101" s="480" t="s">
        <v>1508</v>
      </c>
      <c r="AD101" s="522"/>
      <c r="AE101" s="520" t="s">
        <v>1426</v>
      </c>
      <c r="AF101" s="1232">
        <f ca="1">SUMIFS('Ресурсы (5.4)'!AF$26:AF$47,'Ресурсы (5.4)'!$F$26:$F$47,$F101,'Ресурсы (5.4)'!$G$26:$G$47,$G101)</f>
        <v>0</v>
      </c>
      <c r="AG101" s="1232">
        <f ca="1">SUMIFS('Ресурсы (5.4)'!AG$26:AG$47,'Ресурсы (5.4)'!$F$26:$F$47,$F101,'Ресурсы (5.4)'!$G$26:$G$47,$G101)</f>
        <v>0</v>
      </c>
      <c r="AH101" s="449"/>
      <c r="AI101" s="449"/>
      <c r="AJ101" s="449"/>
      <c r="AK101" s="449"/>
      <c r="AL101" s="449"/>
      <c r="AM101" s="449"/>
      <c r="AN101" s="449"/>
      <c r="AO101" s="449"/>
      <c r="AP101" s="449"/>
      <c r="AQ101" s="449"/>
      <c r="AR101" s="449"/>
      <c r="AS101" s="449"/>
      <c r="AT101" s="449"/>
      <c r="AU101" s="449"/>
      <c r="AV101" s="449"/>
      <c r="AW101" s="449"/>
      <c r="AX101" s="449"/>
      <c r="AY101" s="449"/>
      <c r="AZ101" s="971" t="s">
        <v>1509</v>
      </c>
    </row>
    <row r="102" spans="1:52" s="1167" customFormat="1" ht="28.5" customHeight="1" x14ac:dyDescent="0.15">
      <c r="A102" s="1150"/>
      <c r="B102" s="773"/>
      <c r="C102" s="1150"/>
      <c r="D102" s="1150"/>
      <c r="E102" s="668">
        <v>29.3</v>
      </c>
      <c r="F102" s="769" t="str" cm="1">
        <f t="array" ref="F102">F101</f>
        <v>1</v>
      </c>
      <c r="G102" s="804"/>
      <c r="H102" s="804"/>
      <c r="I102" s="804"/>
      <c r="J102" s="804"/>
      <c r="K102" s="804"/>
      <c r="L102" s="804"/>
      <c r="M102" s="804"/>
      <c r="N102" s="804"/>
      <c r="O102" s="804"/>
      <c r="P102" s="804"/>
      <c r="Q102" s="774"/>
      <c r="R102" s="774"/>
      <c r="S102" s="804"/>
      <c r="T102" s="690" t="b" cm="1">
        <f t="array" ref="T102">T101</f>
        <v>1</v>
      </c>
      <c r="U102" s="1150"/>
      <c r="V102" s="1150"/>
      <c r="W102" s="1150"/>
      <c r="X102" s="1428"/>
      <c r="Y102" s="1150"/>
      <c r="Z102" s="1428"/>
      <c r="AA102" s="781"/>
      <c r="AB102" s="121" t="s">
        <v>1510</v>
      </c>
      <c r="AC102" s="524" t="s">
        <v>1511</v>
      </c>
      <c r="AD102" s="117" t="s">
        <v>1574</v>
      </c>
      <c r="AE102" s="520" t="s">
        <v>1486</v>
      </c>
      <c r="AF102" s="1232"/>
      <c r="AG102" s="1232"/>
      <c r="AH102" s="449"/>
      <c r="AI102" s="449"/>
      <c r="AJ102" s="449"/>
      <c r="AK102" s="449"/>
      <c r="AL102" s="449"/>
      <c r="AM102" s="449"/>
      <c r="AN102" s="449"/>
      <c r="AO102" s="449"/>
      <c r="AP102" s="449"/>
      <c r="AQ102" s="449"/>
      <c r="AR102" s="449"/>
      <c r="AS102" s="449"/>
      <c r="AT102" s="449"/>
      <c r="AU102" s="449"/>
      <c r="AV102" s="449"/>
      <c r="AW102" s="449"/>
      <c r="AX102" s="449"/>
      <c r="AY102" s="449"/>
      <c r="AZ102" s="971" t="s">
        <v>1034</v>
      </c>
    </row>
    <row r="103" spans="1:52" s="1167" customFormat="1" ht="30" customHeight="1" x14ac:dyDescent="0.15">
      <c r="A103" s="1150"/>
      <c r="B103" s="773"/>
      <c r="C103" s="1150"/>
      <c r="D103" s="1150"/>
      <c r="E103" s="668">
        <v>31.5</v>
      </c>
      <c r="F103" s="769" t="str" cm="1">
        <f t="array" ref="F103">F102</f>
        <v>1</v>
      </c>
      <c r="G103" s="804"/>
      <c r="H103" s="804"/>
      <c r="I103" s="804"/>
      <c r="J103" s="804"/>
      <c r="K103" s="804"/>
      <c r="L103" s="804"/>
      <c r="M103" s="804"/>
      <c r="N103" s="804"/>
      <c r="O103" s="804"/>
      <c r="P103" s="804"/>
      <c r="Q103" s="774"/>
      <c r="R103" s="774"/>
      <c r="S103" s="804"/>
      <c r="T103" s="690" t="b" cm="1">
        <f t="array" ref="T103">T102</f>
        <v>1</v>
      </c>
      <c r="U103" s="1150"/>
      <c r="V103" s="1150"/>
      <c r="W103" s="1150"/>
      <c r="X103" s="1428"/>
      <c r="Y103" s="1150"/>
      <c r="Z103" s="1428"/>
      <c r="AA103" s="781"/>
      <c r="AB103" s="121" t="s">
        <v>1512</v>
      </c>
      <c r="AC103" s="524" t="s">
        <v>1469</v>
      </c>
      <c r="AD103" s="117" t="s">
        <v>1570</v>
      </c>
      <c r="AE103" s="520" t="s">
        <v>622</v>
      </c>
      <c r="AF103" s="1232"/>
      <c r="AG103" s="1232"/>
      <c r="AH103" s="449"/>
      <c r="AI103" s="449"/>
      <c r="AJ103" s="449"/>
      <c r="AK103" s="449"/>
      <c r="AL103" s="449"/>
      <c r="AM103" s="449"/>
      <c r="AN103" s="449"/>
      <c r="AO103" s="449"/>
      <c r="AP103" s="449"/>
      <c r="AQ103" s="449"/>
      <c r="AR103" s="449"/>
      <c r="AS103" s="449"/>
      <c r="AT103" s="449"/>
      <c r="AU103" s="449"/>
      <c r="AV103" s="449"/>
      <c r="AW103" s="449"/>
      <c r="AX103" s="449"/>
      <c r="AY103" s="449"/>
      <c r="AZ103" s="971" t="s">
        <v>1513</v>
      </c>
    </row>
    <row r="104" spans="1:52" s="1167" customFormat="1" ht="27.75" customHeight="1" x14ac:dyDescent="0.15">
      <c r="A104" s="1150"/>
      <c r="B104" s="773"/>
      <c r="C104" s="1150"/>
      <c r="D104" s="1150"/>
      <c r="E104" s="668">
        <v>28.5</v>
      </c>
      <c r="F104" s="769" t="str" cm="1">
        <f t="array" ref="F104">F103</f>
        <v>1</v>
      </c>
      <c r="G104" s="804"/>
      <c r="H104" s="804"/>
      <c r="I104" s="804"/>
      <c r="J104" s="804"/>
      <c r="K104" s="804"/>
      <c r="L104" s="804"/>
      <c r="M104" s="804"/>
      <c r="N104" s="804"/>
      <c r="O104" s="804"/>
      <c r="P104" s="804"/>
      <c r="Q104" s="774"/>
      <c r="R104" s="774"/>
      <c r="S104" s="804"/>
      <c r="T104" s="690" t="b" cm="1">
        <f t="array" ref="T104">T103</f>
        <v>1</v>
      </c>
      <c r="U104" s="1150"/>
      <c r="V104" s="1150"/>
      <c r="W104" s="1150"/>
      <c r="X104" s="1428"/>
      <c r="Y104" s="1150"/>
      <c r="Z104" s="1428"/>
      <c r="AA104" s="781"/>
      <c r="AB104" s="121" t="s">
        <v>1514</v>
      </c>
      <c r="AC104" s="524" t="s">
        <v>1473</v>
      </c>
      <c r="AD104" s="117" t="s">
        <v>1571</v>
      </c>
      <c r="AE104" s="520" t="s">
        <v>622</v>
      </c>
      <c r="AF104" s="1232"/>
      <c r="AG104" s="1232"/>
      <c r="AH104" s="449"/>
      <c r="AI104" s="449"/>
      <c r="AJ104" s="449"/>
      <c r="AK104" s="449"/>
      <c r="AL104" s="449"/>
      <c r="AM104" s="449"/>
      <c r="AN104" s="449"/>
      <c r="AO104" s="449"/>
      <c r="AP104" s="449"/>
      <c r="AQ104" s="449"/>
      <c r="AR104" s="449"/>
      <c r="AS104" s="449"/>
      <c r="AT104" s="449"/>
      <c r="AU104" s="449"/>
      <c r="AV104" s="449"/>
      <c r="AW104" s="449"/>
      <c r="AX104" s="449"/>
      <c r="AY104" s="449"/>
      <c r="AZ104" s="971" t="s">
        <v>1515</v>
      </c>
    </row>
    <row r="105" spans="1:52" s="1167" customFormat="1" ht="21.75" customHeight="1" x14ac:dyDescent="0.15">
      <c r="A105" s="1150"/>
      <c r="B105" s="773"/>
      <c r="C105" s="1150"/>
      <c r="D105" s="1150"/>
      <c r="E105" s="668">
        <v>22.8</v>
      </c>
      <c r="F105" s="769" t="str" cm="1">
        <f t="array" ref="F105">F104</f>
        <v>1</v>
      </c>
      <c r="G105" s="804"/>
      <c r="H105" s="804"/>
      <c r="I105" s="804"/>
      <c r="J105" s="804"/>
      <c r="K105" s="804"/>
      <c r="L105" s="804"/>
      <c r="M105" s="804"/>
      <c r="N105" s="804"/>
      <c r="O105" s="804"/>
      <c r="P105" s="804"/>
      <c r="Q105" s="774"/>
      <c r="R105" s="774"/>
      <c r="S105" s="804"/>
      <c r="T105" s="690" t="b" cm="1">
        <f t="array" ref="T105">T104</f>
        <v>1</v>
      </c>
      <c r="U105" s="1150"/>
      <c r="V105" s="1150"/>
      <c r="W105" s="1150"/>
      <c r="X105" s="1428"/>
      <c r="Y105" s="1150"/>
      <c r="Z105" s="1428"/>
      <c r="AA105" s="781"/>
      <c r="AB105" s="121" t="s">
        <v>1516</v>
      </c>
      <c r="AC105" s="524" t="s">
        <v>1517</v>
      </c>
      <c r="AD105" s="117" t="s">
        <v>1572</v>
      </c>
      <c r="AE105" s="520" t="s">
        <v>1493</v>
      </c>
      <c r="AF105" s="1232"/>
      <c r="AG105" s="1232"/>
      <c r="AH105" s="449"/>
      <c r="AI105" s="449"/>
      <c r="AJ105" s="449"/>
      <c r="AK105" s="449"/>
      <c r="AL105" s="449"/>
      <c r="AM105" s="449"/>
      <c r="AN105" s="449"/>
      <c r="AO105" s="449"/>
      <c r="AP105" s="449"/>
      <c r="AQ105" s="449"/>
      <c r="AR105" s="449"/>
      <c r="AS105" s="449"/>
      <c r="AT105" s="449"/>
      <c r="AU105" s="449"/>
      <c r="AV105" s="449"/>
      <c r="AW105" s="449"/>
      <c r="AX105" s="449"/>
      <c r="AY105" s="449"/>
      <c r="AZ105" s="971" t="s">
        <v>1518</v>
      </c>
    </row>
    <row r="106" spans="1:52" s="1167" customFormat="1" ht="36.75" customHeight="1" x14ac:dyDescent="0.15">
      <c r="A106" s="1150"/>
      <c r="B106" s="773"/>
      <c r="C106" s="1150"/>
      <c r="D106" s="1150"/>
      <c r="E106" s="668">
        <v>38.299999999999997</v>
      </c>
      <c r="F106" s="769" t="str" cm="1">
        <f t="array" ref="F106">F105</f>
        <v>1</v>
      </c>
      <c r="G106" s="612" t="s">
        <v>1376</v>
      </c>
      <c r="H106" s="804"/>
      <c r="I106" s="804"/>
      <c r="J106" s="804"/>
      <c r="K106" s="804"/>
      <c r="L106" s="804"/>
      <c r="M106" s="804"/>
      <c r="N106" s="804"/>
      <c r="O106" s="804"/>
      <c r="P106" s="804"/>
      <c r="Q106" s="774"/>
      <c r="R106" s="774"/>
      <c r="S106" s="804"/>
      <c r="T106" s="690" t="b" cm="1">
        <f t="array" ref="T106">T105</f>
        <v>1</v>
      </c>
      <c r="U106" s="1150"/>
      <c r="V106" s="1150"/>
      <c r="W106" s="1150"/>
      <c r="X106" s="1428"/>
      <c r="Y106" s="1150"/>
      <c r="Z106" s="1428"/>
      <c r="AA106" s="781"/>
      <c r="AB106" s="121" t="s">
        <v>1519</v>
      </c>
      <c r="AC106" s="463" t="s">
        <v>1520</v>
      </c>
      <c r="AD106" s="522" t="s">
        <v>1521</v>
      </c>
      <c r="AE106" s="520" t="s">
        <v>830</v>
      </c>
      <c r="AF106" s="1232">
        <f ca="1">SUMIFS('Калькуляция (5.9)'!AF$26:AF$137,'Калькуляция (5.9)'!$F$26:$F$137,$F106,'Калькуляция (5.9)'!$G$26:$G$137,$G106)</f>
        <v>56924.579659999996</v>
      </c>
      <c r="AG106" s="1232">
        <f ca="1">SUMIFS('Калькуляция (5.9)'!AG$26:AG$137,'Калькуляция (5.9)'!$F$26:$F$137,$F106,'Калькуляция (5.9)'!$G$26:$G$137,$G106)</f>
        <v>53625.669159999998</v>
      </c>
      <c r="AH106" s="449"/>
      <c r="AI106" s="449"/>
      <c r="AJ106" s="449"/>
      <c r="AK106" s="449"/>
      <c r="AL106" s="449"/>
      <c r="AM106" s="449"/>
      <c r="AN106" s="449"/>
      <c r="AO106" s="449"/>
      <c r="AP106" s="449"/>
      <c r="AQ106" s="449"/>
      <c r="AR106" s="449"/>
      <c r="AS106" s="449"/>
      <c r="AT106" s="449"/>
      <c r="AU106" s="449"/>
      <c r="AV106" s="449"/>
      <c r="AW106" s="449"/>
      <c r="AX106" s="449"/>
      <c r="AY106" s="449"/>
      <c r="AZ106" s="971" t="s">
        <v>1522</v>
      </c>
    </row>
    <row r="107" spans="1:52" s="1167" customFormat="1" ht="20.25" customHeight="1" x14ac:dyDescent="0.15">
      <c r="A107" s="1150"/>
      <c r="B107" s="773"/>
      <c r="C107" s="1150"/>
      <c r="D107" s="1150"/>
      <c r="E107" s="668">
        <v>21</v>
      </c>
      <c r="F107" s="769" t="str" cm="1">
        <f t="array" ref="F107">F106</f>
        <v>1</v>
      </c>
      <c r="G107" s="612" t="s">
        <v>1523</v>
      </c>
      <c r="H107" s="804"/>
      <c r="I107" s="804"/>
      <c r="J107" s="804"/>
      <c r="K107" s="804"/>
      <c r="L107" s="804"/>
      <c r="M107" s="804"/>
      <c r="N107" s="804"/>
      <c r="O107" s="804"/>
      <c r="P107" s="804"/>
      <c r="Q107" s="774"/>
      <c r="R107" s="774"/>
      <c r="S107" s="804"/>
      <c r="T107" s="690" t="b" cm="1">
        <f t="array" ref="T107">T106</f>
        <v>1</v>
      </c>
      <c r="U107" s="1150"/>
      <c r="V107" s="1150"/>
      <c r="W107" s="1150"/>
      <c r="X107" s="1428"/>
      <c r="Y107" s="1150"/>
      <c r="Z107" s="1428"/>
      <c r="AA107" s="781"/>
      <c r="AB107" s="121" t="s">
        <v>1524</v>
      </c>
      <c r="AC107" s="114" t="s">
        <v>1525</v>
      </c>
      <c r="AD107" s="520"/>
      <c r="AE107" s="520" t="s">
        <v>830</v>
      </c>
      <c r="AF107" s="1232">
        <v>7980.21</v>
      </c>
      <c r="AG107" s="1232">
        <v>1872.93</v>
      </c>
      <c r="AH107" s="449"/>
      <c r="AI107" s="449"/>
      <c r="AJ107" s="449"/>
      <c r="AK107" s="449"/>
      <c r="AL107" s="449"/>
      <c r="AM107" s="449"/>
      <c r="AN107" s="449"/>
      <c r="AO107" s="449"/>
      <c r="AP107" s="449"/>
      <c r="AQ107" s="449"/>
      <c r="AR107" s="449"/>
      <c r="AS107" s="449"/>
      <c r="AT107" s="449"/>
      <c r="AU107" s="449"/>
      <c r="AV107" s="449"/>
      <c r="AW107" s="449"/>
      <c r="AX107" s="449"/>
      <c r="AY107" s="449"/>
      <c r="AZ107" s="971" t="s">
        <v>1526</v>
      </c>
    </row>
    <row r="108" spans="1:52" s="1167" customFormat="1" ht="20.25" customHeight="1" x14ac:dyDescent="0.15">
      <c r="A108" s="1150"/>
      <c r="B108" s="773"/>
      <c r="C108" s="1150"/>
      <c r="D108" s="1150"/>
      <c r="E108" s="668">
        <v>21</v>
      </c>
      <c r="F108" s="769" t="str" cm="1">
        <f t="array" ref="F108">F107</f>
        <v>1</v>
      </c>
      <c r="G108" s="804"/>
      <c r="H108" s="804"/>
      <c r="I108" s="804"/>
      <c r="J108" s="804"/>
      <c r="K108" s="804"/>
      <c r="L108" s="804"/>
      <c r="M108" s="804"/>
      <c r="N108" s="804"/>
      <c r="O108" s="804"/>
      <c r="P108" s="804"/>
      <c r="Q108" s="774"/>
      <c r="R108" s="774"/>
      <c r="S108" s="804"/>
      <c r="T108" s="690" t="b" cm="1">
        <f t="array" ref="T108">T107</f>
        <v>1</v>
      </c>
      <c r="U108" s="1150"/>
      <c r="V108" s="1150"/>
      <c r="W108" s="1150"/>
      <c r="X108" s="1428"/>
      <c r="Y108" s="1150"/>
      <c r="Z108" s="1428"/>
      <c r="AA108" s="781"/>
      <c r="AB108" s="121" t="s">
        <v>1527</v>
      </c>
      <c r="AC108" s="882" t="s">
        <v>1528</v>
      </c>
      <c r="AD108" s="520"/>
      <c r="AE108" s="520" t="s">
        <v>521</v>
      </c>
      <c r="AF108" s="1323"/>
      <c r="AG108" s="1323"/>
      <c r="AH108" s="449"/>
      <c r="AI108" s="449"/>
      <c r="AJ108" s="449"/>
      <c r="AK108" s="449"/>
      <c r="AL108" s="449"/>
      <c r="AM108" s="449"/>
      <c r="AN108" s="449"/>
      <c r="AO108" s="449"/>
      <c r="AP108" s="449"/>
      <c r="AQ108" s="449"/>
      <c r="AR108" s="449"/>
      <c r="AS108" s="449"/>
      <c r="AT108" s="449"/>
      <c r="AU108" s="449"/>
      <c r="AV108" s="449"/>
      <c r="AW108" s="449"/>
      <c r="AX108" s="449"/>
      <c r="AY108" s="449"/>
      <c r="AZ108" s="971" t="s">
        <v>1529</v>
      </c>
    </row>
    <row r="109" spans="1:52" s="1167" customFormat="1" ht="21.75" customHeight="1" x14ac:dyDescent="0.15">
      <c r="A109" s="1150"/>
      <c r="B109" s="773"/>
      <c r="C109" s="1150"/>
      <c r="D109" s="1150"/>
      <c r="E109" s="668">
        <v>22.5</v>
      </c>
      <c r="F109" s="769" t="str" cm="1">
        <f t="array" ref="F109">F107</f>
        <v>1</v>
      </c>
      <c r="G109" s="612" t="s">
        <v>1530</v>
      </c>
      <c r="H109" s="804"/>
      <c r="I109" s="804"/>
      <c r="J109" s="804"/>
      <c r="K109" s="804"/>
      <c r="L109" s="804"/>
      <c r="M109" s="804"/>
      <c r="N109" s="804"/>
      <c r="O109" s="804"/>
      <c r="P109" s="804"/>
      <c r="Q109" s="774"/>
      <c r="R109" s="774"/>
      <c r="S109" s="804"/>
      <c r="T109" s="690" t="b" cm="1">
        <f t="array" ref="T109">T107</f>
        <v>1</v>
      </c>
      <c r="U109" s="1150"/>
      <c r="V109" s="1150"/>
      <c r="W109" s="1150"/>
      <c r="X109" s="1428"/>
      <c r="Y109" s="1150"/>
      <c r="Z109" s="1428"/>
      <c r="AA109" s="781"/>
      <c r="AB109" s="121" t="s">
        <v>1531</v>
      </c>
      <c r="AC109" s="114" t="s">
        <v>1532</v>
      </c>
      <c r="AD109" s="520"/>
      <c r="AE109" s="520" t="s">
        <v>830</v>
      </c>
      <c r="AF109" s="1232">
        <v>11263.899107822601</v>
      </c>
      <c r="AG109" s="1232">
        <v>11263.898999999999</v>
      </c>
      <c r="AH109" s="449"/>
      <c r="AI109" s="449"/>
      <c r="AJ109" s="449"/>
      <c r="AK109" s="449"/>
      <c r="AL109" s="449"/>
      <c r="AM109" s="449"/>
      <c r="AN109" s="449"/>
      <c r="AO109" s="449"/>
      <c r="AP109" s="449"/>
      <c r="AQ109" s="449"/>
      <c r="AR109" s="449"/>
      <c r="AS109" s="449"/>
      <c r="AT109" s="449"/>
      <c r="AU109" s="449"/>
      <c r="AV109" s="449"/>
      <c r="AW109" s="449"/>
      <c r="AX109" s="449"/>
      <c r="AY109" s="449"/>
      <c r="AZ109" s="971" t="s">
        <v>1533</v>
      </c>
    </row>
    <row r="110" spans="1:52" s="1167" customFormat="1" ht="21.75" customHeight="1" x14ac:dyDescent="0.15">
      <c r="A110" s="1150"/>
      <c r="B110" s="773"/>
      <c r="C110" s="1150"/>
      <c r="D110" s="1150"/>
      <c r="E110" s="668">
        <v>22.8</v>
      </c>
      <c r="F110" s="769" t="str" cm="1">
        <f t="array" ref="F110">F109</f>
        <v>1</v>
      </c>
      <c r="G110" s="612" t="s">
        <v>445</v>
      </c>
      <c r="H110" s="804"/>
      <c r="I110" s="804"/>
      <c r="J110" s="804"/>
      <c r="K110" s="804"/>
      <c r="L110" s="804"/>
      <c r="M110" s="804"/>
      <c r="N110" s="804"/>
      <c r="O110" s="804"/>
      <c r="P110" s="804"/>
      <c r="Q110" s="774"/>
      <c r="R110" s="774"/>
      <c r="S110" s="804"/>
      <c r="T110" s="690" t="b" cm="1">
        <f t="array" ref="T110">T109</f>
        <v>1</v>
      </c>
      <c r="U110" s="1150"/>
      <c r="V110" s="1150"/>
      <c r="W110" s="1150"/>
      <c r="X110" s="1428"/>
      <c r="Y110" s="1150"/>
      <c r="Z110" s="1428"/>
      <c r="AA110" s="781"/>
      <c r="AB110" s="121" t="s">
        <v>1534</v>
      </c>
      <c r="AC110" s="114" t="s">
        <v>1535</v>
      </c>
      <c r="AD110" s="520"/>
      <c r="AE110" s="520" t="s">
        <v>830</v>
      </c>
      <c r="AF110" s="1232">
        <f ca="1">SUMIFS('Калькуляция (5.9)'!AF$26:AF$137,'Калькуляция (5.9)'!$F$26:$F$137,$F110,'Калькуляция (5.9)'!$G$26:$G$137,$G110)</f>
        <v>0</v>
      </c>
      <c r="AG110" s="1232">
        <f ca="1">SUMIFS('Калькуляция (5.9)'!AG$26:AG$137,'Калькуляция (5.9)'!$F$26:$F$137,$F110,'Калькуляция (5.9)'!$G$26:$G$137,$G110)</f>
        <v>0</v>
      </c>
      <c r="AH110" s="449"/>
      <c r="AI110" s="449"/>
      <c r="AJ110" s="449"/>
      <c r="AK110" s="449"/>
      <c r="AL110" s="449"/>
      <c r="AM110" s="449"/>
      <c r="AN110" s="449"/>
      <c r="AO110" s="449"/>
      <c r="AP110" s="449"/>
      <c r="AQ110" s="449"/>
      <c r="AR110" s="449"/>
      <c r="AS110" s="449"/>
      <c r="AT110" s="449"/>
      <c r="AU110" s="449"/>
      <c r="AV110" s="449"/>
      <c r="AW110" s="449"/>
      <c r="AX110" s="449"/>
      <c r="AY110" s="449"/>
      <c r="AZ110" s="971" t="s">
        <v>1536</v>
      </c>
    </row>
    <row r="111" spans="1:52" s="1167" customFormat="1" ht="29.25" customHeight="1" x14ac:dyDescent="0.15">
      <c r="A111" s="1150"/>
      <c r="B111" s="773"/>
      <c r="C111" s="1150"/>
      <c r="D111" s="1150"/>
      <c r="E111" s="668">
        <v>30</v>
      </c>
      <c r="F111" s="769" t="str" cm="1">
        <f t="array" ref="F111">F110</f>
        <v>1</v>
      </c>
      <c r="G111" s="804"/>
      <c r="H111" s="804"/>
      <c r="I111" s="804"/>
      <c r="J111" s="804"/>
      <c r="K111" s="804"/>
      <c r="L111" s="804"/>
      <c r="M111" s="804"/>
      <c r="N111" s="804"/>
      <c r="O111" s="804"/>
      <c r="P111" s="804"/>
      <c r="Q111" s="774"/>
      <c r="R111" s="774"/>
      <c r="S111" s="804"/>
      <c r="T111" s="690" t="b" cm="1">
        <f t="array" ref="T111">T110</f>
        <v>1</v>
      </c>
      <c r="U111" s="1150"/>
      <c r="V111" s="1150"/>
      <c r="W111" s="1150"/>
      <c r="X111" s="1428"/>
      <c r="Y111" s="1150"/>
      <c r="Z111" s="1428"/>
      <c r="AA111" s="781"/>
      <c r="AB111" s="121" t="s">
        <v>1537</v>
      </c>
      <c r="AC111" s="114" t="s">
        <v>1538</v>
      </c>
      <c r="AD111" s="523"/>
      <c r="AE111" s="520" t="s">
        <v>830</v>
      </c>
      <c r="AF111" s="1232"/>
      <c r="AG111" s="1232"/>
      <c r="AH111" s="449"/>
      <c r="AI111" s="449"/>
      <c r="AJ111" s="449"/>
      <c r="AK111" s="449"/>
      <c r="AL111" s="449"/>
      <c r="AM111" s="449"/>
      <c r="AN111" s="449"/>
      <c r="AO111" s="449"/>
      <c r="AP111" s="449"/>
      <c r="AQ111" s="449"/>
      <c r="AR111" s="449"/>
      <c r="AS111" s="449"/>
      <c r="AT111" s="449"/>
      <c r="AU111" s="449"/>
      <c r="AV111" s="449"/>
      <c r="AW111" s="449"/>
      <c r="AX111" s="449"/>
      <c r="AY111" s="449"/>
      <c r="AZ111" s="971" t="s">
        <v>1539</v>
      </c>
    </row>
    <row r="112" spans="1:52" s="1167" customFormat="1" ht="36.75" customHeight="1" x14ac:dyDescent="0.15">
      <c r="A112" s="1150"/>
      <c r="B112" s="773"/>
      <c r="C112" s="1150"/>
      <c r="D112" s="1150"/>
      <c r="E112" s="668">
        <v>38.299999999999997</v>
      </c>
      <c r="F112" s="769" t="str" cm="1">
        <f t="array" ref="F112">F111</f>
        <v>1</v>
      </c>
      <c r="G112" s="804"/>
      <c r="H112" s="804"/>
      <c r="I112" s="804"/>
      <c r="J112" s="804"/>
      <c r="K112" s="804"/>
      <c r="L112" s="804"/>
      <c r="M112" s="804"/>
      <c r="N112" s="804"/>
      <c r="O112" s="804"/>
      <c r="P112" s="804"/>
      <c r="Q112" s="774"/>
      <c r="R112" s="774"/>
      <c r="S112" s="804"/>
      <c r="T112" s="690" t="b" cm="1">
        <f t="array" ref="T112">T111</f>
        <v>1</v>
      </c>
      <c r="U112" s="1150"/>
      <c r="V112" s="1150"/>
      <c r="W112" s="1150"/>
      <c r="X112" s="1428"/>
      <c r="Y112" s="1150"/>
      <c r="Z112" s="1428"/>
      <c r="AA112" s="781"/>
      <c r="AB112" s="121" t="s">
        <v>1540</v>
      </c>
      <c r="AC112" s="114" t="s">
        <v>1541</v>
      </c>
      <c r="AD112" s="520"/>
      <c r="AE112" s="520" t="s">
        <v>830</v>
      </c>
      <c r="AF112" s="1232"/>
      <c r="AG112" s="1232"/>
      <c r="AH112" s="449"/>
      <c r="AI112" s="449"/>
      <c r="AJ112" s="449"/>
      <c r="AK112" s="449"/>
      <c r="AL112" s="449"/>
      <c r="AM112" s="449"/>
      <c r="AN112" s="449"/>
      <c r="AO112" s="449"/>
      <c r="AP112" s="449"/>
      <c r="AQ112" s="449"/>
      <c r="AR112" s="449"/>
      <c r="AS112" s="449"/>
      <c r="AT112" s="449"/>
      <c r="AU112" s="449"/>
      <c r="AV112" s="449"/>
      <c r="AW112" s="449"/>
      <c r="AX112" s="449"/>
      <c r="AY112" s="449"/>
      <c r="AZ112" s="971" t="s">
        <v>1542</v>
      </c>
    </row>
    <row r="113" spans="1:52" s="1167" customFormat="1" ht="72.75" customHeight="1" x14ac:dyDescent="0.15">
      <c r="A113" s="1150"/>
      <c r="B113" s="773"/>
      <c r="C113" s="1150"/>
      <c r="D113" s="1150"/>
      <c r="E113" s="668">
        <v>75</v>
      </c>
      <c r="F113" s="769" t="str" cm="1">
        <f t="array" ref="F113">F112</f>
        <v>1</v>
      </c>
      <c r="G113" s="804"/>
      <c r="H113" s="804"/>
      <c r="I113" s="804"/>
      <c r="J113" s="804"/>
      <c r="K113" s="804"/>
      <c r="L113" s="804"/>
      <c r="M113" s="804"/>
      <c r="N113" s="804"/>
      <c r="O113" s="804"/>
      <c r="P113" s="804"/>
      <c r="Q113" s="774"/>
      <c r="R113" s="774"/>
      <c r="S113" s="804"/>
      <c r="T113" s="690" t="b" cm="1">
        <f t="array" ref="T113">T112</f>
        <v>1</v>
      </c>
      <c r="U113" s="1150"/>
      <c r="V113" s="1150"/>
      <c r="W113" s="1150"/>
      <c r="X113" s="1428"/>
      <c r="Y113" s="1150"/>
      <c r="Z113" s="1428"/>
      <c r="AA113" s="781"/>
      <c r="AB113" s="121" t="s">
        <v>1543</v>
      </c>
      <c r="AC113" s="114" t="s">
        <v>1544</v>
      </c>
      <c r="AD113" s="520"/>
      <c r="AE113" s="520" t="s">
        <v>830</v>
      </c>
      <c r="AF113" s="1232"/>
      <c r="AG113" s="1232"/>
      <c r="AH113" s="449"/>
      <c r="AI113" s="449"/>
      <c r="AJ113" s="449"/>
      <c r="AK113" s="449"/>
      <c r="AL113" s="449"/>
      <c r="AM113" s="449"/>
      <c r="AN113" s="449"/>
      <c r="AO113" s="449"/>
      <c r="AP113" s="449"/>
      <c r="AQ113" s="449"/>
      <c r="AR113" s="449"/>
      <c r="AS113" s="449"/>
      <c r="AT113" s="449"/>
      <c r="AU113" s="449"/>
      <c r="AV113" s="449"/>
      <c r="AW113" s="449"/>
      <c r="AX113" s="449"/>
      <c r="AY113" s="449"/>
      <c r="AZ113" s="971" t="s">
        <v>1545</v>
      </c>
    </row>
    <row r="114" spans="1:52" s="1167" customFormat="1" ht="72" customHeight="1" x14ac:dyDescent="0.15">
      <c r="A114" s="1150"/>
      <c r="B114" s="773"/>
      <c r="C114" s="1150"/>
      <c r="D114" s="1150"/>
      <c r="E114" s="668">
        <v>74.3</v>
      </c>
      <c r="F114" s="769" t="str" cm="1">
        <f t="array" ref="F114">F113</f>
        <v>1</v>
      </c>
      <c r="G114" s="804"/>
      <c r="H114" s="804"/>
      <c r="I114" s="804"/>
      <c r="J114" s="804"/>
      <c r="K114" s="804"/>
      <c r="L114" s="804"/>
      <c r="M114" s="804"/>
      <c r="N114" s="804"/>
      <c r="O114" s="804"/>
      <c r="P114" s="804"/>
      <c r="Q114" s="774"/>
      <c r="R114" s="774"/>
      <c r="S114" s="804"/>
      <c r="T114" s="690" t="b" cm="1">
        <f t="array" ref="T114">T113</f>
        <v>1</v>
      </c>
      <c r="U114" s="1150"/>
      <c r="V114" s="1150"/>
      <c r="W114" s="1150"/>
      <c r="X114" s="1428"/>
      <c r="Y114" s="1150"/>
      <c r="Z114" s="1428"/>
      <c r="AA114" s="781"/>
      <c r="AB114" s="121" t="s">
        <v>1546</v>
      </c>
      <c r="AC114" s="114" t="s">
        <v>1547</v>
      </c>
      <c r="AD114" s="520"/>
      <c r="AE114" s="520" t="s">
        <v>1426</v>
      </c>
      <c r="AF114" s="1232"/>
      <c r="AG114" s="1232"/>
      <c r="AH114" s="449"/>
      <c r="AI114" s="449"/>
      <c r="AJ114" s="449"/>
      <c r="AK114" s="449"/>
      <c r="AL114" s="449"/>
      <c r="AM114" s="449"/>
      <c r="AN114" s="449"/>
      <c r="AO114" s="449"/>
      <c r="AP114" s="449"/>
      <c r="AQ114" s="449"/>
      <c r="AR114" s="449"/>
      <c r="AS114" s="449"/>
      <c r="AT114" s="449"/>
      <c r="AU114" s="449"/>
      <c r="AV114" s="449"/>
      <c r="AW114" s="449"/>
      <c r="AX114" s="449"/>
      <c r="AY114" s="449"/>
      <c r="AZ114" s="971" t="s">
        <v>1548</v>
      </c>
    </row>
    <row r="115" spans="1:52" s="1167" customFormat="1" ht="55.5" customHeight="1" x14ac:dyDescent="0.15">
      <c r="A115" s="1150"/>
      <c r="B115" s="773"/>
      <c r="C115" s="1150"/>
      <c r="D115" s="1150"/>
      <c r="E115" s="668">
        <v>57</v>
      </c>
      <c r="F115" s="769" t="str" cm="1">
        <f t="array" ref="F115">F114</f>
        <v>1</v>
      </c>
      <c r="G115" s="804"/>
      <c r="H115" s="804"/>
      <c r="I115" s="804"/>
      <c r="J115" s="804"/>
      <c r="K115" s="804"/>
      <c r="L115" s="804"/>
      <c r="M115" s="804"/>
      <c r="N115" s="804"/>
      <c r="O115" s="804"/>
      <c r="P115" s="804"/>
      <c r="Q115" s="774"/>
      <c r="R115" s="774"/>
      <c r="S115" s="804"/>
      <c r="T115" s="690" t="b" cm="1">
        <f t="array" ref="T115">T114</f>
        <v>1</v>
      </c>
      <c r="U115" s="1150"/>
      <c r="V115" s="1150"/>
      <c r="W115" s="1150"/>
      <c r="X115" s="1428"/>
      <c r="Y115" s="1150"/>
      <c r="Z115" s="1428"/>
      <c r="AA115" s="781"/>
      <c r="AB115" s="121" t="s">
        <v>426</v>
      </c>
      <c r="AC115" s="518" t="s">
        <v>1549</v>
      </c>
      <c r="AD115" s="117" t="s">
        <v>1575</v>
      </c>
      <c r="AE115" s="520" t="s">
        <v>1426</v>
      </c>
      <c r="AF115" s="1232">
        <v>273913.720868</v>
      </c>
      <c r="AG115" s="1232">
        <v>275026.68</v>
      </c>
      <c r="AH115" s="449"/>
      <c r="AI115" s="449"/>
      <c r="AJ115" s="449"/>
      <c r="AK115" s="449"/>
      <c r="AL115" s="449"/>
      <c r="AM115" s="449"/>
      <c r="AN115" s="449"/>
      <c r="AO115" s="449"/>
      <c r="AP115" s="449"/>
      <c r="AQ115" s="449"/>
      <c r="AR115" s="449"/>
      <c r="AS115" s="449"/>
      <c r="AT115" s="449"/>
      <c r="AU115" s="449"/>
      <c r="AV115" s="449"/>
      <c r="AW115" s="449"/>
      <c r="AX115" s="449"/>
      <c r="AY115" s="449"/>
      <c r="AZ115" s="971" t="s">
        <v>1551</v>
      </c>
    </row>
    <row r="116" spans="1:52" s="1167" customFormat="1" ht="10.5" customHeight="1" x14ac:dyDescent="0.15">
      <c r="A116" s="1150"/>
      <c r="B116" s="773"/>
      <c r="C116" s="1150"/>
      <c r="D116" s="1150"/>
      <c r="E116" s="668">
        <v>11.4</v>
      </c>
      <c r="F116" s="769" t="str" cm="1">
        <f t="array" ref="F116">F115</f>
        <v>1</v>
      </c>
      <c r="G116" s="804"/>
      <c r="H116" s="804"/>
      <c r="I116" s="804"/>
      <c r="J116" s="804"/>
      <c r="K116" s="804"/>
      <c r="L116" s="804"/>
      <c r="M116" s="804"/>
      <c r="N116" s="804"/>
      <c r="O116" s="804"/>
      <c r="P116" s="804"/>
      <c r="Q116" s="774"/>
      <c r="R116" s="774"/>
      <c r="S116" s="804"/>
      <c r="T116" s="690" t="b" cm="1">
        <f t="array" ref="T116">T115</f>
        <v>1</v>
      </c>
      <c r="U116" s="1150"/>
      <c r="V116" s="1150"/>
      <c r="W116" s="1150"/>
      <c r="X116" s="1428"/>
      <c r="Y116" s="1150"/>
      <c r="Z116" s="1428"/>
      <c r="AA116" s="781"/>
      <c r="AB116" s="809"/>
      <c r="AC116" s="809"/>
      <c r="AD116" s="809"/>
      <c r="AE116" s="809"/>
      <c r="AF116" s="809"/>
      <c r="AG116" s="809"/>
      <c r="AH116" s="449"/>
      <c r="AI116" s="449"/>
      <c r="AJ116" s="449"/>
      <c r="AK116" s="449"/>
      <c r="AL116" s="449"/>
      <c r="AM116" s="449"/>
      <c r="AN116" s="449"/>
      <c r="AO116" s="449"/>
      <c r="AP116" s="449"/>
      <c r="AQ116" s="449"/>
      <c r="AR116" s="449"/>
      <c r="AS116" s="449"/>
      <c r="AT116" s="449"/>
      <c r="AU116" s="449"/>
      <c r="AV116" s="449"/>
      <c r="AW116" s="449"/>
      <c r="AX116" s="449"/>
      <c r="AY116" s="449"/>
      <c r="AZ116" s="1033"/>
    </row>
    <row r="117" spans="1:52" s="1167" customFormat="1" ht="10.5" customHeight="1" x14ac:dyDescent="0.15">
      <c r="A117" s="1150"/>
      <c r="B117" s="773"/>
      <c r="C117" s="1150"/>
      <c r="D117" s="1150"/>
      <c r="E117" s="668">
        <v>11.3</v>
      </c>
      <c r="F117" s="769" t="str" cm="1">
        <f t="array" ref="F117">F116</f>
        <v>1</v>
      </c>
      <c r="G117" s="804"/>
      <c r="H117" s="804"/>
      <c r="I117" s="804"/>
      <c r="J117" s="804"/>
      <c r="K117" s="804"/>
      <c r="L117" s="804"/>
      <c r="M117" s="804"/>
      <c r="N117" s="804"/>
      <c r="O117" s="804"/>
      <c r="P117" s="804"/>
      <c r="Q117" s="774"/>
      <c r="R117" s="774"/>
      <c r="S117" s="804"/>
      <c r="T117" s="690" t="b" cm="1">
        <f t="array" ref="T117">T116</f>
        <v>1</v>
      </c>
      <c r="U117" s="1150"/>
      <c r="V117" s="1150"/>
      <c r="W117" s="1150"/>
      <c r="X117" s="1428"/>
      <c r="Y117" s="1150"/>
      <c r="Z117" s="1428"/>
      <c r="AA117" s="781"/>
      <c r="AB117" s="1592" t="s">
        <v>1422</v>
      </c>
      <c r="AC117" s="1594" t="s">
        <v>519</v>
      </c>
      <c r="AD117" s="1590" t="s">
        <v>1171</v>
      </c>
      <c r="AE117" s="105">
        <f>god-2</f>
        <v>2024</v>
      </c>
      <c r="AF117" s="105">
        <f>god-1</f>
        <v>2025</v>
      </c>
      <c r="AG117" s="1590" t="s">
        <v>1552</v>
      </c>
      <c r="AH117" s="249" cm="1">
        <f t="array" ref="AH117">god</f>
        <v>2026</v>
      </c>
      <c r="AI117" s="105">
        <f>god+1</f>
        <v>2027</v>
      </c>
      <c r="AJ117" s="105">
        <f>god+2</f>
        <v>2028</v>
      </c>
      <c r="AK117" s="105">
        <f>god+3</f>
        <v>2029</v>
      </c>
      <c r="AL117" s="105">
        <f>god+4</f>
        <v>2030</v>
      </c>
      <c r="AM117" s="1590" t="s">
        <v>1552</v>
      </c>
      <c r="AN117" s="249" cm="1">
        <f t="array" ref="AN117">god</f>
        <v>2026</v>
      </c>
      <c r="AO117" s="105">
        <f>god+1</f>
        <v>2027</v>
      </c>
      <c r="AP117" s="105">
        <f>god+2</f>
        <v>2028</v>
      </c>
      <c r="AQ117" s="105">
        <f>god+3</f>
        <v>2029</v>
      </c>
      <c r="AR117" s="105">
        <f>god+4</f>
        <v>2030</v>
      </c>
      <c r="AS117" s="449"/>
      <c r="AT117" s="449"/>
      <c r="AU117" s="1591" t="s">
        <v>1553</v>
      </c>
      <c r="AV117" s="449"/>
      <c r="AW117" s="449"/>
      <c r="AX117" s="449"/>
      <c r="AY117" s="449"/>
      <c r="AZ117" s="1033"/>
    </row>
    <row r="118" spans="1:52" s="1167" customFormat="1" ht="21.75" customHeight="1" x14ac:dyDescent="0.15">
      <c r="A118" s="1150"/>
      <c r="B118" s="773"/>
      <c r="C118" s="1150"/>
      <c r="D118" s="1150"/>
      <c r="E118" s="668">
        <v>22.5</v>
      </c>
      <c r="F118" s="769" t="str" cm="1">
        <f t="array" ref="F118">F117</f>
        <v>1</v>
      </c>
      <c r="G118" s="804"/>
      <c r="H118" s="804"/>
      <c r="I118" s="804"/>
      <c r="J118" s="804"/>
      <c r="K118" s="804"/>
      <c r="L118" s="804"/>
      <c r="M118" s="804"/>
      <c r="N118" s="804"/>
      <c r="O118" s="804"/>
      <c r="P118" s="804"/>
      <c r="Q118" s="774"/>
      <c r="R118" s="774"/>
      <c r="S118" s="804"/>
      <c r="T118" s="690" t="b" cm="1">
        <f t="array" ref="T118">T117</f>
        <v>1</v>
      </c>
      <c r="U118" s="1150"/>
      <c r="V118" s="1150"/>
      <c r="W118" s="1150"/>
      <c r="X118" s="1428"/>
      <c r="Y118" s="1150"/>
      <c r="Z118" s="1428"/>
      <c r="AA118" s="781"/>
      <c r="AB118" s="1593"/>
      <c r="AC118" s="1595"/>
      <c r="AD118" s="1590"/>
      <c r="AE118" s="121" t="s">
        <v>1554</v>
      </c>
      <c r="AF118" s="121" t="s">
        <v>1554</v>
      </c>
      <c r="AG118" s="1590"/>
      <c r="AH118" s="121" t="s">
        <v>1555</v>
      </c>
      <c r="AI118" s="121" t="s">
        <v>1555</v>
      </c>
      <c r="AJ118" s="121" t="s">
        <v>1555</v>
      </c>
      <c r="AK118" s="121" t="s">
        <v>1555</v>
      </c>
      <c r="AL118" s="121" t="s">
        <v>1555</v>
      </c>
      <c r="AM118" s="1590"/>
      <c r="AN118" s="121" t="s">
        <v>1556</v>
      </c>
      <c r="AO118" s="121" t="s">
        <v>1556</v>
      </c>
      <c r="AP118" s="121" t="s">
        <v>1556</v>
      </c>
      <c r="AQ118" s="121" t="s">
        <v>1556</v>
      </c>
      <c r="AR118" s="121" t="s">
        <v>1556</v>
      </c>
      <c r="AS118" s="449"/>
      <c r="AT118" s="449"/>
      <c r="AU118" s="1591"/>
      <c r="AV118" s="449"/>
      <c r="AW118" s="449"/>
      <c r="AX118" s="449"/>
      <c r="AY118" s="449"/>
      <c r="AZ118" s="1033"/>
    </row>
    <row r="119" spans="1:52" s="1167" customFormat="1" ht="15" customHeight="1" x14ac:dyDescent="0.15">
      <c r="A119" s="1150"/>
      <c r="B119" s="773"/>
      <c r="C119" s="1150"/>
      <c r="D119" s="1150"/>
      <c r="E119" s="668">
        <v>15.8</v>
      </c>
      <c r="F119" s="769" t="str" cm="1">
        <f t="array" ref="F119">F118</f>
        <v>1</v>
      </c>
      <c r="G119" s="804"/>
      <c r="H119" s="804"/>
      <c r="I119" s="804"/>
      <c r="J119" s="804"/>
      <c r="K119" s="804"/>
      <c r="L119" s="804"/>
      <c r="M119" s="804"/>
      <c r="N119" s="804"/>
      <c r="O119" s="804"/>
      <c r="P119" s="804"/>
      <c r="Q119" s="774"/>
      <c r="R119" s="774"/>
      <c r="S119" s="804"/>
      <c r="T119" s="690" t="b" cm="1">
        <f t="array" ref="T119">T118</f>
        <v>1</v>
      </c>
      <c r="U119" s="1150"/>
      <c r="V119" s="1150"/>
      <c r="W119" s="1150"/>
      <c r="X119" s="1428"/>
      <c r="Y119" s="1150"/>
      <c r="Z119" s="1428"/>
      <c r="AA119" s="781"/>
      <c r="AB119" s="232" t="s">
        <v>431</v>
      </c>
      <c r="AC119" s="339" t="s">
        <v>1557</v>
      </c>
      <c r="AD119" s="520" t="s">
        <v>830</v>
      </c>
      <c r="AE119" s="692" t="s">
        <v>1558</v>
      </c>
      <c r="AF119" s="692" t="s">
        <v>1558</v>
      </c>
      <c r="AG119" s="351" cm="1">
        <f t="array" aca="1" ref="AG119" ca="1">AF76</f>
        <v>32306.02404982259</v>
      </c>
      <c r="AH119" s="864"/>
      <c r="AI119" s="1321"/>
      <c r="AJ119" s="1321"/>
      <c r="AK119" s="1324"/>
      <c r="AL119" s="1324"/>
      <c r="AM119" s="351" cm="1">
        <f t="array" aca="1" ref="AM119" ca="1">AG76</f>
        <v>9196.4588697201107</v>
      </c>
      <c r="AN119" s="865"/>
      <c r="AO119" s="1322"/>
      <c r="AP119" s="1322"/>
      <c r="AQ119" s="1325"/>
      <c r="AR119" s="1325"/>
      <c r="AS119" s="449"/>
      <c r="AT119" s="449"/>
      <c r="AU119" s="78"/>
      <c r="AV119" s="449"/>
      <c r="AW119" s="449"/>
      <c r="AX119" s="449"/>
      <c r="AY119" s="449"/>
      <c r="AZ119" s="971" t="s">
        <v>1559</v>
      </c>
    </row>
    <row r="120" spans="1:52" s="1167" customFormat="1" ht="27" customHeight="1" x14ac:dyDescent="0.15">
      <c r="A120" s="1150"/>
      <c r="B120" s="773"/>
      <c r="C120" s="1150"/>
      <c r="D120" s="1150"/>
      <c r="E120" s="668">
        <v>27.8</v>
      </c>
      <c r="F120" s="769" t="str" cm="1">
        <f t="array" ref="F120">F119</f>
        <v>1</v>
      </c>
      <c r="G120" s="804"/>
      <c r="H120" s="804"/>
      <c r="I120" s="804"/>
      <c r="J120" s="804"/>
      <c r="K120" s="804"/>
      <c r="L120" s="804"/>
      <c r="M120" s="804"/>
      <c r="N120" s="804"/>
      <c r="O120" s="804"/>
      <c r="P120" s="804"/>
      <c r="Q120" s="774"/>
      <c r="R120" s="774"/>
      <c r="S120" s="804"/>
      <c r="T120" s="690" t="b" cm="1">
        <f t="array" ref="T120">T119</f>
        <v>1</v>
      </c>
      <c r="U120" s="1150"/>
      <c r="V120" s="1150"/>
      <c r="W120" s="1150"/>
      <c r="X120" s="1428"/>
      <c r="Y120" s="1150"/>
      <c r="Z120" s="1428"/>
      <c r="AA120" s="781"/>
      <c r="AB120" s="232" t="s">
        <v>437</v>
      </c>
      <c r="AC120" s="525" t="s">
        <v>1560</v>
      </c>
      <c r="AD120" s="520" t="s">
        <v>830</v>
      </c>
      <c r="AE120" s="1324"/>
      <c r="AF120" s="1324">
        <v>8645.06</v>
      </c>
      <c r="AG120" s="351">
        <f>SUM(AH120:AL120)</f>
        <v>27478.28</v>
      </c>
      <c r="AH120" s="864">
        <f>24946.54+2531.74</f>
        <v>27478.28</v>
      </c>
      <c r="AI120" s="1321"/>
      <c r="AJ120" s="1321"/>
      <c r="AK120" s="1324"/>
      <c r="AL120" s="1324"/>
      <c r="AM120" s="351">
        <f>SUM(AN120:AR120)</f>
        <v>25917.95</v>
      </c>
      <c r="AN120" s="865">
        <v>25917.95</v>
      </c>
      <c r="AO120" s="1322"/>
      <c r="AP120" s="1322"/>
      <c r="AQ120" s="1325"/>
      <c r="AR120" s="1325"/>
      <c r="AS120" s="449"/>
      <c r="AT120" s="449"/>
      <c r="AU120" s="78"/>
      <c r="AV120" s="449"/>
      <c r="AW120" s="449"/>
      <c r="AX120" s="449"/>
      <c r="AY120" s="449"/>
      <c r="AZ120" s="971" t="s">
        <v>1561</v>
      </c>
    </row>
    <row r="121" spans="1:52" s="1167" customFormat="1" ht="15" customHeight="1" x14ac:dyDescent="0.15">
      <c r="A121" s="1150"/>
      <c r="B121" s="773"/>
      <c r="C121" s="1150"/>
      <c r="D121" s="1150"/>
      <c r="E121" s="668">
        <v>15.8</v>
      </c>
      <c r="F121" s="769" t="str" cm="1">
        <f t="array" ref="F121">F120</f>
        <v>1</v>
      </c>
      <c r="G121" s="612" t="s">
        <v>1562</v>
      </c>
      <c r="H121" s="804"/>
      <c r="I121" s="804"/>
      <c r="J121" s="804"/>
      <c r="K121" s="804"/>
      <c r="L121" s="804"/>
      <c r="M121" s="804"/>
      <c r="N121" s="804"/>
      <c r="O121" s="804"/>
      <c r="P121" s="804"/>
      <c r="Q121" s="774"/>
      <c r="R121" s="774"/>
      <c r="S121" s="804"/>
      <c r="T121" s="690" t="b" cm="1">
        <f t="array" ref="T121">T120</f>
        <v>1</v>
      </c>
      <c r="U121" s="1150"/>
      <c r="V121" s="1150"/>
      <c r="W121" s="1150"/>
      <c r="X121" s="1428"/>
      <c r="Y121" s="1150"/>
      <c r="Z121" s="1428"/>
      <c r="AA121" s="781"/>
      <c r="AB121" s="257" t="s">
        <v>441</v>
      </c>
      <c r="AC121" s="518" t="s">
        <v>1563</v>
      </c>
      <c r="AD121" s="520" t="s">
        <v>830</v>
      </c>
      <c r="AE121" s="351" cm="1">
        <f t="array" ref="AE121">AE120</f>
        <v>0</v>
      </c>
      <c r="AF121" s="351" cm="1">
        <f t="array" ref="AF121">AF120</f>
        <v>8645.06</v>
      </c>
      <c r="AG121" s="351">
        <f t="shared" ref="AG121:AR121" ca="1" si="1">AG119+AG120</f>
        <v>59784.304049822589</v>
      </c>
      <c r="AH121" s="351">
        <f t="shared" si="1"/>
        <v>27478.28</v>
      </c>
      <c r="AI121" s="351">
        <f t="shared" si="1"/>
        <v>0</v>
      </c>
      <c r="AJ121" s="351">
        <f t="shared" si="1"/>
        <v>0</v>
      </c>
      <c r="AK121" s="351">
        <f t="shared" si="1"/>
        <v>0</v>
      </c>
      <c r="AL121" s="351">
        <f t="shared" si="1"/>
        <v>0</v>
      </c>
      <c r="AM121" s="351">
        <f t="shared" ca="1" si="1"/>
        <v>35114.408869720108</v>
      </c>
      <c r="AN121" s="351">
        <f t="shared" si="1"/>
        <v>25917.95</v>
      </c>
      <c r="AO121" s="351">
        <f t="shared" si="1"/>
        <v>0</v>
      </c>
      <c r="AP121" s="351">
        <f t="shared" si="1"/>
        <v>0</v>
      </c>
      <c r="AQ121" s="351">
        <f t="shared" si="1"/>
        <v>0</v>
      </c>
      <c r="AR121" s="351">
        <f t="shared" si="1"/>
        <v>0</v>
      </c>
      <c r="AS121" s="449"/>
      <c r="AT121" s="449"/>
      <c r="AU121" s="78"/>
      <c r="AV121" s="449"/>
      <c r="AW121" s="449"/>
      <c r="AX121" s="449"/>
      <c r="AY121" s="449"/>
      <c r="AZ121" s="971" t="s">
        <v>1564</v>
      </c>
    </row>
    <row r="122" spans="1:52" ht="11.1" customHeight="1" x14ac:dyDescent="0.15">
      <c r="E122" s="668">
        <v>11.4</v>
      </c>
      <c r="U122" s="126" t="s">
        <v>239</v>
      </c>
      <c r="V122" s="119" t="s">
        <v>1576</v>
      </c>
      <c r="AB122" s="451"/>
      <c r="AC122" s="451"/>
      <c r="AD122" s="451"/>
      <c r="AE122" s="451"/>
      <c r="AF122" s="451"/>
      <c r="AG122" s="451"/>
      <c r="AH122" s="454"/>
      <c r="AI122" s="454"/>
      <c r="AJ122" s="454"/>
      <c r="AV122" s="448"/>
    </row>
  </sheetData>
  <sheetProtection formatColumns="0" formatRows="0" insertRows="0" deleteColumns="0" deleteRows="0" sort="0" autoFilter="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X75:X121"/>
    <mergeCell ref="Z75:Z121"/>
    <mergeCell ref="AM117:AM118"/>
    <mergeCell ref="AU117:AU118"/>
    <mergeCell ref="AB117:AB118"/>
    <mergeCell ref="AC117:AC118"/>
    <mergeCell ref="AD117:AD118"/>
    <mergeCell ref="AG117:AG118"/>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BC428-EB08-60F8-19E8-FC4591FF10B8}">
  <sheetPr>
    <tabColor rgb="FF002060"/>
    <outlinePr summaryBelow="0"/>
  </sheetPr>
  <dimension ref="A1:AL51"/>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1037" hidden="1" customWidth="1"/>
    <col min="2" max="2" width="8.5703125" style="665" hidden="1" customWidth="1"/>
    <col min="3" max="4" width="3.5703125" style="1037" hidden="1" customWidth="1"/>
    <col min="5" max="5" width="8.42578125" style="772" hidden="1" customWidth="1"/>
    <col min="6" max="26" width="3.5703125" style="1037" hidden="1" customWidth="1"/>
    <col min="27" max="27" width="3" style="449" customWidth="1"/>
    <col min="28" max="28" width="8" style="809" customWidth="1"/>
    <col min="29" max="29" width="65.28515625" style="809" customWidth="1"/>
    <col min="30" max="30" width="20.5703125" style="809" customWidth="1"/>
    <col min="31" max="31" width="21" style="809" customWidth="1"/>
    <col min="32" max="32" width="21.140625" style="809" customWidth="1"/>
    <col min="33" max="33" width="21" style="809" customWidth="1"/>
    <col min="34" max="34" width="21.140625" style="809" customWidth="1"/>
    <col min="35" max="35" width="21" style="809" customWidth="1"/>
    <col min="36" max="36" width="21.140625" style="809" customWidth="1"/>
    <col min="37" max="37" width="21" style="809" customWidth="1"/>
    <col min="38" max="38" width="21.140625" style="809" customWidth="1"/>
  </cols>
  <sheetData>
    <row r="1" spans="1:38" s="1037" customFormat="1" ht="12" hidden="1" customHeight="1" x14ac:dyDescent="0.15">
      <c r="B1" s="660"/>
      <c r="E1" s="659"/>
    </row>
    <row r="2" spans="1:38" s="665" customFormat="1" ht="12" hidden="1" customHeight="1" x14ac:dyDescent="0.15">
      <c r="B2" s="664" t="s">
        <v>15</v>
      </c>
      <c r="E2" s="659"/>
    </row>
    <row r="3" spans="1:38" s="1037" customFormat="1" ht="12" hidden="1" customHeight="1" x14ac:dyDescent="0.15">
      <c r="B3" s="660"/>
      <c r="E3" s="659"/>
    </row>
    <row r="4" spans="1:38" s="1037" customFormat="1" ht="12" hidden="1" customHeight="1" x14ac:dyDescent="0.15">
      <c r="B4" s="660"/>
      <c r="E4" s="659"/>
    </row>
    <row r="5" spans="1:38" s="772" customFormat="1" ht="12" hidden="1" customHeight="1" x14ac:dyDescent="0.15">
      <c r="A5" s="659"/>
      <c r="B5" s="659"/>
      <c r="C5" s="659"/>
      <c r="D5" s="659"/>
      <c r="E5" s="668" t="s">
        <v>16</v>
      </c>
      <c r="AA5" s="668">
        <v>3</v>
      </c>
      <c r="AB5" s="668">
        <v>8</v>
      </c>
      <c r="AC5" s="668">
        <v>65.25</v>
      </c>
      <c r="AD5" s="668">
        <v>20.63</v>
      </c>
      <c r="AE5" s="668">
        <v>21</v>
      </c>
      <c r="AF5" s="668">
        <v>21.13</v>
      </c>
      <c r="AG5" s="668">
        <v>21</v>
      </c>
      <c r="AH5" s="668">
        <v>21.13</v>
      </c>
      <c r="AI5" s="668">
        <v>21</v>
      </c>
      <c r="AJ5" s="668">
        <v>21.13</v>
      </c>
      <c r="AK5" s="668">
        <v>21</v>
      </c>
      <c r="AL5" s="668">
        <v>21.13</v>
      </c>
    </row>
    <row r="6" spans="1:38" s="1037" customFormat="1" ht="12" hidden="1" customHeight="1" x14ac:dyDescent="0.15">
      <c r="B6" s="660"/>
      <c r="E6" s="668"/>
    </row>
    <row r="7" spans="1:38" s="809" customFormat="1" ht="12" hidden="1" customHeight="1" x14ac:dyDescent="0.15">
      <c r="A7" s="790"/>
      <c r="B7" s="660"/>
      <c r="C7" s="790"/>
      <c r="D7" s="790"/>
      <c r="E7" s="668"/>
    </row>
    <row r="8" spans="1:38" s="809" customFormat="1" ht="12" hidden="1" customHeight="1" x14ac:dyDescent="0.15">
      <c r="A8" s="790"/>
      <c r="B8" s="660"/>
      <c r="C8" s="790"/>
      <c r="D8" s="790"/>
      <c r="E8" s="668"/>
    </row>
    <row r="9" spans="1:38" s="1037" customFormat="1" ht="12" hidden="1" customHeight="1" x14ac:dyDescent="0.15">
      <c r="B9" s="660"/>
      <c r="E9" s="668"/>
    </row>
    <row r="10" spans="1:38" s="1037" customFormat="1" ht="12" hidden="1" customHeight="1" x14ac:dyDescent="0.15">
      <c r="B10" s="660"/>
      <c r="E10" s="668"/>
    </row>
    <row r="11" spans="1:38" s="1037" customFormat="1" ht="12" hidden="1" customHeight="1" x14ac:dyDescent="0.15">
      <c r="B11" s="660"/>
      <c r="E11" s="668"/>
    </row>
    <row r="12" spans="1:38" s="1037" customFormat="1" ht="12" hidden="1" customHeight="1" x14ac:dyDescent="0.15">
      <c r="B12" s="660"/>
      <c r="E12" s="668"/>
    </row>
    <row r="13" spans="1:38" s="1037" customFormat="1" ht="12" hidden="1" customHeight="1" x14ac:dyDescent="0.15">
      <c r="B13" s="660"/>
      <c r="E13" s="668"/>
    </row>
    <row r="14" spans="1:38" s="1037" customFormat="1" ht="12" hidden="1" customHeight="1" x14ac:dyDescent="0.15">
      <c r="B14" s="660"/>
      <c r="E14" s="668"/>
    </row>
    <row r="15" spans="1:38" s="1037" customFormat="1" ht="12" hidden="1" customHeight="1" x14ac:dyDescent="0.15">
      <c r="B15" s="660"/>
      <c r="E15" s="668"/>
    </row>
    <row r="16" spans="1:38" s="1037" customFormat="1" ht="12" hidden="1" customHeight="1" x14ac:dyDescent="0.15">
      <c r="B16" s="660"/>
      <c r="E16" s="668"/>
    </row>
    <row r="17" spans="1:38" s="1037" customFormat="1" ht="12" hidden="1" customHeight="1" x14ac:dyDescent="0.15">
      <c r="B17" s="660"/>
      <c r="E17" s="668"/>
    </row>
    <row r="18" spans="1:38" s="1037" customFormat="1" ht="12" hidden="1" customHeight="1" x14ac:dyDescent="0.15">
      <c r="B18" s="660"/>
      <c r="E18" s="668"/>
    </row>
    <row r="19" spans="1:38" s="1037" customFormat="1" ht="12" hidden="1" customHeight="1" x14ac:dyDescent="0.15">
      <c r="B19" s="660"/>
      <c r="E19" s="668"/>
    </row>
    <row r="20" spans="1:38" s="1037" customFormat="1" ht="12" hidden="1" customHeight="1" x14ac:dyDescent="0.15">
      <c r="B20" s="660"/>
      <c r="E20" s="668"/>
    </row>
    <row r="21" spans="1:38" ht="11.1" customHeight="1" x14ac:dyDescent="0.15">
      <c r="E21" s="668">
        <v>11.4</v>
      </c>
      <c r="AA21"/>
      <c r="AB21" s="174"/>
      <c r="AC21" s="335" t="str" cm="1">
        <f t="array" ref="AC21">tpl_title</f>
        <v>Кемеровская область / 2026 / ООО ХК "СДС - Энерго" (ИНН:4250003450, КПП:420501001) / ДПР: 2024-2028</v>
      </c>
    </row>
    <row r="22" spans="1:38" ht="18.95" customHeight="1" x14ac:dyDescent="0.15">
      <c r="E22" s="668">
        <v>19.5</v>
      </c>
      <c r="AB22" s="324" t="str">
        <f>"23. Корректировка НВВ по исполнению инвестиционной программы "</f>
        <v xml:space="preserve">23. Корректировка НВВ по исполнению инвестиционной программы </v>
      </c>
      <c r="AC22" s="219"/>
    </row>
    <row r="23" spans="1:38" ht="11.1" customHeight="1" x14ac:dyDescent="0.15">
      <c r="E23" s="668">
        <v>11.4</v>
      </c>
      <c r="AB23" s="451"/>
      <c r="AC23" s="452"/>
      <c r="AD23" s="452"/>
      <c r="AE23" s="453"/>
      <c r="AF23" s="453"/>
      <c r="AG23" s="453"/>
      <c r="AH23" s="453"/>
      <c r="AI23" s="453"/>
      <c r="AJ23" s="453"/>
      <c r="AK23" s="453"/>
      <c r="AL23" s="453"/>
    </row>
    <row r="24" spans="1:38" ht="11.1" customHeight="1" x14ac:dyDescent="0.15">
      <c r="E24" s="668">
        <v>11.4</v>
      </c>
      <c r="AB24" s="451"/>
      <c r="AC24" s="452"/>
      <c r="AD24" s="452"/>
      <c r="AE24" s="453"/>
      <c r="AF24" s="453"/>
      <c r="AG24" s="453"/>
      <c r="AH24" s="453"/>
      <c r="AI24" s="453"/>
      <c r="AJ24" s="453"/>
      <c r="AK24" s="453"/>
      <c r="AL24" s="453"/>
    </row>
    <row r="25" spans="1:38" s="587" customFormat="1" ht="16.7" customHeight="1" x14ac:dyDescent="0.15">
      <c r="A25" s="790"/>
      <c r="B25" s="660"/>
      <c r="C25" s="790"/>
      <c r="D25" s="790"/>
      <c r="E25" s="668">
        <v>17.100000000000001</v>
      </c>
      <c r="F25" s="790"/>
      <c r="G25" s="790"/>
      <c r="H25" s="790"/>
      <c r="I25" s="790"/>
      <c r="J25" s="790"/>
      <c r="K25" s="790"/>
      <c r="L25" s="790"/>
      <c r="M25" s="790"/>
      <c r="N25" s="790"/>
      <c r="O25" s="790"/>
      <c r="P25" s="790"/>
      <c r="Q25" s="790"/>
      <c r="R25" s="790"/>
      <c r="S25" s="790"/>
      <c r="T25" s="790"/>
      <c r="U25" s="790"/>
      <c r="V25" s="790"/>
      <c r="W25" s="790"/>
      <c r="X25" s="790"/>
      <c r="Y25" s="790"/>
      <c r="Z25" s="790"/>
      <c r="AB25" s="1488" t="s">
        <v>1422</v>
      </c>
      <c r="AC25" s="1488" t="s">
        <v>464</v>
      </c>
      <c r="AD25" s="1488" t="s">
        <v>1424</v>
      </c>
      <c r="AE25" s="1138">
        <f>god-4</f>
        <v>2022</v>
      </c>
      <c r="AF25" s="1138">
        <f>god-3</f>
        <v>2023</v>
      </c>
      <c r="AG25" s="1138">
        <f>god-2</f>
        <v>2024</v>
      </c>
      <c r="AH25" s="249" t="s">
        <v>897</v>
      </c>
      <c r="AI25" s="249">
        <f>god-4</f>
        <v>2022</v>
      </c>
      <c r="AJ25" s="249">
        <f>god-3</f>
        <v>2023</v>
      </c>
      <c r="AK25" s="249">
        <f>god-2</f>
        <v>2024</v>
      </c>
      <c r="AL25" s="249" t="s">
        <v>897</v>
      </c>
    </row>
    <row r="26" spans="1:38" ht="33" customHeight="1" x14ac:dyDescent="0.15">
      <c r="E26" s="668">
        <v>33.9</v>
      </c>
      <c r="AB26" s="1488"/>
      <c r="AC26" s="1488"/>
      <c r="AD26" s="1488"/>
      <c r="AE26" s="1140" t="s">
        <v>1577</v>
      </c>
      <c r="AF26" s="1140" t="s">
        <v>1577</v>
      </c>
      <c r="AG26" s="1140" t="s">
        <v>1577</v>
      </c>
      <c r="AH26" s="462" t="s">
        <v>1577</v>
      </c>
      <c r="AI26" s="462" t="s">
        <v>1578</v>
      </c>
      <c r="AJ26" s="462" t="s">
        <v>1578</v>
      </c>
      <c r="AK26" s="462" t="s">
        <v>1578</v>
      </c>
      <c r="AL26" s="462" t="s">
        <v>1578</v>
      </c>
    </row>
    <row r="27" spans="1:38" ht="13.9" customHeight="1" x14ac:dyDescent="0.15">
      <c r="E27" s="668">
        <v>14.3</v>
      </c>
      <c r="AB27" s="512"/>
      <c r="AC27" s="512"/>
      <c r="AD27" s="512"/>
      <c r="AE27" s="512"/>
      <c r="AF27" s="512"/>
      <c r="AG27" s="512"/>
      <c r="AH27" s="512"/>
      <c r="AI27" s="512"/>
      <c r="AJ27" s="512"/>
      <c r="AK27" s="512"/>
      <c r="AL27" s="512"/>
    </row>
    <row r="28" spans="1:38" s="167" customFormat="1" ht="11.1" customHeight="1" x14ac:dyDescent="0.15">
      <c r="A28" s="123"/>
      <c r="B28" s="659"/>
      <c r="C28" s="123"/>
      <c r="D28" s="123"/>
      <c r="E28" s="668">
        <v>11.4</v>
      </c>
      <c r="F28" s="791" cm="1">
        <f t="array" ref="F28">'Общие сведения'!$Z$170</f>
        <v>0</v>
      </c>
      <c r="G28" s="123"/>
      <c r="H28" s="123"/>
      <c r="I28" s="123"/>
      <c r="J28" s="123"/>
      <c r="K28" s="123"/>
      <c r="L28" s="123"/>
      <c r="M28" s="123"/>
      <c r="N28" s="123"/>
      <c r="O28" s="123"/>
      <c r="P28" s="123"/>
      <c r="Q28" s="123"/>
      <c r="R28" s="123"/>
      <c r="S28" s="123"/>
      <c r="T28" s="123"/>
      <c r="U28" s="123"/>
      <c r="V28" s="123"/>
      <c r="W28" s="123"/>
      <c r="X28" s="123"/>
      <c r="Y28" s="123"/>
      <c r="Z28" s="123"/>
      <c r="AB28" s="263" t="str" cm="1">
        <f t="array" ref="AB28">INDEX('Общие сведения'!$AG$169:$AG$202,MATCH($F28,'Общие сведения'!$Z$169:$Z$202,0))</f>
        <v xml:space="preserve">Тариф 0 (Теплоснабжение) - </v>
      </c>
      <c r="AC28" s="264"/>
      <c r="AD28" s="264"/>
      <c r="AE28" s="264"/>
      <c r="AF28" s="264"/>
      <c r="AG28" s="264"/>
      <c r="AH28" s="264"/>
      <c r="AI28" s="264"/>
      <c r="AJ28" s="264"/>
      <c r="AK28" s="264"/>
      <c r="AL28" s="264"/>
    </row>
    <row r="29" spans="1:38" ht="33" customHeight="1" x14ac:dyDescent="0.15">
      <c r="E29" s="668">
        <v>33.9</v>
      </c>
      <c r="F29" s="790" cm="1">
        <f t="array" ref="F29">F28</f>
        <v>0</v>
      </c>
      <c r="AB29" s="572">
        <v>1</v>
      </c>
      <c r="AC29" s="573" t="s">
        <v>1579</v>
      </c>
      <c r="AD29" s="572" t="s">
        <v>830</v>
      </c>
      <c r="AE29" s="574">
        <f>SUM(AE30:AE34)</f>
        <v>0</v>
      </c>
      <c r="AF29" s="574">
        <f>SUM(AF30:AF34)</f>
        <v>0</v>
      </c>
      <c r="AG29" s="574">
        <f>SUM(AG30:AG34)</f>
        <v>0</v>
      </c>
      <c r="AH29" s="574">
        <f t="shared" ref="AH29:AH40" si="0">SUM(AE29:AG29)</f>
        <v>0</v>
      </c>
      <c r="AI29" s="574">
        <f>SUM(AI30:AI34)</f>
        <v>0</v>
      </c>
      <c r="AJ29" s="574">
        <f>SUM(AJ30:AJ34)</f>
        <v>0</v>
      </c>
      <c r="AK29" s="574">
        <f>SUM(AK30:AK34)</f>
        <v>0</v>
      </c>
      <c r="AL29" s="574">
        <f t="shared" ref="AL29:AL40" si="1">SUM(AI29:AK29)</f>
        <v>0</v>
      </c>
    </row>
    <row r="30" spans="1:38" ht="16.7" customHeight="1" x14ac:dyDescent="0.15">
      <c r="E30" s="668">
        <v>17.100000000000001</v>
      </c>
      <c r="F30" s="790" cm="1">
        <f t="array" ref="F30">F29</f>
        <v>0</v>
      </c>
      <c r="AB30" s="575" t="s">
        <v>473</v>
      </c>
      <c r="AC30" s="576" t="s">
        <v>1580</v>
      </c>
      <c r="AD30" s="575" t="s">
        <v>830</v>
      </c>
      <c r="AE30" s="577"/>
      <c r="AF30" s="577"/>
      <c r="AG30" s="577"/>
      <c r="AH30" s="578">
        <f t="shared" si="0"/>
        <v>0</v>
      </c>
      <c r="AI30" s="577" cm="1">
        <f t="array" ref="AI30">AE30</f>
        <v>0</v>
      </c>
      <c r="AJ30" s="577" cm="1">
        <f t="array" ref="AJ30">AF30</f>
        <v>0</v>
      </c>
      <c r="AK30" s="577" cm="1">
        <f t="array" ref="AK30">AG30</f>
        <v>0</v>
      </c>
      <c r="AL30" s="578">
        <f t="shared" si="1"/>
        <v>0</v>
      </c>
    </row>
    <row r="31" spans="1:38" ht="16.7" customHeight="1" x14ac:dyDescent="0.15">
      <c r="E31" s="668">
        <v>17.100000000000001</v>
      </c>
      <c r="F31" s="790" cm="1">
        <f t="array" ref="F31">F30</f>
        <v>0</v>
      </c>
      <c r="AB31" s="575" t="s">
        <v>955</v>
      </c>
      <c r="AC31" s="576" t="s">
        <v>1581</v>
      </c>
      <c r="AD31" s="575" t="s">
        <v>830</v>
      </c>
      <c r="AE31" s="577"/>
      <c r="AF31" s="577"/>
      <c r="AG31" s="577"/>
      <c r="AH31" s="578">
        <f t="shared" si="0"/>
        <v>0</v>
      </c>
      <c r="AI31" s="577" cm="1">
        <f t="array" ref="AI31">AE31</f>
        <v>0</v>
      </c>
      <c r="AJ31" s="577" cm="1">
        <f t="array" ref="AJ31">AF31</f>
        <v>0</v>
      </c>
      <c r="AK31" s="577" cm="1">
        <f t="array" ref="AK31">AG31</f>
        <v>0</v>
      </c>
      <c r="AL31" s="578">
        <f t="shared" si="1"/>
        <v>0</v>
      </c>
    </row>
    <row r="32" spans="1:38" ht="16.7" customHeight="1" x14ac:dyDescent="0.15">
      <c r="E32" s="668">
        <v>17.100000000000001</v>
      </c>
      <c r="F32" s="790" cm="1">
        <f t="array" ref="F32">F31</f>
        <v>0</v>
      </c>
      <c r="AB32" s="575" t="s">
        <v>957</v>
      </c>
      <c r="AC32" s="576" t="s">
        <v>1582</v>
      </c>
      <c r="AD32" s="575" t="s">
        <v>830</v>
      </c>
      <c r="AE32" s="577"/>
      <c r="AF32" s="577"/>
      <c r="AG32" s="577"/>
      <c r="AH32" s="578">
        <f t="shared" si="0"/>
        <v>0</v>
      </c>
      <c r="AI32" s="577" cm="1">
        <f t="array" ref="AI32">AE32</f>
        <v>0</v>
      </c>
      <c r="AJ32" s="577" cm="1">
        <f t="array" ref="AJ32">AF32</f>
        <v>0</v>
      </c>
      <c r="AK32" s="577" cm="1">
        <f t="array" ref="AK32">AG32</f>
        <v>0</v>
      </c>
      <c r="AL32" s="578">
        <f t="shared" si="1"/>
        <v>0</v>
      </c>
    </row>
    <row r="33" spans="5:38" ht="16.7" customHeight="1" x14ac:dyDescent="0.15">
      <c r="E33" s="668">
        <v>17.100000000000001</v>
      </c>
      <c r="F33" s="790" cm="1">
        <f t="array" ref="F33">F32</f>
        <v>0</v>
      </c>
      <c r="AB33" s="575" t="s">
        <v>961</v>
      </c>
      <c r="AC33" s="576" t="s">
        <v>1583</v>
      </c>
      <c r="AD33" s="575" t="s">
        <v>830</v>
      </c>
      <c r="AE33" s="577"/>
      <c r="AF33" s="577"/>
      <c r="AG33" s="577"/>
      <c r="AH33" s="578">
        <f t="shared" si="0"/>
        <v>0</v>
      </c>
      <c r="AI33" s="577" cm="1">
        <f t="array" ref="AI33">AE33</f>
        <v>0</v>
      </c>
      <c r="AJ33" s="577" cm="1">
        <f t="array" ref="AJ33">AF33</f>
        <v>0</v>
      </c>
      <c r="AK33" s="577" cm="1">
        <f t="array" ref="AK33">AG33</f>
        <v>0</v>
      </c>
      <c r="AL33" s="578">
        <f t="shared" si="1"/>
        <v>0</v>
      </c>
    </row>
    <row r="34" spans="5:38" ht="16.7" customHeight="1" x14ac:dyDescent="0.15">
      <c r="E34" s="668">
        <v>17.100000000000001</v>
      </c>
      <c r="F34" s="790" cm="1">
        <f t="array" ref="F34">F33</f>
        <v>0</v>
      </c>
      <c r="AB34" s="575" t="s">
        <v>1067</v>
      </c>
      <c r="AC34" s="576" t="s">
        <v>1286</v>
      </c>
      <c r="AD34" s="575" t="s">
        <v>830</v>
      </c>
      <c r="AE34" s="577"/>
      <c r="AF34" s="577"/>
      <c r="AG34" s="577"/>
      <c r="AH34" s="578">
        <f t="shared" si="0"/>
        <v>0</v>
      </c>
      <c r="AI34" s="577" cm="1">
        <f t="array" ref="AI34">AE34</f>
        <v>0</v>
      </c>
      <c r="AJ34" s="577" cm="1">
        <f t="array" ref="AJ34">AF34</f>
        <v>0</v>
      </c>
      <c r="AK34" s="577" cm="1">
        <f t="array" ref="AK34">AG34</f>
        <v>0</v>
      </c>
      <c r="AL34" s="578">
        <f t="shared" si="1"/>
        <v>0</v>
      </c>
    </row>
    <row r="35" spans="5:38" ht="33" customHeight="1" x14ac:dyDescent="0.15">
      <c r="E35" s="668">
        <v>33.9</v>
      </c>
      <c r="F35" s="790" cm="1">
        <f t="array" ref="F35">F34</f>
        <v>0</v>
      </c>
      <c r="AB35" s="575">
        <v>2</v>
      </c>
      <c r="AC35" s="579" t="s">
        <v>1584</v>
      </c>
      <c r="AD35" s="575" t="s">
        <v>830</v>
      </c>
      <c r="AE35" s="578">
        <f>SUM(AE36:AE40)</f>
        <v>0</v>
      </c>
      <c r="AF35" s="578">
        <f>SUM(AF36:AF40)</f>
        <v>0</v>
      </c>
      <c r="AG35" s="578">
        <f>SUM(AG36:AG40)</f>
        <v>0</v>
      </c>
      <c r="AH35" s="578">
        <f t="shared" si="0"/>
        <v>0</v>
      </c>
      <c r="AI35" s="578">
        <f>SUM(AI36:AI40)</f>
        <v>0</v>
      </c>
      <c r="AJ35" s="578">
        <f>SUM(AJ36:AJ40)</f>
        <v>0</v>
      </c>
      <c r="AK35" s="578">
        <f>SUM(AK36:AK40)</f>
        <v>0</v>
      </c>
      <c r="AL35" s="578">
        <f t="shared" si="1"/>
        <v>0</v>
      </c>
    </row>
    <row r="36" spans="5:38" ht="16.7" customHeight="1" x14ac:dyDescent="0.15">
      <c r="E36" s="668">
        <v>17.100000000000001</v>
      </c>
      <c r="F36" s="790" cm="1">
        <f t="array" ref="F36">F35</f>
        <v>0</v>
      </c>
      <c r="AB36" s="575" t="s">
        <v>479</v>
      </c>
      <c r="AC36" s="576" t="s">
        <v>1580</v>
      </c>
      <c r="AD36" s="575" t="s">
        <v>830</v>
      </c>
      <c r="AE36" s="577"/>
      <c r="AF36" s="577"/>
      <c r="AG36" s="577"/>
      <c r="AH36" s="578">
        <f t="shared" si="0"/>
        <v>0</v>
      </c>
      <c r="AI36" s="577" cm="1">
        <f t="array" ref="AI36">AE36</f>
        <v>0</v>
      </c>
      <c r="AJ36" s="577" cm="1">
        <f t="array" ref="AJ36">AF36</f>
        <v>0</v>
      </c>
      <c r="AK36" s="577" cm="1">
        <f t="array" ref="AK36">AG36</f>
        <v>0</v>
      </c>
      <c r="AL36" s="578">
        <f t="shared" si="1"/>
        <v>0</v>
      </c>
    </row>
    <row r="37" spans="5:38" ht="16.7" customHeight="1" x14ac:dyDescent="0.15">
      <c r="E37" s="668">
        <v>17.100000000000001</v>
      </c>
      <c r="F37" s="790" cm="1">
        <f t="array" ref="F37">F36</f>
        <v>0</v>
      </c>
      <c r="AB37" s="575" t="s">
        <v>506</v>
      </c>
      <c r="AC37" s="576" t="s">
        <v>1581</v>
      </c>
      <c r="AD37" s="575" t="s">
        <v>830</v>
      </c>
      <c r="AE37" s="577"/>
      <c r="AF37" s="577"/>
      <c r="AG37" s="577"/>
      <c r="AH37" s="578">
        <f t="shared" si="0"/>
        <v>0</v>
      </c>
      <c r="AI37" s="577" cm="1">
        <f t="array" ref="AI37">AE37</f>
        <v>0</v>
      </c>
      <c r="AJ37" s="577" cm="1">
        <f t="array" ref="AJ37">AF37</f>
        <v>0</v>
      </c>
      <c r="AK37" s="577" cm="1">
        <f t="array" ref="AK37">AG37</f>
        <v>0</v>
      </c>
      <c r="AL37" s="578">
        <f t="shared" si="1"/>
        <v>0</v>
      </c>
    </row>
    <row r="38" spans="5:38" ht="16.7" customHeight="1" x14ac:dyDescent="0.15">
      <c r="E38" s="668">
        <v>17.100000000000001</v>
      </c>
      <c r="F38" s="790" cm="1">
        <f t="array" ref="F38">F37</f>
        <v>0</v>
      </c>
      <c r="AB38" s="575" t="s">
        <v>510</v>
      </c>
      <c r="AC38" s="576" t="s">
        <v>1582</v>
      </c>
      <c r="AD38" s="575" t="s">
        <v>830</v>
      </c>
      <c r="AE38" s="577"/>
      <c r="AF38" s="577"/>
      <c r="AG38" s="577"/>
      <c r="AH38" s="578">
        <f t="shared" si="0"/>
        <v>0</v>
      </c>
      <c r="AI38" s="577" cm="1">
        <f t="array" ref="AI38">AE38</f>
        <v>0</v>
      </c>
      <c r="AJ38" s="577" cm="1">
        <f t="array" ref="AJ38">AF38</f>
        <v>0</v>
      </c>
      <c r="AK38" s="577" cm="1">
        <f t="array" ref="AK38">AG38</f>
        <v>0</v>
      </c>
      <c r="AL38" s="578">
        <f t="shared" si="1"/>
        <v>0</v>
      </c>
    </row>
    <row r="39" spans="5:38" ht="16.7" customHeight="1" x14ac:dyDescent="0.15">
      <c r="E39" s="668">
        <v>17.100000000000001</v>
      </c>
      <c r="F39" s="790" cm="1">
        <f t="array" ref="F39">F38</f>
        <v>0</v>
      </c>
      <c r="AB39" s="575" t="s">
        <v>514</v>
      </c>
      <c r="AC39" s="576" t="s">
        <v>1583</v>
      </c>
      <c r="AD39" s="575" t="s">
        <v>830</v>
      </c>
      <c r="AE39" s="577"/>
      <c r="AF39" s="577"/>
      <c r="AG39" s="577"/>
      <c r="AH39" s="578">
        <f t="shared" si="0"/>
        <v>0</v>
      </c>
      <c r="AI39" s="577" cm="1">
        <f t="array" ref="AI39">AE39</f>
        <v>0</v>
      </c>
      <c r="AJ39" s="577" cm="1">
        <f t="array" ref="AJ39">AF39</f>
        <v>0</v>
      </c>
      <c r="AK39" s="577" cm="1">
        <f t="array" ref="AK39">AG39</f>
        <v>0</v>
      </c>
      <c r="AL39" s="578">
        <f t="shared" si="1"/>
        <v>0</v>
      </c>
    </row>
    <row r="40" spans="5:38" ht="16.7" customHeight="1" x14ac:dyDescent="0.15">
      <c r="E40" s="668">
        <v>17.100000000000001</v>
      </c>
      <c r="F40" s="790" cm="1">
        <f t="array" ref="F40">F39</f>
        <v>0</v>
      </c>
      <c r="AB40" s="575" t="s">
        <v>1585</v>
      </c>
      <c r="AC40" s="576" t="s">
        <v>1286</v>
      </c>
      <c r="AD40" s="575" t="s">
        <v>830</v>
      </c>
      <c r="AE40" s="577"/>
      <c r="AF40" s="577"/>
      <c r="AG40" s="577"/>
      <c r="AH40" s="578">
        <f t="shared" si="0"/>
        <v>0</v>
      </c>
      <c r="AI40" s="577" cm="1">
        <f t="array" ref="AI40">AE40</f>
        <v>0</v>
      </c>
      <c r="AJ40" s="577" cm="1">
        <f t="array" ref="AJ40">AF40</f>
        <v>0</v>
      </c>
      <c r="AK40" s="577" cm="1">
        <f t="array" ref="AK40">AG40</f>
        <v>0</v>
      </c>
      <c r="AL40" s="578">
        <f t="shared" si="1"/>
        <v>0</v>
      </c>
    </row>
    <row r="41" spans="5:38" ht="16.7" customHeight="1" x14ac:dyDescent="0.15">
      <c r="E41" s="668">
        <v>17.100000000000001</v>
      </c>
      <c r="F41" s="790" cm="1">
        <f t="array" ref="F41">F40</f>
        <v>0</v>
      </c>
      <c r="AB41" s="575" t="s">
        <v>431</v>
      </c>
      <c r="AC41" s="579" t="s">
        <v>1586</v>
      </c>
      <c r="AD41" s="575" t="s">
        <v>1587</v>
      </c>
      <c r="AE41" s="577"/>
      <c r="AF41" s="577"/>
      <c r="AG41" s="577"/>
      <c r="AH41" s="580"/>
      <c r="AI41" s="577" cm="1">
        <f t="array" ref="AI41">AE41</f>
        <v>0</v>
      </c>
      <c r="AJ41" s="577" cm="1">
        <f t="array" ref="AJ41">AF41</f>
        <v>0</v>
      </c>
      <c r="AK41" s="577" cm="1">
        <f t="array" ref="AK41">AG41</f>
        <v>0</v>
      </c>
      <c r="AL41" s="580"/>
    </row>
    <row r="42" spans="5:38" ht="16.7" customHeight="1" x14ac:dyDescent="0.15">
      <c r="E42" s="668">
        <v>17.100000000000001</v>
      </c>
      <c r="F42" s="790" cm="1">
        <f t="array" ref="F42">F41</f>
        <v>0</v>
      </c>
      <c r="AB42" s="575" t="s">
        <v>437</v>
      </c>
      <c r="AC42" s="579" t="s">
        <v>1588</v>
      </c>
      <c r="AD42" s="575" t="s">
        <v>1587</v>
      </c>
      <c r="AE42" s="581">
        <v>0</v>
      </c>
      <c r="AF42" s="581">
        <v>0</v>
      </c>
      <c r="AG42" s="581">
        <v>0</v>
      </c>
      <c r="AH42" s="580"/>
      <c r="AI42" s="577" cm="1">
        <f t="array" ref="AI42">AE42</f>
        <v>0</v>
      </c>
      <c r="AJ42" s="577" cm="1">
        <f t="array" ref="AJ42">AF42</f>
        <v>0</v>
      </c>
      <c r="AK42" s="577" cm="1">
        <f t="array" ref="AK42">AG42</f>
        <v>0</v>
      </c>
      <c r="AL42" s="580"/>
    </row>
    <row r="43" spans="5:38" ht="33" customHeight="1" x14ac:dyDescent="0.15">
      <c r="E43" s="668">
        <v>33.9</v>
      </c>
      <c r="F43" s="790" cm="1">
        <f t="array" ref="F43">F42</f>
        <v>0</v>
      </c>
      <c r="AB43" s="575" t="s">
        <v>441</v>
      </c>
      <c r="AC43" s="579" t="s">
        <v>1589</v>
      </c>
      <c r="AD43" s="575" t="s">
        <v>830</v>
      </c>
      <c r="AE43" s="578">
        <f>SUM(AE44:AE48)</f>
        <v>0</v>
      </c>
      <c r="AF43" s="578">
        <f>SUM(AF44:AF48)</f>
        <v>0</v>
      </c>
      <c r="AG43" s="578">
        <f>SUM(AG44:AG48)</f>
        <v>0</v>
      </c>
      <c r="AH43" s="578">
        <f t="shared" ref="AH43:AH50" si="2">SUM(AE43:AG43)</f>
        <v>0</v>
      </c>
      <c r="AI43" s="578">
        <f>SUM(AI44:AI48)</f>
        <v>0</v>
      </c>
      <c r="AJ43" s="578">
        <f>SUM(AJ44:AJ48)</f>
        <v>0</v>
      </c>
      <c r="AK43" s="578">
        <f>SUM(AK44:AK48)</f>
        <v>0</v>
      </c>
      <c r="AL43" s="578">
        <f t="shared" ref="AL43:AL50" si="3">SUM(AI43:AK43)</f>
        <v>0</v>
      </c>
    </row>
    <row r="44" spans="5:38" ht="16.7" customHeight="1" x14ac:dyDescent="0.15">
      <c r="E44" s="668">
        <v>17.100000000000001</v>
      </c>
      <c r="F44" s="790" cm="1">
        <f t="array" ref="F44">F43</f>
        <v>0</v>
      </c>
      <c r="AB44" s="575" t="s">
        <v>776</v>
      </c>
      <c r="AC44" s="576" t="s">
        <v>1580</v>
      </c>
      <c r="AD44" s="575" t="s">
        <v>830</v>
      </c>
      <c r="AE44" s="577"/>
      <c r="AF44" s="577"/>
      <c r="AG44" s="577"/>
      <c r="AH44" s="578">
        <f t="shared" si="2"/>
        <v>0</v>
      </c>
      <c r="AI44" s="577" cm="1">
        <f t="array" ref="AI44">AE44</f>
        <v>0</v>
      </c>
      <c r="AJ44" s="577" cm="1">
        <f t="array" ref="AJ44">AF44</f>
        <v>0</v>
      </c>
      <c r="AK44" s="577" cm="1">
        <f t="array" ref="AK44">AG44</f>
        <v>0</v>
      </c>
      <c r="AL44" s="578">
        <f t="shared" si="3"/>
        <v>0</v>
      </c>
    </row>
    <row r="45" spans="5:38" ht="16.7" customHeight="1" x14ac:dyDescent="0.15">
      <c r="E45" s="668">
        <v>17.100000000000001</v>
      </c>
      <c r="F45" s="790" cm="1">
        <f t="array" ref="F45">F44</f>
        <v>0</v>
      </c>
      <c r="AB45" s="575" t="s">
        <v>1331</v>
      </c>
      <c r="AC45" s="576" t="s">
        <v>1581</v>
      </c>
      <c r="AD45" s="575" t="s">
        <v>830</v>
      </c>
      <c r="AE45" s="577"/>
      <c r="AF45" s="577"/>
      <c r="AG45" s="577"/>
      <c r="AH45" s="578">
        <f t="shared" si="2"/>
        <v>0</v>
      </c>
      <c r="AI45" s="577" cm="1">
        <f t="array" ref="AI45">AE45</f>
        <v>0</v>
      </c>
      <c r="AJ45" s="577" cm="1">
        <f t="array" ref="AJ45">AF45</f>
        <v>0</v>
      </c>
      <c r="AK45" s="577" cm="1">
        <f t="array" ref="AK45">AG45</f>
        <v>0</v>
      </c>
      <c r="AL45" s="578">
        <f t="shared" si="3"/>
        <v>0</v>
      </c>
    </row>
    <row r="46" spans="5:38" ht="16.7" customHeight="1" x14ac:dyDescent="0.15">
      <c r="E46" s="668">
        <v>17.100000000000001</v>
      </c>
      <c r="F46" s="790" cm="1">
        <f t="array" ref="F46">F45</f>
        <v>0</v>
      </c>
      <c r="AB46" s="575" t="s">
        <v>1334</v>
      </c>
      <c r="AC46" s="576" t="s">
        <v>1582</v>
      </c>
      <c r="AD46" s="575" t="s">
        <v>830</v>
      </c>
      <c r="AE46" s="577"/>
      <c r="AF46" s="577"/>
      <c r="AG46" s="577"/>
      <c r="AH46" s="578">
        <f t="shared" si="2"/>
        <v>0</v>
      </c>
      <c r="AI46" s="577" cm="1">
        <f t="array" ref="AI46">AE46</f>
        <v>0</v>
      </c>
      <c r="AJ46" s="577" cm="1">
        <f t="array" ref="AJ46">AF46</f>
        <v>0</v>
      </c>
      <c r="AK46" s="577" cm="1">
        <f t="array" ref="AK46">AG46</f>
        <v>0</v>
      </c>
      <c r="AL46" s="578">
        <f t="shared" si="3"/>
        <v>0</v>
      </c>
    </row>
    <row r="47" spans="5:38" ht="16.7" customHeight="1" x14ac:dyDescent="0.15">
      <c r="E47" s="668">
        <v>17.100000000000001</v>
      </c>
      <c r="F47" s="790" cm="1">
        <f t="array" ref="F47">F46</f>
        <v>0</v>
      </c>
      <c r="AB47" s="575" t="s">
        <v>1337</v>
      </c>
      <c r="AC47" s="576" t="s">
        <v>1583</v>
      </c>
      <c r="AD47" s="575" t="s">
        <v>830</v>
      </c>
      <c r="AE47" s="577"/>
      <c r="AF47" s="577"/>
      <c r="AG47" s="577"/>
      <c r="AH47" s="578">
        <f t="shared" si="2"/>
        <v>0</v>
      </c>
      <c r="AI47" s="577" cm="1">
        <f t="array" ref="AI47">AE47</f>
        <v>0</v>
      </c>
      <c r="AJ47" s="577" cm="1">
        <f t="array" ref="AJ47">AF47</f>
        <v>0</v>
      </c>
      <c r="AK47" s="577" cm="1">
        <f t="array" ref="AK47">AG47</f>
        <v>0</v>
      </c>
      <c r="AL47" s="578">
        <f t="shared" si="3"/>
        <v>0</v>
      </c>
    </row>
    <row r="48" spans="5:38" ht="16.7" customHeight="1" x14ac:dyDescent="0.15">
      <c r="E48" s="668">
        <v>17.100000000000001</v>
      </c>
      <c r="F48" s="790" cm="1">
        <f t="array" ref="F48">F47</f>
        <v>0</v>
      </c>
      <c r="AB48" s="582" t="s">
        <v>1340</v>
      </c>
      <c r="AC48" s="584" t="s">
        <v>1286</v>
      </c>
      <c r="AD48" s="582" t="s">
        <v>830</v>
      </c>
      <c r="AE48" s="585"/>
      <c r="AF48" s="585"/>
      <c r="AG48" s="585"/>
      <c r="AH48" s="583">
        <f t="shared" si="2"/>
        <v>0</v>
      </c>
      <c r="AI48" s="585" cm="1">
        <f t="array" ref="AI48">AE48</f>
        <v>0</v>
      </c>
      <c r="AJ48" s="585" cm="1">
        <f t="array" ref="AJ48">AF48</f>
        <v>0</v>
      </c>
      <c r="AK48" s="585" cm="1">
        <f t="array" ref="AK48">AG48</f>
        <v>0</v>
      </c>
      <c r="AL48" s="583">
        <f t="shared" si="3"/>
        <v>0</v>
      </c>
    </row>
    <row r="49" spans="1:38" ht="16.7" customHeight="1" x14ac:dyDescent="0.15">
      <c r="E49" s="668">
        <v>17.100000000000001</v>
      </c>
      <c r="F49" s="790" cm="1">
        <f t="array" ref="F49">F48</f>
        <v>0</v>
      </c>
      <c r="AB49" s="257">
        <v>6</v>
      </c>
      <c r="AC49" s="340" t="s">
        <v>1590</v>
      </c>
      <c r="AD49" s="257" t="s">
        <v>830</v>
      </c>
      <c r="AE49" s="586">
        <f>IF(AE41=0,0,AE42/AE41*AE35)</f>
        <v>0</v>
      </c>
      <c r="AF49" s="586">
        <f>IF(AF41=0,0,AF42/AF41*AF35)</f>
        <v>0</v>
      </c>
      <c r="AG49" s="586">
        <f>IF(AG41=0,0,AG42/AG41*AG35)</f>
        <v>0</v>
      </c>
      <c r="AH49" s="586">
        <f t="shared" si="2"/>
        <v>0</v>
      </c>
      <c r="AI49" s="586">
        <f>IF(AI41=0,0,AI42/AI41*AI35)</f>
        <v>0</v>
      </c>
      <c r="AJ49" s="586">
        <f>IF(AJ41=0,0,AJ42/AJ41*AJ35)</f>
        <v>0</v>
      </c>
      <c r="AK49" s="586">
        <f>IF(AK41=0,0,AK42/AK41*AK35)</f>
        <v>0</v>
      </c>
      <c r="AL49" s="586">
        <f t="shared" si="3"/>
        <v>0</v>
      </c>
    </row>
    <row r="50" spans="1:38" ht="16.7" customHeight="1" x14ac:dyDescent="0.15">
      <c r="E50" s="668">
        <v>17.100000000000001</v>
      </c>
      <c r="F50" s="790" cm="1">
        <f t="array" ref="F50">F49</f>
        <v>0</v>
      </c>
      <c r="AB50" s="257">
        <v>7</v>
      </c>
      <c r="AC50" s="340" t="s">
        <v>1591</v>
      </c>
      <c r="AD50" s="257" t="s">
        <v>830</v>
      </c>
      <c r="AE50" s="586">
        <f>IF(AE49=0,0,AE29*(AE43/AE49-1))</f>
        <v>0</v>
      </c>
      <c r="AF50" s="586">
        <f>IF(AF49=0,0,AF29*(AF43/AF49-1))</f>
        <v>0</v>
      </c>
      <c r="AG50" s="586">
        <f>IF(AG49=0,0,AG29*(AG43/AG49-1))</f>
        <v>0</v>
      </c>
      <c r="AH50" s="586">
        <f t="shared" si="2"/>
        <v>0</v>
      </c>
      <c r="AI50" s="586">
        <f>IF(AI49=0,0,AI29*(AI43/AI49-1))</f>
        <v>0</v>
      </c>
      <c r="AJ50" s="586">
        <f>IF(AJ49=0,0,AJ29*(AJ43/AJ49-1))</f>
        <v>0</v>
      </c>
      <c r="AK50" s="586">
        <f>IF(AK49=0,0,AK29*(AK43/AK49-1))</f>
        <v>0</v>
      </c>
      <c r="AL50" s="586">
        <f t="shared" si="3"/>
        <v>0</v>
      </c>
    </row>
    <row r="51" spans="1:38" s="449" customFormat="1" ht="11.1" customHeight="1" x14ac:dyDescent="0.15">
      <c r="A51" s="792"/>
      <c r="B51" s="665"/>
      <c r="C51" s="792"/>
      <c r="D51" s="792"/>
      <c r="E51" s="669">
        <v>11.4</v>
      </c>
      <c r="F51" s="792"/>
      <c r="G51" s="792"/>
      <c r="H51" s="792"/>
      <c r="I51" s="792"/>
      <c r="J51" s="792"/>
      <c r="K51" s="792"/>
      <c r="L51" s="792"/>
      <c r="M51" s="792"/>
      <c r="N51" s="792"/>
      <c r="O51" s="792"/>
      <c r="P51" s="792"/>
      <c r="Q51" s="792"/>
      <c r="R51" s="792"/>
      <c r="S51" s="792"/>
      <c r="T51" s="792"/>
      <c r="U51" s="792"/>
      <c r="V51" s="792"/>
      <c r="W51" s="792"/>
      <c r="X51" s="792"/>
      <c r="Y51" s="792"/>
      <c r="Z51" s="792"/>
      <c r="AB51" s="450"/>
      <c r="AC51" s="450"/>
      <c r="AD51" s="450"/>
      <c r="AE51" s="450"/>
      <c r="AF51" s="450"/>
      <c r="AG51" s="450"/>
      <c r="AH51" s="450"/>
      <c r="AI51" s="450"/>
      <c r="AJ51" s="450"/>
      <c r="AK51" s="450"/>
      <c r="AL51" s="450"/>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81E8-8EA8-4948-6C48-EE6AA6EDC9A8}">
  <sheetPr>
    <tabColor rgb="FF92D050"/>
    <outlinePr summaryBelow="0" summaryRight="0"/>
    <pageSetUpPr fitToPage="1"/>
  </sheetPr>
  <dimension ref="A1:BX142"/>
  <sheetViews>
    <sheetView showGridLines="0" workbookViewId="0">
      <pane xSplit="30" ySplit="25" topLeftCell="AI112" activePane="bottomRight" state="frozen"/>
      <selection pane="topRight" activeCell="AE1" sqref="AE1"/>
      <selection pane="bottomLeft" activeCell="A26" sqref="A26"/>
      <selection pane="bottomRight" activeCell="AI123" sqref="AI123"/>
    </sheetView>
  </sheetViews>
  <sheetFormatPr defaultColWidth="9.140625" defaultRowHeight="11.25" customHeight="1" x14ac:dyDescent="0.15"/>
  <cols>
    <col min="1" max="1" width="3.5703125" style="175" hidden="1" customWidth="1"/>
    <col min="2" max="2" width="8.5703125" style="773" hidden="1" customWidth="1"/>
    <col min="3" max="3" width="25.85546875" style="1085" hidden="1" customWidth="1"/>
    <col min="4" max="4" width="12.7109375" style="1049" hidden="1" customWidth="1"/>
    <col min="5" max="5" width="8.42578125" style="772" hidden="1" customWidth="1"/>
    <col min="6" max="6" width="6.42578125" style="175" hidden="1" customWidth="1"/>
    <col min="7" max="11" width="3.5703125" style="177" hidden="1" customWidth="1"/>
    <col min="12" max="12" width="19.85546875" style="140" hidden="1" customWidth="1"/>
    <col min="13" max="14" width="12.7109375" style="1053" hidden="1" customWidth="1"/>
    <col min="15" max="18" width="9.140625" style="1061" hidden="1"/>
    <col min="19" max="19" width="15"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7" customWidth="1"/>
    <col min="28" max="28" width="8.140625" style="175" customWidth="1"/>
    <col min="29" max="29" width="61.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3" width="9.140625" style="1021" hidden="1"/>
    <col min="74" max="75" width="9.140625" style="1022" hidden="1"/>
    <col min="76" max="76" width="15" style="1116" hidden="1" customWidth="1"/>
  </cols>
  <sheetData>
    <row r="1" spans="1:76" s="175" customFormat="1" ht="12" hidden="1" customHeight="1" x14ac:dyDescent="0.15">
      <c r="B1" s="659"/>
      <c r="C1" s="1085" t="s">
        <v>84</v>
      </c>
      <c r="D1" s="1049" t="s">
        <v>85</v>
      </c>
      <c r="E1" s="659"/>
      <c r="F1" s="690" t="s">
        <v>83</v>
      </c>
      <c r="G1" s="177"/>
      <c r="H1" s="177"/>
      <c r="I1" s="177"/>
      <c r="J1" s="177"/>
      <c r="K1" s="177"/>
      <c r="M1" s="1053" t="s">
        <v>94</v>
      </c>
      <c r="N1" s="1053" t="s">
        <v>1592</v>
      </c>
      <c r="O1" s="1052" t="s">
        <v>1593</v>
      </c>
      <c r="P1" s="1052" t="s">
        <v>1594</v>
      </c>
      <c r="Q1" s="1052" t="s">
        <v>1595</v>
      </c>
      <c r="R1" s="1052"/>
      <c r="S1"/>
      <c r="T1" s="679" t="s">
        <v>86</v>
      </c>
      <c r="U1" s="679" t="s">
        <v>91</v>
      </c>
      <c r="V1" s="679" t="s">
        <v>87</v>
      </c>
      <c r="W1" s="679" t="s">
        <v>88</v>
      </c>
      <c r="X1" s="679" t="s">
        <v>89</v>
      </c>
      <c r="Y1" s="690" t="s">
        <v>374</v>
      </c>
      <c r="Z1" s="679" t="s">
        <v>93</v>
      </c>
      <c r="AA1" s="690" t="s">
        <v>90</v>
      </c>
      <c r="AB1" s="690" t="s">
        <v>92</v>
      </c>
      <c r="AC1" s="690" t="s">
        <v>92</v>
      </c>
      <c r="BS1" s="1021" t="s">
        <v>375</v>
      </c>
      <c r="BT1" s="1021" t="s">
        <v>376</v>
      </c>
      <c r="BU1" s="1021" t="s">
        <v>377</v>
      </c>
      <c r="BV1" s="1022" t="s">
        <v>380</v>
      </c>
      <c r="BW1" s="1022" t="s">
        <v>381</v>
      </c>
      <c r="BX1" s="1114" t="s">
        <v>1596</v>
      </c>
    </row>
    <row r="2" spans="1:76" s="773" customFormat="1" ht="12" hidden="1" customHeight="1" x14ac:dyDescent="0.15">
      <c r="B2" s="758" t="s">
        <v>15</v>
      </c>
      <c r="C2" s="1105"/>
      <c r="D2" s="1048"/>
      <c r="G2" s="776"/>
      <c r="H2" s="776"/>
      <c r="I2" s="776"/>
      <c r="J2" s="776"/>
      <c r="K2" s="776"/>
      <c r="L2" s="776"/>
      <c r="M2" s="1060"/>
      <c r="N2" s="1060"/>
      <c r="O2" s="1041"/>
      <c r="P2" s="1041"/>
      <c r="Q2" s="1041"/>
      <c r="R2" s="1041"/>
      <c r="S2"/>
      <c r="AC2" s="663"/>
      <c r="AJ2" s="680" t="b">
        <f t="shared" ref="AJ2:BM2" si="0">AJ6&lt;=last_year_vis</f>
        <v>1</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0</v>
      </c>
      <c r="AT2" s="680" t="b">
        <f t="shared" si="0"/>
        <v>1</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1</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si="0"/>
        <v>0</v>
      </c>
      <c r="BS2" s="963"/>
      <c r="BT2" s="963"/>
      <c r="BU2" s="963"/>
      <c r="BV2" s="975"/>
      <c r="BW2" s="975"/>
      <c r="BX2" s="1115"/>
    </row>
    <row r="3" spans="1:76" s="175" customFormat="1" ht="12" hidden="1" customHeight="1" x14ac:dyDescent="0.15">
      <c r="B3" s="659"/>
      <c r="C3" s="1085"/>
      <c r="D3" s="1049"/>
      <c r="E3" s="659"/>
      <c r="G3" s="177"/>
      <c r="H3" s="177"/>
      <c r="I3" s="177"/>
      <c r="J3" s="177"/>
      <c r="K3" s="177"/>
      <c r="L3" s="140"/>
      <c r="M3" s="1053"/>
      <c r="N3" s="1053"/>
      <c r="O3" s="1052"/>
      <c r="P3" s="1052"/>
      <c r="Q3" s="1052"/>
      <c r="R3" s="1052"/>
      <c r="S3"/>
      <c r="T3" s="123"/>
      <c r="U3" s="123"/>
      <c r="V3" s="123"/>
      <c r="W3" s="123"/>
      <c r="X3" s="123"/>
      <c r="Y3" s="123"/>
      <c r="Z3" s="123"/>
      <c r="AC3" s="179"/>
      <c r="BS3" s="1021"/>
      <c r="BT3" s="1021"/>
      <c r="BU3" s="1021"/>
      <c r="BV3" s="1022"/>
      <c r="BW3" s="1022"/>
      <c r="BX3" s="1116"/>
    </row>
    <row r="4" spans="1:76" s="175" customFormat="1" ht="12" hidden="1" customHeight="1" x14ac:dyDescent="0.15">
      <c r="B4" s="659"/>
      <c r="C4" s="1085"/>
      <c r="D4" s="1049"/>
      <c r="E4" s="659"/>
      <c r="G4" s="177"/>
      <c r="H4" s="177"/>
      <c r="I4" s="177"/>
      <c r="J4" s="177"/>
      <c r="K4" s="177"/>
      <c r="L4" s="140"/>
      <c r="M4" s="1053"/>
      <c r="N4" s="1053"/>
      <c r="O4" s="1052"/>
      <c r="P4" s="1052"/>
      <c r="Q4" s="1052"/>
      <c r="R4" s="1052"/>
      <c r="S4"/>
      <c r="T4" s="123"/>
      <c r="U4" s="123"/>
      <c r="V4" s="123"/>
      <c r="W4" s="123"/>
      <c r="X4" s="123"/>
      <c r="Y4" s="123"/>
      <c r="Z4" s="123"/>
      <c r="AC4" s="179"/>
      <c r="BS4" s="1021"/>
      <c r="BT4" s="1021"/>
      <c r="BU4" s="1021"/>
      <c r="BV4" s="1022"/>
      <c r="BW4" s="1022"/>
      <c r="BX4" s="1116"/>
    </row>
    <row r="5" spans="1:76" s="772" customFormat="1" ht="12" hidden="1" customHeight="1" x14ac:dyDescent="0.15">
      <c r="A5" s="659"/>
      <c r="B5" s="659"/>
      <c r="C5" s="1105"/>
      <c r="D5" s="1048"/>
      <c r="E5" s="668" t="s">
        <v>16</v>
      </c>
      <c r="G5" s="777"/>
      <c r="H5" s="777"/>
      <c r="I5" s="777"/>
      <c r="J5" s="777"/>
      <c r="K5" s="777"/>
      <c r="L5" s="777"/>
      <c r="M5" s="1060"/>
      <c r="N5" s="1060"/>
      <c r="O5" s="1041"/>
      <c r="P5" s="1041"/>
      <c r="Q5" s="1041"/>
      <c r="R5" s="1041"/>
      <c r="AA5" s="668">
        <v>3</v>
      </c>
      <c r="AB5" s="668">
        <v>8.1300000000000008</v>
      </c>
      <c r="AC5" s="674">
        <v>70.13</v>
      </c>
      <c r="AD5" s="668">
        <v>14.38</v>
      </c>
      <c r="AE5" s="668">
        <v>12.63</v>
      </c>
      <c r="AF5" s="668">
        <v>12.63</v>
      </c>
      <c r="AG5" s="668">
        <v>12.63</v>
      </c>
      <c r="AH5" s="668">
        <v>19.13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12.63</v>
      </c>
      <c r="BD5" s="668">
        <v>12.63</v>
      </c>
      <c r="BE5" s="668">
        <v>12.63</v>
      </c>
      <c r="BF5" s="668">
        <v>12.63</v>
      </c>
      <c r="BG5" s="668">
        <v>12.63</v>
      </c>
      <c r="BH5" s="668">
        <v>12.63</v>
      </c>
      <c r="BI5" s="668">
        <v>12.63</v>
      </c>
      <c r="BJ5" s="668">
        <v>12.63</v>
      </c>
      <c r="BK5" s="668">
        <v>12.63</v>
      </c>
      <c r="BL5" s="668">
        <v>12.63</v>
      </c>
      <c r="BM5" s="668">
        <v>12.63</v>
      </c>
      <c r="BN5" s="668">
        <v>19</v>
      </c>
      <c r="BO5" s="668">
        <v>17.25</v>
      </c>
      <c r="BP5" s="668">
        <v>31.25</v>
      </c>
      <c r="BQ5" s="668">
        <v>3</v>
      </c>
      <c r="BS5" s="963"/>
      <c r="BT5" s="963"/>
      <c r="BU5" s="963"/>
      <c r="BV5" s="975"/>
      <c r="BW5" s="975"/>
      <c r="BX5" s="1115"/>
    </row>
    <row r="6" spans="1:76" s="175" customFormat="1" ht="12" hidden="1" customHeight="1" x14ac:dyDescent="0.15">
      <c r="B6" s="659"/>
      <c r="C6" s="1085"/>
      <c r="D6" s="1049"/>
      <c r="E6" s="668"/>
      <c r="G6" s="177"/>
      <c r="H6" s="177"/>
      <c r="I6" s="177"/>
      <c r="J6" s="177"/>
      <c r="K6" s="177"/>
      <c r="L6" s="140"/>
      <c r="M6" s="1053"/>
      <c r="N6" s="1053"/>
      <c r="O6" s="1052"/>
      <c r="P6" s="1052"/>
      <c r="Q6" s="1052"/>
      <c r="R6" s="1052"/>
      <c r="S6" s="123"/>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21"/>
      <c r="BT6" s="1021"/>
      <c r="BU6" s="1021"/>
      <c r="BV6" s="1022"/>
      <c r="BW6" s="1022"/>
      <c r="BX6" s="1116"/>
    </row>
    <row r="7" spans="1:76" ht="12" hidden="1" customHeight="1" x14ac:dyDescent="0.15">
      <c r="F7" s="177"/>
      <c r="S7" s="160"/>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row>
    <row r="8" spans="1:76" ht="12" hidden="1" customHeight="1" x14ac:dyDescent="0.15">
      <c r="F8" s="177"/>
      <c r="S8" s="160"/>
      <c r="T8" s="160"/>
      <c r="U8" s="160"/>
      <c r="V8" s="160"/>
      <c r="W8" s="160"/>
      <c r="X8" s="160"/>
      <c r="Y8" s="160"/>
      <c r="Z8" s="160"/>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row>
    <row r="9" spans="1:76" s="1020" customFormat="1" ht="12" hidden="1" customHeight="1" x14ac:dyDescent="0.15">
      <c r="A9" s="948" t="s">
        <v>461</v>
      </c>
      <c r="B9" s="941"/>
      <c r="C9" s="1085"/>
      <c r="D9" s="1049"/>
      <c r="E9" s="941"/>
      <c r="L9" s="998"/>
      <c r="M9" s="1053"/>
      <c r="N9" s="1053"/>
      <c r="O9" s="1052"/>
      <c r="P9" s="1052"/>
      <c r="Q9" s="1052"/>
      <c r="R9" s="1052"/>
      <c r="S9" s="949"/>
      <c r="T9" s="949"/>
      <c r="U9" s="949"/>
      <c r="V9" s="949"/>
      <c r="W9" s="949"/>
      <c r="X9" s="949"/>
      <c r="Y9" s="949"/>
      <c r="Z9" s="949"/>
      <c r="AE9" s="1020">
        <f>god-2</f>
        <v>2024</v>
      </c>
      <c r="AF9" s="1020">
        <f>god-2</f>
        <v>2024</v>
      </c>
      <c r="AG9" s="1020">
        <f>god-2</f>
        <v>2024</v>
      </c>
      <c r="AH9" s="1020">
        <f>god-2</f>
        <v>2024</v>
      </c>
      <c r="AI9" s="1020">
        <f>god-1</f>
        <v>2025</v>
      </c>
      <c r="AJ9" s="1020" cm="1">
        <f t="array" ref="AJ9">god</f>
        <v>2026</v>
      </c>
      <c r="AK9" s="1020">
        <f>god+1</f>
        <v>2027</v>
      </c>
      <c r="AL9" s="1020">
        <f>god+2</f>
        <v>2028</v>
      </c>
      <c r="AM9" s="1020">
        <f>god+3</f>
        <v>2029</v>
      </c>
      <c r="AN9" s="1020">
        <f>god+4</f>
        <v>2030</v>
      </c>
      <c r="AO9" s="1020">
        <f>god+5</f>
        <v>2031</v>
      </c>
      <c r="AP9" s="1020">
        <f>god+6</f>
        <v>2032</v>
      </c>
      <c r="AQ9" s="1020">
        <f>god+7</f>
        <v>2033</v>
      </c>
      <c r="AR9" s="1020">
        <f>god+8</f>
        <v>2034</v>
      </c>
      <c r="AS9" s="1020">
        <f>god+9</f>
        <v>2035</v>
      </c>
      <c r="AT9" s="1020" cm="1">
        <f t="array" ref="AT9">god</f>
        <v>2026</v>
      </c>
      <c r="AU9" s="1020">
        <f>god+1</f>
        <v>2027</v>
      </c>
      <c r="AV9" s="1020">
        <f>god+2</f>
        <v>2028</v>
      </c>
      <c r="AW9" s="1020">
        <f>god+3</f>
        <v>2029</v>
      </c>
      <c r="AX9" s="1020">
        <f>god+4</f>
        <v>2030</v>
      </c>
      <c r="AY9" s="1020">
        <f>god+5</f>
        <v>2031</v>
      </c>
      <c r="AZ9" s="1020">
        <f>god+6</f>
        <v>2032</v>
      </c>
      <c r="BA9" s="1020">
        <f>god+7</f>
        <v>2033</v>
      </c>
      <c r="BB9" s="1020">
        <f>god+8</f>
        <v>2034</v>
      </c>
      <c r="BC9" s="1020">
        <f>god+9</f>
        <v>2035</v>
      </c>
      <c r="BD9" s="1020" cm="1">
        <f t="array" ref="BD9">god</f>
        <v>2026</v>
      </c>
      <c r="BE9" s="1020">
        <f>god+1</f>
        <v>2027</v>
      </c>
      <c r="BF9" s="1020">
        <f>god+2</f>
        <v>2028</v>
      </c>
      <c r="BG9" s="1020">
        <f>god+3</f>
        <v>2029</v>
      </c>
      <c r="BH9" s="1020">
        <f>god+4</f>
        <v>2030</v>
      </c>
      <c r="BI9" s="1020">
        <f>god+5</f>
        <v>2031</v>
      </c>
      <c r="BJ9" s="1020">
        <f>god+6</f>
        <v>2032</v>
      </c>
      <c r="BK9" s="1020">
        <f>god+7</f>
        <v>2033</v>
      </c>
      <c r="BL9" s="1020">
        <f>god+8</f>
        <v>2034</v>
      </c>
      <c r="BM9" s="1020">
        <f>god+9</f>
        <v>2035</v>
      </c>
      <c r="BS9" s="1021"/>
      <c r="BT9" s="1021"/>
      <c r="BU9" s="1021"/>
      <c r="BV9" s="1022"/>
      <c r="BW9" s="1022"/>
      <c r="BX9" s="1053"/>
    </row>
    <row r="10" spans="1:76" s="1020" customFormat="1" ht="12" hidden="1" customHeight="1" x14ac:dyDescent="0.15">
      <c r="A10" s="948" t="s">
        <v>462</v>
      </c>
      <c r="B10" s="941"/>
      <c r="C10" s="1085"/>
      <c r="D10" s="1049"/>
      <c r="E10" s="941"/>
      <c r="L10" s="998"/>
      <c r="M10" s="1053"/>
      <c r="N10" s="1053"/>
      <c r="O10" s="1052"/>
      <c r="P10" s="1052"/>
      <c r="Q10" s="1052"/>
      <c r="R10" s="1052"/>
      <c r="S10" s="949"/>
      <c r="T10" s="949"/>
      <c r="U10" s="949"/>
      <c r="V10" s="949"/>
      <c r="W10" s="949"/>
      <c r="X10" s="949"/>
      <c r="Y10" s="949"/>
      <c r="Z10" s="949"/>
      <c r="AE10" s="1020" t="str" cm="1">
        <f t="array" ref="AE10">AE25</f>
        <v>Принято органом регулирования</v>
      </c>
      <c r="AF10" s="1020" t="str" cm="1">
        <f t="array" ref="AF10">AF25</f>
        <v>Факт по данным организации</v>
      </c>
      <c r="AG10" s="1020" t="str" cm="1">
        <f t="array" ref="AG10">AG25</f>
        <v>Факт, принятый органом регулирования</v>
      </c>
      <c r="AH10" s="1020" t="str" cm="1">
        <f t="array" ref="AH10">AH25</f>
        <v>отклонение факта по данным организации к факту принятому органом регулирования</v>
      </c>
      <c r="AI10" s="1020" t="str" cm="1">
        <f t="array" ref="AI10">AI25</f>
        <v>Принято органом регулирования</v>
      </c>
      <c r="AJ10" s="1020" t="str" cm="1">
        <f t="array" ref="AJ10">AJ25</f>
        <v>Предложение организации</v>
      </c>
      <c r="AK10" s="1020" t="str" cm="1">
        <f t="array" ref="AK10">AK25</f>
        <v>Предложение организации</v>
      </c>
      <c r="AL10" s="1020" t="str" cm="1">
        <f t="array" ref="AL10">AL25</f>
        <v>Предложение организации</v>
      </c>
      <c r="AM10" s="1020" t="str" cm="1">
        <f t="array" ref="AM10">AM25</f>
        <v>Предложение организации</v>
      </c>
      <c r="AN10" s="1020" t="str" cm="1">
        <f t="array" ref="AN10">AN25</f>
        <v>Предложение организации</v>
      </c>
      <c r="AO10" s="1020" t="str" cm="1">
        <f t="array" ref="AO10">AO25</f>
        <v>Предложение организации</v>
      </c>
      <c r="AP10" s="1020" t="str" cm="1">
        <f t="array" ref="AP10">AP25</f>
        <v>Предложение организации</v>
      </c>
      <c r="AQ10" s="1020" t="str" cm="1">
        <f t="array" ref="AQ10">AQ25</f>
        <v>Предложение организации</v>
      </c>
      <c r="AR10" s="1020" t="str" cm="1">
        <f t="array" ref="AR10">AR25</f>
        <v>Предложение организации</v>
      </c>
      <c r="AS10" s="1020" t="str" cm="1">
        <f t="array" ref="AS10">AS25</f>
        <v>Предложение организации</v>
      </c>
      <c r="AT10" s="1020" t="str" cm="1">
        <f t="array" ref="AT10">AT25</f>
        <v>Принято органом регулирования</v>
      </c>
      <c r="AU10" s="1020" t="str" cm="1">
        <f t="array" ref="AU10">AU25</f>
        <v>Принято органом регулирования</v>
      </c>
      <c r="AV10" s="1020" t="str" cm="1">
        <f t="array" ref="AV10">AV25</f>
        <v>Принято органом регулирования</v>
      </c>
      <c r="AW10" s="1020" t="str" cm="1">
        <f t="array" ref="AW10">AW25</f>
        <v>Принято органом регулирования</v>
      </c>
      <c r="AX10" s="1020" t="str" cm="1">
        <f t="array" ref="AX10">AX25</f>
        <v>Принято органом регулирования</v>
      </c>
      <c r="AY10" s="1020" t="str" cm="1">
        <f t="array" ref="AY10">AY25</f>
        <v>Принято органом регулирования</v>
      </c>
      <c r="AZ10" s="1020" t="str" cm="1">
        <f t="array" ref="AZ10">AZ25</f>
        <v>Принято органом регулирования</v>
      </c>
      <c r="BA10" s="1020" t="str" cm="1">
        <f t="array" ref="BA10">BA25</f>
        <v>Принято органом регулирования</v>
      </c>
      <c r="BB10" s="1020" t="str" cm="1">
        <f t="array" ref="BB10">BB25</f>
        <v>Принято органом регулирования</v>
      </c>
      <c r="BC10" s="1020" t="str" cm="1">
        <f t="array" ref="BC10">BC25</f>
        <v>Принято органом регулирования</v>
      </c>
      <c r="BD10" s="102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1"/>
      <c r="BT10" s="1021"/>
      <c r="BU10" s="1021"/>
      <c r="BV10" s="1022"/>
      <c r="BW10" s="1022"/>
      <c r="BX10" s="1053"/>
    </row>
    <row r="11" spans="1:76" s="1020" customFormat="1" ht="12" hidden="1" customHeight="1" x14ac:dyDescent="0.15">
      <c r="A11" s="948" t="s">
        <v>463</v>
      </c>
      <c r="B11" s="941"/>
      <c r="C11" s="1085"/>
      <c r="D11" s="1049"/>
      <c r="E11" s="941"/>
      <c r="G11" s="1023"/>
      <c r="H11" s="1023"/>
      <c r="I11" s="1023"/>
      <c r="J11" s="1023"/>
      <c r="K11" s="1023"/>
      <c r="L11" s="1000"/>
      <c r="M11" s="1053"/>
      <c r="N11" s="1053"/>
      <c r="O11" s="1052"/>
      <c r="P11" s="1052"/>
      <c r="Q11" s="1052"/>
      <c r="R11" s="1052"/>
      <c r="S11" s="949"/>
      <c r="T11" s="949"/>
      <c r="U11" s="949"/>
      <c r="V11" s="949"/>
      <c r="W11" s="949"/>
      <c r="X11" s="949"/>
      <c r="Y11" s="949"/>
      <c r="Z11" s="949"/>
      <c r="AC11" s="1024"/>
      <c r="BI11" s="949"/>
      <c r="BJ11" s="949"/>
      <c r="BK11" s="949"/>
      <c r="BL11" s="949"/>
      <c r="BM11" s="949"/>
      <c r="BN11" s="1020" t="str" cm="1">
        <f t="array" ref="BN11">BN24</f>
        <v>Указание на подтверждающие документы / URL-ссылка на копии подтверждающих документов</v>
      </c>
      <c r="BO11" s="1020" t="str" cm="1">
        <f t="array" ref="BO11">BO24</f>
        <v>Ссылка на правовую норму (основание для принятия показателя в расчет тарифа)</v>
      </c>
      <c r="BP11" s="102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1"/>
      <c r="BT11" s="1021"/>
      <c r="BU11" s="1021"/>
      <c r="BV11" s="1022"/>
      <c r="BW11" s="1022"/>
      <c r="BX11" s="1116"/>
    </row>
    <row r="12" spans="1:76" s="1020" customFormat="1" ht="12" hidden="1" customHeight="1" x14ac:dyDescent="0.15">
      <c r="A12" s="948" t="s">
        <v>386</v>
      </c>
      <c r="B12" s="941"/>
      <c r="C12" s="1085"/>
      <c r="D12" s="1049"/>
      <c r="E12" s="941"/>
      <c r="G12" s="1023"/>
      <c r="H12" s="1023"/>
      <c r="I12" s="1023"/>
      <c r="J12" s="1023"/>
      <c r="K12" s="1023"/>
      <c r="L12" s="1000"/>
      <c r="M12" s="1053"/>
      <c r="N12" s="1053"/>
      <c r="O12" s="1052"/>
      <c r="P12" s="1052"/>
      <c r="Q12" s="1052"/>
      <c r="R12" s="1052"/>
      <c r="S12" s="949"/>
      <c r="T12" s="949"/>
      <c r="U12" s="949"/>
      <c r="V12" s="949"/>
      <c r="W12" s="949"/>
      <c r="X12" s="949"/>
      <c r="Y12" s="949"/>
      <c r="Z12" s="949"/>
      <c r="AC12" s="1024" t="s">
        <v>377</v>
      </c>
      <c r="BI12" s="949"/>
      <c r="BJ12" s="949"/>
      <c r="BK12" s="949"/>
      <c r="BL12" s="949"/>
      <c r="BM12" s="949"/>
      <c r="BS12" s="1021"/>
      <c r="BT12" s="1021"/>
      <c r="BU12" s="1021"/>
      <c r="BV12" s="1022"/>
      <c r="BW12" s="1022"/>
      <c r="BX12" s="1116"/>
    </row>
    <row r="13" spans="1:76" s="1053" customFormat="1" ht="12" hidden="1" customHeight="1" x14ac:dyDescent="0.15">
      <c r="A13" s="1059" t="s">
        <v>103</v>
      </c>
      <c r="B13" s="1041"/>
      <c r="C13" s="1093"/>
      <c r="D13" s="1050"/>
      <c r="E13" s="1041"/>
      <c r="G13" s="1054"/>
      <c r="H13" s="1054"/>
      <c r="I13" s="1054"/>
      <c r="J13" s="1054"/>
      <c r="K13" s="1054"/>
      <c r="L13" s="1055"/>
      <c r="S13" s="1056"/>
      <c r="T13" s="1056"/>
      <c r="U13" s="1056"/>
      <c r="V13" s="1056"/>
      <c r="W13" s="1056"/>
      <c r="X13" s="1056"/>
      <c r="Y13" s="1056"/>
      <c r="Z13" s="1056"/>
      <c r="AC13" s="1057"/>
      <c r="AE13" s="1052" t="s">
        <v>1597</v>
      </c>
      <c r="AF13" s="1052" t="s">
        <v>1597</v>
      </c>
      <c r="AG13" s="1052" t="s">
        <v>1597</v>
      </c>
      <c r="AH13" s="1052" t="s">
        <v>1597</v>
      </c>
      <c r="AI13" s="1052" t="s">
        <v>1597</v>
      </c>
      <c r="AJ13" s="1052" t="s">
        <v>1597</v>
      </c>
      <c r="AK13" s="1052" t="s">
        <v>1597</v>
      </c>
      <c r="AL13" s="1052" t="s">
        <v>1597</v>
      </c>
      <c r="AM13" s="1052" t="s">
        <v>1597</v>
      </c>
      <c r="AN13" s="1052" t="s">
        <v>1597</v>
      </c>
      <c r="AO13" s="1052" t="s">
        <v>1597</v>
      </c>
      <c r="AP13" s="1052" t="s">
        <v>1597</v>
      </c>
      <c r="AQ13" s="1052" t="s">
        <v>1597</v>
      </c>
      <c r="AR13" s="1052" t="s">
        <v>1597</v>
      </c>
      <c r="AS13" s="1052" t="s">
        <v>1597</v>
      </c>
      <c r="AT13" s="1052" t="s">
        <v>1597</v>
      </c>
      <c r="AU13" s="1052" t="s">
        <v>1597</v>
      </c>
      <c r="AV13" s="1052" t="s">
        <v>1597</v>
      </c>
      <c r="AW13" s="1052" t="s">
        <v>1597</v>
      </c>
      <c r="AX13" s="1052" t="s">
        <v>1597</v>
      </c>
      <c r="AY13" s="1052" t="s">
        <v>1597</v>
      </c>
      <c r="AZ13" s="1052" t="s">
        <v>1597</v>
      </c>
      <c r="BA13" s="1052" t="s">
        <v>1597</v>
      </c>
      <c r="BB13" s="1052" t="s">
        <v>1597</v>
      </c>
      <c r="BC13" s="1052" t="s">
        <v>1597</v>
      </c>
      <c r="BD13" s="1052" t="s">
        <v>1597</v>
      </c>
      <c r="BE13" s="1052" t="s">
        <v>1597</v>
      </c>
      <c r="BF13" s="1052" t="s">
        <v>1597</v>
      </c>
      <c r="BG13" s="1052" t="s">
        <v>1597</v>
      </c>
      <c r="BH13" s="1052" t="s">
        <v>1597</v>
      </c>
      <c r="BI13" s="1052" t="s">
        <v>1597</v>
      </c>
      <c r="BJ13" s="1052" t="s">
        <v>1597</v>
      </c>
      <c r="BK13" s="1052" t="s">
        <v>1597</v>
      </c>
      <c r="BL13" s="1052" t="s">
        <v>1597</v>
      </c>
      <c r="BM13" s="1052" t="s">
        <v>1597</v>
      </c>
      <c r="BS13" s="1058"/>
      <c r="BT13" s="1058"/>
      <c r="BU13" s="1058"/>
      <c r="BV13" s="1058"/>
      <c r="BW13" s="1058"/>
      <c r="BX13" s="1116"/>
    </row>
    <row r="14" spans="1:76" s="1053" customFormat="1" ht="12" hidden="1" customHeight="1" x14ac:dyDescent="0.15">
      <c r="A14" s="1059" t="s">
        <v>1598</v>
      </c>
      <c r="B14" s="1041"/>
      <c r="C14" s="1093"/>
      <c r="D14" s="1050"/>
      <c r="E14" s="1041"/>
      <c r="G14" s="1054"/>
      <c r="H14" s="1054"/>
      <c r="I14" s="1054"/>
      <c r="J14" s="1054"/>
      <c r="K14" s="1054"/>
      <c r="L14" s="1055"/>
      <c r="S14" s="1056"/>
      <c r="T14" s="1056"/>
      <c r="U14" s="1056"/>
      <c r="V14" s="1056"/>
      <c r="W14" s="1056"/>
      <c r="X14" s="1056"/>
      <c r="Y14" s="1056"/>
      <c r="Z14" s="1056"/>
      <c r="AC14" s="1057"/>
      <c r="AE14" s="1052" cm="1">
        <f t="array" ref="AE14">AE6</f>
        <v>2024</v>
      </c>
      <c r="AF14" s="1052" cm="1">
        <f t="array" ref="AF14">AF6</f>
        <v>2024</v>
      </c>
      <c r="AG14" s="1052" cm="1">
        <f t="array" ref="AG14">AG6</f>
        <v>2024</v>
      </c>
      <c r="AH14" s="1052" cm="1">
        <f t="array" ref="AH14">AH6</f>
        <v>2024</v>
      </c>
      <c r="AI14" s="1052" cm="1">
        <f t="array" ref="AI14">AI6</f>
        <v>2025</v>
      </c>
      <c r="AJ14" s="1052" cm="1">
        <f t="array" ref="AJ14">AJ6</f>
        <v>2026</v>
      </c>
      <c r="AK14" s="1052" cm="1">
        <f t="array" ref="AK14">AK6</f>
        <v>2027</v>
      </c>
      <c r="AL14" s="1052" cm="1">
        <f t="array" ref="AL14">AL6</f>
        <v>2028</v>
      </c>
      <c r="AM14" s="1052" cm="1">
        <f t="array" ref="AM14">AM6</f>
        <v>2029</v>
      </c>
      <c r="AN14" s="1052" cm="1">
        <f t="array" ref="AN14">AN6</f>
        <v>2030</v>
      </c>
      <c r="AO14" s="1052" cm="1">
        <f t="array" ref="AO14">AO6</f>
        <v>2031</v>
      </c>
      <c r="AP14" s="1052" cm="1">
        <f t="array" ref="AP14">AP6</f>
        <v>2032</v>
      </c>
      <c r="AQ14" s="1052" cm="1">
        <f t="array" ref="AQ14">AQ6</f>
        <v>2033</v>
      </c>
      <c r="AR14" s="1052" cm="1">
        <f t="array" ref="AR14">AR6</f>
        <v>2034</v>
      </c>
      <c r="AS14" s="1052" cm="1">
        <f t="array" ref="AS14">AS6</f>
        <v>2035</v>
      </c>
      <c r="AT14" s="1052" cm="1">
        <f t="array" ref="AT14">AT6</f>
        <v>2026</v>
      </c>
      <c r="AU14" s="1052" cm="1">
        <f t="array" ref="AU14">AU6</f>
        <v>2027</v>
      </c>
      <c r="AV14" s="1052" cm="1">
        <f t="array" ref="AV14">AV6</f>
        <v>2028</v>
      </c>
      <c r="AW14" s="1052" cm="1">
        <f t="array" ref="AW14">AW6</f>
        <v>2029</v>
      </c>
      <c r="AX14" s="1052" cm="1">
        <f t="array" ref="AX14">AX6</f>
        <v>2030</v>
      </c>
      <c r="AY14" s="1052" cm="1">
        <f t="array" ref="AY14">AY6</f>
        <v>2031</v>
      </c>
      <c r="AZ14" s="1052" cm="1">
        <f t="array" ref="AZ14">AZ6</f>
        <v>2032</v>
      </c>
      <c r="BA14" s="1052" cm="1">
        <f t="array" ref="BA14">BA6</f>
        <v>2033</v>
      </c>
      <c r="BB14" s="1052" cm="1">
        <f t="array" ref="BB14">BB6</f>
        <v>2034</v>
      </c>
      <c r="BC14" s="1052" cm="1">
        <f t="array" ref="BC14">BC6</f>
        <v>2035</v>
      </c>
      <c r="BD14" s="1052" cm="1">
        <f t="array" ref="BD14">BD6</f>
        <v>2026</v>
      </c>
      <c r="BE14" s="1052" cm="1">
        <f t="array" ref="BE14">BE6</f>
        <v>2027</v>
      </c>
      <c r="BF14" s="1052" cm="1">
        <f t="array" ref="BF14">BF6</f>
        <v>2028</v>
      </c>
      <c r="BG14" s="1052" cm="1">
        <f t="array" ref="BG14">BG6</f>
        <v>2029</v>
      </c>
      <c r="BH14" s="1052" cm="1">
        <f t="array" ref="BH14">BH6</f>
        <v>2030</v>
      </c>
      <c r="BI14" s="1052" cm="1">
        <f t="array" ref="BI14">BI6</f>
        <v>2031</v>
      </c>
      <c r="BJ14" s="1052" cm="1">
        <f t="array" ref="BJ14">BJ6</f>
        <v>2032</v>
      </c>
      <c r="BK14" s="1052" cm="1">
        <f t="array" ref="BK14">BK6</f>
        <v>2033</v>
      </c>
      <c r="BL14" s="1052" cm="1">
        <f t="array" ref="BL14">BL6</f>
        <v>2034</v>
      </c>
      <c r="BM14" s="1052" cm="1">
        <f t="array" ref="BM14">BM6</f>
        <v>2035</v>
      </c>
      <c r="BS14" s="1058"/>
      <c r="BT14" s="1058"/>
      <c r="BU14" s="1058"/>
      <c r="BV14" s="1058"/>
      <c r="BW14" s="1058"/>
      <c r="BX14" s="1116"/>
    </row>
    <row r="15" spans="1:76" s="1053" customFormat="1" ht="12" hidden="1" customHeight="1" x14ac:dyDescent="0.15">
      <c r="A15" s="1059" t="s">
        <v>1599</v>
      </c>
      <c r="B15" s="1041"/>
      <c r="C15" s="1093"/>
      <c r="D15" s="1050"/>
      <c r="E15" s="1041"/>
      <c r="G15" s="1054"/>
      <c r="H15" s="1054"/>
      <c r="I15" s="1054"/>
      <c r="J15" s="1054"/>
      <c r="K15" s="1054"/>
      <c r="L15" s="1055"/>
      <c r="S15" s="1056"/>
      <c r="T15" s="1056"/>
      <c r="U15" s="1056"/>
      <c r="V15" s="1056"/>
      <c r="W15" s="1056"/>
      <c r="X15" s="1056"/>
      <c r="Y15" s="1056"/>
      <c r="Z15" s="1056"/>
      <c r="AC15" s="1057"/>
      <c r="AE15" s="1052" t="s">
        <v>1600</v>
      </c>
      <c r="AF15" s="1052" t="s">
        <v>1601</v>
      </c>
      <c r="AG15" s="1052" t="s">
        <v>1600</v>
      </c>
      <c r="AH15" s="1052" t="s">
        <v>1602</v>
      </c>
      <c r="AI15" s="1052" t="s">
        <v>1600</v>
      </c>
      <c r="AJ15" s="1052" t="s">
        <v>1601</v>
      </c>
      <c r="AK15" s="1052" t="s">
        <v>1601</v>
      </c>
      <c r="AL15" s="1052" t="s">
        <v>1601</v>
      </c>
      <c r="AM15" s="1052" t="s">
        <v>1601</v>
      </c>
      <c r="AN15" s="1052" t="s">
        <v>1601</v>
      </c>
      <c r="AO15" s="1052" t="s">
        <v>1601</v>
      </c>
      <c r="AP15" s="1052" t="s">
        <v>1601</v>
      </c>
      <c r="AQ15" s="1052" t="s">
        <v>1601</v>
      </c>
      <c r="AR15" s="1052" t="s">
        <v>1601</v>
      </c>
      <c r="AS15" s="1052" t="s">
        <v>1601</v>
      </c>
      <c r="AT15" s="1052" t="s">
        <v>1600</v>
      </c>
      <c r="AU15" s="1052" t="s">
        <v>1600</v>
      </c>
      <c r="AV15" s="1052" t="s">
        <v>1600</v>
      </c>
      <c r="AW15" s="1052" t="s">
        <v>1600</v>
      </c>
      <c r="AX15" s="1052" t="s">
        <v>1600</v>
      </c>
      <c r="AY15" s="1052" t="s">
        <v>1600</v>
      </c>
      <c r="AZ15" s="1052" t="s">
        <v>1600</v>
      </c>
      <c r="BA15" s="1052" t="s">
        <v>1600</v>
      </c>
      <c r="BB15" s="1052" t="s">
        <v>1600</v>
      </c>
      <c r="BC15" s="1052" t="s">
        <v>1600</v>
      </c>
      <c r="BD15" s="1056"/>
      <c r="BE15" s="1056"/>
      <c r="BF15" s="1056"/>
      <c r="BG15" s="1056"/>
      <c r="BH15" s="1056"/>
      <c r="BI15" s="1056"/>
      <c r="BJ15" s="1056"/>
      <c r="BK15" s="1056"/>
      <c r="BL15" s="1056"/>
      <c r="BM15" s="1056"/>
      <c r="BS15" s="1058"/>
      <c r="BT15" s="1058"/>
      <c r="BU15" s="1058"/>
      <c r="BV15" s="1058"/>
      <c r="BW15" s="1058"/>
      <c r="BX15" s="1116"/>
    </row>
    <row r="16" spans="1:76" s="1053" customFormat="1" ht="12" hidden="1" customHeight="1" x14ac:dyDescent="0.15">
      <c r="A16" s="1059" t="s">
        <v>1603</v>
      </c>
      <c r="B16" s="1041"/>
      <c r="C16" s="1093"/>
      <c r="D16" s="1050"/>
      <c r="E16" s="1041"/>
      <c r="G16" s="1054"/>
      <c r="H16" s="1054"/>
      <c r="I16" s="1054"/>
      <c r="J16" s="1054"/>
      <c r="K16" s="1054"/>
      <c r="L16" s="1055"/>
      <c r="S16" s="1056"/>
      <c r="T16" s="1056"/>
      <c r="U16" s="1056"/>
      <c r="V16" s="1056"/>
      <c r="W16" s="1056"/>
      <c r="X16" s="1056"/>
      <c r="Y16" s="1056"/>
      <c r="Z16" s="1056"/>
      <c r="AC16" s="1057"/>
      <c r="AE16" s="1052" t="s">
        <v>1604</v>
      </c>
      <c r="AF16" s="1052" t="s">
        <v>1605</v>
      </c>
      <c r="AG16" s="1052" t="s">
        <v>1605</v>
      </c>
      <c r="AH16" s="1052" t="s">
        <v>1606</v>
      </c>
      <c r="AJ16" s="1056"/>
      <c r="AK16" s="1056"/>
      <c r="AL16" s="1056"/>
      <c r="AM16" s="1056"/>
      <c r="AN16" s="1056"/>
      <c r="AO16" s="1056"/>
      <c r="AP16" s="1056"/>
      <c r="AQ16" s="1056"/>
      <c r="AR16" s="1056"/>
      <c r="AS16" s="1056"/>
      <c r="AT16" s="1056"/>
      <c r="AU16" s="1056"/>
      <c r="AV16" s="1056"/>
      <c r="AW16" s="1056"/>
      <c r="AX16" s="1056"/>
      <c r="AY16" s="1056"/>
      <c r="AZ16" s="1056"/>
      <c r="BA16" s="1056"/>
      <c r="BB16" s="1056"/>
      <c r="BC16" s="1056"/>
      <c r="BD16" s="1056"/>
      <c r="BE16" s="1056"/>
      <c r="BF16" s="1056"/>
      <c r="BG16" s="1056"/>
      <c r="BH16" s="1056"/>
      <c r="BI16" s="1056"/>
      <c r="BJ16" s="1056"/>
      <c r="BK16" s="1056"/>
      <c r="BL16" s="1056"/>
      <c r="BM16" s="1056"/>
      <c r="BS16" s="1058"/>
      <c r="BT16" s="1058"/>
      <c r="BU16" s="1058"/>
      <c r="BV16" s="1058"/>
      <c r="BW16" s="1058"/>
      <c r="BX16" s="1116"/>
    </row>
    <row r="17" spans="1:76" s="1053" customFormat="1" ht="12" hidden="1" customHeight="1" x14ac:dyDescent="0.15">
      <c r="A17" s="1091" t="s">
        <v>1607</v>
      </c>
      <c r="B17" s="1041"/>
      <c r="C17" s="1093"/>
      <c r="D17" s="1050"/>
      <c r="E17" s="1041"/>
      <c r="G17" s="1054"/>
      <c r="H17" s="1054"/>
      <c r="I17" s="1054"/>
      <c r="J17" s="1054"/>
      <c r="K17" s="1054"/>
      <c r="L17" s="1055"/>
      <c r="S17" s="1056"/>
      <c r="T17" s="1056"/>
      <c r="U17" s="1056"/>
      <c r="V17" s="1056"/>
      <c r="W17" s="1056"/>
      <c r="X17" s="1056"/>
      <c r="Y17" s="1056"/>
      <c r="Z17" s="1056"/>
      <c r="AC17" s="1057"/>
      <c r="BI17" s="1056"/>
      <c r="BJ17" s="1056"/>
      <c r="BK17" s="1056"/>
      <c r="BL17" s="1056"/>
      <c r="BM17" s="1056"/>
      <c r="BN17" s="1052" t="s">
        <v>1608</v>
      </c>
      <c r="BO17" s="1052" t="s">
        <v>1609</v>
      </c>
      <c r="BP17" s="1052" t="s">
        <v>1610</v>
      </c>
      <c r="BS17" s="1058"/>
      <c r="BT17" s="1058"/>
      <c r="BU17" s="1058"/>
      <c r="BV17" s="1058"/>
      <c r="BW17" s="1058"/>
      <c r="BX17" s="1116"/>
    </row>
    <row r="18" spans="1:76" s="175" customFormat="1" ht="12" hidden="1" customHeight="1" x14ac:dyDescent="0.15">
      <c r="B18" s="659"/>
      <c r="C18" s="1085"/>
      <c r="D18" s="1049"/>
      <c r="E18" s="668"/>
      <c r="G18" s="177"/>
      <c r="H18" s="177"/>
      <c r="I18" s="177"/>
      <c r="J18" s="177"/>
      <c r="K18" s="177"/>
      <c r="L18" s="140"/>
      <c r="M18" s="1053"/>
      <c r="N18" s="1053"/>
      <c r="O18" s="1052"/>
      <c r="P18" s="1052"/>
      <c r="Q18" s="1052"/>
      <c r="R18" s="1052"/>
      <c r="S18"/>
      <c r="T18" s="123"/>
      <c r="U18" s="123"/>
      <c r="V18" s="123"/>
      <c r="W18" s="123"/>
      <c r="X18" s="123"/>
      <c r="Y18" s="123"/>
      <c r="Z18" s="123"/>
      <c r="AC18" s="179"/>
      <c r="BS18" s="1021"/>
      <c r="BT18" s="1021"/>
      <c r="BU18" s="1021"/>
      <c r="BV18" s="1022"/>
      <c r="BW18" s="1022"/>
      <c r="BX18" s="1116"/>
    </row>
    <row r="19" spans="1:76" s="175" customFormat="1" ht="12" hidden="1" customHeight="1" x14ac:dyDescent="0.15">
      <c r="B19" s="659"/>
      <c r="C19" s="1085"/>
      <c r="D19" s="1049"/>
      <c r="E19" s="668"/>
      <c r="G19" s="177"/>
      <c r="H19" s="177"/>
      <c r="I19" s="177"/>
      <c r="J19" s="177"/>
      <c r="K19" s="177"/>
      <c r="L19" s="140"/>
      <c r="M19" s="1053"/>
      <c r="N19" s="1053"/>
      <c r="O19" s="1052"/>
      <c r="P19" s="1052"/>
      <c r="Q19" s="1052"/>
      <c r="R19" s="1052"/>
      <c r="S19"/>
      <c r="T19" s="123"/>
      <c r="U19" s="123"/>
      <c r="V19" s="123"/>
      <c r="W19" s="123"/>
      <c r="X19" s="123"/>
      <c r="Y19" s="123"/>
      <c r="Z19" s="123"/>
      <c r="AC19" s="179"/>
      <c r="BS19" s="1021"/>
      <c r="BT19" s="1021"/>
      <c r="BU19" s="1021"/>
      <c r="BV19" s="1022"/>
      <c r="BW19" s="1022"/>
      <c r="BX19" s="1116"/>
    </row>
    <row r="20" spans="1:76" s="175" customFormat="1" ht="12" hidden="1" customHeight="1" x14ac:dyDescent="0.15">
      <c r="B20" s="659"/>
      <c r="C20" s="1085"/>
      <c r="D20" s="1049"/>
      <c r="E20" s="668"/>
      <c r="G20" s="177"/>
      <c r="H20" s="177"/>
      <c r="I20" s="177"/>
      <c r="J20" s="177"/>
      <c r="K20" s="177"/>
      <c r="L20" s="140"/>
      <c r="M20" s="1053"/>
      <c r="N20" s="1053"/>
      <c r="O20" s="1052"/>
      <c r="P20" s="1052"/>
      <c r="Q20" s="1052"/>
      <c r="R20" s="1052"/>
      <c r="S20"/>
      <c r="T20" s="123"/>
      <c r="U20" s="123"/>
      <c r="V20" s="123"/>
      <c r="W20" s="123"/>
      <c r="X20" s="123"/>
      <c r="Y20" s="123"/>
      <c r="Z20" s="123"/>
      <c r="AC20" s="179"/>
      <c r="BS20" s="1021"/>
      <c r="BT20" s="1021"/>
      <c r="BU20" s="1021"/>
      <c r="BV20" s="1022"/>
      <c r="BW20" s="1022"/>
      <c r="BX20" s="1116"/>
    </row>
    <row r="21" spans="1:76" ht="14.65" customHeight="1" x14ac:dyDescent="0.15">
      <c r="E21" s="668">
        <v>15</v>
      </c>
      <c r="AA21" s="691"/>
      <c r="AB21" s="177"/>
      <c r="AC21" s="335" t="str" cm="1">
        <f t="array" ref="AC21">tpl_title</f>
        <v>Кемеровская область / 2026 / ООО ХК "СДС - Энерго" (ИНН:4250003450, КПП:420501001) / ДПР: 2024-2028</v>
      </c>
      <c r="AD21" s="177"/>
    </row>
    <row r="22" spans="1:76" s="1153" customFormat="1" ht="19.5" customHeight="1" x14ac:dyDescent="0.15">
      <c r="A22" s="130"/>
      <c r="B22" s="659"/>
      <c r="C22" s="1106"/>
      <c r="D22" s="1049"/>
      <c r="E22" s="668">
        <v>20.100000000000001</v>
      </c>
      <c r="F22" s="130"/>
      <c r="L22" s="140"/>
      <c r="M22" s="1050"/>
      <c r="N22" s="1050"/>
      <c r="O22" s="1062"/>
      <c r="P22" s="1062"/>
      <c r="Q22" s="1062"/>
      <c r="R22" s="1062"/>
      <c r="S22"/>
      <c r="T22" s="126"/>
      <c r="U22" s="126"/>
      <c r="V22" s="126"/>
      <c r="W22" s="126"/>
      <c r="X22" s="126"/>
      <c r="Y22" s="126"/>
      <c r="Z22" s="126"/>
      <c r="AB22" s="325" t="s">
        <v>1611</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79"/>
      <c r="BT22" s="979"/>
      <c r="BU22" s="979"/>
      <c r="BV22" s="980"/>
      <c r="BW22" s="980"/>
      <c r="BX22" s="1114"/>
    </row>
    <row r="23" spans="1:76" s="1153" customFormat="1" ht="9.9499999999999993" customHeight="1" x14ac:dyDescent="0.15">
      <c r="A23" s="130"/>
      <c r="B23" s="659"/>
      <c r="C23" s="1106"/>
      <c r="D23" s="1049"/>
      <c r="E23" s="668">
        <v>10.199999999999999</v>
      </c>
      <c r="F23" s="130"/>
      <c r="L23" s="140"/>
      <c r="M23" s="1050"/>
      <c r="N23" s="1050"/>
      <c r="O23" s="1062"/>
      <c r="P23" s="1062"/>
      <c r="Q23" s="1062"/>
      <c r="R23" s="1062"/>
      <c r="S23"/>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79"/>
      <c r="BT23" s="979"/>
      <c r="BU23" s="979"/>
      <c r="BV23" s="980"/>
      <c r="BW23" s="980"/>
      <c r="BX23" s="1114"/>
    </row>
    <row r="24" spans="1:76" s="176" customFormat="1" ht="24.2" customHeight="1" x14ac:dyDescent="0.15">
      <c r="A24" s="179"/>
      <c r="B24" s="663"/>
      <c r="C24" s="1089"/>
      <c r="D24" s="1112"/>
      <c r="E24" s="674">
        <v>24.8</v>
      </c>
      <c r="F24" s="179"/>
      <c r="L24" s="778"/>
      <c r="M24" s="1063"/>
      <c r="N24" s="1063"/>
      <c r="O24" s="1064"/>
      <c r="P24" s="1064"/>
      <c r="Q24" s="1064"/>
      <c r="R24" s="1064"/>
      <c r="S24"/>
      <c r="T24" s="119"/>
      <c r="U24" s="119"/>
      <c r="V24" s="119"/>
      <c r="W24" s="119"/>
      <c r="X24" s="119"/>
      <c r="Y24" s="119"/>
      <c r="Z24" s="119"/>
      <c r="AB24" s="1581" t="s">
        <v>388</v>
      </c>
      <c r="AC24" s="1581" t="s">
        <v>464</v>
      </c>
      <c r="AD24" s="1581" t="s">
        <v>465</v>
      </c>
      <c r="AE24" s="208" t="str">
        <f>god-2&amp;" год"</f>
        <v>2024 год</v>
      </c>
      <c r="AF24" s="1137" t="str">
        <f>god-2&amp;" год"</f>
        <v>2024 год</v>
      </c>
      <c r="AG24" s="208" t="str">
        <f>god-2&amp;" год"</f>
        <v>2024 год</v>
      </c>
      <c r="AH24" s="208" t="str">
        <f>god-2&amp;" год"</f>
        <v>2024 год</v>
      </c>
      <c r="AI24" s="117" t="str">
        <f>god-1&amp;" год"</f>
        <v>2025 год</v>
      </c>
      <c r="AJ24" s="1131" t="str">
        <f>god&amp;" год"</f>
        <v>2026 год</v>
      </c>
      <c r="AK24" s="1131" t="str">
        <f>god+1&amp;" год"</f>
        <v>2027 год</v>
      </c>
      <c r="AL24" s="1131" t="str">
        <f>god+2&amp;" год"</f>
        <v>2028 год</v>
      </c>
      <c r="AM24" s="1131" t="str">
        <f>god+3&amp;" год"</f>
        <v>2029 год</v>
      </c>
      <c r="AN24" s="1131" t="str">
        <f>god+4&amp;" год"</f>
        <v>2030 год</v>
      </c>
      <c r="AO24" s="1131" t="str">
        <f>god+5&amp;" год"</f>
        <v>2031 год</v>
      </c>
      <c r="AP24" s="1131" t="str">
        <f>god+6&amp;" год"</f>
        <v>2032 год</v>
      </c>
      <c r="AQ24" s="1131" t="str">
        <f>god+7&amp;" год"</f>
        <v>2033 год</v>
      </c>
      <c r="AR24" s="1131" t="str">
        <f>god+8&amp;" год"</f>
        <v>2034 год</v>
      </c>
      <c r="AS24" s="1131"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580" t="s">
        <v>1313</v>
      </c>
      <c r="BO24" s="1580" t="s">
        <v>618</v>
      </c>
      <c r="BP24" s="1580" t="s">
        <v>1314</v>
      </c>
      <c r="BS24" s="1021"/>
      <c r="BT24" s="1025"/>
      <c r="BU24" s="1025"/>
      <c r="BV24" s="1026"/>
      <c r="BW24" s="1026"/>
      <c r="BX24" s="1117"/>
    </row>
    <row r="25" spans="1:76" s="176" customFormat="1" ht="44.65" customHeight="1" x14ac:dyDescent="0.15">
      <c r="A25" s="179"/>
      <c r="B25" s="663"/>
      <c r="C25" s="1089"/>
      <c r="D25" s="1112"/>
      <c r="E25" s="674">
        <v>45.8</v>
      </c>
      <c r="F25" s="179"/>
      <c r="L25" s="778"/>
      <c r="M25" s="1063"/>
      <c r="N25" s="1063"/>
      <c r="O25" s="1064"/>
      <c r="P25" s="1064"/>
      <c r="Q25" s="1064"/>
      <c r="R25" s="1064"/>
      <c r="S25"/>
      <c r="T25" s="119"/>
      <c r="U25" s="119"/>
      <c r="V25" s="119"/>
      <c r="W25" s="119"/>
      <c r="X25" s="119"/>
      <c r="Y25" s="119"/>
      <c r="Z25" s="119"/>
      <c r="AB25" s="1581"/>
      <c r="AC25" s="1581"/>
      <c r="AD25" s="1581"/>
      <c r="AE25" s="117" t="s">
        <v>404</v>
      </c>
      <c r="AF25" s="1133" t="s">
        <v>619</v>
      </c>
      <c r="AG25" s="117" t="s">
        <v>620</v>
      </c>
      <c r="AH25" s="208" t="s">
        <v>1315</v>
      </c>
      <c r="AI25" s="117" t="s">
        <v>404</v>
      </c>
      <c r="AJ25" s="1132" t="s">
        <v>405</v>
      </c>
      <c r="AK25" s="1132" t="s">
        <v>405</v>
      </c>
      <c r="AL25" s="1132" t="s">
        <v>405</v>
      </c>
      <c r="AM25" s="1132" t="s">
        <v>405</v>
      </c>
      <c r="AN25" s="1132" t="s">
        <v>405</v>
      </c>
      <c r="AO25" s="1132" t="s">
        <v>405</v>
      </c>
      <c r="AP25" s="1132" t="s">
        <v>405</v>
      </c>
      <c r="AQ25" s="1132" t="s">
        <v>405</v>
      </c>
      <c r="AR25" s="1132" t="s">
        <v>405</v>
      </c>
      <c r="AS25" s="1132" t="s">
        <v>405</v>
      </c>
      <c r="AT25" s="343" t="s">
        <v>404</v>
      </c>
      <c r="AU25" s="343" t="s">
        <v>404</v>
      </c>
      <c r="AV25" s="343" t="s">
        <v>404</v>
      </c>
      <c r="AW25" s="343" t="s">
        <v>404</v>
      </c>
      <c r="AX25" s="343" t="s">
        <v>404</v>
      </c>
      <c r="AY25" s="343" t="s">
        <v>404</v>
      </c>
      <c r="AZ25" s="343" t="s">
        <v>404</v>
      </c>
      <c r="BA25" s="343" t="s">
        <v>404</v>
      </c>
      <c r="BB25" s="343" t="s">
        <v>404</v>
      </c>
      <c r="BC25" s="343" t="s">
        <v>404</v>
      </c>
      <c r="BD25" s="1580" t="s">
        <v>1316</v>
      </c>
      <c r="BE25" s="1580"/>
      <c r="BF25" s="1580"/>
      <c r="BG25" s="1580"/>
      <c r="BH25" s="1580"/>
      <c r="BI25" s="1580"/>
      <c r="BJ25" s="1580"/>
      <c r="BK25" s="1580"/>
      <c r="BL25" s="1580"/>
      <c r="BM25" s="1580"/>
      <c r="BN25" s="1580"/>
      <c r="BO25" s="1580"/>
      <c r="BP25" s="1580"/>
      <c r="BS25" s="1021"/>
      <c r="BT25" s="1025"/>
      <c r="BU25" s="1025"/>
      <c r="BV25" s="1026"/>
      <c r="BW25" s="1026"/>
      <c r="BX25" s="1117"/>
    </row>
    <row r="26" spans="1:76" s="176" customFormat="1" ht="14.25" hidden="1" customHeight="1" x14ac:dyDescent="0.15">
      <c r="A26" s="179"/>
      <c r="B26" s="663"/>
      <c r="C26" s="1089"/>
      <c r="D26" s="1112"/>
      <c r="E26" s="674">
        <v>0</v>
      </c>
      <c r="F26" s="179"/>
      <c r="L26" s="778"/>
      <c r="M26" s="1063"/>
      <c r="N26" s="1063"/>
      <c r="O26" s="1064"/>
      <c r="P26" s="1064"/>
      <c r="Q26" s="1064"/>
      <c r="R26" s="1064"/>
      <c r="S26"/>
      <c r="T26" s="119"/>
      <c r="U26" s="119"/>
      <c r="V26" s="119"/>
      <c r="W26" s="119"/>
      <c r="X26" s="119"/>
      <c r="Y26" s="119"/>
      <c r="Z26" s="119"/>
      <c r="AB26" s="589"/>
      <c r="AC26" s="589"/>
      <c r="AD26" s="589"/>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21"/>
      <c r="BT26" s="1025"/>
      <c r="BU26" s="1025"/>
      <c r="BV26" s="1026"/>
      <c r="BW26" s="1026"/>
      <c r="BX26" s="1117"/>
    </row>
    <row r="27" spans="1:76" s="167" customFormat="1" ht="16.7" hidden="1" customHeight="1" x14ac:dyDescent="0.15">
      <c r="C27" s="1107"/>
      <c r="D27" s="1038"/>
      <c r="E27" s="668">
        <v>17.100000000000001</v>
      </c>
      <c r="F27" s="769" cm="1">
        <f t="array" ref="F27">X27</f>
        <v>0</v>
      </c>
      <c r="G27" s="612"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M27" s="1056"/>
      <c r="N27" s="1056"/>
      <c r="O27" s="1066"/>
      <c r="P27" s="1066"/>
      <c r="Q27" s="1066"/>
      <c r="R27" s="1066"/>
      <c r="T27" s="679" t="b">
        <f>X27&gt;0</f>
        <v>0</v>
      </c>
      <c r="V27" s="123" t="s">
        <v>313</v>
      </c>
      <c r="X27" s="1485">
        <v>0</v>
      </c>
      <c r="Z27" s="1483"/>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71"/>
      <c r="BT27" s="971"/>
      <c r="BU27" s="971"/>
      <c r="BV27" s="974"/>
      <c r="BW27" s="974"/>
      <c r="BX27" s="1082"/>
    </row>
    <row r="28" spans="1:76" ht="16.7" hidden="1" customHeight="1" x14ac:dyDescent="0.15">
      <c r="C28" s="1084" t="s">
        <v>1612</v>
      </c>
      <c r="D28" s="1043" t="s">
        <v>1613</v>
      </c>
      <c r="E28" s="668">
        <v>17.100000000000001</v>
      </c>
      <c r="F28" s="769" cm="1">
        <f t="array" aca="1" ref="F28" ca="1">OFFSET(G28,-1,-1)</f>
        <v>0</v>
      </c>
      <c r="G28" s="140" t="s">
        <v>1317</v>
      </c>
      <c r="M28" s="1067"/>
      <c r="N28" s="1067" cm="1">
        <f t="array" aca="1" ref="N28" ca="1">INDEX('Общие сведения'!$N$169:$N$202,MATCH($F28,'Общие сведения'!$Z$169:$Z$202,0)+1)</f>
        <v>0</v>
      </c>
      <c r="O28" s="1068"/>
      <c r="P28" s="1068"/>
      <c r="Q28" s="1068"/>
      <c r="R28" s="1068"/>
      <c r="T28" s="679" t="b" cm="1">
        <f t="array" ref="T28">T27</f>
        <v>0</v>
      </c>
      <c r="X28" s="1485"/>
      <c r="Z28" s="1485"/>
      <c r="AB28" s="108" t="s">
        <v>339</v>
      </c>
      <c r="AC28" s="614" t="s">
        <v>1370</v>
      </c>
      <c r="AD28" s="411" t="s">
        <v>1044</v>
      </c>
      <c r="AE28" s="507">
        <f ca="1">SUMIFS('Операционные (5.1)'!AE$26:AE$76,'Операционные (5.1)'!$F$26:$F$76,$F28,'Операционные (5.1)'!$G$26:$G$76,$G28)</f>
        <v>0</v>
      </c>
      <c r="AF28" s="507">
        <f ca="1">SUMIFS('Операционные (5.1)'!AF$26:AF$76,'Операционные (5.1)'!$F$26:$F$76,$F28,'Операционные (5.1)'!$G$26:$G$76,$G28)</f>
        <v>0</v>
      </c>
      <c r="AG28" s="507">
        <f ca="1">SUMIFS('Операционные (5.1)'!AG$26:AG$76,'Операционные (5.1)'!$F$26:$F$76,$F28,'Операционные (5.1)'!$G$26:$G$76,$G28)</f>
        <v>0</v>
      </c>
      <c r="AH28" s="253">
        <f t="shared" ref="AH28:AH54" ca="1" si="2">AG28-AF28</f>
        <v>0</v>
      </c>
      <c r="AI28" s="507">
        <f ca="1">SUMIFS('Операционные (5.1)'!AI$26:AI$76,'Операционные (5.1)'!$F$26:$F$76,$F28,'Операционные (5.1)'!$G$26:$G$76,$G28)</f>
        <v>0</v>
      </c>
      <c r="AJ28" s="613">
        <f ca="1">SUMIFS(INDEX('Операционные (5.2)'!$AJ$26:$BC$45,,MATCH(AJ$8,'Операционные (5.2)'!$AJ$8:$BC$8,0)),'Операционные (5.2)'!$F$26:$F$45,$F28,'Операционные (5.2)'!$G$26:$G$45,$G28)</f>
        <v>0</v>
      </c>
      <c r="AK28" s="613">
        <f ca="1">SUMIFS(INDEX('Операционные (5.2)'!$AJ$26:$BC$45,,MATCH(AK$8,'Операционные (5.2)'!$AJ$8:$BC$8,0)),'Операционные (5.2)'!$F$26:$F$45,$F28,'Операционные (5.2)'!$G$26:$G$45,$G28)</f>
        <v>0</v>
      </c>
      <c r="AL28" s="613">
        <f ca="1">SUMIFS(INDEX('Операционные (5.2)'!$AJ$26:$BC$45,,MATCH(AL$8,'Операционные (5.2)'!$AJ$8:$BC$8,0)),'Операционные (5.2)'!$F$26:$F$45,$F28,'Операционные (5.2)'!$G$26:$G$45,$G28)</f>
        <v>0</v>
      </c>
      <c r="AM28" s="613">
        <f ca="1">SUMIFS(INDEX('Операционные (5.2)'!$AJ$26:$BC$45,,MATCH(AM$8,'Операционные (5.2)'!$AJ$8:$BC$8,0)),'Операционные (5.2)'!$F$26:$F$45,$F28,'Операционные (5.2)'!$G$26:$G$45,$G28)</f>
        <v>0</v>
      </c>
      <c r="AN28" s="613">
        <f ca="1">SUMIFS(INDEX('Операционные (5.2)'!$AJ$26:$BC$45,,MATCH(AN$8,'Операционные (5.2)'!$AJ$8:$BC$8,0)),'Операционные (5.2)'!$F$26:$F$45,$F28,'Операционные (5.2)'!$G$26:$G$45,$G28)</f>
        <v>0</v>
      </c>
      <c r="AO28" s="613">
        <f ca="1">SUMIFS(INDEX('Операционные (5.2)'!$AJ$26:$BC$45,,MATCH(AO$8,'Операционные (5.2)'!$AJ$8:$BC$8,0)),'Операционные (5.2)'!$F$26:$F$45,$F28,'Операционные (5.2)'!$G$26:$G$45,$G28)</f>
        <v>0</v>
      </c>
      <c r="AP28" s="613">
        <f ca="1">SUMIFS(INDEX('Операционные (5.2)'!$AJ$26:$BC$45,,MATCH(AP$8,'Операционные (5.2)'!$AJ$8:$BC$8,0)),'Операционные (5.2)'!$F$26:$F$45,$F28,'Операционные (5.2)'!$G$26:$G$45,$G28)</f>
        <v>0</v>
      </c>
      <c r="AQ28" s="613">
        <f ca="1">SUMIFS(INDEX('Операционные (5.2)'!$AJ$26:$BC$45,,MATCH(AQ$8,'Операционные (5.2)'!$AJ$8:$BC$8,0)),'Операционные (5.2)'!$F$26:$F$45,$F28,'Операционные (5.2)'!$G$26:$G$45,$G28)</f>
        <v>0</v>
      </c>
      <c r="AR28" s="613">
        <f ca="1">SUMIFS(INDEX('Операционные (5.2)'!$AJ$26:$BC$45,,MATCH(AR$8,'Операционные (5.2)'!$AJ$8:$BC$8,0)),'Операционные (5.2)'!$F$26:$F$45,$F28,'Операционные (5.2)'!$G$26:$G$45,$G28)</f>
        <v>0</v>
      </c>
      <c r="AS28" s="613">
        <f ca="1">SUMIFS(INDEX('Операционные (5.2)'!$AJ$26:$BC$45,,MATCH(AS$8,'Операционные (5.2)'!$AJ$8:$BC$8,0)),'Операционные (5.2)'!$F$26:$F$45,$F28,'Операционные (5.2)'!$G$26:$G$45,$G28)</f>
        <v>0</v>
      </c>
      <c r="AT28" s="613">
        <f ca="1">SUMIFS(INDEX('Операционные (5.2)'!$AJ$26:$BC$45,,MATCH(AT$8,'Операционные (5.2)'!$AJ$8:$BC$8,0)),'Операционные (5.2)'!$F$26:$F$45,$F28,'Операционные (5.2)'!$G$26:$G$45,$G28)</f>
        <v>0</v>
      </c>
      <c r="AU28" s="613">
        <f ca="1">SUMIFS(INDEX('Операционные (5.2)'!$AJ$26:$BC$45,,MATCH(AU$8,'Операционные (5.2)'!$AJ$8:$BC$8,0)),'Операционные (5.2)'!$F$26:$F$45,$F28,'Операционные (5.2)'!$G$26:$G$45,$G28)</f>
        <v>0</v>
      </c>
      <c r="AV28" s="613">
        <f ca="1">SUMIFS(INDEX('Операционные (5.2)'!$AJ$26:$BC$45,,MATCH(AV$8,'Операционные (5.2)'!$AJ$8:$BC$8,0)),'Операционные (5.2)'!$F$26:$F$45,$F28,'Операционные (5.2)'!$G$26:$G$45,$G28)</f>
        <v>0</v>
      </c>
      <c r="AW28" s="613">
        <f ca="1">SUMIFS(INDEX('Операционные (5.2)'!$AJ$26:$BC$45,,MATCH(AW$8,'Операционные (5.2)'!$AJ$8:$BC$8,0)),'Операционные (5.2)'!$F$26:$F$45,$F28,'Операционные (5.2)'!$G$26:$G$45,$G28)</f>
        <v>0</v>
      </c>
      <c r="AX28" s="613">
        <f ca="1">SUMIFS(INDEX('Операционные (5.2)'!$AJ$26:$BC$45,,MATCH(AX$8,'Операционные (5.2)'!$AJ$8:$BC$8,0)),'Операционные (5.2)'!$F$26:$F$45,$F28,'Операционные (5.2)'!$G$26:$G$45,$G28)</f>
        <v>0</v>
      </c>
      <c r="AY28" s="613">
        <f ca="1">SUMIFS(INDEX('Операционные (5.2)'!$AJ$26:$BC$45,,MATCH(AY$8,'Операционные (5.2)'!$AJ$8:$BC$8,0)),'Операционные (5.2)'!$F$26:$F$45,$F28,'Операционные (5.2)'!$G$26:$G$45,$G28)</f>
        <v>0</v>
      </c>
      <c r="AZ28" s="613">
        <f ca="1">SUMIFS(INDEX('Операционные (5.2)'!$AJ$26:$BC$45,,MATCH(AZ$8,'Операционные (5.2)'!$AJ$8:$BC$8,0)),'Операционные (5.2)'!$F$26:$F$45,$F28,'Операционные (5.2)'!$G$26:$G$45,$G28)</f>
        <v>0</v>
      </c>
      <c r="BA28" s="613">
        <f ca="1">SUMIFS(INDEX('Операционные (5.2)'!$AJ$26:$BC$45,,MATCH(BA$8,'Операционные (5.2)'!$AJ$8:$BC$8,0)),'Операционные (5.2)'!$F$26:$F$45,$F28,'Операционные (5.2)'!$G$26:$G$45,$G28)</f>
        <v>0</v>
      </c>
      <c r="BB28" s="613">
        <f ca="1">SUMIFS(INDEX('Операционные (5.2)'!$AJ$26:$BC$45,,MATCH(BB$8,'Операционные (5.2)'!$AJ$8:$BC$8,0)),'Операционные (5.2)'!$F$26:$F$45,$F28,'Операционные (5.2)'!$G$26:$G$45,$G28)</f>
        <v>0</v>
      </c>
      <c r="BC28" s="613">
        <f ca="1">SUMIFS(INDEX('Операционные (5.2)'!$AJ$26:$BC$45,,MATCH(BC$8,'Операционные (5.2)'!$AJ$8:$BC$8,0)),'Операционные (5.2)'!$F$26:$F$45,$F28,'Операционные (5.2)'!$G$26:$G$45,$G28)</f>
        <v>0</v>
      </c>
      <c r="BD28" s="253">
        <f t="shared" ref="BD28:BD54" ca="1" si="3">IF(AI28=0,0,(AT28-AI28)/AI28*100)</f>
        <v>0</v>
      </c>
      <c r="BE28" s="253">
        <f t="shared" ref="BE28:BE54" ca="1" si="4">IF(AT28=0,0,(AU28-AT28)/AT28*100)</f>
        <v>0</v>
      </c>
      <c r="BF28" s="253">
        <f t="shared" ref="BF28:BF54" ca="1" si="5">IF(AU28=0,0,(AV28-AU28)/AU28*100)</f>
        <v>0</v>
      </c>
      <c r="BG28" s="253">
        <f t="shared" ref="BG28:BG54" ca="1" si="6">IF(AV28=0,0,(AW28-AV28)/AV28*100)</f>
        <v>0</v>
      </c>
      <c r="BH28" s="253">
        <f t="shared" ref="BH28:BH54" ca="1" si="7">IF(AW28=0,0,(AX28-AW28)/AW28*100)</f>
        <v>0</v>
      </c>
      <c r="BI28" s="253">
        <f t="shared" ref="BI28:BI54" ca="1" si="8">IF(AX28=0,0,(AY28-AX28)/AX28*100)</f>
        <v>0</v>
      </c>
      <c r="BJ28" s="253">
        <f t="shared" ref="BJ28:BJ54" ca="1" si="9">IF(AY28=0,0,(AZ28-AY28)/AY28*100)</f>
        <v>0</v>
      </c>
      <c r="BK28" s="253">
        <f t="shared" ref="BK28:BK54" ca="1" si="10">IF(AZ28=0,0,(BA28-AZ28)/AZ28*100)</f>
        <v>0</v>
      </c>
      <c r="BL28" s="253">
        <f t="shared" ref="BL28:BL54" ca="1" si="11">IF(BA28=0,0,(BB28-BA28)/BA28*100)</f>
        <v>0</v>
      </c>
      <c r="BM28" s="253">
        <f t="shared" ref="BM28:BM54" ca="1" si="12">IF(BB28=0,0,(BC28-BB28)/BB28*100)</f>
        <v>0</v>
      </c>
      <c r="BN28" s="25"/>
      <c r="BO28" s="25"/>
      <c r="BP28" s="25"/>
      <c r="BS28" s="1021" t="s">
        <v>1614</v>
      </c>
      <c r="BX28" s="1054"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x14ac:dyDescent="0.15">
      <c r="C29" s="1084" t="s">
        <v>1615</v>
      </c>
      <c r="D29" s="1043" t="s">
        <v>1616</v>
      </c>
      <c r="E29" s="668">
        <v>17.100000000000001</v>
      </c>
      <c r="F29" s="769" cm="1">
        <f t="array" aca="1" ref="F29" ca="1">OFFSET(G29,-1,-1)</f>
        <v>0</v>
      </c>
      <c r="G29" s="140" t="s">
        <v>1376</v>
      </c>
      <c r="M29" s="1067"/>
      <c r="N29" s="1067" cm="1">
        <f t="array" aca="1" ref="N29" ca="1">OFFSET(M29,-1,1)</f>
        <v>0</v>
      </c>
      <c r="O29" s="1068"/>
      <c r="P29" s="1068"/>
      <c r="Q29" s="1068"/>
      <c r="R29" s="1068"/>
      <c r="T29" s="679" t="b" cm="1">
        <f t="array" ref="T29">T28</f>
        <v>0</v>
      </c>
      <c r="X29" s="1485"/>
      <c r="Z29" s="1485"/>
      <c r="AB29" s="108" t="s">
        <v>426</v>
      </c>
      <c r="AC29" s="540" t="s">
        <v>1617</v>
      </c>
      <c r="AD29" s="411" t="s">
        <v>1044</v>
      </c>
      <c r="AE29" s="507">
        <f ca="1">SUMIFS('Неподконтрольные (5.3)'!AE$26:AE$67,'Неподконтрольные (5.3)'!$F$26:$F$67,$F29,'Неподконтрольные (5.3)'!$G$26:$G$67,$G29)</f>
        <v>0</v>
      </c>
      <c r="AF29" s="507">
        <f ca="1">SUMIFS('Неподконтрольные (5.3)'!AF$26:AF$67,'Неподконтрольные (5.3)'!$F$26:$F$67,$F29,'Неподконтрольные (5.3)'!$G$26:$G$67,$G29)</f>
        <v>0</v>
      </c>
      <c r="AG29" s="507">
        <f ca="1">SUMIFS('Неподконтрольные (5.3)'!AG$26:AG$67,'Неподконтрольные (5.3)'!$F$26:$F$67,$F29,'Неподконтрольные (5.3)'!$G$26:$G$67,$G29)</f>
        <v>0</v>
      </c>
      <c r="AH29" s="253">
        <f t="shared" ca="1" si="2"/>
        <v>0</v>
      </c>
      <c r="AI29" s="507">
        <f ca="1">SUMIFS('Неподконтрольные (5.3)'!AI$26:AI$67,'Неподконтрольные (5.3)'!$F$26:$F$67,$F29,'Неподконтрольные (5.3)'!$G$26:$G$67,$G29)</f>
        <v>0</v>
      </c>
      <c r="AJ29" s="507">
        <f ca="1">SUMIFS('Неподконтрольные (5.3)'!AJ$26:AJ$67,'Неподконтрольные (5.3)'!$F$26:$F$67,$F29,'Неподконтрольные (5.3)'!$G$26:$G$67,$G29)</f>
        <v>0</v>
      </c>
      <c r="AK29" s="507">
        <f ca="1">SUMIFS('Неподконтрольные (5.3)'!AK$26:AK$67,'Неподконтрольные (5.3)'!$F$26:$F$67,$F29,'Неподконтрольные (5.3)'!$G$26:$G$67,$G29)</f>
        <v>0</v>
      </c>
      <c r="AL29" s="507">
        <f ca="1">SUMIFS('Неподконтрольные (5.3)'!AL$26:AL$67,'Неподконтрольные (5.3)'!$F$26:$F$67,$F29,'Неподконтрольные (5.3)'!$G$26:$G$67,$G29)</f>
        <v>0</v>
      </c>
      <c r="AM29" s="507">
        <f ca="1">SUMIFS('Неподконтрольные (5.3)'!AM$26:AM$67,'Неподконтрольные (5.3)'!$F$26:$F$67,$F29,'Неподконтрольные (5.3)'!$G$26:$G$67,$G29)</f>
        <v>0</v>
      </c>
      <c r="AN29" s="507">
        <f ca="1">SUMIFS('Неподконтрольные (5.3)'!AN$26:AN$67,'Неподконтрольные (5.3)'!$F$26:$F$67,$F29,'Неподконтрольные (5.3)'!$G$26:$G$67,$G29)</f>
        <v>0</v>
      </c>
      <c r="AO29" s="507">
        <f ca="1">SUMIFS('Неподконтрольные (5.3)'!AO$26:AO$67,'Неподконтрольные (5.3)'!$F$26:$F$67,$F29,'Неподконтрольные (5.3)'!$G$26:$G$67,$G29)</f>
        <v>0</v>
      </c>
      <c r="AP29" s="507">
        <f ca="1">SUMIFS('Неподконтрольные (5.3)'!AP$26:AP$67,'Неподконтрольные (5.3)'!$F$26:$F$67,$F29,'Неподконтрольные (5.3)'!$G$26:$G$67,$G29)</f>
        <v>0</v>
      </c>
      <c r="AQ29" s="507">
        <f ca="1">SUMIFS('Неподконтрольные (5.3)'!AQ$26:AQ$67,'Неподконтрольные (5.3)'!$F$26:$F$67,$F29,'Неподконтрольные (5.3)'!$G$26:$G$67,$G29)</f>
        <v>0</v>
      </c>
      <c r="AR29" s="507">
        <f ca="1">SUMIFS('Неподконтрольные (5.3)'!AR$26:AR$67,'Неподконтрольные (5.3)'!$F$26:$F$67,$F29,'Неподконтрольные (5.3)'!$G$26:$G$67,$G29)</f>
        <v>0</v>
      </c>
      <c r="AS29" s="507">
        <f ca="1">SUMIFS('Неподконтрольные (5.3)'!AS$26:AS$67,'Неподконтрольные (5.3)'!$F$26:$F$67,$F29,'Неподконтрольные (5.3)'!$G$26:$G$67,$G29)</f>
        <v>0</v>
      </c>
      <c r="AT29" s="507">
        <f ca="1">SUMIFS('Неподконтрольные (5.3)'!AT$26:AT$67,'Неподконтрольные (5.3)'!$F$26:$F$67,$F29,'Неподконтрольные (5.3)'!$G$26:$G$67,$G29)</f>
        <v>0</v>
      </c>
      <c r="AU29" s="507">
        <f ca="1">SUMIFS('Неподконтрольные (5.3)'!AU$26:AU$67,'Неподконтрольные (5.3)'!$F$26:$F$67,$F29,'Неподконтрольные (5.3)'!$G$26:$G$67,$G29)</f>
        <v>0</v>
      </c>
      <c r="AV29" s="507">
        <f ca="1">SUMIFS('Неподконтрольные (5.3)'!AV$26:AV$67,'Неподконтрольные (5.3)'!$F$26:$F$67,$F29,'Неподконтрольные (5.3)'!$G$26:$G$67,$G29)</f>
        <v>0</v>
      </c>
      <c r="AW29" s="507">
        <f ca="1">SUMIFS('Неподконтрольные (5.3)'!AW$26:AW$67,'Неподконтрольные (5.3)'!$F$26:$F$67,$F29,'Неподконтрольные (5.3)'!$G$26:$G$67,$G29)</f>
        <v>0</v>
      </c>
      <c r="AX29" s="507">
        <f ca="1">SUMIFS('Неподконтрольные (5.3)'!AX$26:AX$67,'Неподконтрольные (5.3)'!$F$26:$F$67,$F29,'Неподконтрольные (5.3)'!$G$26:$G$67,$G29)</f>
        <v>0</v>
      </c>
      <c r="AY29" s="507">
        <f ca="1">SUMIFS('Неподконтрольные (5.3)'!AY$26:AY$67,'Неподконтрольные (5.3)'!$F$26:$F$67,$F29,'Неподконтрольные (5.3)'!$G$26:$G$67,$G29)</f>
        <v>0</v>
      </c>
      <c r="AZ29" s="507">
        <f ca="1">SUMIFS('Неподконтрольные (5.3)'!AZ$26:AZ$67,'Неподконтрольные (5.3)'!$F$26:$F$67,$F29,'Неподконтрольные (5.3)'!$G$26:$G$67,$G29)</f>
        <v>0</v>
      </c>
      <c r="BA29" s="507">
        <f ca="1">SUMIFS('Неподконтрольные (5.3)'!BA$26:BA$67,'Неподконтрольные (5.3)'!$F$26:$F$67,$F29,'Неподконтрольные (5.3)'!$G$26:$G$67,$G29)</f>
        <v>0</v>
      </c>
      <c r="BB29" s="507">
        <f ca="1">SUMIFS('Неподконтрольные (5.3)'!BB$26:BB$67,'Неподконтрольные (5.3)'!$F$26:$F$67,$F29,'Неподконтрольные (5.3)'!$G$26:$G$67,$G29)</f>
        <v>0</v>
      </c>
      <c r="BC29" s="507">
        <f ca="1">SUMIFS('Неподконтрольные (5.3)'!BC$26:BC$67,'Неподконтрольные (5.3)'!$F$26:$F$67,$F29,'Неподконтрольные (5.3)'!$G$26:$G$67,$G29)</f>
        <v>0</v>
      </c>
      <c r="BD29" s="253">
        <f t="shared" ca="1" si="3"/>
        <v>0</v>
      </c>
      <c r="BE29" s="253">
        <f t="shared" ca="1" si="4"/>
        <v>0</v>
      </c>
      <c r="BF29" s="253">
        <f t="shared" ca="1" si="5"/>
        <v>0</v>
      </c>
      <c r="BG29" s="253">
        <f t="shared" ca="1" si="6"/>
        <v>0</v>
      </c>
      <c r="BH29" s="253">
        <f t="shared" ca="1" si="7"/>
        <v>0</v>
      </c>
      <c r="BI29" s="253">
        <f t="shared" ca="1" si="8"/>
        <v>0</v>
      </c>
      <c r="BJ29" s="253">
        <f t="shared" ca="1" si="9"/>
        <v>0</v>
      </c>
      <c r="BK29" s="253">
        <f t="shared" ca="1" si="10"/>
        <v>0</v>
      </c>
      <c r="BL29" s="253">
        <f t="shared" ca="1" si="11"/>
        <v>0</v>
      </c>
      <c r="BM29" s="253">
        <f t="shared" ca="1" si="12"/>
        <v>0</v>
      </c>
      <c r="BN29" s="25"/>
      <c r="BO29" s="25"/>
      <c r="BP29" s="25"/>
      <c r="BS29" s="1021" t="s">
        <v>1618</v>
      </c>
      <c r="BX29" s="1054"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x14ac:dyDescent="0.15">
      <c r="C30" s="1084" t="s">
        <v>1619</v>
      </c>
      <c r="D30" s="1043" t="s">
        <v>1620</v>
      </c>
      <c r="E30" s="668">
        <v>26.3</v>
      </c>
      <c r="F30" s="769" cm="1">
        <f t="array" aca="1" ref="F30" ca="1">OFFSET(G30,-1,-1)</f>
        <v>0</v>
      </c>
      <c r="G30" s="140" t="s">
        <v>1418</v>
      </c>
      <c r="M30" s="1067"/>
      <c r="N30" s="1067" cm="1">
        <f t="array" aca="1" ref="N30" ca="1">OFFSET(M30,-1,1)</f>
        <v>0</v>
      </c>
      <c r="O30" s="1068"/>
      <c r="P30" s="1068"/>
      <c r="Q30" s="1068"/>
      <c r="R30" s="1068"/>
      <c r="T30" s="679" t="b" cm="1">
        <f t="array" ref="T30">T29</f>
        <v>0</v>
      </c>
      <c r="X30" s="1485"/>
      <c r="Z30" s="1485"/>
      <c r="AB30" s="108" t="s">
        <v>431</v>
      </c>
      <c r="AC30" s="540" t="s">
        <v>1621</v>
      </c>
      <c r="AD30" s="411" t="s">
        <v>1044</v>
      </c>
      <c r="AE30" s="507">
        <f ca="1">SUMIFS('Ресурсы (5.4)'!AE$26:AE$47,'Ресурсы (5.4)'!$F$26:$F$47,$F30,'Ресурсы (5.4)'!$G$26:$G$47,$G30)</f>
        <v>0</v>
      </c>
      <c r="AF30" s="507">
        <f ca="1">SUMIFS('Ресурсы (5.4)'!AF$26:AF$47,'Ресурсы (5.4)'!$F$26:$F$47,$F30,'Ресурсы (5.4)'!$G$26:$G$47,$G30)</f>
        <v>0</v>
      </c>
      <c r="AG30" s="507">
        <f ca="1">SUMIFS('Ресурсы (5.4)'!AG$26:AG$47,'Ресурсы (5.4)'!$F$26:$F$47,$F30,'Ресурсы (5.4)'!$G$26:$G$47,$G30)</f>
        <v>0</v>
      </c>
      <c r="AH30" s="253">
        <f t="shared" ca="1" si="2"/>
        <v>0</v>
      </c>
      <c r="AI30" s="507">
        <f ca="1">SUMIFS('Ресурсы (5.4)'!AI$26:AI$47,'Ресурсы (5.4)'!$F$26:$F$47,$F30,'Ресурсы (5.4)'!$G$26:$G$47,$G30)</f>
        <v>0</v>
      </c>
      <c r="AJ30" s="507">
        <f ca="1">SUMIFS('Ресурсы (5.4)'!AJ$26:AJ$47,'Ресурсы (5.4)'!$F$26:$F$47,$F30,'Ресурсы (5.4)'!$G$26:$G$47,$G30)</f>
        <v>0</v>
      </c>
      <c r="AK30" s="507">
        <f ca="1">SUMIFS('Ресурсы (5.4)'!AK$26:AK$47,'Ресурсы (5.4)'!$F$26:$F$47,$F30,'Ресурсы (5.4)'!$G$26:$G$47,$G30)</f>
        <v>0</v>
      </c>
      <c r="AL30" s="507">
        <f ca="1">SUMIFS('Ресурсы (5.4)'!AL$26:AL$47,'Ресурсы (5.4)'!$F$26:$F$47,$F30,'Ресурсы (5.4)'!$G$26:$G$47,$G30)</f>
        <v>0</v>
      </c>
      <c r="AM30" s="507">
        <f ca="1">SUMIFS('Ресурсы (5.4)'!AM$26:AM$47,'Ресурсы (5.4)'!$F$26:$F$47,$F30,'Ресурсы (5.4)'!$G$26:$G$47,$G30)</f>
        <v>0</v>
      </c>
      <c r="AN30" s="507">
        <f ca="1">SUMIFS('Ресурсы (5.4)'!AN$26:AN$47,'Ресурсы (5.4)'!$F$26:$F$47,$F30,'Ресурсы (5.4)'!$G$26:$G$47,$G30)</f>
        <v>0</v>
      </c>
      <c r="AO30" s="507">
        <f ca="1">SUMIFS('Ресурсы (5.4)'!AO$26:AO$47,'Ресурсы (5.4)'!$F$26:$F$47,$F30,'Ресурсы (5.4)'!$G$26:$G$47,$G30)</f>
        <v>0</v>
      </c>
      <c r="AP30" s="507">
        <f ca="1">SUMIFS('Ресурсы (5.4)'!AP$26:AP$47,'Ресурсы (5.4)'!$F$26:$F$47,$F30,'Ресурсы (5.4)'!$G$26:$G$47,$G30)</f>
        <v>0</v>
      </c>
      <c r="AQ30" s="507">
        <f ca="1">SUMIFS('Ресурсы (5.4)'!AQ$26:AQ$47,'Ресурсы (5.4)'!$F$26:$F$47,$F30,'Ресурсы (5.4)'!$G$26:$G$47,$G30)</f>
        <v>0</v>
      </c>
      <c r="AR30" s="507">
        <f ca="1">SUMIFS('Ресурсы (5.4)'!AR$26:AR$47,'Ресурсы (5.4)'!$F$26:$F$47,$F30,'Ресурсы (5.4)'!$G$26:$G$47,$G30)</f>
        <v>0</v>
      </c>
      <c r="AS30" s="507">
        <f ca="1">SUMIFS('Ресурсы (5.4)'!AS$26:AS$47,'Ресурсы (5.4)'!$F$26:$F$47,$F30,'Ресурсы (5.4)'!$G$26:$G$47,$G30)</f>
        <v>0</v>
      </c>
      <c r="AT30" s="507">
        <f ca="1">SUMIFS('Ресурсы (5.4)'!AT$26:AT$47,'Ресурсы (5.4)'!$F$26:$F$47,$F30,'Ресурсы (5.4)'!$G$26:$G$47,$G30)</f>
        <v>0</v>
      </c>
      <c r="AU30" s="507">
        <f ca="1">SUMIFS('Ресурсы (5.4)'!AU$26:AU$47,'Ресурсы (5.4)'!$F$26:$F$47,$F30,'Ресурсы (5.4)'!$G$26:$G$47,$G30)</f>
        <v>0</v>
      </c>
      <c r="AV30" s="507">
        <f ca="1">SUMIFS('Ресурсы (5.4)'!AV$26:AV$47,'Ресурсы (5.4)'!$F$26:$F$47,$F30,'Ресурсы (5.4)'!$G$26:$G$47,$G30)</f>
        <v>0</v>
      </c>
      <c r="AW30" s="507">
        <f ca="1">SUMIFS('Ресурсы (5.4)'!AW$26:AW$47,'Ресурсы (5.4)'!$F$26:$F$47,$F30,'Ресурсы (5.4)'!$G$26:$G$47,$G30)</f>
        <v>0</v>
      </c>
      <c r="AX30" s="507">
        <f ca="1">SUMIFS('Ресурсы (5.4)'!AX$26:AX$47,'Ресурсы (5.4)'!$F$26:$F$47,$F30,'Ресурсы (5.4)'!$G$26:$G$47,$G30)</f>
        <v>0</v>
      </c>
      <c r="AY30" s="507">
        <f ca="1">SUMIFS('Ресурсы (5.4)'!AY$26:AY$47,'Ресурсы (5.4)'!$F$26:$F$47,$F30,'Ресурсы (5.4)'!$G$26:$G$47,$G30)</f>
        <v>0</v>
      </c>
      <c r="AZ30" s="507">
        <f ca="1">SUMIFS('Ресурсы (5.4)'!AZ$26:AZ$47,'Ресурсы (5.4)'!$F$26:$F$47,$F30,'Ресурсы (5.4)'!$G$26:$G$47,$G30)</f>
        <v>0</v>
      </c>
      <c r="BA30" s="507">
        <f ca="1">SUMIFS('Ресурсы (5.4)'!BA$26:BA$47,'Ресурсы (5.4)'!$F$26:$F$47,$F30,'Ресурсы (5.4)'!$G$26:$G$47,$G30)</f>
        <v>0</v>
      </c>
      <c r="BB30" s="507">
        <f ca="1">SUMIFS('Ресурсы (5.4)'!BB$26:BB$47,'Ресурсы (5.4)'!$F$26:$F$47,$F30,'Ресурсы (5.4)'!$G$26:$G$47,$G30)</f>
        <v>0</v>
      </c>
      <c r="BC30" s="507">
        <f ca="1">SUMIFS('Ресурсы (5.4)'!BC$26:BC$47,'Ресурсы (5.4)'!$F$26:$F$47,$F30,'Ресурсы (5.4)'!$G$26:$G$47,$G30)</f>
        <v>0</v>
      </c>
      <c r="BD30" s="253">
        <f t="shared" ca="1" si="3"/>
        <v>0</v>
      </c>
      <c r="BE30" s="253">
        <f t="shared" ca="1" si="4"/>
        <v>0</v>
      </c>
      <c r="BF30" s="253">
        <f t="shared" ca="1" si="5"/>
        <v>0</v>
      </c>
      <c r="BG30" s="253">
        <f t="shared" ca="1" si="6"/>
        <v>0</v>
      </c>
      <c r="BH30" s="253">
        <f t="shared" ca="1" si="7"/>
        <v>0</v>
      </c>
      <c r="BI30" s="253">
        <f t="shared" ca="1" si="8"/>
        <v>0</v>
      </c>
      <c r="BJ30" s="253">
        <f t="shared" ca="1" si="9"/>
        <v>0</v>
      </c>
      <c r="BK30" s="253">
        <f t="shared" ca="1" si="10"/>
        <v>0</v>
      </c>
      <c r="BL30" s="253">
        <f t="shared" ca="1" si="11"/>
        <v>0</v>
      </c>
      <c r="BM30" s="253">
        <f t="shared" ca="1" si="12"/>
        <v>0</v>
      </c>
      <c r="BN30" s="25"/>
      <c r="BO30" s="25"/>
      <c r="BP30" s="25"/>
      <c r="BS30" s="1021" t="s">
        <v>1622</v>
      </c>
      <c r="BX30" s="1054"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x14ac:dyDescent="0.15">
      <c r="C31" s="1084" t="s">
        <v>1623</v>
      </c>
      <c r="D31" s="1043" t="s">
        <v>1624</v>
      </c>
      <c r="E31" s="668">
        <v>17.100000000000001</v>
      </c>
      <c r="F31" s="769" cm="1">
        <f t="array" aca="1" ref="F31" ca="1">OFFSET(G31,-1,-1)</f>
        <v>0</v>
      </c>
      <c r="M31" s="1067"/>
      <c r="N31" s="1067" cm="1">
        <f t="array" aca="1" ref="N31" ca="1">OFFSET(M31,-1,1)</f>
        <v>0</v>
      </c>
      <c r="O31" s="1068"/>
      <c r="P31" s="1068"/>
      <c r="Q31" s="1068"/>
      <c r="R31" s="1068"/>
      <c r="T31" s="679" t="b">
        <f t="shared" ref="T31:T42" ca="1" si="13">AND(F31&gt;0,method_reg="Метод обеспечения доходности инвестированного капитала")</f>
        <v>0</v>
      </c>
      <c r="X31" s="1485"/>
      <c r="Z31" s="1485"/>
      <c r="AB31" s="257" t="s">
        <v>437</v>
      </c>
      <c r="AC31" s="711" t="s">
        <v>1625</v>
      </c>
      <c r="AD31" s="255" t="s">
        <v>830</v>
      </c>
      <c r="AE31" s="73"/>
      <c r="AF31" s="73"/>
      <c r="AG31" s="73"/>
      <c r="AH31" s="253">
        <f t="shared" si="2"/>
        <v>0</v>
      </c>
      <c r="AI31" s="73"/>
      <c r="AJ31" s="509"/>
      <c r="AK31" s="1315"/>
      <c r="AL31" s="1315"/>
      <c r="AM31" s="73"/>
      <c r="AN31" s="73"/>
      <c r="AO31" s="73"/>
      <c r="AP31" s="73"/>
      <c r="AQ31" s="73"/>
      <c r="AR31" s="73"/>
      <c r="AS31" s="73"/>
      <c r="AT31" s="509"/>
      <c r="AU31" s="1315"/>
      <c r="AV31" s="1315"/>
      <c r="AW31" s="73"/>
      <c r="AX31" s="73"/>
      <c r="AY31" s="73"/>
      <c r="AZ31" s="73"/>
      <c r="BA31" s="73"/>
      <c r="BB31" s="73"/>
      <c r="BC31" s="73"/>
      <c r="BD31" s="253">
        <f t="shared" si="3"/>
        <v>0</v>
      </c>
      <c r="BE31" s="253">
        <f t="shared" si="4"/>
        <v>0</v>
      </c>
      <c r="BF31" s="253">
        <f t="shared" si="5"/>
        <v>0</v>
      </c>
      <c r="BG31" s="253">
        <f t="shared" si="6"/>
        <v>0</v>
      </c>
      <c r="BH31" s="253">
        <f t="shared" si="7"/>
        <v>0</v>
      </c>
      <c r="BI31" s="253">
        <f t="shared" si="8"/>
        <v>0</v>
      </c>
      <c r="BJ31" s="253">
        <f t="shared" si="9"/>
        <v>0</v>
      </c>
      <c r="BK31" s="253">
        <f t="shared" si="10"/>
        <v>0</v>
      </c>
      <c r="BL31" s="253">
        <f t="shared" si="11"/>
        <v>0</v>
      </c>
      <c r="BM31" s="253">
        <f t="shared" si="12"/>
        <v>0</v>
      </c>
      <c r="BN31" s="25"/>
      <c r="BO31" s="25"/>
      <c r="BP31" s="25"/>
      <c r="BS31" s="1021" t="s">
        <v>1626</v>
      </c>
      <c r="BX31" s="1054"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x14ac:dyDescent="0.15">
      <c r="C32" s="1084" t="s">
        <v>1627</v>
      </c>
      <c r="D32" s="1043" t="s">
        <v>1628</v>
      </c>
      <c r="E32" s="668">
        <v>17.100000000000001</v>
      </c>
      <c r="F32" s="769" cm="1">
        <f t="array" aca="1" ref="F32" ca="1">OFFSET(G32,-1,-1)</f>
        <v>0</v>
      </c>
      <c r="M32" s="1067"/>
      <c r="N32" s="1067" cm="1">
        <f t="array" aca="1" ref="N32" ca="1">OFFSET(M32,-1,1)</f>
        <v>0</v>
      </c>
      <c r="O32" s="1068"/>
      <c r="P32" s="1068"/>
      <c r="Q32" s="1068"/>
      <c r="R32" s="1068"/>
      <c r="T32" s="679" t="b">
        <f t="shared" ca="1" si="13"/>
        <v>0</v>
      </c>
      <c r="X32" s="1485"/>
      <c r="Z32" s="1485"/>
      <c r="AB32" s="257" t="s">
        <v>771</v>
      </c>
      <c r="AC32" s="258" t="s">
        <v>1629</v>
      </c>
      <c r="AD32" s="255" t="s">
        <v>830</v>
      </c>
      <c r="AE32" s="73"/>
      <c r="AF32" s="73"/>
      <c r="AG32" s="73"/>
      <c r="AH32" s="253">
        <f t="shared" si="2"/>
        <v>0</v>
      </c>
      <c r="AI32" s="73"/>
      <c r="AJ32" s="509"/>
      <c r="AK32" s="1315"/>
      <c r="AL32" s="1315"/>
      <c r="AM32" s="73"/>
      <c r="AN32" s="73"/>
      <c r="AO32" s="73"/>
      <c r="AP32" s="73"/>
      <c r="AQ32" s="73"/>
      <c r="AR32" s="73"/>
      <c r="AS32" s="73"/>
      <c r="AT32" s="509"/>
      <c r="AU32" s="1315"/>
      <c r="AV32" s="1315"/>
      <c r="AW32" s="73"/>
      <c r="AX32" s="73"/>
      <c r="AY32" s="73"/>
      <c r="AZ32" s="73"/>
      <c r="BA32" s="73"/>
      <c r="BB32" s="73"/>
      <c r="BC32" s="73"/>
      <c r="BD32" s="253">
        <f t="shared" si="3"/>
        <v>0</v>
      </c>
      <c r="BE32" s="253">
        <f t="shared" si="4"/>
        <v>0</v>
      </c>
      <c r="BF32" s="253">
        <f t="shared" si="5"/>
        <v>0</v>
      </c>
      <c r="BG32" s="253">
        <f t="shared" si="6"/>
        <v>0</v>
      </c>
      <c r="BH32" s="253">
        <f t="shared" si="7"/>
        <v>0</v>
      </c>
      <c r="BI32" s="253">
        <f t="shared" si="8"/>
        <v>0</v>
      </c>
      <c r="BJ32" s="253">
        <f t="shared" si="9"/>
        <v>0</v>
      </c>
      <c r="BK32" s="253">
        <f t="shared" si="10"/>
        <v>0</v>
      </c>
      <c r="BL32" s="253">
        <f t="shared" si="11"/>
        <v>0</v>
      </c>
      <c r="BM32" s="253">
        <f t="shared" si="12"/>
        <v>0</v>
      </c>
      <c r="BN32" s="25"/>
      <c r="BO32" s="25"/>
      <c r="BP32" s="25"/>
      <c r="BS32" s="1021" t="s">
        <v>1630</v>
      </c>
      <c r="BX32" s="1054"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x14ac:dyDescent="0.15">
      <c r="C33" s="1084" t="s">
        <v>1631</v>
      </c>
      <c r="D33" s="1043" t="s">
        <v>1632</v>
      </c>
      <c r="E33" s="668">
        <v>17.100000000000001</v>
      </c>
      <c r="F33" s="769" cm="1">
        <f t="array" aca="1" ref="F33" ca="1">OFFSET(G33,-1,-1)</f>
        <v>0</v>
      </c>
      <c r="M33" s="1067"/>
      <c r="N33" s="1067" cm="1">
        <f t="array" aca="1" ref="N33" ca="1">OFFSET(M33,-1,1)</f>
        <v>0</v>
      </c>
      <c r="O33" s="1068"/>
      <c r="P33" s="1068"/>
      <c r="Q33" s="1068"/>
      <c r="R33" s="1068"/>
      <c r="T33" s="679" t="b">
        <f t="shared" ca="1" si="13"/>
        <v>0</v>
      </c>
      <c r="X33" s="1485"/>
      <c r="Z33" s="1485"/>
      <c r="AB33" s="257" t="s">
        <v>1633</v>
      </c>
      <c r="AC33" s="258" t="s">
        <v>1634</v>
      </c>
      <c r="AD33" s="255" t="s">
        <v>1635</v>
      </c>
      <c r="AE33" s="73"/>
      <c r="AF33" s="73"/>
      <c r="AG33" s="73"/>
      <c r="AH33" s="253">
        <f t="shared" si="2"/>
        <v>0</v>
      </c>
      <c r="AI33" s="73"/>
      <c r="AJ33" s="509"/>
      <c r="AK33" s="1315"/>
      <c r="AL33" s="1315"/>
      <c r="AM33" s="73"/>
      <c r="AN33" s="73"/>
      <c r="AO33" s="73"/>
      <c r="AP33" s="73"/>
      <c r="AQ33" s="73"/>
      <c r="AR33" s="73"/>
      <c r="AS33" s="73"/>
      <c r="AT33" s="509"/>
      <c r="AU33" s="1315"/>
      <c r="AV33" s="1315"/>
      <c r="AW33" s="73"/>
      <c r="AX33" s="73"/>
      <c r="AY33" s="73"/>
      <c r="AZ33" s="73"/>
      <c r="BA33" s="73"/>
      <c r="BB33" s="73"/>
      <c r="BC33" s="73"/>
      <c r="BD33" s="253">
        <f t="shared" si="3"/>
        <v>0</v>
      </c>
      <c r="BE33" s="253">
        <f t="shared" si="4"/>
        <v>0</v>
      </c>
      <c r="BF33" s="253">
        <f t="shared" si="5"/>
        <v>0</v>
      </c>
      <c r="BG33" s="253">
        <f t="shared" si="6"/>
        <v>0</v>
      </c>
      <c r="BH33" s="253">
        <f t="shared" si="7"/>
        <v>0</v>
      </c>
      <c r="BI33" s="253">
        <f t="shared" si="8"/>
        <v>0</v>
      </c>
      <c r="BJ33" s="253">
        <f t="shared" si="9"/>
        <v>0</v>
      </c>
      <c r="BK33" s="253">
        <f t="shared" si="10"/>
        <v>0</v>
      </c>
      <c r="BL33" s="253">
        <f t="shared" si="11"/>
        <v>0</v>
      </c>
      <c r="BM33" s="253">
        <f t="shared" si="12"/>
        <v>0</v>
      </c>
      <c r="BN33" s="25"/>
      <c r="BO33" s="25"/>
      <c r="BP33" s="25"/>
      <c r="BS33" s="1021" t="s">
        <v>1636</v>
      </c>
      <c r="BX33" s="1054"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x14ac:dyDescent="0.15">
      <c r="C34" s="1084" t="s">
        <v>1637</v>
      </c>
      <c r="D34" s="1043" t="s">
        <v>1638</v>
      </c>
      <c r="E34" s="668">
        <v>17.100000000000001</v>
      </c>
      <c r="F34" s="769" cm="1">
        <f t="array" aca="1" ref="F34" ca="1">OFFSET(G34,-1,-1)</f>
        <v>0</v>
      </c>
      <c r="M34" s="1067"/>
      <c r="N34" s="1067" cm="1">
        <f t="array" aca="1" ref="N34" ca="1">OFFSET(M34,-1,1)</f>
        <v>0</v>
      </c>
      <c r="O34" s="1068"/>
      <c r="P34" s="1068"/>
      <c r="Q34" s="1068"/>
      <c r="R34" s="1068"/>
      <c r="T34" s="679" t="b">
        <f t="shared" ca="1" si="13"/>
        <v>0</v>
      </c>
      <c r="X34" s="1485"/>
      <c r="Z34" s="1485"/>
      <c r="AB34" s="257" t="s">
        <v>441</v>
      </c>
      <c r="AC34" s="711" t="s">
        <v>1639</v>
      </c>
      <c r="AD34" s="255" t="s">
        <v>830</v>
      </c>
      <c r="AE34" s="73"/>
      <c r="AF34" s="73"/>
      <c r="AG34" s="73"/>
      <c r="AH34" s="253">
        <f t="shared" si="2"/>
        <v>0</v>
      </c>
      <c r="AI34" s="73"/>
      <c r="AJ34" s="509"/>
      <c r="AK34" s="1315"/>
      <c r="AL34" s="1315"/>
      <c r="AM34" s="73"/>
      <c r="AN34" s="73"/>
      <c r="AO34" s="73"/>
      <c r="AP34" s="73"/>
      <c r="AQ34" s="73"/>
      <c r="AR34" s="73"/>
      <c r="AS34" s="73"/>
      <c r="AT34" s="509"/>
      <c r="AU34" s="1315"/>
      <c r="AV34" s="1315"/>
      <c r="AW34" s="73"/>
      <c r="AX34" s="73"/>
      <c r="AY34" s="73"/>
      <c r="AZ34" s="73"/>
      <c r="BA34" s="73"/>
      <c r="BB34" s="73"/>
      <c r="BC34" s="73"/>
      <c r="BD34" s="253">
        <f t="shared" si="3"/>
        <v>0</v>
      </c>
      <c r="BE34" s="253">
        <f t="shared" si="4"/>
        <v>0</v>
      </c>
      <c r="BF34" s="253">
        <f t="shared" si="5"/>
        <v>0</v>
      </c>
      <c r="BG34" s="253">
        <f t="shared" si="6"/>
        <v>0</v>
      </c>
      <c r="BH34" s="253">
        <f t="shared" si="7"/>
        <v>0</v>
      </c>
      <c r="BI34" s="253">
        <f t="shared" si="8"/>
        <v>0</v>
      </c>
      <c r="BJ34" s="253">
        <f t="shared" si="9"/>
        <v>0</v>
      </c>
      <c r="BK34" s="253">
        <f t="shared" si="10"/>
        <v>0</v>
      </c>
      <c r="BL34" s="253">
        <f t="shared" si="11"/>
        <v>0</v>
      </c>
      <c r="BM34" s="253">
        <f t="shared" si="12"/>
        <v>0</v>
      </c>
      <c r="BN34" s="25"/>
      <c r="BO34" s="25"/>
      <c r="BP34" s="25"/>
      <c r="BS34" s="1021" t="s">
        <v>1640</v>
      </c>
      <c r="BX34" s="1054"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x14ac:dyDescent="0.15">
      <c r="C35" s="1084" t="s">
        <v>1641</v>
      </c>
      <c r="D35" s="1043" t="s">
        <v>1642</v>
      </c>
      <c r="E35" s="668">
        <v>17.100000000000001</v>
      </c>
      <c r="F35" s="769" cm="1">
        <f t="array" aca="1" ref="F35" ca="1">OFFSET(G35,-1,-1)</f>
        <v>0</v>
      </c>
      <c r="M35" s="1067"/>
      <c r="N35" s="1067" cm="1">
        <f t="array" aca="1" ref="N35" ca="1">OFFSET(M35,-1,1)</f>
        <v>0</v>
      </c>
      <c r="O35" s="1068"/>
      <c r="P35" s="1068"/>
      <c r="Q35" s="1068"/>
      <c r="R35" s="1068"/>
      <c r="T35" s="679" t="b">
        <f t="shared" ca="1" si="13"/>
        <v>0</v>
      </c>
      <c r="X35" s="1485"/>
      <c r="Z35" s="1485"/>
      <c r="AB35" s="257" t="s">
        <v>776</v>
      </c>
      <c r="AC35" s="258" t="s">
        <v>1643</v>
      </c>
      <c r="AD35" s="255" t="s">
        <v>830</v>
      </c>
      <c r="AE35" s="73"/>
      <c r="AF35" s="73"/>
      <c r="AG35" s="73"/>
      <c r="AH35" s="253">
        <f t="shared" si="2"/>
        <v>0</v>
      </c>
      <c r="AI35" s="73"/>
      <c r="AJ35" s="509"/>
      <c r="AK35" s="1315"/>
      <c r="AL35" s="1315"/>
      <c r="AM35" s="73"/>
      <c r="AN35" s="73"/>
      <c r="AO35" s="73"/>
      <c r="AP35" s="73"/>
      <c r="AQ35" s="73"/>
      <c r="AR35" s="73"/>
      <c r="AS35" s="73"/>
      <c r="AT35" s="509"/>
      <c r="AU35" s="1315"/>
      <c r="AV35" s="1315"/>
      <c r="AW35" s="73"/>
      <c r="AX35" s="73"/>
      <c r="AY35" s="73"/>
      <c r="AZ35" s="73"/>
      <c r="BA35" s="73"/>
      <c r="BB35" s="73"/>
      <c r="BC35" s="73"/>
      <c r="BD35" s="253">
        <f t="shared" si="3"/>
        <v>0</v>
      </c>
      <c r="BE35" s="253">
        <f t="shared" si="4"/>
        <v>0</v>
      </c>
      <c r="BF35" s="253">
        <f t="shared" si="5"/>
        <v>0</v>
      </c>
      <c r="BG35" s="253">
        <f t="shared" si="6"/>
        <v>0</v>
      </c>
      <c r="BH35" s="253">
        <f t="shared" si="7"/>
        <v>0</v>
      </c>
      <c r="BI35" s="253">
        <f t="shared" si="8"/>
        <v>0</v>
      </c>
      <c r="BJ35" s="253">
        <f t="shared" si="9"/>
        <v>0</v>
      </c>
      <c r="BK35" s="253">
        <f t="shared" si="10"/>
        <v>0</v>
      </c>
      <c r="BL35" s="253">
        <f t="shared" si="11"/>
        <v>0</v>
      </c>
      <c r="BM35" s="253">
        <f t="shared" si="12"/>
        <v>0</v>
      </c>
      <c r="BN35" s="25"/>
      <c r="BO35" s="25"/>
      <c r="BP35" s="25"/>
      <c r="BS35" s="1021" t="s">
        <v>1644</v>
      </c>
      <c r="BX35" s="1054"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x14ac:dyDescent="0.15">
      <c r="C36" s="1084" t="s">
        <v>1645</v>
      </c>
      <c r="D36" s="1043" t="s">
        <v>1646</v>
      </c>
      <c r="E36" s="668">
        <v>17.100000000000001</v>
      </c>
      <c r="F36" s="769" cm="1">
        <f t="array" aca="1" ref="F36" ca="1">OFFSET(G36,-1,-1)</f>
        <v>0</v>
      </c>
      <c r="M36" s="1067"/>
      <c r="N36" s="1067" cm="1">
        <f t="array" aca="1" ref="N36" ca="1">OFFSET(M36,-1,1)</f>
        <v>0</v>
      </c>
      <c r="O36" s="1068"/>
      <c r="P36" s="1068"/>
      <c r="Q36" s="1068"/>
      <c r="R36" s="1068"/>
      <c r="T36" s="679" t="b">
        <f t="shared" ca="1" si="13"/>
        <v>0</v>
      </c>
      <c r="X36" s="1485"/>
      <c r="Z36" s="1485"/>
      <c r="AB36" s="257" t="s">
        <v>1331</v>
      </c>
      <c r="AC36" s="258" t="s">
        <v>1647</v>
      </c>
      <c r="AD36" s="255" t="s">
        <v>521</v>
      </c>
      <c r="AE36" s="73"/>
      <c r="AF36" s="73"/>
      <c r="AG36" s="73"/>
      <c r="AH36" s="253">
        <f t="shared" si="2"/>
        <v>0</v>
      </c>
      <c r="AI36" s="73"/>
      <c r="AJ36" s="509"/>
      <c r="AK36" s="1315"/>
      <c r="AL36" s="1315"/>
      <c r="AM36" s="73"/>
      <c r="AN36" s="73"/>
      <c r="AO36" s="73"/>
      <c r="AP36" s="73"/>
      <c r="AQ36" s="73"/>
      <c r="AR36" s="73"/>
      <c r="AS36" s="73"/>
      <c r="AT36" s="509"/>
      <c r="AU36" s="1315"/>
      <c r="AV36" s="1315"/>
      <c r="AW36" s="73"/>
      <c r="AX36" s="73"/>
      <c r="AY36" s="73"/>
      <c r="AZ36" s="73"/>
      <c r="BA36" s="73"/>
      <c r="BB36" s="73"/>
      <c r="BC36" s="73"/>
      <c r="BD36" s="253">
        <f t="shared" si="3"/>
        <v>0</v>
      </c>
      <c r="BE36" s="253">
        <f t="shared" si="4"/>
        <v>0</v>
      </c>
      <c r="BF36" s="253">
        <f t="shared" si="5"/>
        <v>0</v>
      </c>
      <c r="BG36" s="253">
        <f t="shared" si="6"/>
        <v>0</v>
      </c>
      <c r="BH36" s="253">
        <f t="shared" si="7"/>
        <v>0</v>
      </c>
      <c r="BI36" s="253">
        <f t="shared" si="8"/>
        <v>0</v>
      </c>
      <c r="BJ36" s="253">
        <f t="shared" si="9"/>
        <v>0</v>
      </c>
      <c r="BK36" s="253">
        <f t="shared" si="10"/>
        <v>0</v>
      </c>
      <c r="BL36" s="253">
        <f t="shared" si="11"/>
        <v>0</v>
      </c>
      <c r="BM36" s="253">
        <f t="shared" si="12"/>
        <v>0</v>
      </c>
      <c r="BN36" s="25"/>
      <c r="BO36" s="25"/>
      <c r="BP36" s="25"/>
      <c r="BS36" s="1021" t="s">
        <v>1648</v>
      </c>
      <c r="BX36" s="1054"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x14ac:dyDescent="0.15">
      <c r="C37" s="1084" t="s">
        <v>1649</v>
      </c>
      <c r="D37" s="1043" t="s">
        <v>1650</v>
      </c>
      <c r="E37" s="668">
        <v>17.100000000000001</v>
      </c>
      <c r="F37" s="769" cm="1">
        <f t="array" aca="1" ref="F37" ca="1">OFFSET(G37,-1,-1)</f>
        <v>0</v>
      </c>
      <c r="M37" s="1067"/>
      <c r="N37" s="1067" cm="1">
        <f t="array" aca="1" ref="N37" ca="1">OFFSET(M37,-1,1)</f>
        <v>0</v>
      </c>
      <c r="O37" s="1068"/>
      <c r="P37" s="1068"/>
      <c r="Q37" s="1068"/>
      <c r="R37" s="1068"/>
      <c r="T37" s="679" t="b">
        <f t="shared" ca="1" si="13"/>
        <v>0</v>
      </c>
      <c r="X37" s="1485"/>
      <c r="Z37" s="1485"/>
      <c r="AB37" s="257" t="s">
        <v>1334</v>
      </c>
      <c r="AC37" s="79" t="s">
        <v>1651</v>
      </c>
      <c r="AD37" s="255" t="s">
        <v>830</v>
      </c>
      <c r="AE37" s="73"/>
      <c r="AF37" s="73"/>
      <c r="AG37" s="73"/>
      <c r="AH37" s="253">
        <f t="shared" si="2"/>
        <v>0</v>
      </c>
      <c r="AI37" s="73"/>
      <c r="AJ37" s="509"/>
      <c r="AK37" s="1315"/>
      <c r="AL37" s="1315"/>
      <c r="AM37" s="73"/>
      <c r="AN37" s="73"/>
      <c r="AO37" s="73"/>
      <c r="AP37" s="73"/>
      <c r="AQ37" s="73"/>
      <c r="AR37" s="73"/>
      <c r="AS37" s="73"/>
      <c r="AT37" s="509"/>
      <c r="AU37" s="1315"/>
      <c r="AV37" s="1315"/>
      <c r="AW37" s="73"/>
      <c r="AX37" s="73"/>
      <c r="AY37" s="73"/>
      <c r="AZ37" s="73"/>
      <c r="BA37" s="73"/>
      <c r="BB37" s="73"/>
      <c r="BC37" s="73"/>
      <c r="BD37" s="253">
        <f t="shared" si="3"/>
        <v>0</v>
      </c>
      <c r="BE37" s="253">
        <f t="shared" si="4"/>
        <v>0</v>
      </c>
      <c r="BF37" s="253">
        <f t="shared" si="5"/>
        <v>0</v>
      </c>
      <c r="BG37" s="253">
        <f t="shared" si="6"/>
        <v>0</v>
      </c>
      <c r="BH37" s="253">
        <f t="shared" si="7"/>
        <v>0</v>
      </c>
      <c r="BI37" s="253">
        <f t="shared" si="8"/>
        <v>0</v>
      </c>
      <c r="BJ37" s="253">
        <f t="shared" si="9"/>
        <v>0</v>
      </c>
      <c r="BK37" s="253">
        <f t="shared" si="10"/>
        <v>0</v>
      </c>
      <c r="BL37" s="253">
        <f t="shared" si="11"/>
        <v>0</v>
      </c>
      <c r="BM37" s="253">
        <f t="shared" si="12"/>
        <v>0</v>
      </c>
      <c r="BN37" s="25"/>
      <c r="BO37" s="25"/>
      <c r="BP37" s="25"/>
      <c r="BS37" s="1021" t="s">
        <v>1652</v>
      </c>
      <c r="BX37" s="1054"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x14ac:dyDescent="0.15">
      <c r="C38" s="1084" t="s">
        <v>1653</v>
      </c>
      <c r="D38" s="1043" t="s">
        <v>1654</v>
      </c>
      <c r="E38" s="668">
        <v>17.100000000000001</v>
      </c>
      <c r="F38" s="769" cm="1">
        <f t="array" aca="1" ref="F38" ca="1">OFFSET(G38,-1,-1)</f>
        <v>0</v>
      </c>
      <c r="M38" s="1067"/>
      <c r="N38" s="1067" cm="1">
        <f t="array" aca="1" ref="N38" ca="1">OFFSET(M38,-1,1)</f>
        <v>0</v>
      </c>
      <c r="O38" s="1068"/>
      <c r="P38" s="1068"/>
      <c r="Q38" s="1068"/>
      <c r="R38" s="1068"/>
      <c r="T38" s="679" t="b">
        <f t="shared" ca="1" si="13"/>
        <v>0</v>
      </c>
      <c r="X38" s="1485"/>
      <c r="Z38" s="1485"/>
      <c r="AB38" s="257" t="s">
        <v>1337</v>
      </c>
      <c r="AC38" s="79" t="s">
        <v>1655</v>
      </c>
      <c r="AD38" s="255" t="s">
        <v>830</v>
      </c>
      <c r="AE38" s="73"/>
      <c r="AF38" s="73"/>
      <c r="AG38" s="73"/>
      <c r="AH38" s="253">
        <f t="shared" si="2"/>
        <v>0</v>
      </c>
      <c r="AI38" s="73"/>
      <c r="AJ38" s="509"/>
      <c r="AK38" s="1315"/>
      <c r="AL38" s="1315"/>
      <c r="AM38" s="73"/>
      <c r="AN38" s="73"/>
      <c r="AO38" s="73"/>
      <c r="AP38" s="73"/>
      <c r="AQ38" s="73"/>
      <c r="AR38" s="73"/>
      <c r="AS38" s="73"/>
      <c r="AT38" s="509"/>
      <c r="AU38" s="1315"/>
      <c r="AV38" s="1315"/>
      <c r="AW38" s="73"/>
      <c r="AX38" s="73"/>
      <c r="AY38" s="73"/>
      <c r="AZ38" s="73"/>
      <c r="BA38" s="73"/>
      <c r="BB38" s="73"/>
      <c r="BC38" s="73"/>
      <c r="BD38" s="253">
        <f t="shared" si="3"/>
        <v>0</v>
      </c>
      <c r="BE38" s="253">
        <f t="shared" si="4"/>
        <v>0</v>
      </c>
      <c r="BF38" s="253">
        <f t="shared" si="5"/>
        <v>0</v>
      </c>
      <c r="BG38" s="253">
        <f t="shared" si="6"/>
        <v>0</v>
      </c>
      <c r="BH38" s="253">
        <f t="shared" si="7"/>
        <v>0</v>
      </c>
      <c r="BI38" s="253">
        <f t="shared" si="8"/>
        <v>0</v>
      </c>
      <c r="BJ38" s="253">
        <f t="shared" si="9"/>
        <v>0</v>
      </c>
      <c r="BK38" s="253">
        <f t="shared" si="10"/>
        <v>0</v>
      </c>
      <c r="BL38" s="253">
        <f t="shared" si="11"/>
        <v>0</v>
      </c>
      <c r="BM38" s="253">
        <f t="shared" si="12"/>
        <v>0</v>
      </c>
      <c r="BN38" s="25"/>
      <c r="BO38" s="25"/>
      <c r="BP38" s="25"/>
      <c r="BS38" s="1021" t="s">
        <v>1656</v>
      </c>
      <c r="BX38" s="1054"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x14ac:dyDescent="0.15">
      <c r="C39" s="1084" t="s">
        <v>1657</v>
      </c>
      <c r="D39" s="1043" t="s">
        <v>1658</v>
      </c>
      <c r="E39" s="668">
        <v>17.100000000000001</v>
      </c>
      <c r="F39" s="769" cm="1">
        <f t="array" aca="1" ref="F39" ca="1">OFFSET(G39,-1,-1)</f>
        <v>0</v>
      </c>
      <c r="M39" s="1067"/>
      <c r="N39" s="1067" cm="1">
        <f t="array" aca="1" ref="N39" ca="1">OFFSET(M39,-1,1)</f>
        <v>0</v>
      </c>
      <c r="O39" s="1068"/>
      <c r="P39" s="1068"/>
      <c r="Q39" s="1068"/>
      <c r="R39" s="1068"/>
      <c r="T39" s="679" t="b">
        <f t="shared" ca="1" si="13"/>
        <v>0</v>
      </c>
      <c r="X39" s="1485"/>
      <c r="Z39" s="1485"/>
      <c r="AB39" s="257" t="s">
        <v>1659</v>
      </c>
      <c r="AC39" s="80" t="s">
        <v>1660</v>
      </c>
      <c r="AD39" s="255" t="s">
        <v>521</v>
      </c>
      <c r="AE39" s="73"/>
      <c r="AF39" s="73"/>
      <c r="AG39" s="73"/>
      <c r="AH39" s="253">
        <f t="shared" si="2"/>
        <v>0</v>
      </c>
      <c r="AI39" s="73"/>
      <c r="AJ39" s="509"/>
      <c r="AK39" s="1315"/>
      <c r="AL39" s="1315"/>
      <c r="AM39" s="73"/>
      <c r="AN39" s="73"/>
      <c r="AO39" s="73"/>
      <c r="AP39" s="73"/>
      <c r="AQ39" s="73"/>
      <c r="AR39" s="73"/>
      <c r="AS39" s="73"/>
      <c r="AT39" s="509"/>
      <c r="AU39" s="1315"/>
      <c r="AV39" s="1315"/>
      <c r="AW39" s="73"/>
      <c r="AX39" s="73"/>
      <c r="AY39" s="73"/>
      <c r="AZ39" s="73"/>
      <c r="BA39" s="73"/>
      <c r="BB39" s="73"/>
      <c r="BC39" s="73"/>
      <c r="BD39" s="253">
        <f t="shared" si="3"/>
        <v>0</v>
      </c>
      <c r="BE39" s="253">
        <f t="shared" si="4"/>
        <v>0</v>
      </c>
      <c r="BF39" s="253">
        <f t="shared" si="5"/>
        <v>0</v>
      </c>
      <c r="BG39" s="253">
        <f t="shared" si="6"/>
        <v>0</v>
      </c>
      <c r="BH39" s="253">
        <f t="shared" si="7"/>
        <v>0</v>
      </c>
      <c r="BI39" s="253">
        <f t="shared" si="8"/>
        <v>0</v>
      </c>
      <c r="BJ39" s="253">
        <f t="shared" si="9"/>
        <v>0</v>
      </c>
      <c r="BK39" s="253">
        <f t="shared" si="10"/>
        <v>0</v>
      </c>
      <c r="BL39" s="253">
        <f t="shared" si="11"/>
        <v>0</v>
      </c>
      <c r="BM39" s="253">
        <f t="shared" si="12"/>
        <v>0</v>
      </c>
      <c r="BN39" s="25"/>
      <c r="BO39" s="25"/>
      <c r="BP39" s="25"/>
      <c r="BS39" s="1021" t="s">
        <v>1661</v>
      </c>
      <c r="BX39" s="1054"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x14ac:dyDescent="0.15">
      <c r="C40" s="1084" t="s">
        <v>1662</v>
      </c>
      <c r="D40" s="1043" t="s">
        <v>1663</v>
      </c>
      <c r="E40" s="668">
        <v>17.100000000000001</v>
      </c>
      <c r="F40" s="769" cm="1">
        <f t="array" aca="1" ref="F40" ca="1">OFFSET(G40,-1,-1)</f>
        <v>0</v>
      </c>
      <c r="M40" s="1067"/>
      <c r="N40" s="1067" cm="1">
        <f t="array" aca="1" ref="N40" ca="1">OFFSET(M40,-1,1)</f>
        <v>0</v>
      </c>
      <c r="O40" s="1068"/>
      <c r="P40" s="1068"/>
      <c r="Q40" s="1068"/>
      <c r="R40" s="1068"/>
      <c r="T40" s="679" t="b">
        <f t="shared" ca="1" si="13"/>
        <v>0</v>
      </c>
      <c r="X40" s="1485"/>
      <c r="Z40" s="1485"/>
      <c r="AB40" s="257" t="s">
        <v>1340</v>
      </c>
      <c r="AC40" s="79" t="s">
        <v>1664</v>
      </c>
      <c r="AD40" s="255" t="s">
        <v>521</v>
      </c>
      <c r="AE40" s="73"/>
      <c r="AF40" s="73"/>
      <c r="AG40" s="73"/>
      <c r="AH40" s="253">
        <f t="shared" si="2"/>
        <v>0</v>
      </c>
      <c r="AI40" s="73"/>
      <c r="AJ40" s="509"/>
      <c r="AK40" s="1315"/>
      <c r="AL40" s="1315"/>
      <c r="AM40" s="73"/>
      <c r="AN40" s="73"/>
      <c r="AO40" s="73"/>
      <c r="AP40" s="73"/>
      <c r="AQ40" s="73"/>
      <c r="AR40" s="73"/>
      <c r="AS40" s="73"/>
      <c r="AT40" s="509"/>
      <c r="AU40" s="1315"/>
      <c r="AV40" s="1315"/>
      <c r="AW40" s="73"/>
      <c r="AX40" s="73"/>
      <c r="AY40" s="73"/>
      <c r="AZ40" s="73"/>
      <c r="BA40" s="73"/>
      <c r="BB40" s="73"/>
      <c r="BC40" s="73"/>
      <c r="BD40" s="253">
        <f t="shared" si="3"/>
        <v>0</v>
      </c>
      <c r="BE40" s="253">
        <f t="shared" si="4"/>
        <v>0</v>
      </c>
      <c r="BF40" s="253">
        <f t="shared" si="5"/>
        <v>0</v>
      </c>
      <c r="BG40" s="253">
        <f t="shared" si="6"/>
        <v>0</v>
      </c>
      <c r="BH40" s="253">
        <f t="shared" si="7"/>
        <v>0</v>
      </c>
      <c r="BI40" s="253">
        <f t="shared" si="8"/>
        <v>0</v>
      </c>
      <c r="BJ40" s="253">
        <f t="shared" si="9"/>
        <v>0</v>
      </c>
      <c r="BK40" s="253">
        <f t="shared" si="10"/>
        <v>0</v>
      </c>
      <c r="BL40" s="253">
        <f t="shared" si="11"/>
        <v>0</v>
      </c>
      <c r="BM40" s="253">
        <f t="shared" si="12"/>
        <v>0</v>
      </c>
      <c r="BN40" s="25"/>
      <c r="BO40" s="25"/>
      <c r="BP40" s="25"/>
      <c r="BS40" s="1021" t="s">
        <v>1665</v>
      </c>
      <c r="BX40" s="1054"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x14ac:dyDescent="0.15">
      <c r="C41" s="1084" t="s">
        <v>1666</v>
      </c>
      <c r="D41" s="1043" t="s">
        <v>1667</v>
      </c>
      <c r="E41" s="668">
        <v>17.100000000000001</v>
      </c>
      <c r="F41" s="769" cm="1">
        <f t="array" aca="1" ref="F41" ca="1">OFFSET(G41,-1,-1)</f>
        <v>0</v>
      </c>
      <c r="M41" s="1067"/>
      <c r="N41" s="1067" cm="1">
        <f t="array" aca="1" ref="N41" ca="1">OFFSET(M41,-1,1)</f>
        <v>0</v>
      </c>
      <c r="O41" s="1068"/>
      <c r="P41" s="1068"/>
      <c r="Q41" s="1068"/>
      <c r="R41" s="1068"/>
      <c r="T41" s="679" t="b">
        <f t="shared" ca="1" si="13"/>
        <v>0</v>
      </c>
      <c r="X41" s="1485"/>
      <c r="Z41" s="1485"/>
      <c r="AB41" s="257" t="s">
        <v>1668</v>
      </c>
      <c r="AC41" s="80" t="s">
        <v>1669</v>
      </c>
      <c r="AD41" s="255" t="s">
        <v>521</v>
      </c>
      <c r="AE41" s="73"/>
      <c r="AF41" s="73"/>
      <c r="AG41" s="73"/>
      <c r="AH41" s="253">
        <f t="shared" si="2"/>
        <v>0</v>
      </c>
      <c r="AI41" s="73"/>
      <c r="AJ41" s="509"/>
      <c r="AK41" s="1315"/>
      <c r="AL41" s="1315"/>
      <c r="AM41" s="73"/>
      <c r="AN41" s="73"/>
      <c r="AO41" s="73"/>
      <c r="AP41" s="73"/>
      <c r="AQ41" s="73"/>
      <c r="AR41" s="73"/>
      <c r="AS41" s="73"/>
      <c r="AT41" s="509"/>
      <c r="AU41" s="1315"/>
      <c r="AV41" s="1315"/>
      <c r="AW41" s="73"/>
      <c r="AX41" s="73"/>
      <c r="AY41" s="73"/>
      <c r="AZ41" s="73"/>
      <c r="BA41" s="73"/>
      <c r="BB41" s="73"/>
      <c r="BC41" s="73"/>
      <c r="BD41" s="253">
        <f t="shared" si="3"/>
        <v>0</v>
      </c>
      <c r="BE41" s="253">
        <f t="shared" si="4"/>
        <v>0</v>
      </c>
      <c r="BF41" s="253">
        <f t="shared" si="5"/>
        <v>0</v>
      </c>
      <c r="BG41" s="253">
        <f t="shared" si="6"/>
        <v>0</v>
      </c>
      <c r="BH41" s="253">
        <f t="shared" si="7"/>
        <v>0</v>
      </c>
      <c r="BI41" s="253">
        <f t="shared" si="8"/>
        <v>0</v>
      </c>
      <c r="BJ41" s="253">
        <f t="shared" si="9"/>
        <v>0</v>
      </c>
      <c r="BK41" s="253">
        <f t="shared" si="10"/>
        <v>0</v>
      </c>
      <c r="BL41" s="253">
        <f t="shared" si="11"/>
        <v>0</v>
      </c>
      <c r="BM41" s="253">
        <f t="shared" si="12"/>
        <v>0</v>
      </c>
      <c r="BN41" s="25"/>
      <c r="BO41" s="25"/>
      <c r="BP41" s="25"/>
      <c r="BS41" s="1021" t="s">
        <v>1670</v>
      </c>
      <c r="BX41" s="1054"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x14ac:dyDescent="0.15">
      <c r="C42" s="1084" t="s">
        <v>1671</v>
      </c>
      <c r="D42" s="1043" t="s">
        <v>1672</v>
      </c>
      <c r="E42" s="668">
        <v>17.100000000000001</v>
      </c>
      <c r="F42" s="769" cm="1">
        <f t="array" aca="1" ref="F42" ca="1">OFFSET(G42,-1,-1)</f>
        <v>0</v>
      </c>
      <c r="M42" s="1067"/>
      <c r="N42" s="1067" cm="1">
        <f t="array" aca="1" ref="N42" ca="1">OFFSET(M42,-1,1)</f>
        <v>0</v>
      </c>
      <c r="O42" s="1068"/>
      <c r="P42" s="1068"/>
      <c r="Q42" s="1068"/>
      <c r="R42" s="1068"/>
      <c r="T42" s="679" t="b">
        <f t="shared" ca="1" si="13"/>
        <v>0</v>
      </c>
      <c r="X42" s="1485"/>
      <c r="Z42" s="1485"/>
      <c r="AB42" s="257" t="s">
        <v>1673</v>
      </c>
      <c r="AC42" s="80" t="s">
        <v>1674</v>
      </c>
      <c r="AD42" s="255" t="s">
        <v>521</v>
      </c>
      <c r="AE42" s="73"/>
      <c r="AF42" s="73"/>
      <c r="AG42" s="73"/>
      <c r="AH42" s="253">
        <f t="shared" si="2"/>
        <v>0</v>
      </c>
      <c r="AI42" s="73"/>
      <c r="AJ42" s="509"/>
      <c r="AK42" s="1315"/>
      <c r="AL42" s="1315"/>
      <c r="AM42" s="73"/>
      <c r="AN42" s="73"/>
      <c r="AO42" s="73"/>
      <c r="AP42" s="73"/>
      <c r="AQ42" s="73"/>
      <c r="AR42" s="73"/>
      <c r="AS42" s="73"/>
      <c r="AT42" s="509"/>
      <c r="AU42" s="1315"/>
      <c r="AV42" s="1315"/>
      <c r="AW42" s="73"/>
      <c r="AX42" s="73"/>
      <c r="AY42" s="73"/>
      <c r="AZ42" s="73"/>
      <c r="BA42" s="73"/>
      <c r="BB42" s="73"/>
      <c r="BC42" s="73"/>
      <c r="BD42" s="253">
        <f t="shared" si="3"/>
        <v>0</v>
      </c>
      <c r="BE42" s="253">
        <f t="shared" si="4"/>
        <v>0</v>
      </c>
      <c r="BF42" s="253">
        <f t="shared" si="5"/>
        <v>0</v>
      </c>
      <c r="BG42" s="253">
        <f t="shared" si="6"/>
        <v>0</v>
      </c>
      <c r="BH42" s="253">
        <f t="shared" si="7"/>
        <v>0</v>
      </c>
      <c r="BI42" s="253">
        <f t="shared" si="8"/>
        <v>0</v>
      </c>
      <c r="BJ42" s="253">
        <f t="shared" si="9"/>
        <v>0</v>
      </c>
      <c r="BK42" s="253">
        <f t="shared" si="10"/>
        <v>0</v>
      </c>
      <c r="BL42" s="253">
        <f t="shared" si="11"/>
        <v>0</v>
      </c>
      <c r="BM42" s="253">
        <f t="shared" si="12"/>
        <v>0</v>
      </c>
      <c r="BN42" s="25"/>
      <c r="BO42" s="25"/>
      <c r="BP42" s="25"/>
      <c r="BS42" s="1021" t="s">
        <v>1675</v>
      </c>
      <c r="BX42" s="1054"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x14ac:dyDescent="0.15">
      <c r="C43" s="1084" t="s">
        <v>1676</v>
      </c>
      <c r="D43" s="1043" t="s">
        <v>1677</v>
      </c>
      <c r="E43" s="668">
        <v>17.100000000000001</v>
      </c>
      <c r="F43" s="769" cm="1">
        <f t="array" aca="1" ref="F43" ca="1">OFFSET(G43,-1,-1)</f>
        <v>0</v>
      </c>
      <c r="G43" s="140" t="s">
        <v>1523</v>
      </c>
      <c r="M43" s="1067"/>
      <c r="N43" s="1067" cm="1">
        <f t="array" aca="1" ref="N43" ca="1">OFFSET(M43,-1,1)</f>
        <v>0</v>
      </c>
      <c r="O43" s="1068"/>
      <c r="P43" s="1068"/>
      <c r="Q43" s="1068"/>
      <c r="R43" s="1068"/>
      <c r="T43" s="679" t="b">
        <f t="shared" ref="T43:T48" ca="1" si="14">AND(F43&gt;0,method_reg="Метод индексации")</f>
        <v>0</v>
      </c>
      <c r="X43" s="1485"/>
      <c r="Z43" s="1485"/>
      <c r="AB43" s="108" t="s">
        <v>437</v>
      </c>
      <c r="AC43" s="505" t="s">
        <v>1525</v>
      </c>
      <c r="AD43" s="411" t="s">
        <v>1044</v>
      </c>
      <c r="AE43" s="73">
        <f>AE44+AE45+AE46</f>
        <v>0</v>
      </c>
      <c r="AF43" s="73">
        <f>AF44+AF45+AF46</f>
        <v>0</v>
      </c>
      <c r="AG43" s="73">
        <f>AG44+AG45+AG46</f>
        <v>0</v>
      </c>
      <c r="AH43" s="253">
        <f t="shared" si="2"/>
        <v>0</v>
      </c>
      <c r="AI43" s="73">
        <f t="shared" ref="AI43:BC43" si="15">AI44+AI45+AI46</f>
        <v>0</v>
      </c>
      <c r="AJ43" s="509">
        <f t="shared" si="15"/>
        <v>0</v>
      </c>
      <c r="AK43" s="1315">
        <f t="shared" si="15"/>
        <v>0</v>
      </c>
      <c r="AL43" s="1315">
        <f t="shared" si="15"/>
        <v>0</v>
      </c>
      <c r="AM43" s="73">
        <f t="shared" si="15"/>
        <v>0</v>
      </c>
      <c r="AN43" s="73">
        <f t="shared" si="15"/>
        <v>0</v>
      </c>
      <c r="AO43" s="73">
        <f t="shared" si="15"/>
        <v>0</v>
      </c>
      <c r="AP43" s="73">
        <f t="shared" si="15"/>
        <v>0</v>
      </c>
      <c r="AQ43" s="73">
        <f t="shared" si="15"/>
        <v>0</v>
      </c>
      <c r="AR43" s="73">
        <f t="shared" si="15"/>
        <v>0</v>
      </c>
      <c r="AS43" s="73">
        <f t="shared" si="15"/>
        <v>0</v>
      </c>
      <c r="AT43" s="509">
        <f t="shared" si="15"/>
        <v>0</v>
      </c>
      <c r="AU43" s="1315">
        <f t="shared" si="15"/>
        <v>0</v>
      </c>
      <c r="AV43" s="1315">
        <f t="shared" si="15"/>
        <v>0</v>
      </c>
      <c r="AW43" s="73">
        <f t="shared" si="15"/>
        <v>0</v>
      </c>
      <c r="AX43" s="73">
        <f t="shared" si="15"/>
        <v>0</v>
      </c>
      <c r="AY43" s="73">
        <f t="shared" si="15"/>
        <v>0</v>
      </c>
      <c r="AZ43" s="73">
        <f t="shared" si="15"/>
        <v>0</v>
      </c>
      <c r="BA43" s="73">
        <f t="shared" si="15"/>
        <v>0</v>
      </c>
      <c r="BB43" s="73">
        <f t="shared" si="15"/>
        <v>0</v>
      </c>
      <c r="BC43" s="73">
        <f t="shared" si="15"/>
        <v>0</v>
      </c>
      <c r="BD43" s="253">
        <f t="shared" si="3"/>
        <v>0</v>
      </c>
      <c r="BE43" s="253">
        <f t="shared" si="4"/>
        <v>0</v>
      </c>
      <c r="BF43" s="253">
        <f t="shared" si="5"/>
        <v>0</v>
      </c>
      <c r="BG43" s="253">
        <f t="shared" si="6"/>
        <v>0</v>
      </c>
      <c r="BH43" s="253">
        <f t="shared" si="7"/>
        <v>0</v>
      </c>
      <c r="BI43" s="253">
        <f t="shared" si="8"/>
        <v>0</v>
      </c>
      <c r="BJ43" s="253">
        <f t="shared" si="9"/>
        <v>0</v>
      </c>
      <c r="BK43" s="253">
        <f t="shared" si="10"/>
        <v>0</v>
      </c>
      <c r="BL43" s="253">
        <f t="shared" si="11"/>
        <v>0</v>
      </c>
      <c r="BM43" s="253">
        <f t="shared" si="12"/>
        <v>0</v>
      </c>
      <c r="BN43" s="25"/>
      <c r="BO43" s="25"/>
      <c r="BP43" s="25"/>
      <c r="BS43" s="1021" t="s">
        <v>1526</v>
      </c>
      <c r="BX43" s="1054"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x14ac:dyDescent="0.15">
      <c r="C44" s="1084" t="s">
        <v>1678</v>
      </c>
      <c r="D44" s="1043" t="s">
        <v>1679</v>
      </c>
      <c r="E44" s="668">
        <v>60</v>
      </c>
      <c r="F44" s="769" cm="1">
        <f t="array" aca="1" ref="F44" ca="1">OFFSET(G44,-1,-1)</f>
        <v>0</v>
      </c>
      <c r="M44" s="1067"/>
      <c r="N44" s="1067" cm="1">
        <f t="array" aca="1" ref="N44" ca="1">OFFSET(M44,-1,1)</f>
        <v>0</v>
      </c>
      <c r="O44" s="1068"/>
      <c r="P44" s="1068"/>
      <c r="Q44" s="1068"/>
      <c r="R44" s="1068"/>
      <c r="T44" s="679" t="b">
        <f t="shared" ca="1" si="14"/>
        <v>0</v>
      </c>
      <c r="X44" s="1485"/>
      <c r="Z44" s="1485"/>
      <c r="AB44" s="108" t="s">
        <v>771</v>
      </c>
      <c r="AC44" s="852" t="s">
        <v>1680</v>
      </c>
      <c r="AD44" s="411" t="s">
        <v>1426</v>
      </c>
      <c r="AE44" s="73"/>
      <c r="AF44" s="73"/>
      <c r="AG44" s="73"/>
      <c r="AH44" s="253">
        <f t="shared" si="2"/>
        <v>0</v>
      </c>
      <c r="AI44" s="73"/>
      <c r="AJ44" s="509"/>
      <c r="AK44" s="1315"/>
      <c r="AL44" s="1315"/>
      <c r="AM44" s="73"/>
      <c r="AN44" s="73"/>
      <c r="AO44" s="73"/>
      <c r="AP44" s="73"/>
      <c r="AQ44" s="73"/>
      <c r="AR44" s="73"/>
      <c r="AS44" s="73"/>
      <c r="AT44" s="509"/>
      <c r="AU44" s="1315"/>
      <c r="AV44" s="1315"/>
      <c r="AW44" s="73"/>
      <c r="AX44" s="73"/>
      <c r="AY44" s="73"/>
      <c r="AZ44" s="73"/>
      <c r="BA44" s="73"/>
      <c r="BB44" s="73"/>
      <c r="BC44" s="73"/>
      <c r="BD44" s="253">
        <f t="shared" si="3"/>
        <v>0</v>
      </c>
      <c r="BE44" s="253">
        <f t="shared" si="4"/>
        <v>0</v>
      </c>
      <c r="BF44" s="253">
        <f t="shared" si="5"/>
        <v>0</v>
      </c>
      <c r="BG44" s="253">
        <f t="shared" si="6"/>
        <v>0</v>
      </c>
      <c r="BH44" s="253">
        <f t="shared" si="7"/>
        <v>0</v>
      </c>
      <c r="BI44" s="253">
        <f t="shared" si="8"/>
        <v>0</v>
      </c>
      <c r="BJ44" s="253">
        <f t="shared" si="9"/>
        <v>0</v>
      </c>
      <c r="BK44" s="253">
        <f t="shared" si="10"/>
        <v>0</v>
      </c>
      <c r="BL44" s="253">
        <f t="shared" si="11"/>
        <v>0</v>
      </c>
      <c r="BM44" s="253">
        <f t="shared" si="12"/>
        <v>0</v>
      </c>
      <c r="BN44" s="25"/>
      <c r="BO44" s="25"/>
      <c r="BP44" s="25"/>
      <c r="BS44" s="1021" t="s">
        <v>1681</v>
      </c>
      <c r="BX44" s="1054"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x14ac:dyDescent="0.15">
      <c r="C45" s="1084" t="s">
        <v>1682</v>
      </c>
      <c r="D45" s="1043" t="s">
        <v>1683</v>
      </c>
      <c r="E45" s="668">
        <v>30</v>
      </c>
      <c r="F45" s="769" cm="1">
        <f t="array" aca="1" ref="F45" ca="1">OFFSET(G45,-1,-1)</f>
        <v>0</v>
      </c>
      <c r="M45" s="1067"/>
      <c r="N45" s="1067" cm="1">
        <f t="array" aca="1" ref="N45" ca="1">OFFSET(M45,-1,1)</f>
        <v>0</v>
      </c>
      <c r="O45" s="1068"/>
      <c r="P45" s="1068"/>
      <c r="Q45" s="1068"/>
      <c r="R45" s="1068"/>
      <c r="T45" s="679" t="b">
        <f t="shared" ca="1" si="14"/>
        <v>0</v>
      </c>
      <c r="X45" s="1485"/>
      <c r="Z45" s="1485"/>
      <c r="AB45" s="108" t="s">
        <v>1633</v>
      </c>
      <c r="AC45" s="505" t="s">
        <v>1684</v>
      </c>
      <c r="AD45" s="411" t="s">
        <v>1426</v>
      </c>
      <c r="AE45" s="73"/>
      <c r="AF45" s="73"/>
      <c r="AG45" s="73"/>
      <c r="AH45" s="253">
        <f t="shared" si="2"/>
        <v>0</v>
      </c>
      <c r="AI45" s="73"/>
      <c r="AJ45" s="509"/>
      <c r="AK45" s="1315"/>
      <c r="AL45" s="1315"/>
      <c r="AM45" s="73"/>
      <c r="AN45" s="73"/>
      <c r="AO45" s="73"/>
      <c r="AP45" s="73"/>
      <c r="AQ45" s="73"/>
      <c r="AR45" s="73"/>
      <c r="AS45" s="73"/>
      <c r="AT45" s="509"/>
      <c r="AU45" s="1315"/>
      <c r="AV45" s="1315"/>
      <c r="AW45" s="73"/>
      <c r="AX45" s="73"/>
      <c r="AY45" s="73"/>
      <c r="AZ45" s="73"/>
      <c r="BA45" s="73"/>
      <c r="BB45" s="73"/>
      <c r="BC45" s="73"/>
      <c r="BD45" s="253">
        <f t="shared" si="3"/>
        <v>0</v>
      </c>
      <c r="BE45" s="253">
        <f t="shared" si="4"/>
        <v>0</v>
      </c>
      <c r="BF45" s="253">
        <f t="shared" si="5"/>
        <v>0</v>
      </c>
      <c r="BG45" s="253">
        <f t="shared" si="6"/>
        <v>0</v>
      </c>
      <c r="BH45" s="253">
        <f t="shared" si="7"/>
        <v>0</v>
      </c>
      <c r="BI45" s="253">
        <f t="shared" si="8"/>
        <v>0</v>
      </c>
      <c r="BJ45" s="253">
        <f t="shared" si="9"/>
        <v>0</v>
      </c>
      <c r="BK45" s="253">
        <f t="shared" si="10"/>
        <v>0</v>
      </c>
      <c r="BL45" s="253">
        <f t="shared" si="11"/>
        <v>0</v>
      </c>
      <c r="BM45" s="253">
        <f t="shared" si="12"/>
        <v>0</v>
      </c>
      <c r="BN45" s="25"/>
      <c r="BO45" s="25"/>
      <c r="BP45" s="25"/>
      <c r="BS45" s="1021" t="s">
        <v>1685</v>
      </c>
      <c r="BX45" s="1054"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x14ac:dyDescent="0.15">
      <c r="C46" s="1084" t="s">
        <v>1686</v>
      </c>
      <c r="D46" s="1043" t="s">
        <v>1687</v>
      </c>
      <c r="E46" s="668">
        <v>45</v>
      </c>
      <c r="F46" s="769" cm="1">
        <f t="array" aca="1" ref="F46" ca="1">OFFSET(G46,-1,-1)</f>
        <v>0</v>
      </c>
      <c r="M46" s="1067"/>
      <c r="N46" s="1067" cm="1">
        <f t="array" aca="1" ref="N46" ca="1">OFFSET(M46,-1,1)</f>
        <v>0</v>
      </c>
      <c r="O46" s="1068"/>
      <c r="P46" s="1068"/>
      <c r="Q46" s="1068"/>
      <c r="R46" s="1068"/>
      <c r="T46" s="679" t="b">
        <f t="shared" ca="1" si="14"/>
        <v>0</v>
      </c>
      <c r="X46" s="1485"/>
      <c r="Z46" s="1485"/>
      <c r="AB46" s="108" t="s">
        <v>1688</v>
      </c>
      <c r="AC46" s="505" t="s">
        <v>1689</v>
      </c>
      <c r="AD46" s="411" t="s">
        <v>1426</v>
      </c>
      <c r="AE46" s="73"/>
      <c r="AF46" s="73"/>
      <c r="AG46" s="73"/>
      <c r="AH46" s="253">
        <f t="shared" si="2"/>
        <v>0</v>
      </c>
      <c r="AI46" s="73"/>
      <c r="AJ46" s="509"/>
      <c r="AK46" s="1315"/>
      <c r="AL46" s="1315"/>
      <c r="AM46" s="73"/>
      <c r="AN46" s="73"/>
      <c r="AO46" s="73"/>
      <c r="AP46" s="73"/>
      <c r="AQ46" s="73"/>
      <c r="AR46" s="73"/>
      <c r="AS46" s="73"/>
      <c r="AT46" s="509"/>
      <c r="AU46" s="1315"/>
      <c r="AV46" s="1315"/>
      <c r="AW46" s="73"/>
      <c r="AX46" s="73"/>
      <c r="AY46" s="73"/>
      <c r="AZ46" s="73"/>
      <c r="BA46" s="73"/>
      <c r="BB46" s="73"/>
      <c r="BC46" s="73"/>
      <c r="BD46" s="253">
        <f t="shared" si="3"/>
        <v>0</v>
      </c>
      <c r="BE46" s="253">
        <f t="shared" si="4"/>
        <v>0</v>
      </c>
      <c r="BF46" s="253">
        <f t="shared" si="5"/>
        <v>0</v>
      </c>
      <c r="BG46" s="253">
        <f t="shared" si="6"/>
        <v>0</v>
      </c>
      <c r="BH46" s="253">
        <f t="shared" si="7"/>
        <v>0</v>
      </c>
      <c r="BI46" s="253">
        <f t="shared" si="8"/>
        <v>0</v>
      </c>
      <c r="BJ46" s="253">
        <f t="shared" si="9"/>
        <v>0</v>
      </c>
      <c r="BK46" s="253">
        <f t="shared" si="10"/>
        <v>0</v>
      </c>
      <c r="BL46" s="253">
        <f t="shared" si="11"/>
        <v>0</v>
      </c>
      <c r="BM46" s="253">
        <f t="shared" si="12"/>
        <v>0</v>
      </c>
      <c r="BN46" s="25"/>
      <c r="BO46" s="25"/>
      <c r="BP46" s="25"/>
      <c r="BS46" s="1021" t="s">
        <v>1690</v>
      </c>
      <c r="BX46" s="1054"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x14ac:dyDescent="0.15">
      <c r="C47" s="1084" t="s">
        <v>1691</v>
      </c>
      <c r="D47" s="1043" t="s">
        <v>1692</v>
      </c>
      <c r="E47" s="668">
        <v>15</v>
      </c>
      <c r="F47" s="769" cm="1">
        <f t="array" aca="1" ref="F47" ca="1">OFFSET(G47,-1,-1)</f>
        <v>0</v>
      </c>
      <c r="G47" s="140" t="s">
        <v>1530</v>
      </c>
      <c r="M47" s="1067"/>
      <c r="N47" s="1067" cm="1">
        <f t="array" aca="1" ref="N47" ca="1">OFFSET(M47,-1,1)</f>
        <v>0</v>
      </c>
      <c r="O47" s="1068"/>
      <c r="P47" s="1068"/>
      <c r="Q47" s="1068"/>
      <c r="R47" s="1068"/>
      <c r="T47" s="679" t="b">
        <f t="shared" ca="1" si="14"/>
        <v>0</v>
      </c>
      <c r="X47" s="1485"/>
      <c r="Z47" s="1485"/>
      <c r="AB47" s="108" t="s">
        <v>441</v>
      </c>
      <c r="AC47" s="505" t="s">
        <v>1532</v>
      </c>
      <c r="AD47" s="411" t="s">
        <v>1044</v>
      </c>
      <c r="AE47" s="73"/>
      <c r="AF47" s="73"/>
      <c r="AG47" s="73"/>
      <c r="AH47" s="253">
        <f t="shared" si="2"/>
        <v>0</v>
      </c>
      <c r="AI47" s="73"/>
      <c r="AJ47" s="509"/>
      <c r="AK47" s="1315"/>
      <c r="AL47" s="1315"/>
      <c r="AM47" s="73"/>
      <c r="AN47" s="73"/>
      <c r="AO47" s="73"/>
      <c r="AP47" s="73"/>
      <c r="AQ47" s="73"/>
      <c r="AR47" s="73"/>
      <c r="AS47" s="73"/>
      <c r="AT47" s="509"/>
      <c r="AU47" s="1315"/>
      <c r="AV47" s="1315"/>
      <c r="AW47" s="73"/>
      <c r="AX47" s="73"/>
      <c r="AY47" s="73"/>
      <c r="AZ47" s="73"/>
      <c r="BA47" s="73"/>
      <c r="BB47" s="73"/>
      <c r="BC47" s="73"/>
      <c r="BD47" s="253">
        <f t="shared" si="3"/>
        <v>0</v>
      </c>
      <c r="BE47" s="253">
        <f t="shared" si="4"/>
        <v>0</v>
      </c>
      <c r="BF47" s="253">
        <f t="shared" si="5"/>
        <v>0</v>
      </c>
      <c r="BG47" s="253">
        <f t="shared" si="6"/>
        <v>0</v>
      </c>
      <c r="BH47" s="253">
        <f t="shared" si="7"/>
        <v>0</v>
      </c>
      <c r="BI47" s="253">
        <f t="shared" si="8"/>
        <v>0</v>
      </c>
      <c r="BJ47" s="253">
        <f t="shared" si="9"/>
        <v>0</v>
      </c>
      <c r="BK47" s="253">
        <f t="shared" si="10"/>
        <v>0</v>
      </c>
      <c r="BL47" s="253">
        <f t="shared" si="11"/>
        <v>0</v>
      </c>
      <c r="BM47" s="253">
        <f t="shared" si="12"/>
        <v>0</v>
      </c>
      <c r="BN47" s="25"/>
      <c r="BO47" s="25"/>
      <c r="BP47" s="25"/>
      <c r="BS47" s="1021" t="s">
        <v>1693</v>
      </c>
      <c r="BX47" s="1054"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x14ac:dyDescent="0.15">
      <c r="C48" s="1084" t="s">
        <v>1694</v>
      </c>
      <c r="D48" s="1043" t="s">
        <v>1695</v>
      </c>
      <c r="E48" s="668">
        <v>15</v>
      </c>
      <c r="F48" s="769" cm="1">
        <f t="array" aca="1" ref="F48" ca="1">OFFSET(G48,-1,-1)</f>
        <v>0</v>
      </c>
      <c r="M48" s="1067"/>
      <c r="N48" s="1067" cm="1">
        <f t="array" aca="1" ref="N48" ca="1">OFFSET(M48,-1,1)</f>
        <v>0</v>
      </c>
      <c r="O48" s="1068"/>
      <c r="P48" s="1068"/>
      <c r="Q48" s="1068"/>
      <c r="R48" s="1068"/>
      <c r="T48" s="679" t="b">
        <f t="shared" ca="1" si="14"/>
        <v>0</v>
      </c>
      <c r="X48" s="1485"/>
      <c r="Z48" s="1485"/>
      <c r="AB48" s="108" t="s">
        <v>776</v>
      </c>
      <c r="AC48" s="113" t="s">
        <v>1528</v>
      </c>
      <c r="AD48" s="411" t="s">
        <v>521</v>
      </c>
      <c r="AE48" s="69"/>
      <c r="AF48" s="69"/>
      <c r="AG48" s="69"/>
      <c r="AH48" s="253">
        <f t="shared" si="2"/>
        <v>0</v>
      </c>
      <c r="AI48" s="69"/>
      <c r="AJ48" s="924"/>
      <c r="AK48" s="1308"/>
      <c r="AL48" s="1308"/>
      <c r="AM48" s="69"/>
      <c r="AN48" s="69"/>
      <c r="AO48" s="69"/>
      <c r="AP48" s="69"/>
      <c r="AQ48" s="69"/>
      <c r="AR48" s="69"/>
      <c r="AS48" s="69"/>
      <c r="AT48" s="924"/>
      <c r="AU48" s="1308"/>
      <c r="AV48" s="1308"/>
      <c r="AW48" s="69"/>
      <c r="AX48" s="69"/>
      <c r="AY48" s="69"/>
      <c r="AZ48" s="69"/>
      <c r="BA48" s="69"/>
      <c r="BB48" s="69"/>
      <c r="BC48" s="69"/>
      <c r="BD48" s="253">
        <f t="shared" si="3"/>
        <v>0</v>
      </c>
      <c r="BE48" s="253">
        <f t="shared" si="4"/>
        <v>0</v>
      </c>
      <c r="BF48" s="253">
        <f t="shared" si="5"/>
        <v>0</v>
      </c>
      <c r="BG48" s="253">
        <f t="shared" si="6"/>
        <v>0</v>
      </c>
      <c r="BH48" s="253">
        <f t="shared" si="7"/>
        <v>0</v>
      </c>
      <c r="BI48" s="253">
        <f t="shared" si="8"/>
        <v>0</v>
      </c>
      <c r="BJ48" s="253">
        <f t="shared" si="9"/>
        <v>0</v>
      </c>
      <c r="BK48" s="253">
        <f t="shared" si="10"/>
        <v>0</v>
      </c>
      <c r="BL48" s="253">
        <f t="shared" si="11"/>
        <v>0</v>
      </c>
      <c r="BM48" s="253">
        <f t="shared" si="12"/>
        <v>0</v>
      </c>
      <c r="BN48" s="25"/>
      <c r="BO48" s="25"/>
      <c r="BP48" s="25"/>
      <c r="BS48" s="1021" t="s">
        <v>1696</v>
      </c>
      <c r="BX48" s="1054"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x14ac:dyDescent="0.15">
      <c r="C49" s="1084" t="s">
        <v>1697</v>
      </c>
      <c r="D49" s="1043" t="s">
        <v>1698</v>
      </c>
      <c r="E49" s="668">
        <v>29.3</v>
      </c>
      <c r="F49" s="769" cm="1">
        <f t="array" aca="1" ref="F49" ca="1">OFFSET(G49,-1,-1)</f>
        <v>0</v>
      </c>
      <c r="G49" s="140">
        <v>6</v>
      </c>
      <c r="M49" s="1067"/>
      <c r="N49" s="1067" cm="1">
        <f t="array" aca="1" ref="N49" ca="1">OFFSET(M49,-1,1)</f>
        <v>0</v>
      </c>
      <c r="O49" s="1068"/>
      <c r="P49" s="1068"/>
      <c r="Q49" s="1068"/>
      <c r="R49" s="1068"/>
      <c r="T49" s="679" t="b">
        <f ca="1">F49&gt;0</f>
        <v>0</v>
      </c>
      <c r="X49" s="1485"/>
      <c r="Z49" s="1485"/>
      <c r="AB49" s="108" t="s">
        <v>445</v>
      </c>
      <c r="AC49" s="505" t="s">
        <v>1535</v>
      </c>
      <c r="AD49" s="411" t="s">
        <v>1044</v>
      </c>
      <c r="AE49" s="73"/>
      <c r="AF49" s="73"/>
      <c r="AG49" s="73"/>
      <c r="AH49" s="253">
        <f t="shared" si="2"/>
        <v>0</v>
      </c>
      <c r="AI49" s="73"/>
      <c r="AJ49" s="509"/>
      <c r="AK49" s="1315"/>
      <c r="AL49" s="1315"/>
      <c r="AM49" s="73"/>
      <c r="AN49" s="73"/>
      <c r="AO49" s="73"/>
      <c r="AP49" s="73"/>
      <c r="AQ49" s="73"/>
      <c r="AR49" s="73"/>
      <c r="AS49" s="73"/>
      <c r="AT49" s="509"/>
      <c r="AU49" s="1315"/>
      <c r="AV49" s="1315"/>
      <c r="AW49" s="73"/>
      <c r="AX49" s="73"/>
      <c r="AY49" s="73"/>
      <c r="AZ49" s="73"/>
      <c r="BA49" s="73"/>
      <c r="BB49" s="73"/>
      <c r="BC49" s="73"/>
      <c r="BD49" s="253">
        <f t="shared" si="3"/>
        <v>0</v>
      </c>
      <c r="BE49" s="253">
        <f t="shared" si="4"/>
        <v>0</v>
      </c>
      <c r="BF49" s="253">
        <f t="shared" si="5"/>
        <v>0</v>
      </c>
      <c r="BG49" s="253">
        <f t="shared" si="6"/>
        <v>0</v>
      </c>
      <c r="BH49" s="253">
        <f t="shared" si="7"/>
        <v>0</v>
      </c>
      <c r="BI49" s="253">
        <f t="shared" si="8"/>
        <v>0</v>
      </c>
      <c r="BJ49" s="253">
        <f t="shared" si="9"/>
        <v>0</v>
      </c>
      <c r="BK49" s="253">
        <f t="shared" si="10"/>
        <v>0</v>
      </c>
      <c r="BL49" s="253">
        <f t="shared" si="11"/>
        <v>0</v>
      </c>
      <c r="BM49" s="253">
        <f t="shared" si="12"/>
        <v>0</v>
      </c>
      <c r="BN49" s="25"/>
      <c r="BO49" s="25"/>
      <c r="BP49" s="25"/>
      <c r="BS49" s="1021" t="s">
        <v>1699</v>
      </c>
      <c r="BX49" s="1054"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x14ac:dyDescent="0.15">
      <c r="C50" s="1084" t="s">
        <v>1700</v>
      </c>
      <c r="D50" s="1043" t="s">
        <v>1701</v>
      </c>
      <c r="E50" s="668">
        <v>29.3</v>
      </c>
      <c r="F50" s="769" cm="1">
        <f t="array" aca="1" ref="F50" ca="1">OFFSET(G50,-1,-1)</f>
        <v>0</v>
      </c>
      <c r="G50" s="140" t="s">
        <v>1562</v>
      </c>
      <c r="M50" s="1067"/>
      <c r="N50" s="1067" cm="1">
        <f t="array" aca="1" ref="N50" ca="1">OFFSET(M50,-1,1)</f>
        <v>0</v>
      </c>
      <c r="O50" s="1068"/>
      <c r="P50" s="1068"/>
      <c r="Q50" s="1068"/>
      <c r="R50" s="1068"/>
      <c r="T50" s="679" t="b" cm="1">
        <f t="array" aca="1" ref="T50" ca="1">T49</f>
        <v>0</v>
      </c>
      <c r="X50" s="1485"/>
      <c r="Z50" s="1485"/>
      <c r="AB50" s="108" t="s">
        <v>449</v>
      </c>
      <c r="AC50" s="614" t="s">
        <v>1702</v>
      </c>
      <c r="AD50" s="411" t="s">
        <v>1044</v>
      </c>
      <c r="AE50" s="73"/>
      <c r="AF50" s="73"/>
      <c r="AG50" s="73"/>
      <c r="AH50" s="253">
        <f t="shared" si="2"/>
        <v>0</v>
      </c>
      <c r="AI50" s="73"/>
      <c r="AJ50" s="509">
        <f ca="1">SUMIFS('Корр Факт'!AH$27:AH$122,'Корр Факт'!$F$27:$F$122,$F50,'Корр Факт'!$G$27:$G$122,$G50)</f>
        <v>0</v>
      </c>
      <c r="AK50" s="1315"/>
      <c r="AL50" s="1315"/>
      <c r="AM50" s="73"/>
      <c r="AN50" s="73"/>
      <c r="AO50" s="73"/>
      <c r="AP50" s="73"/>
      <c r="AQ50" s="73"/>
      <c r="AR50" s="73"/>
      <c r="AS50" s="73"/>
      <c r="AT50" s="509">
        <f ca="1">SUMIFS('Корр Факт'!AN$27:AN$122,'Корр Факт'!$F$27:$F$122,$F50,'Корр Факт'!$G$27:$G$122,$G50)</f>
        <v>0</v>
      </c>
      <c r="AU50" s="1315"/>
      <c r="AV50" s="1315"/>
      <c r="AW50" s="73"/>
      <c r="AX50" s="73"/>
      <c r="AY50" s="73"/>
      <c r="AZ50" s="73"/>
      <c r="BA50" s="73"/>
      <c r="BB50" s="73"/>
      <c r="BC50" s="73"/>
      <c r="BD50" s="253">
        <f t="shared" si="3"/>
        <v>0</v>
      </c>
      <c r="BE50" s="253">
        <f t="shared" ca="1" si="4"/>
        <v>0</v>
      </c>
      <c r="BF50" s="253">
        <f t="shared" si="5"/>
        <v>0</v>
      </c>
      <c r="BG50" s="253">
        <f t="shared" si="6"/>
        <v>0</v>
      </c>
      <c r="BH50" s="253">
        <f t="shared" si="7"/>
        <v>0</v>
      </c>
      <c r="BI50" s="253">
        <f t="shared" si="8"/>
        <v>0</v>
      </c>
      <c r="BJ50" s="253">
        <f t="shared" si="9"/>
        <v>0</v>
      </c>
      <c r="BK50" s="253">
        <f t="shared" si="10"/>
        <v>0</v>
      </c>
      <c r="BL50" s="253">
        <f t="shared" si="11"/>
        <v>0</v>
      </c>
      <c r="BM50" s="253">
        <f t="shared" si="12"/>
        <v>0</v>
      </c>
      <c r="BN50" s="25"/>
      <c r="BO50" s="25"/>
      <c r="BP50" s="25"/>
      <c r="BS50" s="1021" t="s">
        <v>1703</v>
      </c>
      <c r="BX50" s="1054"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2" customFormat="1" ht="64.349999999999994" hidden="1" customHeight="1" x14ac:dyDescent="0.15">
      <c r="C51" s="1084" t="s">
        <v>1704</v>
      </c>
      <c r="D51" s="1043" t="s">
        <v>1705</v>
      </c>
      <c r="E51" s="668">
        <v>66</v>
      </c>
      <c r="F51" s="769" cm="1">
        <f t="array" aca="1" ref="F51" ca="1">OFFSET(G51,-1,-1)</f>
        <v>0</v>
      </c>
      <c r="M51" s="1067"/>
      <c r="N51" s="1067" cm="1">
        <f t="array" aca="1" ref="N51" ca="1">OFFSET(M51,-1,1)</f>
        <v>0</v>
      </c>
      <c r="O51" s="1069"/>
      <c r="P51" s="1069"/>
      <c r="Q51" s="1069"/>
      <c r="R51" s="1069"/>
      <c r="T51" s="679" t="b" cm="1">
        <f t="array" aca="1" ref="T51" ca="1">T50</f>
        <v>0</v>
      </c>
      <c r="X51" s="1586"/>
      <c r="Z51" s="1586"/>
      <c r="AB51" s="108" t="s">
        <v>455</v>
      </c>
      <c r="AC51" s="505" t="s">
        <v>1706</v>
      </c>
      <c r="AD51" s="411" t="s">
        <v>1044</v>
      </c>
      <c r="AE51" s="73"/>
      <c r="AF51" s="73"/>
      <c r="AG51" s="73"/>
      <c r="AH51" s="253">
        <f t="shared" si="2"/>
        <v>0</v>
      </c>
      <c r="AI51" s="73"/>
      <c r="AJ51" s="509"/>
      <c r="AK51" s="1315"/>
      <c r="AL51" s="1315"/>
      <c r="AM51" s="73"/>
      <c r="AN51" s="73"/>
      <c r="AO51" s="73"/>
      <c r="AP51" s="73"/>
      <c r="AQ51" s="73"/>
      <c r="AR51" s="73"/>
      <c r="AS51" s="73"/>
      <c r="AT51" s="509"/>
      <c r="AU51" s="1315"/>
      <c r="AV51" s="1315"/>
      <c r="AW51" s="73"/>
      <c r="AX51" s="73"/>
      <c r="AY51" s="73"/>
      <c r="AZ51" s="73"/>
      <c r="BA51" s="73"/>
      <c r="BB51" s="73"/>
      <c r="BC51" s="73"/>
      <c r="BD51" s="253">
        <f t="shared" si="3"/>
        <v>0</v>
      </c>
      <c r="BE51" s="253">
        <f t="shared" si="4"/>
        <v>0</v>
      </c>
      <c r="BF51" s="253">
        <f t="shared" si="5"/>
        <v>0</v>
      </c>
      <c r="BG51" s="253">
        <f t="shared" si="6"/>
        <v>0</v>
      </c>
      <c r="BH51" s="253">
        <f t="shared" si="7"/>
        <v>0</v>
      </c>
      <c r="BI51" s="253">
        <f t="shared" si="8"/>
        <v>0</v>
      </c>
      <c r="BJ51" s="253">
        <f t="shared" si="9"/>
        <v>0</v>
      </c>
      <c r="BK51" s="253">
        <f t="shared" si="10"/>
        <v>0</v>
      </c>
      <c r="BL51" s="253">
        <f t="shared" si="11"/>
        <v>0</v>
      </c>
      <c r="BM51" s="253">
        <f t="shared" si="12"/>
        <v>0</v>
      </c>
      <c r="BN51" s="25"/>
      <c r="BO51" s="25"/>
      <c r="BP51" s="25"/>
      <c r="BS51" s="1021" t="s">
        <v>1539</v>
      </c>
      <c r="BT51" s="1029"/>
      <c r="BU51" s="1029"/>
      <c r="BV51" s="1030"/>
      <c r="BW51" s="1030"/>
      <c r="BX51" s="1054"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2" customFormat="1" ht="33" hidden="1" customHeight="1" x14ac:dyDescent="0.15">
      <c r="C52" s="1084" t="s">
        <v>1707</v>
      </c>
      <c r="D52" s="1043" t="s">
        <v>1708</v>
      </c>
      <c r="E52" s="668">
        <v>33.799999999999997</v>
      </c>
      <c r="F52" s="769" cm="1">
        <f t="array" aca="1" ref="F52" ca="1">OFFSET(G52,-1,-1)</f>
        <v>0</v>
      </c>
      <c r="M52" s="1067"/>
      <c r="N52" s="1067" cm="1">
        <f t="array" aca="1" ref="N52" ca="1">OFFSET(M52,-1,1)</f>
        <v>0</v>
      </c>
      <c r="O52" s="1069"/>
      <c r="P52" s="1069"/>
      <c r="Q52" s="1069"/>
      <c r="R52" s="1069"/>
      <c r="T52" s="679" t="b" cm="1">
        <f t="array" aca="1" ref="T52" ca="1">T51</f>
        <v>0</v>
      </c>
      <c r="X52" s="1586"/>
      <c r="Z52" s="1586"/>
      <c r="AB52" s="108" t="s">
        <v>689</v>
      </c>
      <c r="AC52" s="505" t="s">
        <v>1709</v>
      </c>
      <c r="AD52" s="411" t="s">
        <v>1044</v>
      </c>
      <c r="AE52" s="73"/>
      <c r="AF52" s="73"/>
      <c r="AG52" s="73"/>
      <c r="AH52" s="253">
        <f t="shared" si="2"/>
        <v>0</v>
      </c>
      <c r="AI52" s="73"/>
      <c r="AJ52" s="509"/>
      <c r="AK52" s="1315"/>
      <c r="AL52" s="1315"/>
      <c r="AM52" s="73"/>
      <c r="AN52" s="73"/>
      <c r="AO52" s="73"/>
      <c r="AP52" s="73"/>
      <c r="AQ52" s="73"/>
      <c r="AR52" s="73"/>
      <c r="AS52" s="73"/>
      <c r="AT52" s="509"/>
      <c r="AU52" s="1315"/>
      <c r="AV52" s="1315"/>
      <c r="AW52" s="73"/>
      <c r="AX52" s="73"/>
      <c r="AY52" s="73"/>
      <c r="AZ52" s="73"/>
      <c r="BA52" s="73"/>
      <c r="BB52" s="73"/>
      <c r="BC52" s="73"/>
      <c r="BD52" s="253">
        <f t="shared" si="3"/>
        <v>0</v>
      </c>
      <c r="BE52" s="253">
        <f t="shared" si="4"/>
        <v>0</v>
      </c>
      <c r="BF52" s="253">
        <f t="shared" si="5"/>
        <v>0</v>
      </c>
      <c r="BG52" s="253">
        <f t="shared" si="6"/>
        <v>0</v>
      </c>
      <c r="BH52" s="253">
        <f t="shared" si="7"/>
        <v>0</v>
      </c>
      <c r="BI52" s="253">
        <f t="shared" si="8"/>
        <v>0</v>
      </c>
      <c r="BJ52" s="253">
        <f t="shared" si="9"/>
        <v>0</v>
      </c>
      <c r="BK52" s="253">
        <f t="shared" si="10"/>
        <v>0</v>
      </c>
      <c r="BL52" s="253">
        <f t="shared" si="11"/>
        <v>0</v>
      </c>
      <c r="BM52" s="253">
        <f t="shared" si="12"/>
        <v>0</v>
      </c>
      <c r="BN52" s="25"/>
      <c r="BO52" s="25"/>
      <c r="BP52" s="25"/>
      <c r="BS52" s="1021" t="s">
        <v>1710</v>
      </c>
      <c r="BT52" s="1029"/>
      <c r="BU52" s="1029"/>
      <c r="BV52" s="1030"/>
      <c r="BW52" s="1030"/>
      <c r="BX52" s="1054"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x14ac:dyDescent="0.15">
      <c r="C53" s="1084" t="s">
        <v>1711</v>
      </c>
      <c r="D53" s="1043" t="s">
        <v>1712</v>
      </c>
      <c r="E53" s="668">
        <v>63.8</v>
      </c>
      <c r="F53" s="769" cm="1">
        <f t="array" aca="1" ref="F53" ca="1">OFFSET(G53,-1,-1)</f>
        <v>0</v>
      </c>
      <c r="M53" s="1067"/>
      <c r="N53" s="1067" cm="1">
        <f t="array" aca="1" ref="N53" ca="1">OFFSET(M53,-1,1)</f>
        <v>0</v>
      </c>
      <c r="O53" s="1068"/>
      <c r="P53" s="1068"/>
      <c r="Q53" s="1068"/>
      <c r="R53" s="1068"/>
      <c r="T53" s="679" t="b" cm="1">
        <f t="array" aca="1" ref="T53" ca="1">T52</f>
        <v>0</v>
      </c>
      <c r="X53" s="1485"/>
      <c r="Z53" s="1485"/>
      <c r="AB53" s="531" t="s">
        <v>713</v>
      </c>
      <c r="AC53" s="533" t="s">
        <v>1713</v>
      </c>
      <c r="AD53" s="416" t="s">
        <v>1044</v>
      </c>
      <c r="AE53" s="81"/>
      <c r="AF53" s="73"/>
      <c r="AG53" s="73"/>
      <c r="AH53" s="253">
        <f t="shared" si="2"/>
        <v>0</v>
      </c>
      <c r="AI53" s="73"/>
      <c r="AJ53" s="509"/>
      <c r="AK53" s="1315"/>
      <c r="AL53" s="1315"/>
      <c r="AM53" s="73"/>
      <c r="AN53" s="73"/>
      <c r="AO53" s="73"/>
      <c r="AP53" s="73"/>
      <c r="AQ53" s="73"/>
      <c r="AR53" s="73"/>
      <c r="AS53" s="73"/>
      <c r="AT53" s="509"/>
      <c r="AU53" s="1315"/>
      <c r="AV53" s="1315"/>
      <c r="AW53" s="73"/>
      <c r="AX53" s="73"/>
      <c r="AY53" s="73"/>
      <c r="AZ53" s="73"/>
      <c r="BA53" s="73"/>
      <c r="BB53" s="73"/>
      <c r="BC53" s="73"/>
      <c r="BD53" s="253">
        <f t="shared" si="3"/>
        <v>0</v>
      </c>
      <c r="BE53" s="253">
        <f t="shared" si="4"/>
        <v>0</v>
      </c>
      <c r="BF53" s="253">
        <f t="shared" si="5"/>
        <v>0</v>
      </c>
      <c r="BG53" s="253">
        <f t="shared" si="6"/>
        <v>0</v>
      </c>
      <c r="BH53" s="253">
        <f t="shared" si="7"/>
        <v>0</v>
      </c>
      <c r="BI53" s="253">
        <f t="shared" si="8"/>
        <v>0</v>
      </c>
      <c r="BJ53" s="253">
        <f t="shared" si="9"/>
        <v>0</v>
      </c>
      <c r="BK53" s="253">
        <f t="shared" si="10"/>
        <v>0</v>
      </c>
      <c r="BL53" s="253">
        <f t="shared" si="11"/>
        <v>0</v>
      </c>
      <c r="BM53" s="253">
        <f t="shared" si="12"/>
        <v>0</v>
      </c>
      <c r="BN53" s="20"/>
      <c r="BO53" s="20"/>
      <c r="BP53" s="20"/>
      <c r="BS53" s="1021" t="s">
        <v>1714</v>
      </c>
      <c r="BX53" s="1054"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x14ac:dyDescent="0.15">
      <c r="C54" s="1084" t="s">
        <v>1715</v>
      </c>
      <c r="D54" s="1043" t="s">
        <v>1716</v>
      </c>
      <c r="E54" s="668">
        <v>17.100000000000001</v>
      </c>
      <c r="F54" s="769" cm="1">
        <f t="array" aca="1" ref="F54" ca="1">OFFSET(G54,-1,-1)</f>
        <v>0</v>
      </c>
      <c r="M54" s="1067"/>
      <c r="N54" s="1067" cm="1">
        <f t="array" aca="1" ref="N54" ca="1">OFFSET(M54,-1,1)</f>
        <v>0</v>
      </c>
      <c r="O54" s="1068"/>
      <c r="P54" s="1068"/>
      <c r="Q54" s="1068"/>
      <c r="R54" s="1068"/>
      <c r="T54" s="679" t="b" cm="1">
        <f t="array" aca="1" ref="T54" ca="1">T53</f>
        <v>0</v>
      </c>
      <c r="X54" s="1485"/>
      <c r="Z54" s="1485"/>
      <c r="AB54" s="108" t="s">
        <v>721</v>
      </c>
      <c r="AC54" s="505" t="s">
        <v>1717</v>
      </c>
      <c r="AD54" s="541" t="s">
        <v>1044</v>
      </c>
      <c r="AE54" s="507">
        <f>SUM(AE55:AE57)</f>
        <v>0</v>
      </c>
      <c r="AF54" s="507">
        <f>SUM(AF55:AF57)</f>
        <v>0</v>
      </c>
      <c r="AG54" s="542">
        <f>SUM(AG55:AG57)</f>
        <v>0</v>
      </c>
      <c r="AH54" s="253">
        <f t="shared" si="2"/>
        <v>0</v>
      </c>
      <c r="AI54" s="543">
        <f t="shared" ref="AI54:BC54" si="16">SUM(AI55:AI57)</f>
        <v>0</v>
      </c>
      <c r="AJ54" s="507">
        <f t="shared" si="16"/>
        <v>0</v>
      </c>
      <c r="AK54" s="507">
        <f t="shared" si="16"/>
        <v>0</v>
      </c>
      <c r="AL54" s="507">
        <f t="shared" si="16"/>
        <v>0</v>
      </c>
      <c r="AM54" s="507">
        <f t="shared" si="16"/>
        <v>0</v>
      </c>
      <c r="AN54" s="507">
        <f t="shared" si="16"/>
        <v>0</v>
      </c>
      <c r="AO54" s="507">
        <f t="shared" si="16"/>
        <v>0</v>
      </c>
      <c r="AP54" s="507">
        <f t="shared" si="16"/>
        <v>0</v>
      </c>
      <c r="AQ54" s="507">
        <f t="shared" si="16"/>
        <v>0</v>
      </c>
      <c r="AR54" s="507">
        <f t="shared" si="16"/>
        <v>0</v>
      </c>
      <c r="AS54" s="507">
        <f t="shared" si="16"/>
        <v>0</v>
      </c>
      <c r="AT54" s="507">
        <f t="shared" si="16"/>
        <v>0</v>
      </c>
      <c r="AU54" s="507">
        <f t="shared" si="16"/>
        <v>0</v>
      </c>
      <c r="AV54" s="507">
        <f t="shared" si="16"/>
        <v>0</v>
      </c>
      <c r="AW54" s="507">
        <f t="shared" si="16"/>
        <v>0</v>
      </c>
      <c r="AX54" s="507">
        <f t="shared" si="16"/>
        <v>0</v>
      </c>
      <c r="AY54" s="507">
        <f t="shared" si="16"/>
        <v>0</v>
      </c>
      <c r="AZ54" s="507">
        <f t="shared" si="16"/>
        <v>0</v>
      </c>
      <c r="BA54" s="507">
        <f t="shared" si="16"/>
        <v>0</v>
      </c>
      <c r="BB54" s="507">
        <f t="shared" si="16"/>
        <v>0</v>
      </c>
      <c r="BC54" s="507">
        <f t="shared" si="16"/>
        <v>0</v>
      </c>
      <c r="BD54" s="253">
        <f t="shared" si="3"/>
        <v>0</v>
      </c>
      <c r="BE54" s="253">
        <f t="shared" si="4"/>
        <v>0</v>
      </c>
      <c r="BF54" s="253">
        <f t="shared" si="5"/>
        <v>0</v>
      </c>
      <c r="BG54" s="253">
        <f t="shared" si="6"/>
        <v>0</v>
      </c>
      <c r="BH54" s="253">
        <f t="shared" si="7"/>
        <v>0</v>
      </c>
      <c r="BI54" s="253">
        <f t="shared" si="8"/>
        <v>0</v>
      </c>
      <c r="BJ54" s="253">
        <f t="shared" si="9"/>
        <v>0</v>
      </c>
      <c r="BK54" s="253">
        <f t="shared" si="10"/>
        <v>0</v>
      </c>
      <c r="BL54" s="253">
        <f t="shared" si="11"/>
        <v>0</v>
      </c>
      <c r="BM54" s="253">
        <f t="shared" si="12"/>
        <v>0</v>
      </c>
      <c r="BN54" s="31"/>
      <c r="BO54" s="31"/>
      <c r="BP54" s="31"/>
      <c r="BS54" s="1021" t="s">
        <v>1292</v>
      </c>
      <c r="BX54" s="1054"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35" customFormat="1" ht="17.25" hidden="1" customHeight="1" x14ac:dyDescent="0.15">
      <c r="C55" s="1084"/>
      <c r="D55" s="1043"/>
      <c r="E55" s="668">
        <v>0</v>
      </c>
      <c r="F55" s="769" cm="1">
        <f t="array" aca="1" ref="F55" ca="1">OFFSET(G55,-1,-1)</f>
        <v>0</v>
      </c>
      <c r="M55" s="1067"/>
      <c r="N55" s="1067" cm="1">
        <f t="array" aca="1" ref="N55" ca="1">OFFSET(M55,-1,1)</f>
        <v>0</v>
      </c>
      <c r="O55" s="1070"/>
      <c r="P55" s="1070"/>
      <c r="Q55" s="1070"/>
      <c r="R55" s="1070"/>
      <c r="S55" s="1144"/>
      <c r="T55" s="679" t="b" cm="1">
        <f t="array" aca="1" ref="T55" ca="1">T54</f>
        <v>0</v>
      </c>
      <c r="X55" s="1596"/>
      <c r="Z55" s="1596"/>
      <c r="AB55" s="539"/>
      <c r="AC55" s="540"/>
      <c r="AD55" s="479"/>
      <c r="AE55" s="508"/>
      <c r="AF55" s="508"/>
      <c r="AG55" s="82"/>
      <c r="AH55" s="508"/>
      <c r="AI55" s="851"/>
      <c r="AJ55" s="508"/>
      <c r="AK55" s="508"/>
      <c r="AL55" s="508"/>
      <c r="AM55" s="508"/>
      <c r="AN55" s="508"/>
      <c r="AO55" s="508"/>
      <c r="AP55" s="508"/>
      <c r="AQ55" s="508"/>
      <c r="AR55" s="508"/>
      <c r="AS55" s="508"/>
      <c r="AT55" s="508"/>
      <c r="AU55" s="508"/>
      <c r="AV55" s="508"/>
      <c r="AW55" s="508"/>
      <c r="AX55" s="508"/>
      <c r="AY55" s="508"/>
      <c r="AZ55" s="508"/>
      <c r="BA55" s="508"/>
      <c r="BB55" s="508"/>
      <c r="BC55" s="508"/>
      <c r="BD55" s="536"/>
      <c r="BE55" s="536"/>
      <c r="BF55" s="536"/>
      <c r="BG55" s="536"/>
      <c r="BH55" s="536"/>
      <c r="BI55" s="536"/>
      <c r="BJ55" s="536"/>
      <c r="BK55" s="536"/>
      <c r="BL55" s="536"/>
      <c r="BM55" s="536"/>
      <c r="BN55" s="711"/>
      <c r="BO55" s="711"/>
      <c r="BP55" s="711"/>
      <c r="BS55" s="1021" t="str">
        <f>IF(AND(ISNUMBER(VALUE(TRIM(SUBSTITUTE(AB55,".","")))),TRIM(SUBSTITUTE(AB55,".",""))&lt;&gt;""),"P"&amp;SUBSTITUTE(AB55,".",""),"")</f>
        <v/>
      </c>
      <c r="BT55" s="1034"/>
      <c r="BU55" s="1034"/>
      <c r="BV55" s="1035"/>
      <c r="BW55" s="1035"/>
      <c r="BX55" s="1054"/>
    </row>
    <row r="56" spans="3:76" ht="16.7" hidden="1" customHeight="1" x14ac:dyDescent="0.15">
      <c r="C56" s="1084" t="s">
        <v>1715</v>
      </c>
      <c r="D56" s="1043" t="s">
        <v>1716</v>
      </c>
      <c r="E56" s="668">
        <v>17.100000000000001</v>
      </c>
      <c r="F56" s="769" cm="1">
        <f t="array" aca="1" ref="F56" ca="1">OFFSET(G56,-1,-1)</f>
        <v>0</v>
      </c>
      <c r="M56" s="1071" cm="1">
        <f t="array" ref="M56">AC56</f>
        <v>0</v>
      </c>
      <c r="N56" s="1067" cm="1">
        <f t="array" aca="1" ref="N56" ca="1">OFFSET(M56,-1,1)</f>
        <v>0</v>
      </c>
      <c r="O56" s="1068"/>
      <c r="P56" s="1068"/>
      <c r="Q56" s="1068"/>
      <c r="R56" s="1068"/>
      <c r="T56" s="679" t="b">
        <f ca="1">AND(F56&gt;0,Y56&gt;0)</f>
        <v>0</v>
      </c>
      <c r="W56" s="123" t="s">
        <v>237</v>
      </c>
      <c r="X56" s="1485"/>
      <c r="Y56" s="123">
        <v>0</v>
      </c>
      <c r="Z56" s="1485"/>
      <c r="AA56" s="916" t="s">
        <v>218</v>
      </c>
      <c r="AB56" s="531" t="str">
        <f>"11."&amp;Y56</f>
        <v>11.0</v>
      </c>
      <c r="AC56" s="83"/>
      <c r="AD56" s="541" t="s">
        <v>1044</v>
      </c>
      <c r="AE56" s="73"/>
      <c r="AF56" s="73"/>
      <c r="AG56" s="84"/>
      <c r="AH56" s="253">
        <f>AG56-AF56</f>
        <v>0</v>
      </c>
      <c r="AI56" s="85"/>
      <c r="AJ56" s="509"/>
      <c r="AK56" s="1315"/>
      <c r="AL56" s="1315"/>
      <c r="AM56" s="73"/>
      <c r="AN56" s="73"/>
      <c r="AO56" s="73"/>
      <c r="AP56" s="73"/>
      <c r="AQ56" s="73"/>
      <c r="AR56" s="73"/>
      <c r="AS56" s="73"/>
      <c r="AT56" s="509"/>
      <c r="AU56" s="1315"/>
      <c r="AV56" s="1315"/>
      <c r="AW56" s="73"/>
      <c r="AX56" s="73"/>
      <c r="AY56" s="73"/>
      <c r="AZ56" s="73"/>
      <c r="BA56" s="73"/>
      <c r="BB56" s="73"/>
      <c r="BC56" s="73"/>
      <c r="BD56" s="253">
        <f>IF(AI56=0,0,(AT56-AI56)/AI56*100)</f>
        <v>0</v>
      </c>
      <c r="BE56" s="253">
        <f t="shared" ref="BE56:BM56" si="17">IF(AT56=0,0,(AU56-AT56)/AT56*100)</f>
        <v>0</v>
      </c>
      <c r="BF56" s="253">
        <f t="shared" si="17"/>
        <v>0</v>
      </c>
      <c r="BG56" s="253">
        <f t="shared" si="17"/>
        <v>0</v>
      </c>
      <c r="BH56" s="253">
        <f t="shared" si="17"/>
        <v>0</v>
      </c>
      <c r="BI56" s="253">
        <f t="shared" si="17"/>
        <v>0</v>
      </c>
      <c r="BJ56" s="253">
        <f t="shared" si="17"/>
        <v>0</v>
      </c>
      <c r="BK56" s="253">
        <f t="shared" si="17"/>
        <v>0</v>
      </c>
      <c r="BL56" s="253">
        <f t="shared" si="17"/>
        <v>0</v>
      </c>
      <c r="BM56" s="253">
        <f t="shared" si="17"/>
        <v>0</v>
      </c>
      <c r="BN56" s="31"/>
      <c r="BO56" s="31"/>
      <c r="BP56" s="31"/>
      <c r="BS56" s="1021" t="s">
        <v>1292</v>
      </c>
      <c r="BT56" s="1021" t="s">
        <v>1221</v>
      </c>
      <c r="BU56" s="1031" cm="1">
        <f t="array" ref="BU56">AC56</f>
        <v>0</v>
      </c>
      <c r="BW56" s="1022" t="b">
        <v>1</v>
      </c>
      <c r="BX56" s="1054"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35" customFormat="1" ht="16.7" hidden="1" customHeight="1" x14ac:dyDescent="0.15">
      <c r="C57" s="1084"/>
      <c r="D57" s="1043"/>
      <c r="E57" s="668">
        <v>17.100000000000001</v>
      </c>
      <c r="F57" s="769" cm="1">
        <f t="array" aca="1" ref="F57" ca="1">OFFSET(G57,-1,-1)</f>
        <v>0</v>
      </c>
      <c r="M57" s="1067"/>
      <c r="N57" s="1067" cm="1">
        <f t="array" aca="1" ref="N57" ca="1">OFFSET(M57,-1,1)</f>
        <v>0</v>
      </c>
      <c r="O57" s="1070"/>
      <c r="P57" s="1070"/>
      <c r="Q57" s="1070"/>
      <c r="R57" s="1070"/>
      <c r="S57" s="1144"/>
      <c r="T57" s="679" t="b">
        <f ca="1">F57&gt;0</f>
        <v>0</v>
      </c>
      <c r="W57" s="312" t="s">
        <v>1718</v>
      </c>
      <c r="X57" s="1596"/>
      <c r="Z57" s="1596"/>
      <c r="AB57" s="246"/>
      <c r="AC57" s="608" t="s">
        <v>239</v>
      </c>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902"/>
      <c r="BO57" s="902"/>
      <c r="BP57" s="899"/>
      <c r="BS57" s="1021" t="str">
        <f>IF(AND(ISNUMBER(VALUE(TRIM(SUBSTITUTE(AB57,".","")))),TRIM(SUBSTITUTE(AB57,".",""))&lt;&gt;""),"P"&amp;SUBSTITUTE(AB57,".",""),"")</f>
        <v/>
      </c>
      <c r="BT57" s="1034"/>
      <c r="BU57" s="1034"/>
      <c r="BV57" s="1035" t="s">
        <v>1221</v>
      </c>
      <c r="BW57" s="1035"/>
      <c r="BX57" s="1054"/>
    </row>
    <row r="58" spans="3:76" ht="14.65" hidden="1" customHeight="1" x14ac:dyDescent="0.15">
      <c r="C58" s="1084" t="s">
        <v>1719</v>
      </c>
      <c r="D58" s="1043" t="s">
        <v>1720</v>
      </c>
      <c r="E58" s="668">
        <v>15</v>
      </c>
      <c r="F58" s="769" cm="1">
        <f t="array" aca="1" ref="F58" ca="1">OFFSET(G58,-1,-1)</f>
        <v>0</v>
      </c>
      <c r="M58" s="1067"/>
      <c r="N58" s="1067" cm="1">
        <f t="array" aca="1" ref="N58" ca="1">OFFSET(M58,-1,1)</f>
        <v>0</v>
      </c>
      <c r="O58" s="1068"/>
      <c r="P58" s="1068"/>
      <c r="Q58" s="1068"/>
      <c r="R58" s="1068"/>
      <c r="T58" s="679" t="b" cm="1">
        <f t="array" aca="1" ref="T58" ca="1">T57</f>
        <v>0</v>
      </c>
      <c r="X58" s="1485"/>
      <c r="Z58" s="1485"/>
      <c r="AB58" s="537" t="s">
        <v>1721</v>
      </c>
      <c r="AC58" s="538" t="s">
        <v>1722</v>
      </c>
      <c r="AD58" s="546" t="s">
        <v>1044</v>
      </c>
      <c r="AE58" s="507">
        <f ca="1">AE28+AE29+AE30+IF(method_reg="Метод индексации",AE43+AE47,AE31+AE34)+AE49+AE50+AE51+AE52+AE53+AE54</f>
        <v>0</v>
      </c>
      <c r="AF58" s="507">
        <f ca="1">AF28+AF29+AF30+IF(method_reg="Метод индексации",AF43+AF47,AF31+AF34)+AF49+AF50+AF51+AF52+AF53+AF54</f>
        <v>0</v>
      </c>
      <c r="AG58" s="507">
        <f ca="1">AG28+AG29+AG30+IF(method_reg="Метод индексации",AG43+AG47,AG31+AG34)+AG49+AG50+AG51+AG52+AG53+AG54</f>
        <v>0</v>
      </c>
      <c r="AH58" s="253">
        <f ca="1">AG58-AF58</f>
        <v>0</v>
      </c>
      <c r="AI58" s="507">
        <f t="shared" ref="AI58:BC58" ca="1" si="18">AI28+AI29+AI30+IF(method_reg="Метод индексации",AI43+AI47,AI31+AI34)+AI49+AI50+AI51+AI52+AI53+AI54</f>
        <v>0</v>
      </c>
      <c r="AJ58" s="507">
        <f t="shared" ca="1" si="18"/>
        <v>0</v>
      </c>
      <c r="AK58" s="507">
        <f t="shared" ca="1" si="18"/>
        <v>0</v>
      </c>
      <c r="AL58" s="507">
        <f t="shared" ca="1" si="18"/>
        <v>0</v>
      </c>
      <c r="AM58" s="507">
        <f t="shared" ca="1" si="18"/>
        <v>0</v>
      </c>
      <c r="AN58" s="507">
        <f t="shared" ca="1" si="18"/>
        <v>0</v>
      </c>
      <c r="AO58" s="507">
        <f t="shared" ca="1" si="18"/>
        <v>0</v>
      </c>
      <c r="AP58" s="507">
        <f t="shared" ca="1" si="18"/>
        <v>0</v>
      </c>
      <c r="AQ58" s="507">
        <f t="shared" ca="1" si="18"/>
        <v>0</v>
      </c>
      <c r="AR58" s="507">
        <f t="shared" ca="1" si="18"/>
        <v>0</v>
      </c>
      <c r="AS58" s="507">
        <f t="shared" ca="1" si="18"/>
        <v>0</v>
      </c>
      <c r="AT58" s="507">
        <f t="shared" ca="1" si="18"/>
        <v>0</v>
      </c>
      <c r="AU58" s="507">
        <f t="shared" ca="1" si="18"/>
        <v>0</v>
      </c>
      <c r="AV58" s="507">
        <f t="shared" ca="1" si="18"/>
        <v>0</v>
      </c>
      <c r="AW58" s="507">
        <f t="shared" ca="1" si="18"/>
        <v>0</v>
      </c>
      <c r="AX58" s="507">
        <f t="shared" ca="1" si="18"/>
        <v>0</v>
      </c>
      <c r="AY58" s="507">
        <f t="shared" ca="1" si="18"/>
        <v>0</v>
      </c>
      <c r="AZ58" s="507">
        <f t="shared" ca="1" si="18"/>
        <v>0</v>
      </c>
      <c r="BA58" s="507">
        <f t="shared" ca="1" si="18"/>
        <v>0</v>
      </c>
      <c r="BB58" s="507">
        <f t="shared" ca="1" si="18"/>
        <v>0</v>
      </c>
      <c r="BC58" s="507">
        <f t="shared" ca="1" si="18"/>
        <v>0</v>
      </c>
      <c r="BD58" s="253">
        <f ca="1">IF(AI58=0,0,(AT58-AI58)/AI58*100)</f>
        <v>0</v>
      </c>
      <c r="BE58" s="253">
        <f t="shared" ref="BE58:BM62" ca="1" si="19">IF(AT58=0,0,(AU58-AT58)/AT58*100)</f>
        <v>0</v>
      </c>
      <c r="BF58" s="253">
        <f t="shared" ca="1" si="19"/>
        <v>0</v>
      </c>
      <c r="BG58" s="253">
        <f t="shared" ca="1" si="19"/>
        <v>0</v>
      </c>
      <c r="BH58" s="253">
        <f t="shared" ca="1" si="19"/>
        <v>0</v>
      </c>
      <c r="BI58" s="253">
        <f t="shared" ca="1" si="19"/>
        <v>0</v>
      </c>
      <c r="BJ58" s="253">
        <f t="shared" ca="1" si="19"/>
        <v>0</v>
      </c>
      <c r="BK58" s="253">
        <f t="shared" ca="1" si="19"/>
        <v>0</v>
      </c>
      <c r="BL58" s="253">
        <f t="shared" ca="1" si="19"/>
        <v>0</v>
      </c>
      <c r="BM58" s="253">
        <f t="shared" ca="1" si="19"/>
        <v>0</v>
      </c>
      <c r="BN58" s="32"/>
      <c r="BO58" s="32"/>
      <c r="BP58" s="32"/>
      <c r="BS58" s="1021" t="s">
        <v>1723</v>
      </c>
      <c r="BX58" s="1054"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x14ac:dyDescent="0.15">
      <c r="C59" s="1113" t="s">
        <v>1724</v>
      </c>
      <c r="D59" s="1043" t="s">
        <v>1725</v>
      </c>
      <c r="E59" s="668">
        <v>50</v>
      </c>
      <c r="F59" s="769" cm="1">
        <f t="array" aca="1" ref="F59" ca="1">OFFSET(G59,-1,-1)</f>
        <v>0</v>
      </c>
      <c r="M59" s="1067"/>
      <c r="N59" s="1067" cm="1">
        <f t="array" aca="1" ref="N59" ca="1">OFFSET(M59,-1,1)</f>
        <v>0</v>
      </c>
      <c r="O59" s="1068"/>
      <c r="P59" s="1068"/>
      <c r="Q59" s="1068"/>
      <c r="R59" s="1068"/>
      <c r="T59" s="679" t="b" cm="1">
        <f t="array" aca="1" ref="T59" ca="1">T58</f>
        <v>0</v>
      </c>
      <c r="X59" s="1485"/>
      <c r="Z59" s="1485"/>
      <c r="AB59" s="532" t="s">
        <v>1726</v>
      </c>
      <c r="AC59" s="893" t="s">
        <v>1724</v>
      </c>
      <c r="AD59" s="541" t="s">
        <v>1044</v>
      </c>
      <c r="AE59" s="86"/>
      <c r="AF59" s="86"/>
      <c r="AG59" s="86"/>
      <c r="AH59" s="253">
        <f>AG59-AF59</f>
        <v>0</v>
      </c>
      <c r="AI59" s="86"/>
      <c r="AJ59" s="550"/>
      <c r="AK59" s="1326"/>
      <c r="AL59" s="1326"/>
      <c r="AM59" s="86"/>
      <c r="AN59" s="86"/>
      <c r="AO59" s="86"/>
      <c r="AP59" s="86"/>
      <c r="AQ59" s="86"/>
      <c r="AR59" s="86"/>
      <c r="AS59" s="86"/>
      <c r="AT59" s="550"/>
      <c r="AU59" s="1326"/>
      <c r="AV59" s="1326"/>
      <c r="AW59" s="86"/>
      <c r="AX59" s="86"/>
      <c r="AY59" s="86"/>
      <c r="AZ59" s="86"/>
      <c r="BA59" s="86"/>
      <c r="BB59" s="86"/>
      <c r="BC59" s="86"/>
      <c r="BD59" s="253">
        <f>IF(AI59=0,0,(AT59-AI59)/AI59*100)</f>
        <v>0</v>
      </c>
      <c r="BE59" s="253">
        <f t="shared" si="19"/>
        <v>0</v>
      </c>
      <c r="BF59" s="253">
        <f t="shared" si="19"/>
        <v>0</v>
      </c>
      <c r="BG59" s="253">
        <f t="shared" si="19"/>
        <v>0</v>
      </c>
      <c r="BH59" s="253">
        <f t="shared" si="19"/>
        <v>0</v>
      </c>
      <c r="BI59" s="253">
        <f t="shared" si="19"/>
        <v>0</v>
      </c>
      <c r="BJ59" s="253">
        <f t="shared" si="19"/>
        <v>0</v>
      </c>
      <c r="BK59" s="253">
        <f t="shared" si="19"/>
        <v>0</v>
      </c>
      <c r="BL59" s="253">
        <f t="shared" si="19"/>
        <v>0</v>
      </c>
      <c r="BM59" s="253">
        <f t="shared" si="19"/>
        <v>0</v>
      </c>
      <c r="BN59" s="32"/>
      <c r="BO59" s="32"/>
      <c r="BP59" s="32"/>
      <c r="BS59" s="1021" t="s">
        <v>1727</v>
      </c>
      <c r="BX59" s="1054"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x14ac:dyDescent="0.15">
      <c r="C60" s="1084" t="s">
        <v>1728</v>
      </c>
      <c r="D60" s="1043" t="s">
        <v>1729</v>
      </c>
      <c r="E60" s="668">
        <v>15</v>
      </c>
      <c r="F60" s="769" cm="1">
        <f t="array" aca="1" ref="F60" ca="1">OFFSET(G60,-1,-1)</f>
        <v>0</v>
      </c>
      <c r="G60" s="140" t="s">
        <v>1730</v>
      </c>
      <c r="M60" s="1067"/>
      <c r="N60" s="1067" cm="1">
        <f t="array" aca="1" ref="N60" ca="1">OFFSET(M60,-1,1)</f>
        <v>0</v>
      </c>
      <c r="O60" s="1072"/>
      <c r="P60" s="1068"/>
      <c r="Q60" s="1068"/>
      <c r="R60" s="1072"/>
      <c r="T60" s="679" t="b" cm="1">
        <f t="array" aca="1" ref="T60" ca="1">T59</f>
        <v>0</v>
      </c>
      <c r="X60" s="1485"/>
      <c r="Z60" s="1485"/>
      <c r="AB60" s="537" t="s">
        <v>1731</v>
      </c>
      <c r="AC60" s="885" t="s">
        <v>1732</v>
      </c>
      <c r="AD60" s="541" t="s">
        <v>1044</v>
      </c>
      <c r="AE60" s="571">
        <f ca="1">AE58+AE59</f>
        <v>0</v>
      </c>
      <c r="AF60" s="571">
        <f ca="1">AF58+AF59</f>
        <v>0</v>
      </c>
      <c r="AG60" s="571">
        <f ca="1">AG58+AG59</f>
        <v>0</v>
      </c>
      <c r="AH60" s="253">
        <f ca="1">AG60-AF60</f>
        <v>0</v>
      </c>
      <c r="AI60" s="571">
        <f t="shared" ref="AI60:BC60" ca="1" si="20">AI58+AI59</f>
        <v>0</v>
      </c>
      <c r="AJ60" s="571">
        <f t="shared" ca="1" si="20"/>
        <v>0</v>
      </c>
      <c r="AK60" s="571">
        <f t="shared" ca="1" si="20"/>
        <v>0</v>
      </c>
      <c r="AL60" s="571">
        <f t="shared" ca="1" si="20"/>
        <v>0</v>
      </c>
      <c r="AM60" s="571">
        <f t="shared" ca="1" si="20"/>
        <v>0</v>
      </c>
      <c r="AN60" s="571">
        <f t="shared" ca="1" si="20"/>
        <v>0</v>
      </c>
      <c r="AO60" s="571">
        <f t="shared" ca="1" si="20"/>
        <v>0</v>
      </c>
      <c r="AP60" s="571">
        <f t="shared" ca="1" si="20"/>
        <v>0</v>
      </c>
      <c r="AQ60" s="571">
        <f t="shared" ca="1" si="20"/>
        <v>0</v>
      </c>
      <c r="AR60" s="571">
        <f t="shared" ca="1" si="20"/>
        <v>0</v>
      </c>
      <c r="AS60" s="571">
        <f t="shared" ca="1" si="20"/>
        <v>0</v>
      </c>
      <c r="AT60" s="571">
        <f t="shared" ca="1" si="20"/>
        <v>0</v>
      </c>
      <c r="AU60" s="571">
        <f t="shared" ca="1" si="20"/>
        <v>0</v>
      </c>
      <c r="AV60" s="571">
        <f t="shared" ca="1" si="20"/>
        <v>0</v>
      </c>
      <c r="AW60" s="571">
        <f t="shared" ca="1" si="20"/>
        <v>0</v>
      </c>
      <c r="AX60" s="571">
        <f t="shared" ca="1" si="20"/>
        <v>0</v>
      </c>
      <c r="AY60" s="571">
        <f t="shared" ca="1" si="20"/>
        <v>0</v>
      </c>
      <c r="AZ60" s="571">
        <f t="shared" ca="1" si="20"/>
        <v>0</v>
      </c>
      <c r="BA60" s="571">
        <f t="shared" ca="1" si="20"/>
        <v>0</v>
      </c>
      <c r="BB60" s="571">
        <f t="shared" ca="1" si="20"/>
        <v>0</v>
      </c>
      <c r="BC60" s="571">
        <f t="shared" ca="1" si="20"/>
        <v>0</v>
      </c>
      <c r="BD60" s="253">
        <f ca="1">IF(AI60=0,0,(AT60-AI60)/AI60*100)</f>
        <v>0</v>
      </c>
      <c r="BE60" s="253">
        <f t="shared" ca="1" si="19"/>
        <v>0</v>
      </c>
      <c r="BF60" s="253">
        <f t="shared" ca="1" si="19"/>
        <v>0</v>
      </c>
      <c r="BG60" s="253">
        <f t="shared" ca="1" si="19"/>
        <v>0</v>
      </c>
      <c r="BH60" s="253">
        <f t="shared" ca="1" si="19"/>
        <v>0</v>
      </c>
      <c r="BI60" s="253">
        <f t="shared" ca="1" si="19"/>
        <v>0</v>
      </c>
      <c r="BJ60" s="253">
        <f t="shared" ca="1" si="19"/>
        <v>0</v>
      </c>
      <c r="BK60" s="253">
        <f t="shared" ca="1" si="19"/>
        <v>0</v>
      </c>
      <c r="BL60" s="253">
        <f t="shared" ca="1" si="19"/>
        <v>0</v>
      </c>
      <c r="BM60" s="253">
        <f t="shared" ca="1" si="19"/>
        <v>0</v>
      </c>
      <c r="BN60" s="32"/>
      <c r="BO60" s="32"/>
      <c r="BP60" s="32"/>
      <c r="BS60" s="1021" t="s">
        <v>1733</v>
      </c>
      <c r="BX60" s="1054"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x14ac:dyDescent="0.15">
      <c r="C61" s="1113" t="s">
        <v>1734</v>
      </c>
      <c r="D61" s="1043" t="s">
        <v>1735</v>
      </c>
      <c r="E61" s="668">
        <v>15</v>
      </c>
      <c r="F61" s="769" cm="1">
        <f t="array" aca="1" ref="F61" ca="1">OFFSET(G61,-1,-1)</f>
        <v>0</v>
      </c>
      <c r="G61" s="140" t="s">
        <v>986</v>
      </c>
      <c r="L61" s="140" t="s">
        <v>1736</v>
      </c>
      <c r="M61" s="1067"/>
      <c r="N61" s="1067" cm="1">
        <f t="array" aca="1" ref="N61" ca="1">OFFSET(M61,-1,1)</f>
        <v>0</v>
      </c>
      <c r="O61" s="1072"/>
      <c r="P61" s="1068"/>
      <c r="Q61" s="1068"/>
      <c r="R61" s="1072"/>
      <c r="T61" s="679" t="b">
        <f ca="1">AND(F61&gt;0,G27="двухставочный")</f>
        <v>0</v>
      </c>
      <c r="X61" s="1485"/>
      <c r="Z61" s="1485"/>
      <c r="AB61" s="545" t="str">
        <f>AB60&amp;".1"</f>
        <v>14.1</v>
      </c>
      <c r="AC61" s="511" t="s">
        <v>1737</v>
      </c>
      <c r="AD61" s="255" t="s">
        <v>830</v>
      </c>
      <c r="AE61" s="73">
        <f ca="1">SUMIFS('Ресурсы (5.4)'!AE$26:AE$47,'Ресурсы (5.4)'!$F$26:$F$47,$F61,'Ресурсы (5.4)'!$AB$26:$AB$47,"6.1")</f>
        <v>0</v>
      </c>
      <c r="AF61" s="73">
        <f ca="1">SUMIFS('Ресурсы (5.4)'!AF$26:AF$47,'Ресурсы (5.4)'!$F$26:$F$47,$F61,'Ресурсы (5.4)'!$AB$26:$AB$47,"6.1")</f>
        <v>0</v>
      </c>
      <c r="AG61" s="73">
        <f ca="1">SUMIFS('Ресурсы (5.4)'!AG$26:AG$47,'Ресурсы (5.4)'!$F$26:$F$47,$F61,'Ресурсы (5.4)'!$AB$26:$AB$47,"6.1")</f>
        <v>0</v>
      </c>
      <c r="AH61" s="253">
        <f ca="1">AG61-AF61</f>
        <v>0</v>
      </c>
      <c r="AI61" s="73">
        <f ca="1">SUMIFS('Ресурсы (5.4)'!AI$26:AI$47,'Ресурсы (5.4)'!$F$26:$F$47,$F61,'Ресурсы (5.4)'!$AB$26:$AB$47,"6.1")</f>
        <v>0</v>
      </c>
      <c r="AJ61" s="509">
        <f ca="1">SUMIFS('Ресурсы (5.4)'!AJ$26:AJ$47,'Ресурсы (5.4)'!$F$26:$F$47,$F61,'Ресурсы (5.4)'!$AB$26:$AB$47,"6.1")</f>
        <v>0</v>
      </c>
      <c r="AK61" s="1315">
        <f ca="1">SUMIFS('Ресурсы (5.4)'!AK$26:AK$47,'Ресурсы (5.4)'!$F$26:$F$47,$F61,'Ресурсы (5.4)'!$AB$26:$AB$47,"6.1")</f>
        <v>0</v>
      </c>
      <c r="AL61" s="1315">
        <f ca="1">SUMIFS('Ресурсы (5.4)'!AL$26:AL$47,'Ресурсы (5.4)'!$F$26:$F$47,$F61,'Ресурсы (5.4)'!$AB$26:$AB$47,"6.1")</f>
        <v>0</v>
      </c>
      <c r="AM61" s="73">
        <f ca="1">SUMIFS('Ресурсы (5.4)'!AM$26:AM$47,'Ресурсы (5.4)'!$F$26:$F$47,$F61,'Ресурсы (5.4)'!$AB$26:$AB$47,"6.1")</f>
        <v>0</v>
      </c>
      <c r="AN61" s="73">
        <f ca="1">SUMIFS('Ресурсы (5.4)'!AN$26:AN$47,'Ресурсы (5.4)'!$F$26:$F$47,$F61,'Ресурсы (5.4)'!$AB$26:$AB$47,"6.1")</f>
        <v>0</v>
      </c>
      <c r="AO61" s="73">
        <f ca="1">SUMIFS('Ресурсы (5.4)'!AO$26:AO$47,'Ресурсы (5.4)'!$F$26:$F$47,$F61,'Ресурсы (5.4)'!$AB$26:$AB$47,"6.1")</f>
        <v>0</v>
      </c>
      <c r="AP61" s="73">
        <f ca="1">SUMIFS('Ресурсы (5.4)'!AP$26:AP$47,'Ресурсы (5.4)'!$F$26:$F$47,$F61,'Ресурсы (5.4)'!$AB$26:$AB$47,"6.1")</f>
        <v>0</v>
      </c>
      <c r="AQ61" s="73">
        <f ca="1">SUMIFS('Ресурсы (5.4)'!AQ$26:AQ$47,'Ресурсы (5.4)'!$F$26:$F$47,$F61,'Ресурсы (5.4)'!$AB$26:$AB$47,"6.1")</f>
        <v>0</v>
      </c>
      <c r="AR61" s="73">
        <f ca="1">SUMIFS('Ресурсы (5.4)'!AR$26:AR$47,'Ресурсы (5.4)'!$F$26:$F$47,$F61,'Ресурсы (5.4)'!$AB$26:$AB$47,"6.1")</f>
        <v>0</v>
      </c>
      <c r="AS61" s="73">
        <f ca="1">SUMIFS('Ресурсы (5.4)'!AS$26:AS$47,'Ресурсы (5.4)'!$F$26:$F$47,$F61,'Ресурсы (5.4)'!$AB$26:$AB$47,"6.1")</f>
        <v>0</v>
      </c>
      <c r="AT61" s="509">
        <f ca="1">SUMIFS('Ресурсы (5.4)'!AT$26:AT$47,'Ресурсы (5.4)'!$F$26:$F$47,$F61,'Ресурсы (5.4)'!$AB$26:$AB$47,"6.1")</f>
        <v>0</v>
      </c>
      <c r="AU61" s="1315">
        <f ca="1">SUMIFS('Ресурсы (5.4)'!AU$26:AU$47,'Ресурсы (5.4)'!$F$26:$F$47,$F61,'Ресурсы (5.4)'!$AB$26:$AB$47,"6.1")</f>
        <v>0</v>
      </c>
      <c r="AV61" s="1315">
        <f ca="1">SUMIFS('Ресурсы (5.4)'!AV$26:AV$47,'Ресурсы (5.4)'!$F$26:$F$47,$F61,'Ресурсы (5.4)'!$AB$26:$AB$47,"6.1")</f>
        <v>0</v>
      </c>
      <c r="AW61" s="73">
        <f ca="1">SUMIFS('Ресурсы (5.4)'!AW$26:AW$47,'Ресурсы (5.4)'!$F$26:$F$47,$F61,'Ресурсы (5.4)'!$AB$26:$AB$47,"6.1")</f>
        <v>0</v>
      </c>
      <c r="AX61" s="73">
        <f ca="1">SUMIFS('Ресурсы (5.4)'!AX$26:AX$47,'Ресурсы (5.4)'!$F$26:$F$47,$F61,'Ресурсы (5.4)'!$AB$26:$AB$47,"6.1")</f>
        <v>0</v>
      </c>
      <c r="AY61" s="73">
        <f ca="1">SUMIFS('Ресурсы (5.4)'!AY$26:AY$47,'Ресурсы (5.4)'!$F$26:$F$47,$F61,'Ресурсы (5.4)'!$AB$26:$AB$47,"6.1")</f>
        <v>0</v>
      </c>
      <c r="AZ61" s="73">
        <f ca="1">SUMIFS('Ресурсы (5.4)'!AZ$26:AZ$47,'Ресурсы (5.4)'!$F$26:$F$47,$F61,'Ресурсы (5.4)'!$AB$26:$AB$47,"6.1")</f>
        <v>0</v>
      </c>
      <c r="BA61" s="73">
        <f ca="1">SUMIFS('Ресурсы (5.4)'!BA$26:BA$47,'Ресурсы (5.4)'!$F$26:$F$47,$F61,'Ресурсы (5.4)'!$AB$26:$AB$47,"6.1")</f>
        <v>0</v>
      </c>
      <c r="BB61" s="73">
        <f ca="1">SUMIFS('Ресурсы (5.4)'!BB$26:BB$47,'Ресурсы (5.4)'!$F$26:$F$47,$F61,'Ресурсы (5.4)'!$AB$26:$AB$47,"6.1")</f>
        <v>0</v>
      </c>
      <c r="BC61" s="73">
        <f ca="1">SUMIFS('Ресурсы (5.4)'!BC$26:BC$47,'Ресурсы (5.4)'!$F$26:$F$47,$F61,'Ресурсы (5.4)'!$AB$26:$AB$47,"6.1")</f>
        <v>0</v>
      </c>
      <c r="BD61" s="253">
        <f ca="1">IF(AI61=0,0,(AT61-AI61)/AI61*100)</f>
        <v>0</v>
      </c>
      <c r="BE61" s="253">
        <f t="shared" ca="1" si="19"/>
        <v>0</v>
      </c>
      <c r="BF61" s="253">
        <f t="shared" ca="1" si="19"/>
        <v>0</v>
      </c>
      <c r="BG61" s="253">
        <f t="shared" ca="1" si="19"/>
        <v>0</v>
      </c>
      <c r="BH61" s="253">
        <f t="shared" ca="1" si="19"/>
        <v>0</v>
      </c>
      <c r="BI61" s="253">
        <f t="shared" ca="1" si="19"/>
        <v>0</v>
      </c>
      <c r="BJ61" s="253">
        <f t="shared" ca="1" si="19"/>
        <v>0</v>
      </c>
      <c r="BK61" s="253">
        <f t="shared" ca="1" si="19"/>
        <v>0</v>
      </c>
      <c r="BL61" s="253">
        <f t="shared" ca="1" si="19"/>
        <v>0</v>
      </c>
      <c r="BM61" s="253">
        <f t="shared" ca="1" si="19"/>
        <v>0</v>
      </c>
      <c r="BN61" s="25"/>
      <c r="BO61" s="25"/>
      <c r="BP61" s="25"/>
      <c r="BS61" s="1021" t="s">
        <v>1738</v>
      </c>
      <c r="BX61" s="1054"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x14ac:dyDescent="0.15">
      <c r="C62" s="1113" t="s">
        <v>1739</v>
      </c>
      <c r="D62" s="1043" t="s">
        <v>1740</v>
      </c>
      <c r="E62" s="668">
        <v>15</v>
      </c>
      <c r="F62" s="769" cm="1">
        <f t="array" aca="1" ref="F62" ca="1">OFFSET(G62,-1,-1)</f>
        <v>0</v>
      </c>
      <c r="L62" s="140" t="s">
        <v>1736</v>
      </c>
      <c r="M62" s="1067"/>
      <c r="N62" s="1067" cm="1">
        <f t="array" aca="1" ref="N62" ca="1">OFFSET(M62,-1,1)</f>
        <v>0</v>
      </c>
      <c r="O62" s="1072"/>
      <c r="P62" s="1068"/>
      <c r="Q62" s="1068"/>
      <c r="R62" s="1072"/>
      <c r="T62" s="679" t="b" cm="1">
        <f t="array" aca="1" ref="T62" ca="1">T61</f>
        <v>0</v>
      </c>
      <c r="X62" s="1485"/>
      <c r="Z62" s="1485"/>
      <c r="AB62" s="545" t="str">
        <f>AB60&amp;".2"</f>
        <v>14.2</v>
      </c>
      <c r="AC62" s="511" t="s">
        <v>1739</v>
      </c>
      <c r="AD62" s="255" t="s">
        <v>830</v>
      </c>
      <c r="AE62" s="507">
        <f ca="1">AE60-AE61</f>
        <v>0</v>
      </c>
      <c r="AF62" s="507">
        <f ca="1">AF60-AF61</f>
        <v>0</v>
      </c>
      <c r="AG62" s="507">
        <f ca="1">AG60-AG61</f>
        <v>0</v>
      </c>
      <c r="AH62" s="253">
        <f ca="1">AG62-AF62</f>
        <v>0</v>
      </c>
      <c r="AI62" s="507">
        <f t="shared" ref="AI62:BC62" ca="1" si="21">AI60-AI61</f>
        <v>0</v>
      </c>
      <c r="AJ62" s="507">
        <f t="shared" ca="1" si="21"/>
        <v>0</v>
      </c>
      <c r="AK62" s="507">
        <f t="shared" ca="1" si="21"/>
        <v>0</v>
      </c>
      <c r="AL62" s="507">
        <f t="shared" ca="1" si="21"/>
        <v>0</v>
      </c>
      <c r="AM62" s="507">
        <f t="shared" ca="1" si="21"/>
        <v>0</v>
      </c>
      <c r="AN62" s="507">
        <f t="shared" ca="1" si="21"/>
        <v>0</v>
      </c>
      <c r="AO62" s="507">
        <f t="shared" ca="1" si="21"/>
        <v>0</v>
      </c>
      <c r="AP62" s="507">
        <f t="shared" ca="1" si="21"/>
        <v>0</v>
      </c>
      <c r="AQ62" s="507">
        <f t="shared" ca="1" si="21"/>
        <v>0</v>
      </c>
      <c r="AR62" s="507">
        <f t="shared" ca="1" si="21"/>
        <v>0</v>
      </c>
      <c r="AS62" s="507">
        <f t="shared" ca="1" si="21"/>
        <v>0</v>
      </c>
      <c r="AT62" s="507">
        <f t="shared" ca="1" si="21"/>
        <v>0</v>
      </c>
      <c r="AU62" s="507">
        <f t="shared" ca="1" si="21"/>
        <v>0</v>
      </c>
      <c r="AV62" s="507">
        <f t="shared" ca="1" si="21"/>
        <v>0</v>
      </c>
      <c r="AW62" s="507">
        <f t="shared" ca="1" si="21"/>
        <v>0</v>
      </c>
      <c r="AX62" s="507">
        <f t="shared" ca="1" si="21"/>
        <v>0</v>
      </c>
      <c r="AY62" s="507">
        <f t="shared" ca="1" si="21"/>
        <v>0</v>
      </c>
      <c r="AZ62" s="507">
        <f t="shared" ca="1" si="21"/>
        <v>0</v>
      </c>
      <c r="BA62" s="507">
        <f t="shared" ca="1" si="21"/>
        <v>0</v>
      </c>
      <c r="BB62" s="507">
        <f t="shared" ca="1" si="21"/>
        <v>0</v>
      </c>
      <c r="BC62" s="542">
        <f t="shared" ca="1" si="21"/>
        <v>0</v>
      </c>
      <c r="BD62" s="253">
        <f ca="1">IF(AI62=0,0,(AT62-AI62)/AI62*100)</f>
        <v>0</v>
      </c>
      <c r="BE62" s="253">
        <f t="shared" ca="1" si="19"/>
        <v>0</v>
      </c>
      <c r="BF62" s="253">
        <f t="shared" ca="1" si="19"/>
        <v>0</v>
      </c>
      <c r="BG62" s="253">
        <f t="shared" ca="1" si="19"/>
        <v>0</v>
      </c>
      <c r="BH62" s="253">
        <f t="shared" ca="1" si="19"/>
        <v>0</v>
      </c>
      <c r="BI62" s="253">
        <f t="shared" ca="1" si="19"/>
        <v>0</v>
      </c>
      <c r="BJ62" s="253">
        <f t="shared" ca="1" si="19"/>
        <v>0</v>
      </c>
      <c r="BK62" s="253">
        <f t="shared" ca="1" si="19"/>
        <v>0</v>
      </c>
      <c r="BL62" s="253">
        <f t="shared" ca="1" si="19"/>
        <v>0</v>
      </c>
      <c r="BM62" s="253">
        <f t="shared" ca="1" si="19"/>
        <v>0</v>
      </c>
      <c r="BN62" s="25"/>
      <c r="BO62" s="25"/>
      <c r="BP62" s="25"/>
      <c r="BS62" s="1021" t="s">
        <v>1741</v>
      </c>
      <c r="BX62" s="1054"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x14ac:dyDescent="0.15">
      <c r="C63" s="1084" t="s">
        <v>1742</v>
      </c>
      <c r="D63" s="1043" t="s">
        <v>1743</v>
      </c>
      <c r="E63" s="668">
        <v>15</v>
      </c>
      <c r="F63" s="769" cm="1">
        <f t="array" aca="1" ref="F63" ca="1">OFFSET(G63,-1,-1)</f>
        <v>0</v>
      </c>
      <c r="M63" s="1067"/>
      <c r="N63" s="1067" cm="1">
        <f t="array" aca="1" ref="N63" ca="1">OFFSET(M63,-1,1)</f>
        <v>0</v>
      </c>
      <c r="O63" s="1068"/>
      <c r="P63" s="1068"/>
      <c r="Q63" s="1068"/>
      <c r="R63" s="1068"/>
      <c r="T63" s="679" t="b" cm="1">
        <f t="array" aca="1" ref="T63" ca="1">T60</f>
        <v>0</v>
      </c>
      <c r="X63" s="1485"/>
      <c r="Z63" s="1485"/>
      <c r="AB63" s="260" t="s">
        <v>1744</v>
      </c>
      <c r="AC63" s="256" t="s">
        <v>1745</v>
      </c>
      <c r="AD63" s="261" t="s">
        <v>622</v>
      </c>
      <c r="AE63" s="253">
        <f ca="1">IF($K27="передача тепловой энергии",SUMIFS('Баланс Тр'!AE$27:AE$43,'Баланс Тр'!$F$27:$F$43,$F63,'Баланс Тр'!$AB$27:$AB$43,"3"),SUMIFS('Баланс Пр'!AE$27:AE$165,'Баланс Пр'!$F$27:$F$165,$F63,'Баланс Пр'!$AB$27:$AB$165,"9.1"))</f>
        <v>0</v>
      </c>
      <c r="AF63" s="508"/>
      <c r="AG63" s="508"/>
      <c r="AH63" s="508"/>
      <c r="AI63" s="253">
        <f ca="1">IF($K27="передача тепловой энергии",SUMIFS('Баланс Тр'!AH$27:AH$43,'Баланс Тр'!$F$27:$F$43,$F63,'Баланс Тр'!$AB$27:$AB$43,"3"),SUMIFS('Баланс Пр'!AH$27:AH$165,'Баланс Пр'!$F$27:$F$165,$F63,'Баланс Пр'!$AB$27:$AB$165,"9.1"))</f>
        <v>0</v>
      </c>
      <c r="AJ63" s="253">
        <f ca="1">IF($K27="передача тепловой энергии",SUMIFS('Баланс Тр'!AI$27:AI$43,'Баланс Тр'!$F$27:$F$43,$F63,'Баланс Тр'!$AB$27:$AB$43,"3"),SUMIFS('Баланс Пр'!AI$27:AI$165,'Баланс Пр'!$F$27:$F$165,$F63,'Баланс Пр'!$AB$27:$AB$165,"9.1"))</f>
        <v>0</v>
      </c>
      <c r="AK63" s="253">
        <f ca="1">IF($K27="передача тепловой энергии",SUMIFS('Баланс Тр'!AJ$27:AJ$43,'Баланс Тр'!$F$27:$F$43,$F63,'Баланс Тр'!$AB$27:$AB$43,"3"),SUMIFS('Баланс Пр'!AJ$27:AJ$165,'Баланс Пр'!$F$27:$F$165,$F63,'Баланс Пр'!$AB$27:$AB$165,"9.1"))</f>
        <v>0</v>
      </c>
      <c r="AL63" s="253">
        <f ca="1">IF($K27="передача тепловой энергии",SUMIFS('Баланс Тр'!AK$27:AK$43,'Баланс Тр'!$F$27:$F$43,$F63,'Баланс Тр'!$AB$27:$AB$43,"3"),SUMIFS('Баланс Пр'!AK$27:AK$165,'Баланс Пр'!$F$27:$F$165,$F63,'Баланс Пр'!$AB$27:$AB$165,"9.1"))</f>
        <v>0</v>
      </c>
      <c r="AM63" s="253">
        <f ca="1">IF($K27="передача тепловой энергии",SUMIFS('Баланс Тр'!AL$27:AL$43,'Баланс Тр'!$F$27:$F$43,$F63,'Баланс Тр'!$AB$27:$AB$43,"3"),SUMIFS('Баланс Пр'!AL$27:AL$165,'Баланс Пр'!$F$27:$F$165,$F63,'Баланс Пр'!$AB$27:$AB$165,"9.1"))</f>
        <v>0</v>
      </c>
      <c r="AN63" s="253">
        <f ca="1">IF($K27="передача тепловой энергии",SUMIFS('Баланс Тр'!AM$27:AM$43,'Баланс Тр'!$F$27:$F$43,$F63,'Баланс Тр'!$AB$27:$AB$43,"3"),SUMIFS('Баланс Пр'!AM$27:AM$165,'Баланс Пр'!$F$27:$F$165,$F63,'Баланс Пр'!$AB$27:$AB$165,"9.1"))</f>
        <v>0</v>
      </c>
      <c r="AO63" s="253">
        <f ca="1">IF($K27="передача тепловой энергии",SUMIFS('Баланс Тр'!AN$27:AN$43,'Баланс Тр'!$F$27:$F$43,$F63,'Баланс Тр'!$AB$27:$AB$43,"3"),SUMIFS('Баланс Пр'!AN$27:AN$165,'Баланс Пр'!$F$27:$F$165,$F63,'Баланс Пр'!$AB$27:$AB$165,"9.1"))</f>
        <v>0</v>
      </c>
      <c r="AP63" s="253">
        <f ca="1">IF($K27="передача тепловой энергии",SUMIFS('Баланс Тр'!AO$27:AO$43,'Баланс Тр'!$F$27:$F$43,$F63,'Баланс Тр'!$AB$27:$AB$43,"3"),SUMIFS('Баланс Пр'!AO$27:AO$165,'Баланс Пр'!$F$27:$F$165,$F63,'Баланс Пр'!$AB$27:$AB$165,"9.1"))</f>
        <v>0</v>
      </c>
      <c r="AQ63" s="253">
        <f ca="1">IF($K27="передача тепловой энергии",SUMIFS('Баланс Тр'!AP$27:AP$43,'Баланс Тр'!$F$27:$F$43,$F63,'Баланс Тр'!$AB$27:$AB$43,"3"),SUMIFS('Баланс Пр'!AP$27:AP$165,'Баланс Пр'!$F$27:$F$165,$F63,'Баланс Пр'!$AB$27:$AB$165,"9.1"))</f>
        <v>0</v>
      </c>
      <c r="AR63" s="253">
        <f ca="1">IF($K27="передача тепловой энергии",SUMIFS('Баланс Тр'!AQ$27:AQ$43,'Баланс Тр'!$F$27:$F$43,$F63,'Баланс Тр'!$AB$27:$AB$43,"3"),SUMIFS('Баланс Пр'!AQ$27:AQ$165,'Баланс Пр'!$F$27:$F$165,$F63,'Баланс Пр'!$AB$27:$AB$165,"9.1"))</f>
        <v>0</v>
      </c>
      <c r="AS63" s="253">
        <f ca="1">IF($K27="передача тепловой энергии",SUMIFS('Баланс Тр'!AR$27:AR$43,'Баланс Тр'!$F$27:$F$43,$F63,'Баланс Тр'!$AB$27:$AB$43,"3"),SUMIFS('Баланс Пр'!AR$27:AR$165,'Баланс Пр'!$F$27:$F$165,$F63,'Баланс Пр'!$AB$27:$AB$165,"9.1"))</f>
        <v>0</v>
      </c>
      <c r="AT63" s="253">
        <f ca="1">IF($K27="передача тепловой энергии",SUMIFS('Баланс Тр'!AS$27:AS$43,'Баланс Тр'!$F$27:$F$43,$F63,'Баланс Тр'!$AB$27:$AB$43,"3"),SUMIFS('Баланс Пр'!AS$27:AS$165,'Баланс Пр'!$F$27:$F$165,$F63,'Баланс Пр'!$AB$27:$AB$165,"9.1"))</f>
        <v>0</v>
      </c>
      <c r="AU63" s="253">
        <f ca="1">IF($K27="передача тепловой энергии",SUMIFS('Баланс Тр'!AT$27:AT$43,'Баланс Тр'!$F$27:$F$43,$F63,'Баланс Тр'!$AB$27:$AB$43,"3"),SUMIFS('Баланс Пр'!AT$27:AT$165,'Баланс Пр'!$F$27:$F$165,$F63,'Баланс Пр'!$AB$27:$AB$165,"9.1"))</f>
        <v>0</v>
      </c>
      <c r="AV63" s="253">
        <f ca="1">IF($K27="передача тепловой энергии",SUMIFS('Баланс Тр'!AU$27:AU$43,'Баланс Тр'!$F$27:$F$43,$F63,'Баланс Тр'!$AB$27:$AB$43,"3"),SUMIFS('Баланс Пр'!AU$27:AU$165,'Баланс Пр'!$F$27:$F$165,$F63,'Баланс Пр'!$AB$27:$AB$165,"9.1"))</f>
        <v>0</v>
      </c>
      <c r="AW63" s="253">
        <f ca="1">IF($K27="передача тепловой энергии",SUMIFS('Баланс Тр'!AV$27:AV$43,'Баланс Тр'!$F$27:$F$43,$F63,'Баланс Тр'!$AB$27:$AB$43,"3"),SUMIFS('Баланс Пр'!AV$27:AV$165,'Баланс Пр'!$F$27:$F$165,$F63,'Баланс Пр'!$AB$27:$AB$165,"9.1"))</f>
        <v>0</v>
      </c>
      <c r="AX63" s="253">
        <f ca="1">IF($K27="передача тепловой энергии",SUMIFS('Баланс Тр'!AW$27:AW$43,'Баланс Тр'!$F$27:$F$43,$F63,'Баланс Тр'!$AB$27:$AB$43,"3"),SUMIFS('Баланс Пр'!AW$27:AW$165,'Баланс Пр'!$F$27:$F$165,$F63,'Баланс Пр'!$AB$27:$AB$165,"9.1"))</f>
        <v>0</v>
      </c>
      <c r="AY63" s="253">
        <f ca="1">IF($K27="передача тепловой энергии",SUMIFS('Баланс Тр'!AX$27:AX$43,'Баланс Тр'!$F$27:$F$43,$F63,'Баланс Тр'!$AB$27:$AB$43,"3"),SUMIFS('Баланс Пр'!AX$27:AX$165,'Баланс Пр'!$F$27:$F$165,$F63,'Баланс Пр'!$AB$27:$AB$165,"9.1"))</f>
        <v>0</v>
      </c>
      <c r="AZ63" s="253">
        <f ca="1">IF($K27="передача тепловой энергии",SUMIFS('Баланс Тр'!AY$27:AY$43,'Баланс Тр'!$F$27:$F$43,$F63,'Баланс Тр'!$AB$27:$AB$43,"3"),SUMIFS('Баланс Пр'!AY$27:AY$165,'Баланс Пр'!$F$27:$F$165,$F63,'Баланс Пр'!$AB$27:$AB$165,"9.1"))</f>
        <v>0</v>
      </c>
      <c r="BA63" s="253">
        <f ca="1">IF($K27="передача тепловой энергии",SUMIFS('Баланс Тр'!AZ$27:AZ$43,'Баланс Тр'!$F$27:$F$43,$F63,'Баланс Тр'!$AB$27:$AB$43,"3"),SUMIFS('Баланс Пр'!AZ$27:AZ$165,'Баланс Пр'!$F$27:$F$165,$F63,'Баланс Пр'!$AB$27:$AB$165,"9.1"))</f>
        <v>0</v>
      </c>
      <c r="BB63" s="253">
        <f ca="1">IF($K27="передача тепловой энергии",SUMIFS('Баланс Тр'!BA$27:BA$43,'Баланс Тр'!$F$27:$F$43,$F63,'Баланс Тр'!$AB$27:$AB$43,"3"),SUMIFS('Баланс Пр'!BA$27:BA$165,'Баланс Пр'!$F$27:$F$165,$F63,'Баланс Пр'!$AB$27:$AB$165,"9.1"))</f>
        <v>0</v>
      </c>
      <c r="BC63" s="253">
        <f ca="1">IF($K27="передача тепловой энергии",SUMIFS('Баланс Тр'!BB$27:BB$43,'Баланс Тр'!$F$27:$F$43,$F63,'Баланс Тр'!$AB$27:$AB$43,"3"),SUMIFS('Баланс Пр'!BB$27:BB$165,'Баланс Пр'!$F$27:$F$165,$F63,'Баланс Пр'!$AB$27:$AB$165,"9.1"))</f>
        <v>0</v>
      </c>
      <c r="BD63" s="548"/>
      <c r="BE63" s="548"/>
      <c r="BF63" s="548"/>
      <c r="BG63" s="548"/>
      <c r="BH63" s="548"/>
      <c r="BI63" s="548"/>
      <c r="BJ63" s="548"/>
      <c r="BK63" s="548"/>
      <c r="BL63" s="548"/>
      <c r="BM63" s="548"/>
      <c r="BN63" s="25"/>
      <c r="BO63" s="25"/>
      <c r="BP63" s="25"/>
      <c r="BS63" s="1021" t="s">
        <v>1746</v>
      </c>
      <c r="BX63" s="1054"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x14ac:dyDescent="0.15">
      <c r="C64" s="1084" t="s">
        <v>1747</v>
      </c>
      <c r="D64" s="1043" t="s">
        <v>1748</v>
      </c>
      <c r="E64" s="668">
        <v>15</v>
      </c>
      <c r="F64" s="769" cm="1">
        <f t="array" aca="1" ref="F64" ca="1">OFFSET(G64,-1,-1)</f>
        <v>0</v>
      </c>
      <c r="G64" s="140" t="s">
        <v>1749</v>
      </c>
      <c r="M64" s="1067"/>
      <c r="N64" s="1067" cm="1">
        <f t="array" aca="1" ref="N64" ca="1">OFFSET(M64,-1,1)</f>
        <v>0</v>
      </c>
      <c r="O64" s="1068" t="s">
        <v>1750</v>
      </c>
      <c r="P64" s="1068"/>
      <c r="Q64" s="1068"/>
      <c r="R64" s="1068"/>
      <c r="T64" s="679" t="b" cm="1">
        <f t="array" aca="1" ref="T64" ca="1">T63</f>
        <v>0</v>
      </c>
      <c r="X64" s="1485"/>
      <c r="Z64" s="1485"/>
      <c r="AB64" s="545" t="str">
        <f>AB63&amp;".1"</f>
        <v>15.1</v>
      </c>
      <c r="AC64" s="233" t="s">
        <v>1751</v>
      </c>
      <c r="AD64" s="255" t="s">
        <v>622</v>
      </c>
      <c r="AE64" s="73"/>
      <c r="AF64" s="508"/>
      <c r="AG64" s="508"/>
      <c r="AH64" s="508"/>
      <c r="AI64" s="73"/>
      <c r="AJ64" s="509"/>
      <c r="AK64" s="1315"/>
      <c r="AL64" s="1315"/>
      <c r="AM64" s="73"/>
      <c r="AN64" s="73"/>
      <c r="AO64" s="73"/>
      <c r="AP64" s="73"/>
      <c r="AQ64" s="73"/>
      <c r="AR64" s="73"/>
      <c r="AS64" s="73"/>
      <c r="AT64" s="509"/>
      <c r="AU64" s="1315"/>
      <c r="AV64" s="1315"/>
      <c r="AW64" s="73"/>
      <c r="AX64" s="73"/>
      <c r="AY64" s="73"/>
      <c r="AZ64" s="73"/>
      <c r="BA64" s="73"/>
      <c r="BB64" s="73"/>
      <c r="BC64" s="73"/>
      <c r="BD64" s="313"/>
      <c r="BE64" s="313"/>
      <c r="BF64" s="313"/>
      <c r="BG64" s="313"/>
      <c r="BH64" s="313"/>
      <c r="BI64" s="313"/>
      <c r="BJ64" s="313"/>
      <c r="BK64" s="313"/>
      <c r="BL64" s="313"/>
      <c r="BM64" s="313"/>
      <c r="BN64" s="25"/>
      <c r="BO64" s="25"/>
      <c r="BP64" s="25"/>
      <c r="BS64" s="1021" t="s">
        <v>1752</v>
      </c>
      <c r="BX64" s="1054"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x14ac:dyDescent="0.15">
      <c r="C65" s="1084" t="s">
        <v>1753</v>
      </c>
      <c r="D65" s="1043" t="s">
        <v>1754</v>
      </c>
      <c r="E65" s="668">
        <v>15</v>
      </c>
      <c r="F65" s="769" cm="1">
        <f t="array" aca="1" ref="F65" ca="1">OFFSET(G65,-1,-1)</f>
        <v>0</v>
      </c>
      <c r="G65" s="140" t="s">
        <v>1755</v>
      </c>
      <c r="M65" s="1067"/>
      <c r="N65" s="1067" cm="1">
        <f t="array" aca="1" ref="N65" ca="1">OFFSET(M65,-1,1)</f>
        <v>0</v>
      </c>
      <c r="O65" s="1068" t="s">
        <v>1750</v>
      </c>
      <c r="P65" s="1068"/>
      <c r="Q65" s="1068"/>
      <c r="R65" s="1068"/>
      <c r="T65" s="679" t="b" cm="1">
        <f t="array" aca="1" ref="T65" ca="1">T64</f>
        <v>0</v>
      </c>
      <c r="X65" s="1485"/>
      <c r="Z65" s="1485"/>
      <c r="AB65" s="545" t="str">
        <f>AB63&amp;".2"</f>
        <v>15.2</v>
      </c>
      <c r="AC65" s="233" t="s">
        <v>1756</v>
      </c>
      <c r="AD65" s="255" t="s">
        <v>920</v>
      </c>
      <c r="AE65" s="73"/>
      <c r="AF65" s="508"/>
      <c r="AG65" s="508"/>
      <c r="AH65" s="508"/>
      <c r="AI65" s="73">
        <f ca="1">MIN(AE67,AI69)</f>
        <v>0</v>
      </c>
      <c r="AJ65" s="509">
        <f t="shared" ref="AJ65:AS65" ca="1" si="22">MIN(AI67,AJ69)</f>
        <v>0</v>
      </c>
      <c r="AK65" s="1315">
        <f t="shared" ca="1" si="22"/>
        <v>0</v>
      </c>
      <c r="AL65" s="1315">
        <f t="shared" ca="1" si="22"/>
        <v>0</v>
      </c>
      <c r="AM65" s="73">
        <f t="shared" ca="1" si="22"/>
        <v>0</v>
      </c>
      <c r="AN65" s="73">
        <f t="shared" ca="1" si="22"/>
        <v>0</v>
      </c>
      <c r="AO65" s="73">
        <f t="shared" ca="1" si="22"/>
        <v>0</v>
      </c>
      <c r="AP65" s="73">
        <f t="shared" ca="1" si="22"/>
        <v>0</v>
      </c>
      <c r="AQ65" s="73">
        <f t="shared" ca="1" si="22"/>
        <v>0</v>
      </c>
      <c r="AR65" s="73">
        <f t="shared" ca="1" si="22"/>
        <v>0</v>
      </c>
      <c r="AS65" s="73">
        <f t="shared" ca="1" si="22"/>
        <v>0</v>
      </c>
      <c r="AT65" s="509">
        <f ca="1">MIN(AI67,AT69)</f>
        <v>0</v>
      </c>
      <c r="AU65" s="1315">
        <f t="shared" ref="AU65:BC65" ca="1" si="23">MIN(AT67,AU69)</f>
        <v>0</v>
      </c>
      <c r="AV65" s="1315">
        <f t="shared" ca="1" si="23"/>
        <v>0</v>
      </c>
      <c r="AW65" s="73">
        <f t="shared" ca="1" si="23"/>
        <v>0</v>
      </c>
      <c r="AX65" s="73">
        <f t="shared" ca="1" si="23"/>
        <v>0</v>
      </c>
      <c r="AY65" s="73">
        <f t="shared" ca="1" si="23"/>
        <v>0</v>
      </c>
      <c r="AZ65" s="73">
        <f t="shared" ca="1" si="23"/>
        <v>0</v>
      </c>
      <c r="BA65" s="73">
        <f t="shared" ca="1" si="23"/>
        <v>0</v>
      </c>
      <c r="BB65" s="73">
        <f t="shared" ca="1" si="23"/>
        <v>0</v>
      </c>
      <c r="BC65" s="73">
        <f t="shared" ca="1" si="23"/>
        <v>0</v>
      </c>
      <c r="BD65" s="313"/>
      <c r="BE65" s="313"/>
      <c r="BF65" s="313"/>
      <c r="BG65" s="313"/>
      <c r="BH65" s="313"/>
      <c r="BI65" s="313"/>
      <c r="BJ65" s="313"/>
      <c r="BK65" s="313"/>
      <c r="BL65" s="313"/>
      <c r="BM65" s="313"/>
      <c r="BN65" s="25"/>
      <c r="BO65" s="25"/>
      <c r="BP65" s="25"/>
      <c r="BS65" s="1021" t="s">
        <v>1757</v>
      </c>
      <c r="BX65" s="1054"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x14ac:dyDescent="0.15">
      <c r="C66" s="1084" t="s">
        <v>1747</v>
      </c>
      <c r="D66" s="1043" t="s">
        <v>1748</v>
      </c>
      <c r="E66" s="668">
        <v>15</v>
      </c>
      <c r="F66" s="769" cm="1">
        <f t="array" aca="1" ref="F66" ca="1">OFFSET(G66,-1,-1)</f>
        <v>0</v>
      </c>
      <c r="G66" s="140" t="s">
        <v>1758</v>
      </c>
      <c r="M66" s="1067"/>
      <c r="N66" s="1067" cm="1">
        <f t="array" aca="1" ref="N66" ca="1">OFFSET(M66,-1,1)</f>
        <v>0</v>
      </c>
      <c r="O66" s="1068" t="s">
        <v>1759</v>
      </c>
      <c r="P66" s="1068"/>
      <c r="Q66" s="1068"/>
      <c r="R66" s="1068"/>
      <c r="T66" s="679" t="b" cm="1">
        <f t="array" aca="1" ref="T66" ca="1">T65</f>
        <v>0</v>
      </c>
      <c r="X66" s="1485"/>
      <c r="Z66" s="1485"/>
      <c r="AB66" s="545" t="str">
        <f>AB63&amp;".3"</f>
        <v>15.3</v>
      </c>
      <c r="AC66" s="233" t="s">
        <v>1760</v>
      </c>
      <c r="AD66" s="255" t="s">
        <v>622</v>
      </c>
      <c r="AE66" s="507">
        <f ca="1">AE63-AE64</f>
        <v>0</v>
      </c>
      <c r="AF66" s="508"/>
      <c r="AG66" s="508"/>
      <c r="AH66" s="508"/>
      <c r="AI66" s="507">
        <f t="shared" ref="AI66:BC66" ca="1" si="24">AI63-AI64</f>
        <v>0</v>
      </c>
      <c r="AJ66" s="507">
        <f t="shared" ca="1" si="24"/>
        <v>0</v>
      </c>
      <c r="AK66" s="507">
        <f t="shared" ca="1" si="24"/>
        <v>0</v>
      </c>
      <c r="AL66" s="507">
        <f t="shared" ca="1" si="24"/>
        <v>0</v>
      </c>
      <c r="AM66" s="507">
        <f t="shared" ca="1" si="24"/>
        <v>0</v>
      </c>
      <c r="AN66" s="507">
        <f t="shared" ca="1" si="24"/>
        <v>0</v>
      </c>
      <c r="AO66" s="507">
        <f t="shared" ca="1" si="24"/>
        <v>0</v>
      </c>
      <c r="AP66" s="507">
        <f t="shared" ca="1" si="24"/>
        <v>0</v>
      </c>
      <c r="AQ66" s="507">
        <f t="shared" ca="1" si="24"/>
        <v>0</v>
      </c>
      <c r="AR66" s="507">
        <f t="shared" ca="1" si="24"/>
        <v>0</v>
      </c>
      <c r="AS66" s="507">
        <f t="shared" ca="1" si="24"/>
        <v>0</v>
      </c>
      <c r="AT66" s="507">
        <f t="shared" ca="1" si="24"/>
        <v>0</v>
      </c>
      <c r="AU66" s="507">
        <f t="shared" ca="1" si="24"/>
        <v>0</v>
      </c>
      <c r="AV66" s="507">
        <f t="shared" ca="1" si="24"/>
        <v>0</v>
      </c>
      <c r="AW66" s="507">
        <f t="shared" ca="1" si="24"/>
        <v>0</v>
      </c>
      <c r="AX66" s="507">
        <f t="shared" ca="1" si="24"/>
        <v>0</v>
      </c>
      <c r="AY66" s="507">
        <f t="shared" ca="1" si="24"/>
        <v>0</v>
      </c>
      <c r="AZ66" s="507">
        <f t="shared" ca="1" si="24"/>
        <v>0</v>
      </c>
      <c r="BA66" s="507">
        <f t="shared" ca="1" si="24"/>
        <v>0</v>
      </c>
      <c r="BB66" s="507">
        <f t="shared" ca="1" si="24"/>
        <v>0</v>
      </c>
      <c r="BC66" s="507">
        <f t="shared" ca="1" si="24"/>
        <v>0</v>
      </c>
      <c r="BD66" s="313"/>
      <c r="BE66" s="313"/>
      <c r="BF66" s="313"/>
      <c r="BG66" s="313"/>
      <c r="BH66" s="313"/>
      <c r="BI66" s="313"/>
      <c r="BJ66" s="313"/>
      <c r="BK66" s="313"/>
      <c r="BL66" s="313"/>
      <c r="BM66" s="313"/>
      <c r="BN66" s="25"/>
      <c r="BO66" s="25"/>
      <c r="BP66" s="25"/>
      <c r="BS66" s="1021" t="s">
        <v>1761</v>
      </c>
      <c r="BX66" s="1054"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x14ac:dyDescent="0.15">
      <c r="C67" s="1084" t="s">
        <v>1753</v>
      </c>
      <c r="D67" s="1043" t="s">
        <v>1754</v>
      </c>
      <c r="E67" s="668">
        <v>15</v>
      </c>
      <c r="F67" s="769" cm="1">
        <f t="array" aca="1" ref="F67" ca="1">OFFSET(G67,-1,-1)</f>
        <v>0</v>
      </c>
      <c r="G67" s="140" t="s">
        <v>1762</v>
      </c>
      <c r="M67" s="1067"/>
      <c r="N67" s="1067" cm="1">
        <f t="array" aca="1" ref="N67" ca="1">OFFSET(M67,-1,1)</f>
        <v>0</v>
      </c>
      <c r="O67" s="1068" t="s">
        <v>1759</v>
      </c>
      <c r="P67" s="1068"/>
      <c r="Q67" s="1068"/>
      <c r="R67" s="1068"/>
      <c r="T67" s="679" t="b" cm="1">
        <f t="array" aca="1" ref="T67" ca="1">T66</f>
        <v>0</v>
      </c>
      <c r="X67" s="1485"/>
      <c r="Z67" s="1485"/>
      <c r="AB67" s="545" t="str">
        <f>AB63&amp;".4"</f>
        <v>15.4</v>
      </c>
      <c r="AC67" s="233" t="s">
        <v>1763</v>
      </c>
      <c r="AD67" s="255" t="s">
        <v>920</v>
      </c>
      <c r="AE67" s="73"/>
      <c r="AF67" s="508"/>
      <c r="AG67" s="508"/>
      <c r="AH67" s="508"/>
      <c r="AI67" s="73"/>
      <c r="AJ67" s="509">
        <f t="shared" ref="AJ67:BC67" ca="1" si="25">IFERROR((AJ60*1000-AJ64*AJ65)/AJ66,0)</f>
        <v>0</v>
      </c>
      <c r="AK67" s="1315">
        <f t="shared" ca="1" si="25"/>
        <v>0</v>
      </c>
      <c r="AL67" s="1315">
        <f t="shared" ca="1" si="25"/>
        <v>0</v>
      </c>
      <c r="AM67" s="73">
        <f t="shared" ca="1" si="25"/>
        <v>0</v>
      </c>
      <c r="AN67" s="73">
        <f t="shared" ca="1" si="25"/>
        <v>0</v>
      </c>
      <c r="AO67" s="73">
        <f t="shared" ca="1" si="25"/>
        <v>0</v>
      </c>
      <c r="AP67" s="73">
        <f t="shared" ca="1" si="25"/>
        <v>0</v>
      </c>
      <c r="AQ67" s="73">
        <f t="shared" ca="1" si="25"/>
        <v>0</v>
      </c>
      <c r="AR67" s="73">
        <f t="shared" ca="1" si="25"/>
        <v>0</v>
      </c>
      <c r="AS67" s="73">
        <f t="shared" ca="1" si="25"/>
        <v>0</v>
      </c>
      <c r="AT67" s="509">
        <f t="shared" ca="1" si="25"/>
        <v>0</v>
      </c>
      <c r="AU67" s="1315">
        <f t="shared" ca="1" si="25"/>
        <v>0</v>
      </c>
      <c r="AV67" s="1315">
        <f t="shared" ca="1" si="25"/>
        <v>0</v>
      </c>
      <c r="AW67" s="73">
        <f t="shared" ca="1" si="25"/>
        <v>0</v>
      </c>
      <c r="AX67" s="73">
        <f t="shared" ca="1" si="25"/>
        <v>0</v>
      </c>
      <c r="AY67" s="73">
        <f t="shared" ca="1" si="25"/>
        <v>0</v>
      </c>
      <c r="AZ67" s="73">
        <f t="shared" ca="1" si="25"/>
        <v>0</v>
      </c>
      <c r="BA67" s="73">
        <f t="shared" ca="1" si="25"/>
        <v>0</v>
      </c>
      <c r="BB67" s="73">
        <f t="shared" ca="1" si="25"/>
        <v>0</v>
      </c>
      <c r="BC67" s="73">
        <f t="shared" ca="1" si="25"/>
        <v>0</v>
      </c>
      <c r="BD67" s="313"/>
      <c r="BE67" s="313"/>
      <c r="BF67" s="313"/>
      <c r="BG67" s="313"/>
      <c r="BH67" s="313"/>
      <c r="BI67" s="313"/>
      <c r="BJ67" s="313"/>
      <c r="BK67" s="313"/>
      <c r="BL67" s="313"/>
      <c r="BM67" s="313"/>
      <c r="BN67" s="25"/>
      <c r="BO67" s="25"/>
      <c r="BP67" s="25"/>
      <c r="BS67" s="1021" t="s">
        <v>1764</v>
      </c>
      <c r="BX67" s="1054"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x14ac:dyDescent="0.15">
      <c r="C68" s="1084" t="s">
        <v>1765</v>
      </c>
      <c r="D68" s="1043" t="s">
        <v>1766</v>
      </c>
      <c r="E68" s="668">
        <v>15</v>
      </c>
      <c r="F68" s="769" cm="1">
        <f t="array" aca="1" ref="F68" ca="1">OFFSET(G68,-1,-1)</f>
        <v>0</v>
      </c>
      <c r="M68" s="1067"/>
      <c r="N68" s="1067" cm="1">
        <f t="array" aca="1" ref="N68" ca="1">OFFSET(M68,-1,1)</f>
        <v>0</v>
      </c>
      <c r="O68" s="1068"/>
      <c r="P68" s="1068"/>
      <c r="Q68" s="1068"/>
      <c r="R68" s="1068"/>
      <c r="T68" s="679" t="b" cm="1">
        <f t="array" aca="1" ref="T68" ca="1">T67</f>
        <v>0</v>
      </c>
      <c r="X68" s="1485"/>
      <c r="Z68" s="1485"/>
      <c r="AB68" s="545" t="str">
        <f>AB63&amp;".5"</f>
        <v>15.5</v>
      </c>
      <c r="AC68" s="258" t="s">
        <v>1767</v>
      </c>
      <c r="AD68" s="255" t="s">
        <v>521</v>
      </c>
      <c r="AE68" s="547">
        <f>IFERROR(AE67/AE65,0)</f>
        <v>0</v>
      </c>
      <c r="AF68" s="508"/>
      <c r="AG68" s="508"/>
      <c r="AH68" s="508"/>
      <c r="AI68" s="547">
        <f t="shared" ref="AI68:BC68" ca="1" si="26">IFERROR(AI67/AI65,0)</f>
        <v>0</v>
      </c>
      <c r="AJ68" s="547">
        <f t="shared" ca="1" si="26"/>
        <v>0</v>
      </c>
      <c r="AK68" s="547">
        <f t="shared" ca="1" si="26"/>
        <v>0</v>
      </c>
      <c r="AL68" s="547">
        <f t="shared" ca="1" si="26"/>
        <v>0</v>
      </c>
      <c r="AM68" s="547">
        <f t="shared" ca="1" si="26"/>
        <v>0</v>
      </c>
      <c r="AN68" s="547">
        <f t="shared" ca="1" si="26"/>
        <v>0</v>
      </c>
      <c r="AO68" s="547">
        <f t="shared" ca="1" si="26"/>
        <v>0</v>
      </c>
      <c r="AP68" s="547">
        <f t="shared" ca="1" si="26"/>
        <v>0</v>
      </c>
      <c r="AQ68" s="547">
        <f t="shared" ca="1" si="26"/>
        <v>0</v>
      </c>
      <c r="AR68" s="547">
        <f t="shared" ca="1" si="26"/>
        <v>0</v>
      </c>
      <c r="AS68" s="547">
        <f t="shared" ca="1" si="26"/>
        <v>0</v>
      </c>
      <c r="AT68" s="547">
        <f t="shared" ca="1" si="26"/>
        <v>0</v>
      </c>
      <c r="AU68" s="547">
        <f t="shared" ca="1" si="26"/>
        <v>0</v>
      </c>
      <c r="AV68" s="547">
        <f t="shared" ca="1" si="26"/>
        <v>0</v>
      </c>
      <c r="AW68" s="547">
        <f t="shared" ca="1" si="26"/>
        <v>0</v>
      </c>
      <c r="AX68" s="547">
        <f t="shared" ca="1" si="26"/>
        <v>0</v>
      </c>
      <c r="AY68" s="547">
        <f t="shared" ca="1" si="26"/>
        <v>0</v>
      </c>
      <c r="AZ68" s="547">
        <f t="shared" ca="1" si="26"/>
        <v>0</v>
      </c>
      <c r="BA68" s="547">
        <f t="shared" ca="1" si="26"/>
        <v>0</v>
      </c>
      <c r="BB68" s="547">
        <f t="shared" ca="1" si="26"/>
        <v>0</v>
      </c>
      <c r="BC68" s="547">
        <f t="shared" ca="1" si="26"/>
        <v>0</v>
      </c>
      <c r="BD68" s="313"/>
      <c r="BE68" s="313"/>
      <c r="BF68" s="313"/>
      <c r="BG68" s="313"/>
      <c r="BH68" s="313"/>
      <c r="BI68" s="313"/>
      <c r="BJ68" s="313"/>
      <c r="BK68" s="313"/>
      <c r="BL68" s="313"/>
      <c r="BM68" s="313"/>
      <c r="BN68" s="25"/>
      <c r="BO68" s="25"/>
      <c r="BP68" s="25"/>
      <c r="BS68" s="1021" t="s">
        <v>1768</v>
      </c>
      <c r="BX68" s="1054"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x14ac:dyDescent="0.15">
      <c r="C69" s="1084" t="s">
        <v>1769</v>
      </c>
      <c r="D69" s="1043" t="s">
        <v>1770</v>
      </c>
      <c r="E69" s="668">
        <v>15</v>
      </c>
      <c r="F69" s="769" cm="1">
        <f t="array" aca="1" ref="F69" ca="1">OFFSET(G69,-1,-1)</f>
        <v>0</v>
      </c>
      <c r="M69" s="1067"/>
      <c r="N69" s="1067" cm="1">
        <f t="array" aca="1" ref="N69" ca="1">OFFSET(M69,-1,1)</f>
        <v>0</v>
      </c>
      <c r="O69" s="1068"/>
      <c r="P69" s="1068"/>
      <c r="Q69" s="1068"/>
      <c r="R69" s="1068"/>
      <c r="T69" s="679" t="b" cm="1">
        <f t="array" aca="1" ref="T69" ca="1">T68</f>
        <v>0</v>
      </c>
      <c r="X69" s="1485"/>
      <c r="Z69" s="1485"/>
      <c r="AB69" s="545" t="str">
        <f>AB63&amp;".6"</f>
        <v>15.6</v>
      </c>
      <c r="AC69" s="258" t="s">
        <v>1771</v>
      </c>
      <c r="AD69" s="255" t="s">
        <v>920</v>
      </c>
      <c r="AE69" s="507">
        <f ca="1">IFERROR(AE60*1000/AE63,0)</f>
        <v>0</v>
      </c>
      <c r="AF69" s="508"/>
      <c r="AG69" s="508"/>
      <c r="AH69" s="508"/>
      <c r="AI69" s="507">
        <f t="shared" ref="AI69:BC69" ca="1" si="27">IFERROR(AI60*1000/AI63,0)</f>
        <v>0</v>
      </c>
      <c r="AJ69" s="507">
        <f t="shared" ca="1" si="27"/>
        <v>0</v>
      </c>
      <c r="AK69" s="507">
        <f t="shared" ca="1" si="27"/>
        <v>0</v>
      </c>
      <c r="AL69" s="507">
        <f t="shared" ca="1" si="27"/>
        <v>0</v>
      </c>
      <c r="AM69" s="507">
        <f t="shared" ca="1" si="27"/>
        <v>0</v>
      </c>
      <c r="AN69" s="507">
        <f t="shared" ca="1" si="27"/>
        <v>0</v>
      </c>
      <c r="AO69" s="507">
        <f t="shared" ca="1" si="27"/>
        <v>0</v>
      </c>
      <c r="AP69" s="507">
        <f t="shared" ca="1" si="27"/>
        <v>0</v>
      </c>
      <c r="AQ69" s="507">
        <f t="shared" ca="1" si="27"/>
        <v>0</v>
      </c>
      <c r="AR69" s="507">
        <f t="shared" ca="1" si="27"/>
        <v>0</v>
      </c>
      <c r="AS69" s="507">
        <f t="shared" ca="1" si="27"/>
        <v>0</v>
      </c>
      <c r="AT69" s="507">
        <f t="shared" ca="1" si="27"/>
        <v>0</v>
      </c>
      <c r="AU69" s="507">
        <f t="shared" ca="1" si="27"/>
        <v>0</v>
      </c>
      <c r="AV69" s="507">
        <f t="shared" ca="1" si="27"/>
        <v>0</v>
      </c>
      <c r="AW69" s="507">
        <f t="shared" ca="1" si="27"/>
        <v>0</v>
      </c>
      <c r="AX69" s="507">
        <f t="shared" ca="1" si="27"/>
        <v>0</v>
      </c>
      <c r="AY69" s="507">
        <f t="shared" ca="1" si="27"/>
        <v>0</v>
      </c>
      <c r="AZ69" s="507">
        <f t="shared" ca="1" si="27"/>
        <v>0</v>
      </c>
      <c r="BA69" s="507">
        <f t="shared" ca="1" si="27"/>
        <v>0</v>
      </c>
      <c r="BB69" s="507">
        <f t="shared" ca="1" si="27"/>
        <v>0</v>
      </c>
      <c r="BC69" s="507">
        <f t="shared" ca="1" si="27"/>
        <v>0</v>
      </c>
      <c r="BD69" s="313"/>
      <c r="BE69" s="313"/>
      <c r="BF69" s="313"/>
      <c r="BG69" s="313"/>
      <c r="BH69" s="313"/>
      <c r="BI69" s="313"/>
      <c r="BJ69" s="313"/>
      <c r="BK69" s="313"/>
      <c r="BL69" s="313"/>
      <c r="BM69" s="313"/>
      <c r="BN69" s="25"/>
      <c r="BO69" s="25"/>
      <c r="BP69" s="25"/>
      <c r="BS69" s="1021" t="s">
        <v>1772</v>
      </c>
      <c r="BX69" s="1054"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x14ac:dyDescent="0.15">
      <c r="C70" s="1084" t="s">
        <v>1773</v>
      </c>
      <c r="D70" s="1043" t="s">
        <v>1774</v>
      </c>
      <c r="E70" s="668">
        <v>15</v>
      </c>
      <c r="F70" s="769" cm="1">
        <f t="array" aca="1" ref="F70" ca="1">OFFSET(G70,-1,-1)</f>
        <v>0</v>
      </c>
      <c r="L70" s="140" t="s">
        <v>1736</v>
      </c>
      <c r="M70" s="1067"/>
      <c r="N70" s="1067" cm="1">
        <f t="array" aca="1" ref="N70" ca="1">OFFSET(M70,-1,1)</f>
        <v>0</v>
      </c>
      <c r="O70" s="1068"/>
      <c r="P70" s="1068"/>
      <c r="Q70" s="1068"/>
      <c r="R70" s="1068"/>
      <c r="T70" s="679" t="b" cm="1">
        <f t="array" aca="1" ref="T70" ca="1">T61</f>
        <v>0</v>
      </c>
      <c r="X70" s="1485"/>
      <c r="Z70" s="1485"/>
      <c r="AB70" s="260" t="s">
        <v>1775</v>
      </c>
      <c r="AC70" s="743" t="s">
        <v>1776</v>
      </c>
      <c r="AD70" s="549" t="s">
        <v>715</v>
      </c>
      <c r="AE70" s="253">
        <f ca="1">SUMIFS('Баланс Пр'!AE$27:AE$165,'Баланс Пр'!$F$27:$F$165,$F70,'Баланс Пр'!$AB$27:$AB$165,"10")</f>
        <v>0</v>
      </c>
      <c r="AF70" s="508"/>
      <c r="AG70" s="508"/>
      <c r="AH70" s="508"/>
      <c r="AI70" s="253">
        <f ca="1">SUMIFS('Баланс Пр'!AH$27:AH$165,'Баланс Пр'!$F$27:$F$165,$F70,'Баланс Пр'!$AB$27:$AB$165,"10")</f>
        <v>0</v>
      </c>
      <c r="AJ70" s="253">
        <f ca="1">SUMIFS('Баланс Пр'!AI$27:AI$165,'Баланс Пр'!$F$27:$F$165,$F70,'Баланс Пр'!$AB$27:$AB$165,"10")</f>
        <v>0</v>
      </c>
      <c r="AK70" s="253">
        <f ca="1">SUMIFS('Баланс Пр'!AJ$27:AJ$165,'Баланс Пр'!$F$27:$F$165,$F70,'Баланс Пр'!$AB$27:$AB$165,"10")</f>
        <v>0</v>
      </c>
      <c r="AL70" s="253">
        <f ca="1">SUMIFS('Баланс Пр'!AK$27:AK$165,'Баланс Пр'!$F$27:$F$165,$F70,'Баланс Пр'!$AB$27:$AB$165,"10")</f>
        <v>0</v>
      </c>
      <c r="AM70" s="253">
        <f ca="1">SUMIFS('Баланс Пр'!AL$27:AL$165,'Баланс Пр'!$F$27:$F$165,$F70,'Баланс Пр'!$AB$27:$AB$165,"10")</f>
        <v>0</v>
      </c>
      <c r="AN70" s="253">
        <f ca="1">SUMIFS('Баланс Пр'!AM$27:AM$165,'Баланс Пр'!$F$27:$F$165,$F70,'Баланс Пр'!$AB$27:$AB$165,"10")</f>
        <v>0</v>
      </c>
      <c r="AO70" s="253">
        <f ca="1">SUMIFS('Баланс Пр'!AN$27:AN$165,'Баланс Пр'!$F$27:$F$165,$F70,'Баланс Пр'!$AB$27:$AB$165,"10")</f>
        <v>0</v>
      </c>
      <c r="AP70" s="253">
        <f ca="1">SUMIFS('Баланс Пр'!AO$27:AO$165,'Баланс Пр'!$F$27:$F$165,$F70,'Баланс Пр'!$AB$27:$AB$165,"10")</f>
        <v>0</v>
      </c>
      <c r="AQ70" s="253">
        <f ca="1">SUMIFS('Баланс Пр'!AP$27:AP$165,'Баланс Пр'!$F$27:$F$165,$F70,'Баланс Пр'!$AB$27:$AB$165,"10")</f>
        <v>0</v>
      </c>
      <c r="AR70" s="253">
        <f ca="1">SUMIFS('Баланс Пр'!AQ$27:AQ$165,'Баланс Пр'!$F$27:$F$165,$F70,'Баланс Пр'!$AB$27:$AB$165,"10")</f>
        <v>0</v>
      </c>
      <c r="AS70" s="253">
        <f ca="1">SUMIFS('Баланс Пр'!AR$27:AR$165,'Баланс Пр'!$F$27:$F$165,$F70,'Баланс Пр'!$AB$27:$AB$165,"10")</f>
        <v>0</v>
      </c>
      <c r="AT70" s="253">
        <f ca="1">SUMIFS('Баланс Пр'!AS$27:AS$165,'Баланс Пр'!$F$27:$F$165,$F70,'Баланс Пр'!$AB$27:$AB$165,"10")</f>
        <v>0</v>
      </c>
      <c r="AU70" s="253">
        <f ca="1">SUMIFS('Баланс Пр'!AT$27:AT$165,'Баланс Пр'!$F$27:$F$165,$F70,'Баланс Пр'!$AB$27:$AB$165,"10")</f>
        <v>0</v>
      </c>
      <c r="AV70" s="253">
        <f ca="1">SUMIFS('Баланс Пр'!AU$27:AU$165,'Баланс Пр'!$F$27:$F$165,$F70,'Баланс Пр'!$AB$27:$AB$165,"10")</f>
        <v>0</v>
      </c>
      <c r="AW70" s="253">
        <f ca="1">SUMIFS('Баланс Пр'!AV$27:AV$165,'Баланс Пр'!$F$27:$F$165,$F70,'Баланс Пр'!$AB$27:$AB$165,"10")</f>
        <v>0</v>
      </c>
      <c r="AX70" s="253">
        <f ca="1">SUMIFS('Баланс Пр'!AW$27:AW$165,'Баланс Пр'!$F$27:$F$165,$F70,'Баланс Пр'!$AB$27:$AB$165,"10")</f>
        <v>0</v>
      </c>
      <c r="AY70" s="253">
        <f ca="1">SUMIFS('Баланс Пр'!AX$27:AX$165,'Баланс Пр'!$F$27:$F$165,$F70,'Баланс Пр'!$AB$27:$AB$165,"10")</f>
        <v>0</v>
      </c>
      <c r="AZ70" s="253">
        <f ca="1">SUMIFS('Баланс Пр'!AY$27:AY$165,'Баланс Пр'!$F$27:$F$165,$F70,'Баланс Пр'!$AB$27:$AB$165,"10")</f>
        <v>0</v>
      </c>
      <c r="BA70" s="253">
        <f ca="1">SUMIFS('Баланс Пр'!AZ$27:AZ$165,'Баланс Пр'!$F$27:$F$165,$F70,'Баланс Пр'!$AB$27:$AB$165,"10")</f>
        <v>0</v>
      </c>
      <c r="BB70" s="253">
        <f ca="1">SUMIFS('Баланс Пр'!BA$27:BA$165,'Баланс Пр'!$F$27:$F$165,$F70,'Баланс Пр'!$AB$27:$AB$165,"10")</f>
        <v>0</v>
      </c>
      <c r="BC70" s="253">
        <f ca="1">SUMIFS('Баланс Пр'!BB$27:BB$165,'Баланс Пр'!$F$27:$F$165,$F70,'Баланс Пр'!$AB$27:$AB$165,"10")</f>
        <v>0</v>
      </c>
      <c r="BD70" s="313"/>
      <c r="BE70" s="313"/>
      <c r="BF70" s="313"/>
      <c r="BG70" s="313"/>
      <c r="BH70" s="313"/>
      <c r="BI70" s="313"/>
      <c r="BJ70" s="313"/>
      <c r="BK70" s="313"/>
      <c r="BL70" s="313"/>
      <c r="BM70" s="313"/>
      <c r="BN70" s="25"/>
      <c r="BO70" s="25"/>
      <c r="BP70" s="25"/>
      <c r="BS70" s="1021" t="s">
        <v>716</v>
      </c>
      <c r="BX70" s="1054"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x14ac:dyDescent="0.15">
      <c r="C71" s="1084" t="s">
        <v>1773</v>
      </c>
      <c r="D71" s="1043" t="s">
        <v>1774</v>
      </c>
      <c r="E71" s="668">
        <v>15</v>
      </c>
      <c r="F71" s="769" cm="1">
        <f t="array" aca="1" ref="F71" ca="1">OFFSET(G71,-1,-1)</f>
        <v>0</v>
      </c>
      <c r="G71" s="140" t="s">
        <v>1777</v>
      </c>
      <c r="L71" s="140" t="s">
        <v>1736</v>
      </c>
      <c r="M71" s="1067"/>
      <c r="N71" s="1067" cm="1">
        <f t="array" aca="1" ref="N71" ca="1">OFFSET(M71,-1,1)</f>
        <v>0</v>
      </c>
      <c r="O71" s="1068" t="s">
        <v>1750</v>
      </c>
      <c r="P71" s="1068"/>
      <c r="Q71" s="1068"/>
      <c r="R71" s="1068"/>
      <c r="T71" s="679" t="b" cm="1">
        <f t="array" aca="1" ref="T71" ca="1">T70</f>
        <v>0</v>
      </c>
      <c r="X71" s="1485"/>
      <c r="Z71" s="1485"/>
      <c r="AB71" s="545" t="str">
        <f>AB70&amp;".1"</f>
        <v>16.1</v>
      </c>
      <c r="AC71" s="600" t="s">
        <v>1778</v>
      </c>
      <c r="AD71" s="515" t="s">
        <v>715</v>
      </c>
      <c r="AE71" s="73" cm="1">
        <f t="array" aca="1" ref="AE71" ca="1">AE70</f>
        <v>0</v>
      </c>
      <c r="AF71" s="508"/>
      <c r="AG71" s="508"/>
      <c r="AH71" s="508"/>
      <c r="AI71" s="73" cm="1">
        <f t="array" aca="1" ref="AI71" ca="1">AI70</f>
        <v>0</v>
      </c>
      <c r="AJ71" s="509" cm="1">
        <f t="array" aca="1" ref="AJ71" ca="1">AJ70</f>
        <v>0</v>
      </c>
      <c r="AK71" s="1315" cm="1">
        <f t="array" aca="1" ref="AK71" ca="1">AK70</f>
        <v>0</v>
      </c>
      <c r="AL71" s="1315" cm="1">
        <f t="array" aca="1" ref="AL71" ca="1">AL70</f>
        <v>0</v>
      </c>
      <c r="AM71" s="73" cm="1">
        <f t="array" aca="1" ref="AM71" ca="1">AM70</f>
        <v>0</v>
      </c>
      <c r="AN71" s="73" cm="1">
        <f t="array" aca="1" ref="AN71" ca="1">AN70</f>
        <v>0</v>
      </c>
      <c r="AO71" s="73" cm="1">
        <f t="array" aca="1" ref="AO71" ca="1">AO70</f>
        <v>0</v>
      </c>
      <c r="AP71" s="73" cm="1">
        <f t="array" aca="1" ref="AP71" ca="1">AP70</f>
        <v>0</v>
      </c>
      <c r="AQ71" s="73" cm="1">
        <f t="array" aca="1" ref="AQ71" ca="1">AQ70</f>
        <v>0</v>
      </c>
      <c r="AR71" s="73" cm="1">
        <f t="array" aca="1" ref="AR71" ca="1">AR70</f>
        <v>0</v>
      </c>
      <c r="AS71" s="73" cm="1">
        <f t="array" aca="1" ref="AS71" ca="1">AS70</f>
        <v>0</v>
      </c>
      <c r="AT71" s="509" cm="1">
        <f t="array" aca="1" ref="AT71" ca="1">AT70</f>
        <v>0</v>
      </c>
      <c r="AU71" s="1315" cm="1">
        <f t="array" aca="1" ref="AU71" ca="1">AU70</f>
        <v>0</v>
      </c>
      <c r="AV71" s="1315" cm="1">
        <f t="array" aca="1" ref="AV71" ca="1">AV70</f>
        <v>0</v>
      </c>
      <c r="AW71" s="73" cm="1">
        <f t="array" aca="1" ref="AW71" ca="1">AW70</f>
        <v>0</v>
      </c>
      <c r="AX71" s="73" cm="1">
        <f t="array" aca="1" ref="AX71" ca="1">AX70</f>
        <v>0</v>
      </c>
      <c r="AY71" s="73" cm="1">
        <f t="array" aca="1" ref="AY71" ca="1">AY70</f>
        <v>0</v>
      </c>
      <c r="AZ71" s="73" cm="1">
        <f t="array" aca="1" ref="AZ71" ca="1">AZ70</f>
        <v>0</v>
      </c>
      <c r="BA71" s="73" cm="1">
        <f t="array" aca="1" ref="BA71" ca="1">BA70</f>
        <v>0</v>
      </c>
      <c r="BB71" s="73" cm="1">
        <f t="array" aca="1" ref="BB71" ca="1">BB70</f>
        <v>0</v>
      </c>
      <c r="BC71" s="73" cm="1">
        <f t="array" aca="1" ref="BC71" ca="1">BC70</f>
        <v>0</v>
      </c>
      <c r="BD71" s="313"/>
      <c r="BE71" s="313"/>
      <c r="BF71" s="313"/>
      <c r="BG71" s="313"/>
      <c r="BH71" s="313"/>
      <c r="BI71" s="313"/>
      <c r="BJ71" s="313"/>
      <c r="BK71" s="313"/>
      <c r="BL71" s="313"/>
      <c r="BM71" s="313"/>
      <c r="BN71" s="25"/>
      <c r="BO71" s="25"/>
      <c r="BP71" s="25"/>
      <c r="BS71" s="1021" t="s">
        <v>1779</v>
      </c>
      <c r="BX71" s="1054"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x14ac:dyDescent="0.15">
      <c r="C72" s="1084" t="s">
        <v>1773</v>
      </c>
      <c r="D72" s="1043" t="s">
        <v>1774</v>
      </c>
      <c r="E72" s="668">
        <v>15</v>
      </c>
      <c r="F72" s="769" cm="1">
        <f t="array" aca="1" ref="F72" ca="1">OFFSET(G72,-1,-1)</f>
        <v>0</v>
      </c>
      <c r="G72" s="140" t="s">
        <v>1780</v>
      </c>
      <c r="L72" s="140" t="s">
        <v>1736</v>
      </c>
      <c r="M72" s="1067"/>
      <c r="N72" s="1067" cm="1">
        <f t="array" aca="1" ref="N72" ca="1">OFFSET(M72,-1,1)</f>
        <v>0</v>
      </c>
      <c r="O72" s="1068" t="s">
        <v>1759</v>
      </c>
      <c r="P72" s="1068"/>
      <c r="Q72" s="1068"/>
      <c r="R72" s="1068"/>
      <c r="T72" s="679" t="b" cm="1">
        <f t="array" aca="1" ref="T72" ca="1">T71</f>
        <v>0</v>
      </c>
      <c r="X72" s="1485"/>
      <c r="Z72" s="1485"/>
      <c r="AB72" s="545" t="str">
        <f>AB70&amp;".2"</f>
        <v>16.2</v>
      </c>
      <c r="AC72" s="600" t="s">
        <v>1781</v>
      </c>
      <c r="AD72" s="515" t="s">
        <v>715</v>
      </c>
      <c r="AE72" s="73" cm="1">
        <f t="array" aca="1" ref="AE72" ca="1">AE70</f>
        <v>0</v>
      </c>
      <c r="AF72" s="508"/>
      <c r="AG72" s="508"/>
      <c r="AH72" s="508"/>
      <c r="AI72" s="73" cm="1">
        <f t="array" aca="1" ref="AI72" ca="1">AI70</f>
        <v>0</v>
      </c>
      <c r="AJ72" s="509" cm="1">
        <f t="array" aca="1" ref="AJ72" ca="1">AJ70</f>
        <v>0</v>
      </c>
      <c r="AK72" s="1315" cm="1">
        <f t="array" aca="1" ref="AK72" ca="1">AK70</f>
        <v>0</v>
      </c>
      <c r="AL72" s="1315" cm="1">
        <f t="array" aca="1" ref="AL72" ca="1">AL70</f>
        <v>0</v>
      </c>
      <c r="AM72" s="73" cm="1">
        <f t="array" aca="1" ref="AM72" ca="1">AM70</f>
        <v>0</v>
      </c>
      <c r="AN72" s="73" cm="1">
        <f t="array" aca="1" ref="AN72" ca="1">AN70</f>
        <v>0</v>
      </c>
      <c r="AO72" s="73" cm="1">
        <f t="array" aca="1" ref="AO72" ca="1">AO70</f>
        <v>0</v>
      </c>
      <c r="AP72" s="73" cm="1">
        <f t="array" aca="1" ref="AP72" ca="1">AP70</f>
        <v>0</v>
      </c>
      <c r="AQ72" s="73" cm="1">
        <f t="array" aca="1" ref="AQ72" ca="1">AQ70</f>
        <v>0</v>
      </c>
      <c r="AR72" s="73" cm="1">
        <f t="array" aca="1" ref="AR72" ca="1">AR70</f>
        <v>0</v>
      </c>
      <c r="AS72" s="73" cm="1">
        <f t="array" aca="1" ref="AS72" ca="1">AS70</f>
        <v>0</v>
      </c>
      <c r="AT72" s="509" cm="1">
        <f t="array" aca="1" ref="AT72" ca="1">AT70</f>
        <v>0</v>
      </c>
      <c r="AU72" s="1315" cm="1">
        <f t="array" aca="1" ref="AU72" ca="1">AU70</f>
        <v>0</v>
      </c>
      <c r="AV72" s="1315" cm="1">
        <f t="array" aca="1" ref="AV72" ca="1">AV70</f>
        <v>0</v>
      </c>
      <c r="AW72" s="73" cm="1">
        <f t="array" aca="1" ref="AW72" ca="1">AW70</f>
        <v>0</v>
      </c>
      <c r="AX72" s="73" cm="1">
        <f t="array" aca="1" ref="AX72" ca="1">AX70</f>
        <v>0</v>
      </c>
      <c r="AY72" s="73" cm="1">
        <f t="array" aca="1" ref="AY72" ca="1">AY70</f>
        <v>0</v>
      </c>
      <c r="AZ72" s="73" cm="1">
        <f t="array" aca="1" ref="AZ72" ca="1">AZ70</f>
        <v>0</v>
      </c>
      <c r="BA72" s="73" cm="1">
        <f t="array" aca="1" ref="BA72" ca="1">BA70</f>
        <v>0</v>
      </c>
      <c r="BB72" s="73" cm="1">
        <f t="array" aca="1" ref="BB72" ca="1">BB70</f>
        <v>0</v>
      </c>
      <c r="BC72" s="73" cm="1">
        <f t="array" aca="1" ref="BC72" ca="1">BC70</f>
        <v>0</v>
      </c>
      <c r="BD72" s="313"/>
      <c r="BE72" s="313"/>
      <c r="BF72" s="313"/>
      <c r="BG72" s="313"/>
      <c r="BH72" s="313"/>
      <c r="BI72" s="313"/>
      <c r="BJ72" s="313"/>
      <c r="BK72" s="313"/>
      <c r="BL72" s="313"/>
      <c r="BM72" s="313"/>
      <c r="BN72" s="25"/>
      <c r="BO72" s="25"/>
      <c r="BP72" s="25"/>
      <c r="BS72" s="1021" t="s">
        <v>1782</v>
      </c>
      <c r="BX72" s="1054"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x14ac:dyDescent="0.15">
      <c r="C73" s="1084"/>
      <c r="D73" s="1043"/>
      <c r="E73" s="668">
        <v>15</v>
      </c>
      <c r="F73" s="769" cm="1">
        <f t="array" aca="1" ref="F73" ca="1">OFFSET(G73,-1,-1)</f>
        <v>0</v>
      </c>
      <c r="L73" s="140" t="s">
        <v>1736</v>
      </c>
      <c r="M73" s="1067"/>
      <c r="N73" s="1067" cm="1">
        <f t="array" aca="1" ref="N73" ca="1">OFFSET(M73,-1,1)</f>
        <v>0</v>
      </c>
      <c r="O73" s="1068"/>
      <c r="P73" s="1068"/>
      <c r="Q73" s="1068"/>
      <c r="R73" s="1068"/>
      <c r="T73" s="679" t="b" cm="1">
        <f t="array" aca="1" ref="T73" ca="1">T72</f>
        <v>0</v>
      </c>
      <c r="X73" s="1485"/>
      <c r="Z73" s="1485"/>
      <c r="AB73" s="544" t="s">
        <v>1783</v>
      </c>
      <c r="AC73" s="513" t="s">
        <v>1784</v>
      </c>
      <c r="AD73" s="514"/>
      <c r="AE73" s="508"/>
      <c r="AF73" s="508"/>
      <c r="AG73" s="508"/>
      <c r="AH73" s="508"/>
      <c r="AI73" s="508"/>
      <c r="AJ73" s="508"/>
      <c r="AK73" s="508"/>
      <c r="AL73" s="508"/>
      <c r="AM73" s="508"/>
      <c r="AN73" s="508"/>
      <c r="AO73" s="508"/>
      <c r="AP73" s="508"/>
      <c r="AQ73" s="508"/>
      <c r="AR73" s="508"/>
      <c r="AS73" s="508"/>
      <c r="AT73" s="508"/>
      <c r="AU73" s="508"/>
      <c r="AV73" s="508"/>
      <c r="AW73" s="508"/>
      <c r="AX73" s="508"/>
      <c r="AY73" s="508"/>
      <c r="AZ73" s="508"/>
      <c r="BA73" s="508"/>
      <c r="BB73" s="508"/>
      <c r="BC73" s="508"/>
      <c r="BD73" s="313"/>
      <c r="BE73" s="313"/>
      <c r="BF73" s="313"/>
      <c r="BG73" s="313"/>
      <c r="BH73" s="313"/>
      <c r="BI73" s="313"/>
      <c r="BJ73" s="313"/>
      <c r="BK73" s="313"/>
      <c r="BL73" s="313"/>
      <c r="BM73" s="313"/>
      <c r="BN73" s="25"/>
      <c r="BO73" s="25"/>
      <c r="BP73" s="25"/>
      <c r="BS73" s="1021" t="s">
        <v>1785</v>
      </c>
      <c r="BX73" s="1122"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x14ac:dyDescent="0.15">
      <c r="C74" s="1084" t="s">
        <v>1786</v>
      </c>
      <c r="D74" s="1043" t="s">
        <v>1787</v>
      </c>
      <c r="E74" s="668">
        <v>15</v>
      </c>
      <c r="F74" s="769" cm="1">
        <f t="array" aca="1" ref="F74" ca="1">OFFSET(G74,-1,-1)</f>
        <v>0</v>
      </c>
      <c r="G74" s="140" t="s">
        <v>1788</v>
      </c>
      <c r="L74" s="140" t="s">
        <v>1736</v>
      </c>
      <c r="M74" s="1067"/>
      <c r="N74" s="1067" cm="1">
        <f t="array" aca="1" ref="N74" ca="1">OFFSET(M74,-1,1)</f>
        <v>0</v>
      </c>
      <c r="O74" s="1068" t="s">
        <v>1750</v>
      </c>
      <c r="P74" s="1068"/>
      <c r="Q74" s="1068"/>
      <c r="R74" s="1068"/>
      <c r="T74" s="679" t="b" cm="1">
        <f t="array" aca="1" ref="T74" ca="1">T73</f>
        <v>0</v>
      </c>
      <c r="X74" s="1485"/>
      <c r="Z74" s="1485"/>
      <c r="AB74" s="545" t="str">
        <f>AB73&amp;".1"</f>
        <v>17.1</v>
      </c>
      <c r="AC74" s="1129" t="s">
        <v>1789</v>
      </c>
      <c r="AD74" s="435" t="s">
        <v>920</v>
      </c>
      <c r="AE74" s="73"/>
      <c r="AF74" s="508"/>
      <c r="AG74" s="508"/>
      <c r="AH74" s="508"/>
      <c r="AI74" s="73">
        <f ca="1">MIN(AE75,IFERROR(AI61*1000/AI63,0))</f>
        <v>0</v>
      </c>
      <c r="AJ74" s="509">
        <f t="shared" ref="AJ74:AS74" ca="1" si="28">MIN(AI75,IFERROR(AJ61*1000/AJ63,0))</f>
        <v>0</v>
      </c>
      <c r="AK74" s="1315">
        <f t="shared" ca="1" si="28"/>
        <v>0</v>
      </c>
      <c r="AL74" s="1315">
        <f t="shared" ca="1" si="28"/>
        <v>0</v>
      </c>
      <c r="AM74" s="73">
        <f t="shared" ca="1" si="28"/>
        <v>0</v>
      </c>
      <c r="AN74" s="73">
        <f t="shared" ca="1" si="28"/>
        <v>0</v>
      </c>
      <c r="AO74" s="73">
        <f t="shared" ca="1" si="28"/>
        <v>0</v>
      </c>
      <c r="AP74" s="73">
        <f t="shared" ca="1" si="28"/>
        <v>0</v>
      </c>
      <c r="AQ74" s="73">
        <f t="shared" ca="1" si="28"/>
        <v>0</v>
      </c>
      <c r="AR74" s="73">
        <f t="shared" ca="1" si="28"/>
        <v>0</v>
      </c>
      <c r="AS74" s="73">
        <f t="shared" ca="1" si="28"/>
        <v>0</v>
      </c>
      <c r="AT74" s="509">
        <f ca="1">MIN(AI75,IFERROR(AT61*1000/AT63,0))</f>
        <v>0</v>
      </c>
      <c r="AU74" s="1315">
        <f t="shared" ref="AU74:BC74" ca="1" si="29">MIN(AT75,IFERROR(AU61*1000/AU63,0))</f>
        <v>0</v>
      </c>
      <c r="AV74" s="1315">
        <f t="shared" ca="1" si="29"/>
        <v>0</v>
      </c>
      <c r="AW74" s="73">
        <f t="shared" ca="1" si="29"/>
        <v>0</v>
      </c>
      <c r="AX74" s="73">
        <f t="shared" ca="1" si="29"/>
        <v>0</v>
      </c>
      <c r="AY74" s="73">
        <f t="shared" ca="1" si="29"/>
        <v>0</v>
      </c>
      <c r="AZ74" s="73">
        <f t="shared" ca="1" si="29"/>
        <v>0</v>
      </c>
      <c r="BA74" s="73">
        <f t="shared" ca="1" si="29"/>
        <v>0</v>
      </c>
      <c r="BB74" s="73">
        <f t="shared" ca="1" si="29"/>
        <v>0</v>
      </c>
      <c r="BC74" s="73">
        <f t="shared" ca="1" si="29"/>
        <v>0</v>
      </c>
      <c r="BD74" s="313"/>
      <c r="BE74" s="313"/>
      <c r="BF74" s="313"/>
      <c r="BG74" s="313"/>
      <c r="BH74" s="313"/>
      <c r="BI74" s="313"/>
      <c r="BJ74" s="313"/>
      <c r="BK74" s="313"/>
      <c r="BL74" s="313"/>
      <c r="BM74" s="313"/>
      <c r="BN74" s="25"/>
      <c r="BO74" s="25"/>
      <c r="BP74" s="25"/>
      <c r="BS74" s="1021" t="s">
        <v>1790</v>
      </c>
      <c r="BX74" s="1054"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x14ac:dyDescent="0.15">
      <c r="C75" s="1084" t="s">
        <v>1786</v>
      </c>
      <c r="D75" s="1043" t="s">
        <v>1787</v>
      </c>
      <c r="E75" s="668">
        <v>15</v>
      </c>
      <c r="F75" s="769" cm="1">
        <f t="array" aca="1" ref="F75" ca="1">OFFSET(G75,-1,-1)</f>
        <v>0</v>
      </c>
      <c r="G75" s="140" t="s">
        <v>1791</v>
      </c>
      <c r="L75" s="140" t="s">
        <v>1736</v>
      </c>
      <c r="M75" s="1067"/>
      <c r="N75" s="1067" cm="1">
        <f t="array" aca="1" ref="N75" ca="1">OFFSET(M75,-1,1)</f>
        <v>0</v>
      </c>
      <c r="O75" s="1068" t="s">
        <v>1759</v>
      </c>
      <c r="P75" s="1068"/>
      <c r="Q75" s="1068"/>
      <c r="R75" s="1068"/>
      <c r="T75" s="679" t="b" cm="1">
        <f t="array" aca="1" ref="T75" ca="1">T74</f>
        <v>0</v>
      </c>
      <c r="X75" s="1485"/>
      <c r="Z75" s="1485"/>
      <c r="AB75" s="545" t="str">
        <f>AB73&amp;".2"</f>
        <v>17.2</v>
      </c>
      <c r="AC75" s="1129" t="s">
        <v>1792</v>
      </c>
      <c r="AD75" s="435" t="s">
        <v>920</v>
      </c>
      <c r="AE75" s="507">
        <f ca="1">IFERROR((AE61*1000-AE64*AE74)/AE66,0)</f>
        <v>0</v>
      </c>
      <c r="AF75" s="508"/>
      <c r="AG75" s="508"/>
      <c r="AH75" s="508"/>
      <c r="AI75" s="507">
        <f t="shared" ref="AI75:BC75" ca="1" si="30">IFERROR((AI61*1000-AI64*AI74)/AI66,0)</f>
        <v>0</v>
      </c>
      <c r="AJ75" s="507">
        <f t="shared" ca="1" si="30"/>
        <v>0</v>
      </c>
      <c r="AK75" s="507">
        <f t="shared" ca="1" si="30"/>
        <v>0</v>
      </c>
      <c r="AL75" s="507">
        <f t="shared" ca="1" si="30"/>
        <v>0</v>
      </c>
      <c r="AM75" s="507">
        <f t="shared" ca="1" si="30"/>
        <v>0</v>
      </c>
      <c r="AN75" s="507">
        <f t="shared" ca="1" si="30"/>
        <v>0</v>
      </c>
      <c r="AO75" s="507">
        <f t="shared" ca="1" si="30"/>
        <v>0</v>
      </c>
      <c r="AP75" s="507">
        <f t="shared" ca="1" si="30"/>
        <v>0</v>
      </c>
      <c r="AQ75" s="507">
        <f t="shared" ca="1" si="30"/>
        <v>0</v>
      </c>
      <c r="AR75" s="507">
        <f t="shared" ca="1" si="30"/>
        <v>0</v>
      </c>
      <c r="AS75" s="507">
        <f t="shared" ca="1" si="30"/>
        <v>0</v>
      </c>
      <c r="AT75" s="507">
        <f t="shared" ca="1" si="30"/>
        <v>0</v>
      </c>
      <c r="AU75" s="507">
        <f t="shared" ca="1" si="30"/>
        <v>0</v>
      </c>
      <c r="AV75" s="507">
        <f t="shared" ca="1" si="30"/>
        <v>0</v>
      </c>
      <c r="AW75" s="507">
        <f t="shared" ca="1" si="30"/>
        <v>0</v>
      </c>
      <c r="AX75" s="507">
        <f t="shared" ca="1" si="30"/>
        <v>0</v>
      </c>
      <c r="AY75" s="507">
        <f t="shared" ca="1" si="30"/>
        <v>0</v>
      </c>
      <c r="AZ75" s="507">
        <f t="shared" ca="1" si="30"/>
        <v>0</v>
      </c>
      <c r="BA75" s="507">
        <f t="shared" ca="1" si="30"/>
        <v>0</v>
      </c>
      <c r="BB75" s="507">
        <f t="shared" ca="1" si="30"/>
        <v>0</v>
      </c>
      <c r="BC75" s="507">
        <f t="shared" ca="1" si="30"/>
        <v>0</v>
      </c>
      <c r="BD75" s="313"/>
      <c r="BE75" s="313"/>
      <c r="BF75" s="313"/>
      <c r="BG75" s="313"/>
      <c r="BH75" s="313"/>
      <c r="BI75" s="313"/>
      <c r="BJ75" s="313"/>
      <c r="BK75" s="313"/>
      <c r="BL75" s="313"/>
      <c r="BM75" s="313"/>
      <c r="BN75" s="25"/>
      <c r="BO75" s="25"/>
      <c r="BP75" s="25"/>
      <c r="BS75" s="1021" t="s">
        <v>1793</v>
      </c>
      <c r="BX75" s="1054"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x14ac:dyDescent="0.15">
      <c r="C76" s="1084" t="s">
        <v>1794</v>
      </c>
      <c r="D76" s="1043" t="s">
        <v>1795</v>
      </c>
      <c r="E76" s="668">
        <v>15</v>
      </c>
      <c r="F76" s="769" cm="1">
        <f t="array" aca="1" ref="F76" ca="1">OFFSET(G76,-1,-1)</f>
        <v>0</v>
      </c>
      <c r="L76" s="140" t="s">
        <v>1736</v>
      </c>
      <c r="M76" s="1067"/>
      <c r="N76" s="1067" cm="1">
        <f t="array" aca="1" ref="N76" ca="1">OFFSET(M76,-1,1)</f>
        <v>0</v>
      </c>
      <c r="O76" s="1068"/>
      <c r="P76" s="1068" t="s">
        <v>1796</v>
      </c>
      <c r="Q76" s="1068"/>
      <c r="R76" s="1068"/>
      <c r="T76" s="679" t="b" cm="1">
        <f t="array" aca="1" ref="T76" ca="1">T75</f>
        <v>0</v>
      </c>
      <c r="X76" s="1485"/>
      <c r="Z76" s="1485"/>
      <c r="AB76" s="545" t="str">
        <f>AB73&amp;".3"</f>
        <v>17.3</v>
      </c>
      <c r="AC76" s="258" t="s">
        <v>1797</v>
      </c>
      <c r="AD76" s="435" t="s">
        <v>521</v>
      </c>
      <c r="AE76" s="547">
        <f ca="1">IFERROR(AE75/AE74,0)</f>
        <v>0</v>
      </c>
      <c r="AF76" s="508"/>
      <c r="AG76" s="508"/>
      <c r="AH76" s="508"/>
      <c r="AI76" s="547">
        <f t="shared" ref="AI76:BC76" ca="1" si="31">IFERROR(AI75/AI74,0)</f>
        <v>0</v>
      </c>
      <c r="AJ76" s="547">
        <f t="shared" ca="1" si="31"/>
        <v>0</v>
      </c>
      <c r="AK76" s="547">
        <f t="shared" ca="1" si="31"/>
        <v>0</v>
      </c>
      <c r="AL76" s="547">
        <f t="shared" ca="1" si="31"/>
        <v>0</v>
      </c>
      <c r="AM76" s="547">
        <f t="shared" ca="1" si="31"/>
        <v>0</v>
      </c>
      <c r="AN76" s="547">
        <f t="shared" ca="1" si="31"/>
        <v>0</v>
      </c>
      <c r="AO76" s="547">
        <f t="shared" ca="1" si="31"/>
        <v>0</v>
      </c>
      <c r="AP76" s="547">
        <f t="shared" ca="1" si="31"/>
        <v>0</v>
      </c>
      <c r="AQ76" s="547">
        <f t="shared" ca="1" si="31"/>
        <v>0</v>
      </c>
      <c r="AR76" s="547">
        <f t="shared" ca="1" si="31"/>
        <v>0</v>
      </c>
      <c r="AS76" s="547">
        <f t="shared" ca="1" si="31"/>
        <v>0</v>
      </c>
      <c r="AT76" s="547">
        <f t="shared" ca="1" si="31"/>
        <v>0</v>
      </c>
      <c r="AU76" s="547">
        <f t="shared" ca="1" si="31"/>
        <v>0</v>
      </c>
      <c r="AV76" s="547">
        <f t="shared" ca="1" si="31"/>
        <v>0</v>
      </c>
      <c r="AW76" s="547">
        <f t="shared" ca="1" si="31"/>
        <v>0</v>
      </c>
      <c r="AX76" s="547">
        <f t="shared" ca="1" si="31"/>
        <v>0</v>
      </c>
      <c r="AY76" s="547">
        <f t="shared" ca="1" si="31"/>
        <v>0</v>
      </c>
      <c r="AZ76" s="547">
        <f t="shared" ca="1" si="31"/>
        <v>0</v>
      </c>
      <c r="BA76" s="547">
        <f t="shared" ca="1" si="31"/>
        <v>0</v>
      </c>
      <c r="BB76" s="547">
        <f t="shared" ca="1" si="31"/>
        <v>0</v>
      </c>
      <c r="BC76" s="547">
        <f t="shared" ca="1" si="31"/>
        <v>0</v>
      </c>
      <c r="BD76" s="313"/>
      <c r="BE76" s="313"/>
      <c r="BF76" s="313"/>
      <c r="BG76" s="313"/>
      <c r="BH76" s="313"/>
      <c r="BI76" s="313"/>
      <c r="BJ76" s="313"/>
      <c r="BK76" s="313"/>
      <c r="BL76" s="313"/>
      <c r="BM76" s="313"/>
      <c r="BN76" s="25"/>
      <c r="BO76" s="25"/>
      <c r="BP76" s="25"/>
      <c r="BS76" s="1021" t="s">
        <v>1798</v>
      </c>
      <c r="BX76" s="1054"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x14ac:dyDescent="0.15">
      <c r="C77" s="1084"/>
      <c r="D77" s="1043"/>
      <c r="E77" s="668">
        <v>33</v>
      </c>
      <c r="F77" s="769" cm="1">
        <f t="array" aca="1" ref="F77" ca="1">OFFSET(G77,-1,-1)</f>
        <v>0</v>
      </c>
      <c r="L77" s="140" t="s">
        <v>1736</v>
      </c>
      <c r="M77" s="1067"/>
      <c r="N77" s="1067" cm="1">
        <f t="array" aca="1" ref="N77" ca="1">OFFSET(M77,-1,1)</f>
        <v>0</v>
      </c>
      <c r="O77" s="1068"/>
      <c r="P77" s="1068"/>
      <c r="Q77" s="1068"/>
      <c r="R77" s="1068"/>
      <c r="T77" s="679" t="b" cm="1">
        <f t="array" aca="1" ref="T77" ca="1">T76</f>
        <v>0</v>
      </c>
      <c r="X77" s="1485"/>
      <c r="Z77" s="1485"/>
      <c r="AB77" s="230" t="s">
        <v>584</v>
      </c>
      <c r="AC77" s="513" t="s">
        <v>1799</v>
      </c>
      <c r="AD77" s="514"/>
      <c r="AE77" s="508"/>
      <c r="AF77" s="508"/>
      <c r="AG77" s="508"/>
      <c r="AH77" s="508"/>
      <c r="AI77" s="508"/>
      <c r="AJ77" s="508"/>
      <c r="AK77" s="508"/>
      <c r="AL77" s="508"/>
      <c r="AM77" s="508"/>
      <c r="AN77" s="508"/>
      <c r="AO77" s="508"/>
      <c r="AP77" s="508"/>
      <c r="AQ77" s="508"/>
      <c r="AR77" s="508"/>
      <c r="AS77" s="508"/>
      <c r="AT77" s="508"/>
      <c r="AU77" s="508"/>
      <c r="AV77" s="508"/>
      <c r="AW77" s="508"/>
      <c r="AX77" s="508"/>
      <c r="AY77" s="508"/>
      <c r="AZ77" s="508"/>
      <c r="BA77" s="508"/>
      <c r="BB77" s="508"/>
      <c r="BC77" s="508"/>
      <c r="BD77" s="313"/>
      <c r="BE77" s="313"/>
      <c r="BF77" s="313"/>
      <c r="BG77" s="313"/>
      <c r="BH77" s="313"/>
      <c r="BI77" s="313"/>
      <c r="BJ77" s="313"/>
      <c r="BK77" s="313"/>
      <c r="BL77" s="313"/>
      <c r="BM77" s="313"/>
      <c r="BN77" s="25"/>
      <c r="BO77" s="25"/>
      <c r="BP77" s="25"/>
      <c r="BS77" s="1021" t="s">
        <v>1800</v>
      </c>
      <c r="BX77" s="1122"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x14ac:dyDescent="0.15">
      <c r="C78" s="1084" t="s">
        <v>1801</v>
      </c>
      <c r="D78" s="1043" t="s">
        <v>1802</v>
      </c>
      <c r="E78" s="668">
        <v>33</v>
      </c>
      <c r="F78" s="769" cm="1">
        <f t="array" aca="1" ref="F78" ca="1">OFFSET(G78,-1,-1)</f>
        <v>0</v>
      </c>
      <c r="G78" s="140" t="s">
        <v>1803</v>
      </c>
      <c r="L78" s="140" t="s">
        <v>1736</v>
      </c>
      <c r="M78" s="1067"/>
      <c r="N78" s="1067" cm="1">
        <f t="array" aca="1" ref="N78" ca="1">OFFSET(M78,-1,1)</f>
        <v>0</v>
      </c>
      <c r="O78" s="1068" t="s">
        <v>1750</v>
      </c>
      <c r="P78" s="1068"/>
      <c r="Q78" s="1068"/>
      <c r="R78" s="1068"/>
      <c r="T78" s="679" t="b" cm="1">
        <f t="array" aca="1" ref="T78" ca="1">T77</f>
        <v>0</v>
      </c>
      <c r="X78" s="1485"/>
      <c r="Z78" s="1485"/>
      <c r="AB78" s="545" t="str">
        <f>AB77&amp;".1"</f>
        <v>18.1</v>
      </c>
      <c r="AC78" s="112" t="s">
        <v>1804</v>
      </c>
      <c r="AD78" s="435" t="s">
        <v>1805</v>
      </c>
      <c r="AE78" s="50"/>
      <c r="AF78" s="313"/>
      <c r="AG78" s="313"/>
      <c r="AH78" s="313"/>
      <c r="AI78" s="73">
        <f ca="1">MIN(AE79,IFERROR(AI62/AI70/12,0))</f>
        <v>0</v>
      </c>
      <c r="AJ78" s="509">
        <f t="shared" ref="AJ78:AS78" ca="1" si="32">MIN(AI79,IFERROR(AJ62/AJ70/12,0))</f>
        <v>0</v>
      </c>
      <c r="AK78" s="1315">
        <f t="shared" ca="1" si="32"/>
        <v>0</v>
      </c>
      <c r="AL78" s="1315">
        <f t="shared" ca="1" si="32"/>
        <v>0</v>
      </c>
      <c r="AM78" s="73">
        <f t="shared" ca="1" si="32"/>
        <v>0</v>
      </c>
      <c r="AN78" s="73">
        <f t="shared" ca="1" si="32"/>
        <v>0</v>
      </c>
      <c r="AO78" s="73">
        <f t="shared" ca="1" si="32"/>
        <v>0</v>
      </c>
      <c r="AP78" s="73">
        <f t="shared" ca="1" si="32"/>
        <v>0</v>
      </c>
      <c r="AQ78" s="73">
        <f t="shared" ca="1" si="32"/>
        <v>0</v>
      </c>
      <c r="AR78" s="73">
        <f t="shared" ca="1" si="32"/>
        <v>0</v>
      </c>
      <c r="AS78" s="73">
        <f t="shared" ca="1" si="32"/>
        <v>0</v>
      </c>
      <c r="AT78" s="509">
        <f ca="1">MIN(AI79,IFERROR(AT62/AT70/12,0))</f>
        <v>0</v>
      </c>
      <c r="AU78" s="1315">
        <f t="shared" ref="AU78:BC78" ca="1" si="33">MIN(AT79,IFERROR(AU62/AU70/12,0))</f>
        <v>0</v>
      </c>
      <c r="AV78" s="1315">
        <f t="shared" ca="1" si="33"/>
        <v>0</v>
      </c>
      <c r="AW78" s="73">
        <f t="shared" ca="1" si="33"/>
        <v>0</v>
      </c>
      <c r="AX78" s="73">
        <f t="shared" ca="1" si="33"/>
        <v>0</v>
      </c>
      <c r="AY78" s="73">
        <f t="shared" ca="1" si="33"/>
        <v>0</v>
      </c>
      <c r="AZ78" s="73">
        <f t="shared" ca="1" si="33"/>
        <v>0</v>
      </c>
      <c r="BA78" s="73">
        <f t="shared" ca="1" si="33"/>
        <v>0</v>
      </c>
      <c r="BB78" s="73">
        <f t="shared" ca="1" si="33"/>
        <v>0</v>
      </c>
      <c r="BC78" s="73">
        <f t="shared" ca="1" si="33"/>
        <v>0</v>
      </c>
      <c r="BD78" s="313"/>
      <c r="BE78" s="313"/>
      <c r="BF78" s="313"/>
      <c r="BG78" s="313"/>
      <c r="BH78" s="313"/>
      <c r="BI78" s="313"/>
      <c r="BJ78" s="313"/>
      <c r="BK78" s="313"/>
      <c r="BL78" s="313"/>
      <c r="BM78" s="313"/>
      <c r="BN78" s="25"/>
      <c r="BO78" s="25"/>
      <c r="BP78" s="25"/>
      <c r="BS78" s="1021" t="s">
        <v>1806</v>
      </c>
      <c r="BX78" s="1054"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x14ac:dyDescent="0.15">
      <c r="C79" s="1084" t="s">
        <v>1801</v>
      </c>
      <c r="D79" s="1043" t="s">
        <v>1802</v>
      </c>
      <c r="E79" s="668">
        <v>33</v>
      </c>
      <c r="F79" s="769" cm="1">
        <f t="array" aca="1" ref="F79" ca="1">OFFSET(G79,-1,-1)</f>
        <v>0</v>
      </c>
      <c r="G79" s="140" t="s">
        <v>1807</v>
      </c>
      <c r="L79" s="140" t="s">
        <v>1736</v>
      </c>
      <c r="M79" s="1067"/>
      <c r="N79" s="1067" cm="1">
        <f t="array" aca="1" ref="N79" ca="1">OFFSET(M79,-1,1)</f>
        <v>0</v>
      </c>
      <c r="O79" s="1068" t="s">
        <v>1759</v>
      </c>
      <c r="P79" s="1068"/>
      <c r="Q79" s="1068"/>
      <c r="R79" s="1068"/>
      <c r="T79" s="679" t="b" cm="1">
        <f t="array" aca="1" ref="T79" ca="1">T78</f>
        <v>0</v>
      </c>
      <c r="X79" s="1485"/>
      <c r="Z79" s="1485"/>
      <c r="AB79" s="545" t="str">
        <f>AB77&amp;".2"</f>
        <v>18.2</v>
      </c>
      <c r="AC79" s="112" t="s">
        <v>1808</v>
      </c>
      <c r="AD79" s="435" t="s">
        <v>1805</v>
      </c>
      <c r="AE79" s="253">
        <f ca="1">IFERROR((AE62-AE71*6*AE78)/AE72/6,0)</f>
        <v>0</v>
      </c>
      <c r="AF79" s="313"/>
      <c r="AG79" s="313"/>
      <c r="AH79" s="313"/>
      <c r="AI79" s="253">
        <f ca="1">IFERROR((AI62-AI71*6*AI78)/AI72/6,0)</f>
        <v>0</v>
      </c>
      <c r="AJ79" s="253">
        <f ca="1">IFERROR((AJ62-AJ71*IF(god=2026,9,6)*AJ78)/AJ72/IF(god=2026,3,6),0)</f>
        <v>0</v>
      </c>
      <c r="AK79" s="253">
        <f ca="1">IFERROR((AK62-AK71*IF(god=2025,9,6)*AK78)/AK72/IF(god=2025,3,6),0)</f>
        <v>0</v>
      </c>
      <c r="AL79" s="253">
        <f t="shared" ref="AL79:AS79" ca="1" si="34">IFERROR((AL62-AL71*6*AL78)/AL72/6,0)</f>
        <v>0</v>
      </c>
      <c r="AM79" s="253">
        <f t="shared" ca="1" si="34"/>
        <v>0</v>
      </c>
      <c r="AN79" s="253">
        <f t="shared" ca="1" si="34"/>
        <v>0</v>
      </c>
      <c r="AO79" s="253">
        <f t="shared" ca="1" si="34"/>
        <v>0</v>
      </c>
      <c r="AP79" s="253">
        <f t="shared" ca="1" si="34"/>
        <v>0</v>
      </c>
      <c r="AQ79" s="253">
        <f t="shared" ca="1" si="34"/>
        <v>0</v>
      </c>
      <c r="AR79" s="253">
        <f t="shared" ca="1" si="34"/>
        <v>0</v>
      </c>
      <c r="AS79" s="253">
        <f t="shared" ca="1" si="34"/>
        <v>0</v>
      </c>
      <c r="AT79" s="253">
        <f ca="1">IFERROR((AT62-AT71*IF(god=2026,9,6)*AT78)/AT72/IF(god=2026,3,6),0)</f>
        <v>0</v>
      </c>
      <c r="AU79" s="253">
        <f ca="1">IFERROR((AU62-AU71*IF(god=2025,9,6)*AU78)/AU72/IF(god=2025,3,6),0)</f>
        <v>0</v>
      </c>
      <c r="AV79" s="253">
        <f t="shared" ref="AV79:BC79" ca="1" si="35">IFERROR((AV62-AV71*6*AV78)/AV72/6,0)</f>
        <v>0</v>
      </c>
      <c r="AW79" s="253">
        <f t="shared" ca="1" si="35"/>
        <v>0</v>
      </c>
      <c r="AX79" s="253">
        <f t="shared" ca="1" si="35"/>
        <v>0</v>
      </c>
      <c r="AY79" s="253">
        <f t="shared" ca="1" si="35"/>
        <v>0</v>
      </c>
      <c r="AZ79" s="253">
        <f t="shared" ca="1" si="35"/>
        <v>0</v>
      </c>
      <c r="BA79" s="253">
        <f t="shared" ca="1" si="35"/>
        <v>0</v>
      </c>
      <c r="BB79" s="253">
        <f t="shared" ca="1" si="35"/>
        <v>0</v>
      </c>
      <c r="BC79" s="253">
        <f t="shared" ca="1" si="35"/>
        <v>0</v>
      </c>
      <c r="BD79" s="313"/>
      <c r="BE79" s="313"/>
      <c r="BF79" s="313"/>
      <c r="BG79" s="313"/>
      <c r="BH79" s="313"/>
      <c r="BI79" s="313"/>
      <c r="BJ79" s="313"/>
      <c r="BK79" s="313"/>
      <c r="BL79" s="313"/>
      <c r="BM79" s="313"/>
      <c r="BN79" s="25"/>
      <c r="BO79" s="25"/>
      <c r="BP79" s="25"/>
      <c r="BS79" s="1021" t="s">
        <v>1809</v>
      </c>
      <c r="BX79" s="1054"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x14ac:dyDescent="0.15">
      <c r="C80" s="1084" t="s">
        <v>1794</v>
      </c>
      <c r="D80" s="1043" t="s">
        <v>1795</v>
      </c>
      <c r="E80" s="668">
        <v>15</v>
      </c>
      <c r="F80" s="769" cm="1">
        <f t="array" aca="1" ref="F80" ca="1">OFFSET(G80,-1,-1)</f>
        <v>0</v>
      </c>
      <c r="L80" s="140" t="s">
        <v>1736</v>
      </c>
      <c r="M80" s="1067"/>
      <c r="N80" s="1067" cm="1">
        <f t="array" aca="1" ref="N80" ca="1">OFFSET(M80,-1,1)</f>
        <v>0</v>
      </c>
      <c r="O80" s="1068"/>
      <c r="P80" s="1068"/>
      <c r="Q80" s="1068" t="s">
        <v>1810</v>
      </c>
      <c r="R80" s="1068"/>
      <c r="T80" s="679" t="b" cm="1">
        <f t="array" aca="1" ref="T80" ca="1">T79</f>
        <v>0</v>
      </c>
      <c r="X80" s="1485"/>
      <c r="Z80" s="1485"/>
      <c r="AB80" s="545" t="str">
        <f>AB77&amp;".3"</f>
        <v>18.3</v>
      </c>
      <c r="AC80" s="258" t="s">
        <v>1811</v>
      </c>
      <c r="AD80" s="597" t="s">
        <v>521</v>
      </c>
      <c r="AE80" s="880">
        <f ca="1">IFERROR(AE79/AE78,0)</f>
        <v>0</v>
      </c>
      <c r="AF80" s="313"/>
      <c r="AG80" s="313"/>
      <c r="AH80" s="881"/>
      <c r="AI80" s="547">
        <f t="shared" ref="AI80:BC80" ca="1" si="36">IFERROR(AI79/AI78,0)</f>
        <v>0</v>
      </c>
      <c r="AJ80" s="547">
        <f t="shared" ca="1" si="36"/>
        <v>0</v>
      </c>
      <c r="AK80" s="547">
        <f t="shared" ca="1" si="36"/>
        <v>0</v>
      </c>
      <c r="AL80" s="547">
        <f t="shared" ca="1" si="36"/>
        <v>0</v>
      </c>
      <c r="AM80" s="547">
        <f t="shared" ca="1" si="36"/>
        <v>0</v>
      </c>
      <c r="AN80" s="547">
        <f t="shared" ca="1" si="36"/>
        <v>0</v>
      </c>
      <c r="AO80" s="547">
        <f t="shared" ca="1" si="36"/>
        <v>0</v>
      </c>
      <c r="AP80" s="547">
        <f t="shared" ca="1" si="36"/>
        <v>0</v>
      </c>
      <c r="AQ80" s="547">
        <f t="shared" ca="1" si="36"/>
        <v>0</v>
      </c>
      <c r="AR80" s="547">
        <f t="shared" ca="1" si="36"/>
        <v>0</v>
      </c>
      <c r="AS80" s="547">
        <f t="shared" ca="1" si="36"/>
        <v>0</v>
      </c>
      <c r="AT80" s="547">
        <f t="shared" ca="1" si="36"/>
        <v>0</v>
      </c>
      <c r="AU80" s="547">
        <f t="shared" ca="1" si="36"/>
        <v>0</v>
      </c>
      <c r="AV80" s="547">
        <f t="shared" ca="1" si="36"/>
        <v>0</v>
      </c>
      <c r="AW80" s="547">
        <f t="shared" ca="1" si="36"/>
        <v>0</v>
      </c>
      <c r="AX80" s="547">
        <f t="shared" ca="1" si="36"/>
        <v>0</v>
      </c>
      <c r="AY80" s="547">
        <f t="shared" ca="1" si="36"/>
        <v>0</v>
      </c>
      <c r="AZ80" s="547">
        <f t="shared" ca="1" si="36"/>
        <v>0</v>
      </c>
      <c r="BA80" s="547">
        <f t="shared" ca="1" si="36"/>
        <v>0</v>
      </c>
      <c r="BB80" s="547">
        <f t="shared" ca="1" si="36"/>
        <v>0</v>
      </c>
      <c r="BC80" s="547">
        <f t="shared" ca="1" si="36"/>
        <v>0</v>
      </c>
      <c r="BD80" s="313"/>
      <c r="BE80" s="313"/>
      <c r="BF80" s="313"/>
      <c r="BG80" s="313"/>
      <c r="BH80" s="313"/>
      <c r="BI80" s="313"/>
      <c r="BJ80" s="313"/>
      <c r="BK80" s="313"/>
      <c r="BL80" s="313"/>
      <c r="BM80" s="313"/>
      <c r="BN80" s="25"/>
      <c r="BO80" s="25"/>
      <c r="BP80" s="25"/>
      <c r="BS80" s="1021" t="s">
        <v>1812</v>
      </c>
      <c r="BX80" s="1054"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x14ac:dyDescent="0.15">
      <c r="C81" s="1084" t="s">
        <v>1813</v>
      </c>
      <c r="D81" s="1043" t="s">
        <v>1814</v>
      </c>
      <c r="E81" s="668">
        <v>30</v>
      </c>
      <c r="F81" s="769" cm="1">
        <f t="array" aca="1" ref="F81" ca="1">OFFSET(G81,-1,-1)</f>
        <v>0</v>
      </c>
      <c r="M81" s="1067"/>
      <c r="N81" s="1067" cm="1">
        <f t="array" aca="1" ref="N81" ca="1">OFFSET(M81,-1,1)</f>
        <v>0</v>
      </c>
      <c r="O81" s="1068"/>
      <c r="P81" s="1068"/>
      <c r="Q81" s="1068"/>
      <c r="R81" s="1068"/>
      <c r="T81" s="679" t="b" cm="1">
        <f t="array" aca="1" ref="T81" ca="1">T60</f>
        <v>0</v>
      </c>
      <c r="X81" s="1485"/>
      <c r="Z81" s="1485"/>
      <c r="AB81" s="232" t="s">
        <v>1815</v>
      </c>
      <c r="AC81" s="878" t="s">
        <v>1816</v>
      </c>
      <c r="AD81" s="479" t="s">
        <v>1044</v>
      </c>
      <c r="AE81" s="50"/>
      <c r="AF81" s="50"/>
      <c r="AG81" s="87"/>
      <c r="AH81" s="253">
        <f>AG81-AF81</f>
        <v>0</v>
      </c>
      <c r="AI81" s="88"/>
      <c r="AJ81" s="879"/>
      <c r="AK81" s="1327"/>
      <c r="AL81" s="1327"/>
      <c r="AM81" s="88"/>
      <c r="AN81" s="88"/>
      <c r="AO81" s="88"/>
      <c r="AP81" s="88"/>
      <c r="AQ81" s="88"/>
      <c r="AR81" s="88"/>
      <c r="AS81" s="88"/>
      <c r="AT81" s="879"/>
      <c r="AU81" s="1327"/>
      <c r="AV81" s="1327"/>
      <c r="AW81" s="88"/>
      <c r="AX81" s="88"/>
      <c r="AY81" s="88"/>
      <c r="AZ81" s="88"/>
      <c r="BA81" s="88"/>
      <c r="BB81" s="88"/>
      <c r="BC81" s="88"/>
      <c r="BD81" s="253">
        <f>IF(AI81=0,0,(AT81-AI81)/AI81*100)</f>
        <v>0</v>
      </c>
      <c r="BE81" s="253">
        <f t="shared" ref="BE81:BM81" si="37">IF(AT81=0,0,(AU81-AT81)/AT81*100)</f>
        <v>0</v>
      </c>
      <c r="BF81" s="253">
        <f t="shared" si="37"/>
        <v>0</v>
      </c>
      <c r="BG81" s="253">
        <f t="shared" si="37"/>
        <v>0</v>
      </c>
      <c r="BH81" s="253">
        <f t="shared" si="37"/>
        <v>0</v>
      </c>
      <c r="BI81" s="253">
        <f t="shared" si="37"/>
        <v>0</v>
      </c>
      <c r="BJ81" s="253">
        <f t="shared" si="37"/>
        <v>0</v>
      </c>
      <c r="BK81" s="253">
        <f t="shared" si="37"/>
        <v>0</v>
      </c>
      <c r="BL81" s="253">
        <f t="shared" si="37"/>
        <v>0</v>
      </c>
      <c r="BM81" s="253">
        <f t="shared" si="37"/>
        <v>0</v>
      </c>
      <c r="BN81" s="25"/>
      <c r="BO81" s="25"/>
      <c r="BP81" s="25"/>
      <c r="BS81" s="1021" t="s">
        <v>1817</v>
      </c>
      <c r="BX81" s="1054"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291" customFormat="1" ht="16.5" customHeight="1" x14ac:dyDescent="0.15">
      <c r="A82" s="167"/>
      <c r="B82" s="167"/>
      <c r="C82" s="1107"/>
      <c r="D82" s="1038"/>
      <c r="E82" s="668">
        <v>17.100000000000001</v>
      </c>
      <c r="F82" s="769" t="str" cm="1">
        <f t="array" ref="F82">X82</f>
        <v>1</v>
      </c>
      <c r="G82" s="612" t="str" cm="1">
        <f t="array" ref="G82">INDEX('Общие сведения'!$AK$169:$AK$202,MATCH($F82,'Общие сведения'!$Z$169:$Z$202,0))</f>
        <v>одноставочный</v>
      </c>
      <c r="H82" s="167"/>
      <c r="I82" s="160" t="str" cm="1">
        <f t="array" ref="I82">INDEX('Общие сведения'!$AE$169:$AE$202,MATCH($F82,'Общие сведения'!$Z$169:$Z$202,0))</f>
        <v>Теплоснабжение</v>
      </c>
      <c r="J82" s="167"/>
      <c r="K82" s="160" t="str" cm="1">
        <f t="array" ref="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167"/>
      <c r="M82" s="1056"/>
      <c r="N82" s="1056"/>
      <c r="O82" s="1066"/>
      <c r="P82" s="1066"/>
      <c r="Q82" s="1066"/>
      <c r="R82" s="1066"/>
      <c r="S82" s="167"/>
      <c r="T82" s="679" t="b">
        <f>X82&gt;0</f>
        <v>1</v>
      </c>
      <c r="U82" s="167"/>
      <c r="V82" s="123" t="str" cm="1">
        <f t="array" ref="V82">'Корр Факт'!$AB$75</f>
        <v>Тариф 1 (Теплоснабжение) - Тариф на тепловую энергию (мощность), поставляемую потребителям (Не определено)</v>
      </c>
      <c r="W82" s="167"/>
      <c r="X82" s="1485" t="s">
        <v>339</v>
      </c>
      <c r="Y82" s="167"/>
      <c r="Z82" s="1483"/>
      <c r="AA82" s="167"/>
      <c r="AB82" s="271" t="str" cm="1">
        <f t="array" ref="AB82">IF(ISBLANK('Корр Факт'!$AB$75),"",'Корр Факт'!$AB$75)</f>
        <v>Тариф 1 (Теплоснабжение) - Тариф на тепловую энергию (мощность), поставляемую потребителям (Не определено)</v>
      </c>
      <c r="AC82" s="272"/>
      <c r="AD82" s="272"/>
      <c r="AE82" s="272"/>
      <c r="AF82" s="272"/>
      <c r="AG82" s="272"/>
      <c r="AH82" s="272"/>
      <c r="AI82" s="272"/>
      <c r="AJ82" s="272"/>
      <c r="AK82" s="272"/>
      <c r="AL82" s="272"/>
      <c r="AM82" s="272"/>
      <c r="AN82" s="272"/>
      <c r="AO82" s="272"/>
      <c r="AP82" s="272"/>
      <c r="AQ82" s="272"/>
      <c r="AR82" s="272"/>
      <c r="AS82" s="272"/>
      <c r="AT82" s="272"/>
      <c r="AU82" s="272"/>
      <c r="AV82" s="272"/>
      <c r="AW82" s="272"/>
      <c r="AX82" s="272"/>
      <c r="AY82" s="272"/>
      <c r="AZ82" s="272"/>
      <c r="BA82" s="272"/>
      <c r="BB82" s="272"/>
      <c r="BC82" s="272"/>
      <c r="BD82" s="272"/>
      <c r="BE82" s="272"/>
      <c r="BF82" s="272"/>
      <c r="BG82" s="272"/>
      <c r="BH82" s="272"/>
      <c r="BI82" s="272"/>
      <c r="BJ82" s="272"/>
      <c r="BK82" s="272"/>
      <c r="BL82" s="272"/>
      <c r="BM82" s="272"/>
      <c r="BN82" s="272"/>
      <c r="BO82" s="272"/>
      <c r="BP82" s="272"/>
      <c r="BQ82" s="167"/>
      <c r="BR82" s="167"/>
      <c r="BS82" s="971"/>
      <c r="BT82" s="971"/>
      <c r="BU82" s="971"/>
      <c r="BV82" s="974"/>
      <c r="BW82" s="974"/>
      <c r="BX82" s="1082"/>
    </row>
    <row r="83" spans="1:76" s="1167" customFormat="1" ht="16.5" customHeight="1" x14ac:dyDescent="0.15">
      <c r="A83" s="175"/>
      <c r="B83" s="773"/>
      <c r="C83" s="1084" t="s">
        <v>1612</v>
      </c>
      <c r="D83" s="1043" t="s">
        <v>1613</v>
      </c>
      <c r="E83" s="668">
        <v>17.100000000000001</v>
      </c>
      <c r="F83" s="769" t="str" cm="1">
        <f t="array" aca="1" ref="F83" ca="1">OFFSET(G83,-1,-1)</f>
        <v>1</v>
      </c>
      <c r="G83" s="140" t="s">
        <v>1317</v>
      </c>
      <c r="H83" s="177"/>
      <c r="I83" s="177"/>
      <c r="J83" s="177"/>
      <c r="K83" s="177"/>
      <c r="L83" s="140"/>
      <c r="M83" s="1067"/>
      <c r="N83" s="1067" t="str" cm="1">
        <f t="array" aca="1" ref="N83" ca="1">INDEX('Общие сведения'!$N$169:$N$202,MATCH($F83,'Общие сведения'!$Z$169:$Z$202,0)+1)</f>
        <v>ТЭ.42.27968109.0001</v>
      </c>
      <c r="O83" s="1068"/>
      <c r="P83" s="1068"/>
      <c r="Q83" s="1068"/>
      <c r="R83" s="1068"/>
      <c r="T83" s="679" t="b" cm="1">
        <f t="array" ref="T83">T82</f>
        <v>1</v>
      </c>
      <c r="U83" s="1152"/>
      <c r="V83" s="1152"/>
      <c r="W83" s="1152"/>
      <c r="X83" s="1485"/>
      <c r="Y83" s="1152"/>
      <c r="Z83" s="1485"/>
      <c r="AA83" s="177"/>
      <c r="AB83" s="108" t="s">
        <v>339</v>
      </c>
      <c r="AC83" s="614" t="s">
        <v>1370</v>
      </c>
      <c r="AD83" s="411" t="s">
        <v>1044</v>
      </c>
      <c r="AE83" s="507">
        <f ca="1">SUMIFS('Операционные (5.1)'!AE$26:AE$76,'Операционные (5.1)'!$F$26:$F$76,$F83,'Операционные (5.1)'!$G$26:$G$76,$G83)</f>
        <v>160906.03393550339</v>
      </c>
      <c r="AF83" s="507">
        <f ca="1">SUMIFS('Операционные (5.1)'!AF$26:AF$76,'Операционные (5.1)'!$F$26:$F$76,$F83,'Операционные (5.1)'!$G$26:$G$76,$G83)</f>
        <v>173169.05414999998</v>
      </c>
      <c r="AG83" s="507">
        <f ca="1">SUMIFS('Операционные (5.1)'!AG$26:AG$76,'Операционные (5.1)'!$F$26:$F$76,$F83,'Операционные (5.1)'!$G$26:$G$76,$G83)</f>
        <v>160906.02270972016</v>
      </c>
      <c r="AH83" s="253">
        <f t="shared" ref="AH83:AH109" ca="1" si="38">AG83-AF83</f>
        <v>-12263.031440279825</v>
      </c>
      <c r="AI83" s="507">
        <f ca="1">SUMIFS('Операционные (5.1)'!AI$26:AI$76,'Операционные (5.1)'!$F$26:$F$76,$F83,'Операционные (5.1)'!$G$26:$G$76,$G83)</f>
        <v>177612.67650402567</v>
      </c>
      <c r="AJ83" s="613">
        <f ca="1">SUMIFS(INDEX('Операционные (5.2)'!$AJ$26:$BC$45,,MATCH(AJ$8,'Операционные (5.2)'!$AJ$8:$BC$8,0)),'Операционные (5.2)'!$F$26:$F$45,$F83,'Операционные (5.2)'!$G$26:$G$45,$G83)</f>
        <v>185094.83003102592</v>
      </c>
      <c r="AK83" s="613">
        <f ca="1">SUMIFS(INDEX('Операционные (5.2)'!$AJ$26:$BC$45,,MATCH(AK$8,'Операционные (5.2)'!$AJ$8:$BC$8,0)),'Операционные (5.2)'!$F$26:$F$45,$F83,'Операционные (5.2)'!$G$26:$G$45,$G83)</f>
        <v>183243.88173071566</v>
      </c>
      <c r="AL83" s="613">
        <f ca="1">SUMIFS(INDEX('Операционные (5.2)'!$AJ$26:$BC$45,,MATCH(AL$8,'Операционные (5.2)'!$AJ$8:$BC$8,0)),'Операционные (5.2)'!$F$26:$F$45,$F83,'Операционные (5.2)'!$G$26:$G$45,$G83)</f>
        <v>181411.44291340851</v>
      </c>
      <c r="AM83" s="613">
        <f ca="1">SUMIFS(INDEX('Операционные (5.2)'!$AJ$26:$BC$45,,MATCH(AM$8,'Операционные (5.2)'!$AJ$8:$BC$8,0)),'Операционные (5.2)'!$F$26:$F$45,$F83,'Операционные (5.2)'!$G$26:$G$45,$G83)</f>
        <v>179597.32848427442</v>
      </c>
      <c r="AN83" s="613">
        <f ca="1">SUMIFS(INDEX('Операционные (5.2)'!$AJ$26:$BC$45,,MATCH(AN$8,'Операционные (5.2)'!$AJ$8:$BC$8,0)),'Операционные (5.2)'!$F$26:$F$45,$F83,'Операционные (5.2)'!$G$26:$G$45,$G83)</f>
        <v>177801.35519943168</v>
      </c>
      <c r="AO83" s="613">
        <f ca="1">SUMIFS(INDEX('Операционные (5.2)'!$AJ$26:$BC$45,,MATCH(AO$8,'Операционные (5.2)'!$AJ$8:$BC$8,0)),'Операционные (5.2)'!$F$26:$F$45,$F83,'Операционные (5.2)'!$G$26:$G$45,$G83)</f>
        <v>176023.34164743737</v>
      </c>
      <c r="AP83" s="613">
        <f ca="1">SUMIFS(INDEX('Операционные (5.2)'!$AJ$26:$BC$45,,MATCH(AP$8,'Операционные (5.2)'!$AJ$8:$BC$8,0)),'Операционные (5.2)'!$F$26:$F$45,$F83,'Операционные (5.2)'!$G$26:$G$45,$G83)</f>
        <v>174263.108230963</v>
      </c>
      <c r="AQ83" s="613">
        <f ca="1">SUMIFS(INDEX('Операционные (5.2)'!$AJ$26:$BC$45,,MATCH(AQ$8,'Операционные (5.2)'!$AJ$8:$BC$8,0)),'Операционные (5.2)'!$F$26:$F$45,$F83,'Операционные (5.2)'!$G$26:$G$45,$G83)</f>
        <v>172520.47714865336</v>
      </c>
      <c r="AR83" s="613">
        <f ca="1">SUMIFS(INDEX('Операционные (5.2)'!$AJ$26:$BC$45,,MATCH(AR$8,'Операционные (5.2)'!$AJ$8:$BC$8,0)),'Операционные (5.2)'!$F$26:$F$45,$F83,'Операционные (5.2)'!$G$26:$G$45,$G83)</f>
        <v>170795.27237716681</v>
      </c>
      <c r="AS83" s="613">
        <f ca="1">SUMIFS(INDEX('Операционные (5.2)'!$AJ$26:$BC$45,,MATCH(AS$8,'Операционные (5.2)'!$AJ$8:$BC$8,0)),'Операционные (5.2)'!$F$26:$F$45,$F83,'Операционные (5.2)'!$G$26:$G$45,$G83)</f>
        <v>169087.31965339513</v>
      </c>
      <c r="AT83" s="613">
        <f ca="1">SUMIFS(INDEX('Операционные (5.2)'!$AJ$26:$BC$45,,MATCH(AT$8,'Операционные (5.2)'!$AJ$8:$BC$8,0)),'Операционные (5.2)'!$F$26:$F$45,$F83,'Операционные (5.2)'!$G$26:$G$45,$G83)</f>
        <v>185097.24857724705</v>
      </c>
      <c r="AU83" s="613">
        <f ca="1">SUMIFS(INDEX('Операционные (5.2)'!$AJ$26:$BC$45,,MATCH(AU$8,'Операционные (5.2)'!$AJ$8:$BC$8,0)),'Операционные (5.2)'!$F$26:$F$45,$F83,'Операционные (5.2)'!$G$26:$G$45,$G83)</f>
        <v>183246.27609147457</v>
      </c>
      <c r="AV83" s="613">
        <f ca="1">SUMIFS(INDEX('Операционные (5.2)'!$AJ$26:$BC$45,,MATCH(AV$8,'Операционные (5.2)'!$AJ$8:$BC$8,0)),'Операционные (5.2)'!$F$26:$F$45,$F83,'Операционные (5.2)'!$G$26:$G$45,$G83)</f>
        <v>181413.81333055982</v>
      </c>
      <c r="AW83" s="613">
        <f ca="1">SUMIFS(INDEX('Операционные (5.2)'!$AJ$26:$BC$45,,MATCH(AW$8,'Операционные (5.2)'!$AJ$8:$BC$8,0)),'Операционные (5.2)'!$F$26:$F$45,$F83,'Операционные (5.2)'!$G$26:$G$45,$G83)</f>
        <v>179599.67519725423</v>
      </c>
      <c r="AX83" s="613">
        <f ca="1">SUMIFS(INDEX('Операционные (5.2)'!$AJ$26:$BC$45,,MATCH(AX$8,'Операционные (5.2)'!$AJ$8:$BC$8,0)),'Операционные (5.2)'!$F$26:$F$45,$F83,'Операционные (5.2)'!$G$26:$G$45,$G83)</f>
        <v>177803.67844528169</v>
      </c>
      <c r="AY83" s="613">
        <f ca="1">SUMIFS(INDEX('Операционные (5.2)'!$AJ$26:$BC$45,,MATCH(AY$8,'Операционные (5.2)'!$AJ$8:$BC$8,0)),'Операционные (5.2)'!$F$26:$F$45,$F83,'Операционные (5.2)'!$G$26:$G$45,$G83)</f>
        <v>176025.64166082887</v>
      </c>
      <c r="AZ83" s="613">
        <f ca="1">SUMIFS(INDEX('Операционные (5.2)'!$AJ$26:$BC$45,,MATCH(AZ$8,'Операционные (5.2)'!$AJ$8:$BC$8,0)),'Операционные (5.2)'!$F$26:$F$45,$F83,'Операционные (5.2)'!$G$26:$G$45,$G83)</f>
        <v>174265.38524422058</v>
      </c>
      <c r="BA83" s="613">
        <f ca="1">SUMIFS(INDEX('Операционные (5.2)'!$AJ$26:$BC$45,,MATCH(BA$8,'Операционные (5.2)'!$AJ$8:$BC$8,0)),'Операционные (5.2)'!$F$26:$F$45,$F83,'Операционные (5.2)'!$G$26:$G$45,$G83)</f>
        <v>172522.73139177836</v>
      </c>
      <c r="BB83" s="613">
        <f ca="1">SUMIFS(INDEX('Операционные (5.2)'!$AJ$26:$BC$45,,MATCH(BB$8,'Операционные (5.2)'!$AJ$8:$BC$8,0)),'Операционные (5.2)'!$F$26:$F$45,$F83,'Операционные (5.2)'!$G$26:$G$45,$G83)</f>
        <v>170797.50407786056</v>
      </c>
      <c r="BC83" s="613">
        <f ca="1">SUMIFS(INDEX('Операционные (5.2)'!$AJ$26:$BC$45,,MATCH(BC$8,'Операционные (5.2)'!$AJ$8:$BC$8,0)),'Операционные (5.2)'!$F$26:$F$45,$F83,'Операционные (5.2)'!$G$26:$G$45,$G83)</f>
        <v>169089.52903708196</v>
      </c>
      <c r="BD83" s="253">
        <f t="shared" ref="BD83:BD109" ca="1" si="39">IF(AI83=0,0,(AT83-AI83)/AI83*100)</f>
        <v>4.2139852968499918</v>
      </c>
      <c r="BE83" s="253">
        <f t="shared" ref="BE83:BE109" ca="1" si="40">IF(AT83=0,0,(AU83-AT83)/AT83*100)</f>
        <v>-1.0000000000000049</v>
      </c>
      <c r="BF83" s="253">
        <f t="shared" ref="BF83:BF109" ca="1" si="41">IF(AU83=0,0,(AV83-AU83)/AU83*100)</f>
        <v>-1.0000000000000064</v>
      </c>
      <c r="BG83" s="253">
        <f t="shared" ref="BG83:BG109" ca="1" si="42">IF(AV83=0,0,(AW83-AV83)/AV83*100)</f>
        <v>-0.99999999999999589</v>
      </c>
      <c r="BH83" s="253">
        <f t="shared" ref="BH83:BH109" ca="1" si="43">IF(AW83=0,0,(AX83-AW83)/AW83*100)</f>
        <v>-0.99999999999999445</v>
      </c>
      <c r="BI83" s="253">
        <f t="shared" ref="BI83:BI109" ca="1" si="44">IF(AX83=0,0,(AY83-AX83)/AX83*100)</f>
        <v>-1.0000000000000033</v>
      </c>
      <c r="BJ83" s="253">
        <f t="shared" ref="BJ83:BJ109" ca="1" si="45">IF(AY83=0,0,(AZ83-AY83)/AY83*100)</f>
        <v>-0.99999999999999989</v>
      </c>
      <c r="BK83" s="253">
        <f t="shared" ref="BK83:BK109" ca="1" si="46">IF(AZ83=0,0,(BA83-AZ83)/AZ83*100)</f>
        <v>-1.0000000000000089</v>
      </c>
      <c r="BL83" s="253">
        <f t="shared" ref="BL83:BL109" ca="1" si="47">IF(BA83=0,0,(BB83-BA83)/BA83*100)</f>
        <v>-1.0000000000000093</v>
      </c>
      <c r="BM83" s="253">
        <f t="shared" ref="BM83:BM109" ca="1" si="48">IF(BB83=0,0,(BC83-BB83)/BB83*100)</f>
        <v>-0.99999999999999967</v>
      </c>
      <c r="BN83" s="1231"/>
      <c r="BO83" s="1231"/>
      <c r="BP83" s="1231"/>
      <c r="BQ83" s="177"/>
      <c r="BR83" s="177"/>
      <c r="BS83" s="1021" t="s">
        <v>1614</v>
      </c>
      <c r="BT83" s="1021"/>
      <c r="BU83" s="1021"/>
      <c r="BV83" s="1022"/>
      <c r="BW83" s="1022"/>
      <c r="BX83" s="1054"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M10746::ТЭ.42.27968109.0001::Неопределено::Неопределено::Неопределено::Неопределено::Неопределено</v>
      </c>
    </row>
    <row r="84" spans="1:76" s="1167" customFormat="1" ht="16.5" customHeight="1" x14ac:dyDescent="0.15">
      <c r="A84" s="175"/>
      <c r="B84" s="773"/>
      <c r="C84" s="1084" t="s">
        <v>1615</v>
      </c>
      <c r="D84" s="1043" t="s">
        <v>1616</v>
      </c>
      <c r="E84" s="668">
        <v>17.100000000000001</v>
      </c>
      <c r="F84" s="769" t="str" cm="1">
        <f t="array" aca="1" ref="F84" ca="1">OFFSET(G84,-1,-1)</f>
        <v>1</v>
      </c>
      <c r="G84" s="140" t="s">
        <v>1376</v>
      </c>
      <c r="H84" s="177"/>
      <c r="I84" s="177"/>
      <c r="J84" s="177"/>
      <c r="K84" s="177"/>
      <c r="L84" s="140"/>
      <c r="M84" s="1067"/>
      <c r="N84" s="1067" t="str" cm="1">
        <f t="array" aca="1" ref="N84" ca="1">OFFSET(M84,-1,1)</f>
        <v>ТЭ.42.27968109.0001</v>
      </c>
      <c r="O84" s="1068"/>
      <c r="P84" s="1068"/>
      <c r="Q84" s="1068"/>
      <c r="R84" s="1068"/>
      <c r="T84" s="679" t="b" cm="1">
        <f t="array" ref="T84">T83</f>
        <v>1</v>
      </c>
      <c r="U84" s="1152"/>
      <c r="V84" s="1152"/>
      <c r="W84" s="1152"/>
      <c r="X84" s="1485"/>
      <c r="Y84" s="1152"/>
      <c r="Z84" s="1485"/>
      <c r="AA84" s="177"/>
      <c r="AB84" s="108" t="s">
        <v>426</v>
      </c>
      <c r="AC84" s="540" t="s">
        <v>1617</v>
      </c>
      <c r="AD84" s="411" t="s">
        <v>1044</v>
      </c>
      <c r="AE84" s="507">
        <f ca="1">SUMIFS('Неподконтрольные (5.3)'!AE$26:AE$67,'Неподконтрольные (5.3)'!$F$26:$F$67,$F84,'Неподконтрольные (5.3)'!$G$26:$G$67,$G84)</f>
        <v>48637.205513681904</v>
      </c>
      <c r="AF84" s="507">
        <f ca="1">SUMIFS('Неподконтрольные (5.3)'!AF$26:AF$67,'Неподконтрольные (5.3)'!$F$26:$F$67,$F84,'Неподконтрольные (5.3)'!$G$26:$G$67,$G84)</f>
        <v>56924.579659999996</v>
      </c>
      <c r="AG84" s="507">
        <f ca="1">SUMIFS('Неподконтрольные (5.3)'!AG$26:AG$67,'Неподконтрольные (5.3)'!$F$26:$F$67,$F84,'Неподконтрольные (5.3)'!$G$26:$G$67,$G84)</f>
        <v>53625.669159999998</v>
      </c>
      <c r="AH84" s="253">
        <f t="shared" ca="1" si="38"/>
        <v>-3298.9104999999981</v>
      </c>
      <c r="AI84" s="507">
        <f ca="1">SUMIFS('Неподконтрольные (5.3)'!AI$26:AI$67,'Неподконтрольные (5.3)'!$F$26:$F$67,$F84,'Неподконтрольные (5.3)'!$G$26:$G$67,$G84)</f>
        <v>48148.870809406202</v>
      </c>
      <c r="AJ84" s="507">
        <f ca="1">SUMIFS('Неподконтрольные (5.3)'!AJ$26:AJ$67,'Неподконтрольные (5.3)'!$F$26:$F$67,$F84,'Неподконтрольные (5.3)'!$G$26:$G$67,$G84)</f>
        <v>63532.536639999998</v>
      </c>
      <c r="AK84" s="507">
        <f ca="1">SUMIFS('Неподконтрольные (5.3)'!AK$26:AK$67,'Неподконтрольные (5.3)'!$F$26:$F$67,$F84,'Неподконтрольные (5.3)'!$G$26:$G$67,$G84)</f>
        <v>0</v>
      </c>
      <c r="AL84" s="507">
        <f ca="1">SUMIFS('Неподконтрольные (5.3)'!AL$26:AL$67,'Неподконтрольные (5.3)'!$F$26:$F$67,$F84,'Неподконтрольные (5.3)'!$G$26:$G$67,$G84)</f>
        <v>0</v>
      </c>
      <c r="AM84" s="507">
        <f ca="1">SUMIFS('Неподконтрольные (5.3)'!AM$26:AM$67,'Неподконтрольные (5.3)'!$F$26:$F$67,$F84,'Неподконтрольные (5.3)'!$G$26:$G$67,$G84)</f>
        <v>0</v>
      </c>
      <c r="AN84" s="507">
        <f ca="1">SUMIFS('Неподконтрольные (5.3)'!AN$26:AN$67,'Неподконтрольные (5.3)'!$F$26:$F$67,$F84,'Неподконтрольные (5.3)'!$G$26:$G$67,$G84)</f>
        <v>0</v>
      </c>
      <c r="AO84" s="507">
        <f ca="1">SUMIFS('Неподконтрольные (5.3)'!AO$26:AO$67,'Неподконтрольные (5.3)'!$F$26:$F$67,$F84,'Неподконтрольные (5.3)'!$G$26:$G$67,$G84)</f>
        <v>0</v>
      </c>
      <c r="AP84" s="507">
        <f ca="1">SUMIFS('Неподконтрольные (5.3)'!AP$26:AP$67,'Неподконтрольные (5.3)'!$F$26:$F$67,$F84,'Неподконтрольные (5.3)'!$G$26:$G$67,$G84)</f>
        <v>0</v>
      </c>
      <c r="AQ84" s="507">
        <f ca="1">SUMIFS('Неподконтрольные (5.3)'!AQ$26:AQ$67,'Неподконтрольные (5.3)'!$F$26:$F$67,$F84,'Неподконтрольные (5.3)'!$G$26:$G$67,$G84)</f>
        <v>0</v>
      </c>
      <c r="AR84" s="507">
        <f ca="1">SUMIFS('Неподконтрольные (5.3)'!AR$26:AR$67,'Неподконтрольные (5.3)'!$F$26:$F$67,$F84,'Неподконтрольные (5.3)'!$G$26:$G$67,$G84)</f>
        <v>0</v>
      </c>
      <c r="AS84" s="507">
        <f ca="1">SUMIFS('Неподконтрольные (5.3)'!AS$26:AS$67,'Неподконтрольные (5.3)'!$F$26:$F$67,$F84,'Неподконтрольные (5.3)'!$G$26:$G$67,$G84)</f>
        <v>0</v>
      </c>
      <c r="AT84" s="507">
        <f ca="1">SUMIFS('Неподконтрольные (5.3)'!AT$26:AT$67,'Неподконтрольные (5.3)'!$F$26:$F$67,$F84,'Неподконтрольные (5.3)'!$G$26:$G$67,$G84)</f>
        <v>57293.734485951107</v>
      </c>
      <c r="AU84" s="507">
        <f ca="1">SUMIFS('Неподконтрольные (5.3)'!AU$26:AU$67,'Неподконтрольные (5.3)'!$F$26:$F$67,$F84,'Неподконтрольные (5.3)'!$G$26:$G$67,$G84)</f>
        <v>0</v>
      </c>
      <c r="AV84" s="507">
        <f ca="1">SUMIFS('Неподконтрольные (5.3)'!AV$26:AV$67,'Неподконтрольные (5.3)'!$F$26:$F$67,$F84,'Неподконтрольные (5.3)'!$G$26:$G$67,$G84)</f>
        <v>0</v>
      </c>
      <c r="AW84" s="507">
        <f ca="1">SUMIFS('Неподконтрольные (5.3)'!AW$26:AW$67,'Неподконтрольные (5.3)'!$F$26:$F$67,$F84,'Неподконтрольные (5.3)'!$G$26:$G$67,$G84)</f>
        <v>0</v>
      </c>
      <c r="AX84" s="507">
        <f ca="1">SUMIFS('Неподконтрольные (5.3)'!AX$26:AX$67,'Неподконтрольные (5.3)'!$F$26:$F$67,$F84,'Неподконтрольные (5.3)'!$G$26:$G$67,$G84)</f>
        <v>0</v>
      </c>
      <c r="AY84" s="507">
        <f ca="1">SUMIFS('Неподконтрольные (5.3)'!AY$26:AY$67,'Неподконтрольные (5.3)'!$F$26:$F$67,$F84,'Неподконтрольные (5.3)'!$G$26:$G$67,$G84)</f>
        <v>0</v>
      </c>
      <c r="AZ84" s="507">
        <f ca="1">SUMIFS('Неподконтрольные (5.3)'!AZ$26:AZ$67,'Неподконтрольные (5.3)'!$F$26:$F$67,$F84,'Неподконтрольные (5.3)'!$G$26:$G$67,$G84)</f>
        <v>0</v>
      </c>
      <c r="BA84" s="507">
        <f ca="1">SUMIFS('Неподконтрольные (5.3)'!BA$26:BA$67,'Неподконтрольные (5.3)'!$F$26:$F$67,$F84,'Неподконтрольные (5.3)'!$G$26:$G$67,$G84)</f>
        <v>0</v>
      </c>
      <c r="BB84" s="507">
        <f ca="1">SUMIFS('Неподконтрольные (5.3)'!BB$26:BB$67,'Неподконтрольные (5.3)'!$F$26:$F$67,$F84,'Неподконтрольные (5.3)'!$G$26:$G$67,$G84)</f>
        <v>0</v>
      </c>
      <c r="BC84" s="507">
        <f ca="1">SUMIFS('Неподконтрольные (5.3)'!BC$26:BC$67,'Неподконтрольные (5.3)'!$F$26:$F$67,$F84,'Неподконтрольные (5.3)'!$G$26:$G$67,$G84)</f>
        <v>0</v>
      </c>
      <c r="BD84" s="253">
        <f t="shared" ca="1" si="39"/>
        <v>18.992893338546153</v>
      </c>
      <c r="BE84" s="253">
        <f t="shared" ca="1" si="40"/>
        <v>-100</v>
      </c>
      <c r="BF84" s="253">
        <f t="shared" ca="1" si="41"/>
        <v>0</v>
      </c>
      <c r="BG84" s="253">
        <f t="shared" ca="1" si="42"/>
        <v>0</v>
      </c>
      <c r="BH84" s="253">
        <f t="shared" ca="1" si="43"/>
        <v>0</v>
      </c>
      <c r="BI84" s="253">
        <f t="shared" ca="1" si="44"/>
        <v>0</v>
      </c>
      <c r="BJ84" s="253">
        <f t="shared" ca="1" si="45"/>
        <v>0</v>
      </c>
      <c r="BK84" s="253">
        <f t="shared" ca="1" si="46"/>
        <v>0</v>
      </c>
      <c r="BL84" s="253">
        <f t="shared" ca="1" si="47"/>
        <v>0</v>
      </c>
      <c r="BM84" s="253">
        <f t="shared" ca="1" si="48"/>
        <v>0</v>
      </c>
      <c r="BN84" s="1231"/>
      <c r="BO84" s="1231"/>
      <c r="BP84" s="1231"/>
      <c r="BQ84" s="177"/>
      <c r="BR84" s="177"/>
      <c r="BS84" s="1021" t="s">
        <v>1618</v>
      </c>
      <c r="BT84" s="1021"/>
      <c r="BU84" s="1021"/>
      <c r="BV84" s="1022"/>
      <c r="BW84" s="1022"/>
      <c r="BX84" s="1054"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M10747::ТЭ.42.27968109.0001::Неопределено::Неопределено::Неопределено::Неопределено::Неопределено</v>
      </c>
    </row>
    <row r="85" spans="1:76" s="1167" customFormat="1" ht="25.5" customHeight="1" x14ac:dyDescent="0.15">
      <c r="A85" s="175"/>
      <c r="B85" s="773"/>
      <c r="C85" s="1084" t="s">
        <v>1619</v>
      </c>
      <c r="D85" s="1043" t="s">
        <v>1620</v>
      </c>
      <c r="E85" s="668">
        <v>26.3</v>
      </c>
      <c r="F85" s="769" t="str" cm="1">
        <f t="array" aca="1" ref="F85" ca="1">OFFSET(G85,-1,-1)</f>
        <v>1</v>
      </c>
      <c r="G85" s="140" t="s">
        <v>1418</v>
      </c>
      <c r="H85" s="177"/>
      <c r="I85" s="177"/>
      <c r="J85" s="177"/>
      <c r="K85" s="177"/>
      <c r="L85" s="140"/>
      <c r="M85" s="1067"/>
      <c r="N85" s="1067" t="str" cm="1">
        <f t="array" aca="1" ref="N85" ca="1">OFFSET(M85,-1,1)</f>
        <v>ТЭ.42.27968109.0001</v>
      </c>
      <c r="O85" s="1068"/>
      <c r="P85" s="1068"/>
      <c r="Q85" s="1068"/>
      <c r="R85" s="1068"/>
      <c r="T85" s="679" t="b" cm="1">
        <f t="array" ref="T85">T84</f>
        <v>1</v>
      </c>
      <c r="U85" s="1152"/>
      <c r="V85" s="1152"/>
      <c r="W85" s="1152"/>
      <c r="X85" s="1485"/>
      <c r="Y85" s="1152"/>
      <c r="Z85" s="1485"/>
      <c r="AA85" s="177"/>
      <c r="AB85" s="108" t="s">
        <v>431</v>
      </c>
      <c r="AC85" s="540" t="s">
        <v>1621</v>
      </c>
      <c r="AD85" s="411" t="s">
        <v>1044</v>
      </c>
      <c r="AE85" s="507">
        <f ca="1">SUMIFS('Ресурсы (5.4)'!AE$26:AE$47,'Ресурсы (5.4)'!$F$26:$F$47,$F85,'Ресурсы (5.4)'!$G$26:$G$47,$G85)</f>
        <v>58879.932110260001</v>
      </c>
      <c r="AF85" s="507">
        <f ca="1">SUMIFS('Ресурсы (5.4)'!AF$26:AF$47,'Ресурсы (5.4)'!$F$26:$F$47,$F85,'Ресурсы (5.4)'!$G$26:$G$47,$G85)</f>
        <v>56882.001999999993</v>
      </c>
      <c r="AG85" s="507">
        <f ca="1">SUMIFS('Ресурсы (5.4)'!AG$26:AG$47,'Ресурсы (5.4)'!$F$26:$F$47,$F85,'Ресурсы (5.4)'!$G$26:$G$47,$G85)</f>
        <v>56554.617999999995</v>
      </c>
      <c r="AH85" s="253">
        <f t="shared" ca="1" si="38"/>
        <v>-327.3839999999982</v>
      </c>
      <c r="AI85" s="507">
        <f ca="1">SUMIFS('Ресурсы (5.4)'!AI$26:AI$47,'Ресурсы (5.4)'!$F$26:$F$47,$F85,'Ресурсы (5.4)'!$G$26:$G$47,$G85)</f>
        <v>66685.946888916587</v>
      </c>
      <c r="AJ85" s="507">
        <f ca="1">SUMIFS('Ресурсы (5.4)'!AJ$26:AJ$47,'Ресурсы (5.4)'!$F$26:$F$47,$F85,'Ресурсы (5.4)'!$G$26:$G$47,$G85)</f>
        <v>84274.265880262057</v>
      </c>
      <c r="AK85" s="507">
        <f ca="1">SUMIFS('Ресурсы (5.4)'!AK$26:AK$47,'Ресурсы (5.4)'!$F$26:$F$47,$F85,'Ресурсы (5.4)'!$G$26:$G$47,$G85)</f>
        <v>0</v>
      </c>
      <c r="AL85" s="507">
        <f ca="1">SUMIFS('Ресурсы (5.4)'!AL$26:AL$47,'Ресурсы (5.4)'!$F$26:$F$47,$F85,'Ресурсы (5.4)'!$G$26:$G$47,$G85)</f>
        <v>0</v>
      </c>
      <c r="AM85" s="507">
        <f ca="1">SUMIFS('Ресурсы (5.4)'!AM$26:AM$47,'Ресурсы (5.4)'!$F$26:$F$47,$F85,'Ресурсы (5.4)'!$G$26:$G$47,$G85)</f>
        <v>0</v>
      </c>
      <c r="AN85" s="507">
        <f ca="1">SUMIFS('Ресурсы (5.4)'!AN$26:AN$47,'Ресурсы (5.4)'!$F$26:$F$47,$F85,'Ресурсы (5.4)'!$G$26:$G$47,$G85)</f>
        <v>0</v>
      </c>
      <c r="AO85" s="507">
        <f ca="1">SUMIFS('Ресурсы (5.4)'!AO$26:AO$47,'Ресурсы (5.4)'!$F$26:$F$47,$F85,'Ресурсы (5.4)'!$G$26:$G$47,$G85)</f>
        <v>0</v>
      </c>
      <c r="AP85" s="507">
        <f ca="1">SUMIFS('Ресурсы (5.4)'!AP$26:AP$47,'Ресурсы (5.4)'!$F$26:$F$47,$F85,'Ресурсы (5.4)'!$G$26:$G$47,$G85)</f>
        <v>0</v>
      </c>
      <c r="AQ85" s="507">
        <f ca="1">SUMIFS('Ресурсы (5.4)'!AQ$26:AQ$47,'Ресурсы (5.4)'!$F$26:$F$47,$F85,'Ресурсы (5.4)'!$G$26:$G$47,$G85)</f>
        <v>0</v>
      </c>
      <c r="AR85" s="507">
        <f ca="1">SUMIFS('Ресурсы (5.4)'!AR$26:AR$47,'Ресурсы (5.4)'!$F$26:$F$47,$F85,'Ресурсы (5.4)'!$G$26:$G$47,$G85)</f>
        <v>0</v>
      </c>
      <c r="AS85" s="507">
        <f ca="1">SUMIFS('Ресурсы (5.4)'!AS$26:AS$47,'Ресурсы (5.4)'!$F$26:$F$47,$F85,'Ресурсы (5.4)'!$G$26:$G$47,$G85)</f>
        <v>0</v>
      </c>
      <c r="AT85" s="507">
        <f ca="1">SUMIFS('Ресурсы (5.4)'!AT$26:AT$47,'Ресурсы (5.4)'!$F$26:$F$47,$F85,'Ресурсы (5.4)'!$G$26:$G$47,$G85)</f>
        <v>78831.752546436517</v>
      </c>
      <c r="AU85" s="507">
        <f ca="1">SUMIFS('Ресурсы (5.4)'!AU$26:AU$47,'Ресурсы (5.4)'!$F$26:$F$47,$F85,'Ресурсы (5.4)'!$G$26:$G$47,$G85)</f>
        <v>0</v>
      </c>
      <c r="AV85" s="507">
        <f ca="1">SUMIFS('Ресурсы (5.4)'!AV$26:AV$47,'Ресурсы (5.4)'!$F$26:$F$47,$F85,'Ресурсы (5.4)'!$G$26:$G$47,$G85)</f>
        <v>0</v>
      </c>
      <c r="AW85" s="507">
        <f ca="1">SUMIFS('Ресурсы (5.4)'!AW$26:AW$47,'Ресурсы (5.4)'!$F$26:$F$47,$F85,'Ресурсы (5.4)'!$G$26:$G$47,$G85)</f>
        <v>0</v>
      </c>
      <c r="AX85" s="507">
        <f ca="1">SUMIFS('Ресурсы (5.4)'!AX$26:AX$47,'Ресурсы (5.4)'!$F$26:$F$47,$F85,'Ресурсы (5.4)'!$G$26:$G$47,$G85)</f>
        <v>0</v>
      </c>
      <c r="AY85" s="507">
        <f ca="1">SUMIFS('Ресурсы (5.4)'!AY$26:AY$47,'Ресурсы (5.4)'!$F$26:$F$47,$F85,'Ресурсы (5.4)'!$G$26:$G$47,$G85)</f>
        <v>0</v>
      </c>
      <c r="AZ85" s="507">
        <f ca="1">SUMIFS('Ресурсы (5.4)'!AZ$26:AZ$47,'Ресурсы (5.4)'!$F$26:$F$47,$F85,'Ресурсы (5.4)'!$G$26:$G$47,$G85)</f>
        <v>0</v>
      </c>
      <c r="BA85" s="507">
        <f ca="1">SUMIFS('Ресурсы (5.4)'!BA$26:BA$47,'Ресурсы (5.4)'!$F$26:$F$47,$F85,'Ресурсы (5.4)'!$G$26:$G$47,$G85)</f>
        <v>0</v>
      </c>
      <c r="BB85" s="507">
        <f ca="1">SUMIFS('Ресурсы (5.4)'!BB$26:BB$47,'Ресурсы (5.4)'!$F$26:$F$47,$F85,'Ресурсы (5.4)'!$G$26:$G$47,$G85)</f>
        <v>0</v>
      </c>
      <c r="BC85" s="507">
        <f ca="1">SUMIFS('Ресурсы (5.4)'!BC$26:BC$47,'Ресурсы (5.4)'!$F$26:$F$47,$F85,'Ресурсы (5.4)'!$G$26:$G$47,$G85)</f>
        <v>0</v>
      </c>
      <c r="BD85" s="253">
        <f t="shared" ca="1" si="39"/>
        <v>18.213441098395201</v>
      </c>
      <c r="BE85" s="253">
        <f t="shared" ca="1" si="40"/>
        <v>-100</v>
      </c>
      <c r="BF85" s="253">
        <f t="shared" ca="1" si="41"/>
        <v>0</v>
      </c>
      <c r="BG85" s="253">
        <f t="shared" ca="1" si="42"/>
        <v>0</v>
      </c>
      <c r="BH85" s="253">
        <f t="shared" ca="1" si="43"/>
        <v>0</v>
      </c>
      <c r="BI85" s="253">
        <f t="shared" ca="1" si="44"/>
        <v>0</v>
      </c>
      <c r="BJ85" s="253">
        <f t="shared" ca="1" si="45"/>
        <v>0</v>
      </c>
      <c r="BK85" s="253">
        <f t="shared" ca="1" si="46"/>
        <v>0</v>
      </c>
      <c r="BL85" s="253">
        <f t="shared" ca="1" si="47"/>
        <v>0</v>
      </c>
      <c r="BM85" s="253">
        <f t="shared" ca="1" si="48"/>
        <v>0</v>
      </c>
      <c r="BN85" s="1231"/>
      <c r="BO85" s="1231"/>
      <c r="BP85" s="1231"/>
      <c r="BQ85" s="177"/>
      <c r="BR85" s="177"/>
      <c r="BS85" s="1021" t="s">
        <v>1622</v>
      </c>
      <c r="BT85" s="1021"/>
      <c r="BU85" s="1021"/>
      <c r="BV85" s="1022"/>
      <c r="BW85" s="1022"/>
      <c r="BX85" s="1054"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M10748::ТЭ.42.27968109.0001::Неопределено::Неопределено::Неопределено::Неопределено::Неопределено</v>
      </c>
    </row>
    <row r="86" spans="1:76" s="1167" customFormat="1" ht="16.5" hidden="1" customHeight="1" x14ac:dyDescent="0.15">
      <c r="A86" s="175"/>
      <c r="B86" s="773"/>
      <c r="C86" s="1084" t="s">
        <v>1623</v>
      </c>
      <c r="D86" s="1043" t="s">
        <v>1624</v>
      </c>
      <c r="E86" s="668">
        <v>17.100000000000001</v>
      </c>
      <c r="F86" s="769" t="str" cm="1">
        <f t="array" aca="1" ref="F86" ca="1">OFFSET(G86,-1,-1)</f>
        <v>1</v>
      </c>
      <c r="G86" s="177"/>
      <c r="H86" s="177"/>
      <c r="I86" s="177"/>
      <c r="J86" s="177"/>
      <c r="K86" s="177"/>
      <c r="L86" s="140"/>
      <c r="M86" s="1067"/>
      <c r="N86" s="1067" t="str" cm="1">
        <f t="array" aca="1" ref="N86" ca="1">OFFSET(M86,-1,1)</f>
        <v>ТЭ.42.27968109.0001</v>
      </c>
      <c r="O86" s="1068"/>
      <c r="P86" s="1068"/>
      <c r="Q86" s="1068"/>
      <c r="R86" s="1068"/>
      <c r="T86" s="679" t="b">
        <f t="shared" ref="T86:T97" ca="1" si="49">AND(F86&gt;0,method_reg="Метод обеспечения доходности инвестированного капитала")</f>
        <v>0</v>
      </c>
      <c r="U86" s="1152"/>
      <c r="V86" s="1152"/>
      <c r="W86" s="1152"/>
      <c r="X86" s="1485"/>
      <c r="Y86" s="1152"/>
      <c r="Z86" s="1485"/>
      <c r="AA86" s="177"/>
      <c r="AB86" s="257" t="s">
        <v>437</v>
      </c>
      <c r="AC86" s="711" t="s">
        <v>1625</v>
      </c>
      <c r="AD86" s="255" t="s">
        <v>830</v>
      </c>
      <c r="AE86" s="73"/>
      <c r="AF86" s="73"/>
      <c r="AG86" s="73"/>
      <c r="AH86" s="253">
        <f t="shared" si="38"/>
        <v>0</v>
      </c>
      <c r="AI86" s="73"/>
      <c r="AJ86" s="509"/>
      <c r="AK86" s="1315"/>
      <c r="AL86" s="1315"/>
      <c r="AM86" s="73"/>
      <c r="AN86" s="73"/>
      <c r="AO86" s="73"/>
      <c r="AP86" s="73"/>
      <c r="AQ86" s="73"/>
      <c r="AR86" s="73"/>
      <c r="AS86" s="73"/>
      <c r="AT86" s="509"/>
      <c r="AU86" s="1315"/>
      <c r="AV86" s="1315"/>
      <c r="AW86" s="73"/>
      <c r="AX86" s="73"/>
      <c r="AY86" s="73"/>
      <c r="AZ86" s="73"/>
      <c r="BA86" s="73"/>
      <c r="BB86" s="73"/>
      <c r="BC86" s="73"/>
      <c r="BD86" s="253">
        <f t="shared" si="39"/>
        <v>0</v>
      </c>
      <c r="BE86" s="253">
        <f t="shared" si="40"/>
        <v>0</v>
      </c>
      <c r="BF86" s="253">
        <f t="shared" si="41"/>
        <v>0</v>
      </c>
      <c r="BG86" s="253">
        <f t="shared" si="42"/>
        <v>0</v>
      </c>
      <c r="BH86" s="253">
        <f t="shared" si="43"/>
        <v>0</v>
      </c>
      <c r="BI86" s="253">
        <f t="shared" si="44"/>
        <v>0</v>
      </c>
      <c r="BJ86" s="253">
        <f t="shared" si="45"/>
        <v>0</v>
      </c>
      <c r="BK86" s="253">
        <f t="shared" si="46"/>
        <v>0</v>
      </c>
      <c r="BL86" s="253">
        <f t="shared" si="47"/>
        <v>0</v>
      </c>
      <c r="BM86" s="253">
        <f t="shared" si="48"/>
        <v>0</v>
      </c>
      <c r="BN86" s="25"/>
      <c r="BO86" s="25"/>
      <c r="BP86" s="25"/>
      <c r="BQ86" s="177"/>
      <c r="BR86" s="177"/>
      <c r="BS86" s="1021" t="s">
        <v>1626</v>
      </c>
      <c r="BT86" s="1021"/>
      <c r="BU86" s="1021"/>
      <c r="BV86" s="1022"/>
      <c r="BW86" s="1022"/>
      <c r="BX86" s="1054"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M11483::ТЭ.42.27968109.0001::Неопределено::Неопределено::Неопределено::Неопределено::Неопределено</v>
      </c>
    </row>
    <row r="87" spans="1:76" s="1167" customFormat="1" ht="16.5" hidden="1" customHeight="1" x14ac:dyDescent="0.15">
      <c r="A87" s="175"/>
      <c r="B87" s="773"/>
      <c r="C87" s="1084" t="s">
        <v>1627</v>
      </c>
      <c r="D87" s="1043" t="s">
        <v>1628</v>
      </c>
      <c r="E87" s="668">
        <v>17.100000000000001</v>
      </c>
      <c r="F87" s="769" t="str" cm="1">
        <f t="array" aca="1" ref="F87" ca="1">OFFSET(G87,-1,-1)</f>
        <v>1</v>
      </c>
      <c r="G87" s="177"/>
      <c r="H87" s="177"/>
      <c r="I87" s="177"/>
      <c r="J87" s="177"/>
      <c r="K87" s="177"/>
      <c r="L87" s="140"/>
      <c r="M87" s="1067"/>
      <c r="N87" s="1067" t="str" cm="1">
        <f t="array" aca="1" ref="N87" ca="1">OFFSET(M87,-1,1)</f>
        <v>ТЭ.42.27968109.0001</v>
      </c>
      <c r="O87" s="1068"/>
      <c r="P87" s="1068"/>
      <c r="Q87" s="1068"/>
      <c r="R87" s="1068"/>
      <c r="T87" s="679" t="b">
        <f t="shared" ca="1" si="49"/>
        <v>0</v>
      </c>
      <c r="U87" s="1152"/>
      <c r="V87" s="1152"/>
      <c r="W87" s="1152"/>
      <c r="X87" s="1485"/>
      <c r="Y87" s="1152"/>
      <c r="Z87" s="1485"/>
      <c r="AA87" s="177"/>
      <c r="AB87" s="257" t="s">
        <v>771</v>
      </c>
      <c r="AC87" s="258" t="s">
        <v>1629</v>
      </c>
      <c r="AD87" s="255" t="s">
        <v>830</v>
      </c>
      <c r="AE87" s="73"/>
      <c r="AF87" s="73"/>
      <c r="AG87" s="73"/>
      <c r="AH87" s="253">
        <f t="shared" si="38"/>
        <v>0</v>
      </c>
      <c r="AI87" s="73"/>
      <c r="AJ87" s="509"/>
      <c r="AK87" s="1315"/>
      <c r="AL87" s="1315"/>
      <c r="AM87" s="73"/>
      <c r="AN87" s="73"/>
      <c r="AO87" s="73"/>
      <c r="AP87" s="73"/>
      <c r="AQ87" s="73"/>
      <c r="AR87" s="73"/>
      <c r="AS87" s="73"/>
      <c r="AT87" s="509"/>
      <c r="AU87" s="1315"/>
      <c r="AV87" s="1315"/>
      <c r="AW87" s="73"/>
      <c r="AX87" s="73"/>
      <c r="AY87" s="73"/>
      <c r="AZ87" s="73"/>
      <c r="BA87" s="73"/>
      <c r="BB87" s="73"/>
      <c r="BC87" s="73"/>
      <c r="BD87" s="253">
        <f t="shared" si="39"/>
        <v>0</v>
      </c>
      <c r="BE87" s="253">
        <f t="shared" si="40"/>
        <v>0</v>
      </c>
      <c r="BF87" s="253">
        <f t="shared" si="41"/>
        <v>0</v>
      </c>
      <c r="BG87" s="253">
        <f t="shared" si="42"/>
        <v>0</v>
      </c>
      <c r="BH87" s="253">
        <f t="shared" si="43"/>
        <v>0</v>
      </c>
      <c r="BI87" s="253">
        <f t="shared" si="44"/>
        <v>0</v>
      </c>
      <c r="BJ87" s="253">
        <f t="shared" si="45"/>
        <v>0</v>
      </c>
      <c r="BK87" s="253">
        <f t="shared" si="46"/>
        <v>0</v>
      </c>
      <c r="BL87" s="253">
        <f t="shared" si="47"/>
        <v>0</v>
      </c>
      <c r="BM87" s="253">
        <f t="shared" si="48"/>
        <v>0</v>
      </c>
      <c r="BN87" s="25"/>
      <c r="BO87" s="25"/>
      <c r="BP87" s="25"/>
      <c r="BQ87" s="177"/>
      <c r="BR87" s="177"/>
      <c r="BS87" s="1021" t="s">
        <v>1630</v>
      </c>
      <c r="BT87" s="1021"/>
      <c r="BU87" s="1021"/>
      <c r="BV87" s="1022"/>
      <c r="BW87" s="1022"/>
      <c r="BX87" s="1054"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M11484::ТЭ.42.27968109.0001::Неопределено::Неопределено::Неопределено::Неопределено::Неопределено</v>
      </c>
    </row>
    <row r="88" spans="1:76" s="1167" customFormat="1" ht="16.5" hidden="1" customHeight="1" x14ac:dyDescent="0.15">
      <c r="A88" s="175"/>
      <c r="B88" s="773"/>
      <c r="C88" s="1084" t="s">
        <v>1631</v>
      </c>
      <c r="D88" s="1043" t="s">
        <v>1632</v>
      </c>
      <c r="E88" s="668">
        <v>17.100000000000001</v>
      </c>
      <c r="F88" s="769" t="str" cm="1">
        <f t="array" aca="1" ref="F88" ca="1">OFFSET(G88,-1,-1)</f>
        <v>1</v>
      </c>
      <c r="G88" s="177"/>
      <c r="H88" s="177"/>
      <c r="I88" s="177"/>
      <c r="J88" s="177"/>
      <c r="K88" s="177"/>
      <c r="L88" s="140"/>
      <c r="M88" s="1067"/>
      <c r="N88" s="1067" t="str" cm="1">
        <f t="array" aca="1" ref="N88" ca="1">OFFSET(M88,-1,1)</f>
        <v>ТЭ.42.27968109.0001</v>
      </c>
      <c r="O88" s="1068"/>
      <c r="P88" s="1068"/>
      <c r="Q88" s="1068"/>
      <c r="R88" s="1068"/>
      <c r="T88" s="679" t="b">
        <f t="shared" ca="1" si="49"/>
        <v>0</v>
      </c>
      <c r="U88" s="1152"/>
      <c r="V88" s="1152"/>
      <c r="W88" s="1152"/>
      <c r="X88" s="1485"/>
      <c r="Y88" s="1152"/>
      <c r="Z88" s="1485"/>
      <c r="AA88" s="177"/>
      <c r="AB88" s="257" t="s">
        <v>1633</v>
      </c>
      <c r="AC88" s="258" t="s">
        <v>1634</v>
      </c>
      <c r="AD88" s="255" t="s">
        <v>1635</v>
      </c>
      <c r="AE88" s="73"/>
      <c r="AF88" s="73"/>
      <c r="AG88" s="73"/>
      <c r="AH88" s="253">
        <f t="shared" si="38"/>
        <v>0</v>
      </c>
      <c r="AI88" s="73"/>
      <c r="AJ88" s="509"/>
      <c r="AK88" s="1315"/>
      <c r="AL88" s="1315"/>
      <c r="AM88" s="73"/>
      <c r="AN88" s="73"/>
      <c r="AO88" s="73"/>
      <c r="AP88" s="73"/>
      <c r="AQ88" s="73"/>
      <c r="AR88" s="73"/>
      <c r="AS88" s="73"/>
      <c r="AT88" s="509"/>
      <c r="AU88" s="1315"/>
      <c r="AV88" s="1315"/>
      <c r="AW88" s="73"/>
      <c r="AX88" s="73"/>
      <c r="AY88" s="73"/>
      <c r="AZ88" s="73"/>
      <c r="BA88" s="73"/>
      <c r="BB88" s="73"/>
      <c r="BC88" s="73"/>
      <c r="BD88" s="253">
        <f t="shared" si="39"/>
        <v>0</v>
      </c>
      <c r="BE88" s="253">
        <f t="shared" si="40"/>
        <v>0</v>
      </c>
      <c r="BF88" s="253">
        <f t="shared" si="41"/>
        <v>0</v>
      </c>
      <c r="BG88" s="253">
        <f t="shared" si="42"/>
        <v>0</v>
      </c>
      <c r="BH88" s="253">
        <f t="shared" si="43"/>
        <v>0</v>
      </c>
      <c r="BI88" s="253">
        <f t="shared" si="44"/>
        <v>0</v>
      </c>
      <c r="BJ88" s="253">
        <f t="shared" si="45"/>
        <v>0</v>
      </c>
      <c r="BK88" s="253">
        <f t="shared" si="46"/>
        <v>0</v>
      </c>
      <c r="BL88" s="253">
        <f t="shared" si="47"/>
        <v>0</v>
      </c>
      <c r="BM88" s="253">
        <f t="shared" si="48"/>
        <v>0</v>
      </c>
      <c r="BN88" s="25"/>
      <c r="BO88" s="25"/>
      <c r="BP88" s="25"/>
      <c r="BQ88" s="177"/>
      <c r="BR88" s="177"/>
      <c r="BS88" s="1021" t="s">
        <v>1636</v>
      </c>
      <c r="BT88" s="1021"/>
      <c r="BU88" s="1021"/>
      <c r="BV88" s="1022"/>
      <c r="BW88" s="1022"/>
      <c r="BX88" s="1054"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M11485::ТЭ.42.27968109.0001::Неопределено::Неопределено::Неопределено::Неопределено::Неопределено</v>
      </c>
    </row>
    <row r="89" spans="1:76" s="1167" customFormat="1" ht="16.5" hidden="1" customHeight="1" x14ac:dyDescent="0.15">
      <c r="A89" s="175"/>
      <c r="B89" s="773"/>
      <c r="C89" s="1084" t="s">
        <v>1637</v>
      </c>
      <c r="D89" s="1043" t="s">
        <v>1638</v>
      </c>
      <c r="E89" s="668">
        <v>17.100000000000001</v>
      </c>
      <c r="F89" s="769" t="str" cm="1">
        <f t="array" aca="1" ref="F89" ca="1">OFFSET(G89,-1,-1)</f>
        <v>1</v>
      </c>
      <c r="G89" s="177"/>
      <c r="H89" s="177"/>
      <c r="I89" s="177"/>
      <c r="J89" s="177"/>
      <c r="K89" s="177"/>
      <c r="L89" s="140"/>
      <c r="M89" s="1067"/>
      <c r="N89" s="1067" t="str" cm="1">
        <f t="array" aca="1" ref="N89" ca="1">OFFSET(M89,-1,1)</f>
        <v>ТЭ.42.27968109.0001</v>
      </c>
      <c r="O89" s="1068"/>
      <c r="P89" s="1068"/>
      <c r="Q89" s="1068"/>
      <c r="R89" s="1068"/>
      <c r="T89" s="679" t="b">
        <f t="shared" ca="1" si="49"/>
        <v>0</v>
      </c>
      <c r="U89" s="1152"/>
      <c r="V89" s="1152"/>
      <c r="W89" s="1152"/>
      <c r="X89" s="1485"/>
      <c r="Y89" s="1152"/>
      <c r="Z89" s="1485"/>
      <c r="AA89" s="177"/>
      <c r="AB89" s="257" t="s">
        <v>441</v>
      </c>
      <c r="AC89" s="711" t="s">
        <v>1639</v>
      </c>
      <c r="AD89" s="255" t="s">
        <v>830</v>
      </c>
      <c r="AE89" s="73"/>
      <c r="AF89" s="73"/>
      <c r="AG89" s="73"/>
      <c r="AH89" s="253">
        <f t="shared" si="38"/>
        <v>0</v>
      </c>
      <c r="AI89" s="73"/>
      <c r="AJ89" s="509"/>
      <c r="AK89" s="1315"/>
      <c r="AL89" s="1315"/>
      <c r="AM89" s="73"/>
      <c r="AN89" s="73"/>
      <c r="AO89" s="73"/>
      <c r="AP89" s="73"/>
      <c r="AQ89" s="73"/>
      <c r="AR89" s="73"/>
      <c r="AS89" s="73"/>
      <c r="AT89" s="509"/>
      <c r="AU89" s="1315"/>
      <c r="AV89" s="1315"/>
      <c r="AW89" s="73"/>
      <c r="AX89" s="73"/>
      <c r="AY89" s="73"/>
      <c r="AZ89" s="73"/>
      <c r="BA89" s="73"/>
      <c r="BB89" s="73"/>
      <c r="BC89" s="73"/>
      <c r="BD89" s="253">
        <f t="shared" si="39"/>
        <v>0</v>
      </c>
      <c r="BE89" s="253">
        <f t="shared" si="40"/>
        <v>0</v>
      </c>
      <c r="BF89" s="253">
        <f t="shared" si="41"/>
        <v>0</v>
      </c>
      <c r="BG89" s="253">
        <f t="shared" si="42"/>
        <v>0</v>
      </c>
      <c r="BH89" s="253">
        <f t="shared" si="43"/>
        <v>0</v>
      </c>
      <c r="BI89" s="253">
        <f t="shared" si="44"/>
        <v>0</v>
      </c>
      <c r="BJ89" s="253">
        <f t="shared" si="45"/>
        <v>0</v>
      </c>
      <c r="BK89" s="253">
        <f t="shared" si="46"/>
        <v>0</v>
      </c>
      <c r="BL89" s="253">
        <f t="shared" si="47"/>
        <v>0</v>
      </c>
      <c r="BM89" s="253">
        <f t="shared" si="48"/>
        <v>0</v>
      </c>
      <c r="BN89" s="25"/>
      <c r="BO89" s="25"/>
      <c r="BP89" s="25"/>
      <c r="BQ89" s="177"/>
      <c r="BR89" s="177"/>
      <c r="BS89" s="1021" t="s">
        <v>1640</v>
      </c>
      <c r="BT89" s="1021"/>
      <c r="BU89" s="1021"/>
      <c r="BV89" s="1022"/>
      <c r="BW89" s="1022"/>
      <c r="BX89" s="1054"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M11486::ТЭ.42.27968109.0001::Неопределено::Неопределено::Неопределено::Неопределено::Неопределено</v>
      </c>
    </row>
    <row r="90" spans="1:76" s="1167" customFormat="1" ht="16.5" hidden="1" customHeight="1" x14ac:dyDescent="0.15">
      <c r="A90" s="175"/>
      <c r="B90" s="773"/>
      <c r="C90" s="1084" t="s">
        <v>1641</v>
      </c>
      <c r="D90" s="1043" t="s">
        <v>1642</v>
      </c>
      <c r="E90" s="668">
        <v>17.100000000000001</v>
      </c>
      <c r="F90" s="769" t="str" cm="1">
        <f t="array" aca="1" ref="F90" ca="1">OFFSET(G90,-1,-1)</f>
        <v>1</v>
      </c>
      <c r="G90" s="177"/>
      <c r="H90" s="177"/>
      <c r="I90" s="177"/>
      <c r="J90" s="177"/>
      <c r="K90" s="177"/>
      <c r="L90" s="140"/>
      <c r="M90" s="1067"/>
      <c r="N90" s="1067" t="str" cm="1">
        <f t="array" aca="1" ref="N90" ca="1">OFFSET(M90,-1,1)</f>
        <v>ТЭ.42.27968109.0001</v>
      </c>
      <c r="O90" s="1068"/>
      <c r="P90" s="1068"/>
      <c r="Q90" s="1068"/>
      <c r="R90" s="1068"/>
      <c r="T90" s="679" t="b">
        <f t="shared" ca="1" si="49"/>
        <v>0</v>
      </c>
      <c r="U90" s="1152"/>
      <c r="V90" s="1152"/>
      <c r="W90" s="1152"/>
      <c r="X90" s="1485"/>
      <c r="Y90" s="1152"/>
      <c r="Z90" s="1485"/>
      <c r="AA90" s="177"/>
      <c r="AB90" s="257" t="s">
        <v>776</v>
      </c>
      <c r="AC90" s="258" t="s">
        <v>1643</v>
      </c>
      <c r="AD90" s="255" t="s">
        <v>830</v>
      </c>
      <c r="AE90" s="73"/>
      <c r="AF90" s="73"/>
      <c r="AG90" s="73"/>
      <c r="AH90" s="253">
        <f t="shared" si="38"/>
        <v>0</v>
      </c>
      <c r="AI90" s="73"/>
      <c r="AJ90" s="509"/>
      <c r="AK90" s="1315"/>
      <c r="AL90" s="1315"/>
      <c r="AM90" s="73"/>
      <c r="AN90" s="73"/>
      <c r="AO90" s="73"/>
      <c r="AP90" s="73"/>
      <c r="AQ90" s="73"/>
      <c r="AR90" s="73"/>
      <c r="AS90" s="73"/>
      <c r="AT90" s="509"/>
      <c r="AU90" s="1315"/>
      <c r="AV90" s="1315"/>
      <c r="AW90" s="73"/>
      <c r="AX90" s="73"/>
      <c r="AY90" s="73"/>
      <c r="AZ90" s="73"/>
      <c r="BA90" s="73"/>
      <c r="BB90" s="73"/>
      <c r="BC90" s="73"/>
      <c r="BD90" s="253">
        <f t="shared" si="39"/>
        <v>0</v>
      </c>
      <c r="BE90" s="253">
        <f t="shared" si="40"/>
        <v>0</v>
      </c>
      <c r="BF90" s="253">
        <f t="shared" si="41"/>
        <v>0</v>
      </c>
      <c r="BG90" s="253">
        <f t="shared" si="42"/>
        <v>0</v>
      </c>
      <c r="BH90" s="253">
        <f t="shared" si="43"/>
        <v>0</v>
      </c>
      <c r="BI90" s="253">
        <f t="shared" si="44"/>
        <v>0</v>
      </c>
      <c r="BJ90" s="253">
        <f t="shared" si="45"/>
        <v>0</v>
      </c>
      <c r="BK90" s="253">
        <f t="shared" si="46"/>
        <v>0</v>
      </c>
      <c r="BL90" s="253">
        <f t="shared" si="47"/>
        <v>0</v>
      </c>
      <c r="BM90" s="253">
        <f t="shared" si="48"/>
        <v>0</v>
      </c>
      <c r="BN90" s="25"/>
      <c r="BO90" s="25"/>
      <c r="BP90" s="25"/>
      <c r="BQ90" s="177"/>
      <c r="BR90" s="177"/>
      <c r="BS90" s="1021" t="s">
        <v>1644</v>
      </c>
      <c r="BT90" s="1021"/>
      <c r="BU90" s="1021"/>
      <c r="BV90" s="1022"/>
      <c r="BW90" s="1022"/>
      <c r="BX90" s="1054"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M11487::ТЭ.42.27968109.0001::Неопределено::Неопределено::Неопределено::Неопределено::Неопределено</v>
      </c>
    </row>
    <row r="91" spans="1:76" s="1167" customFormat="1" ht="16.5" hidden="1" customHeight="1" x14ac:dyDescent="0.15">
      <c r="A91" s="175"/>
      <c r="B91" s="773"/>
      <c r="C91" s="1084" t="s">
        <v>1645</v>
      </c>
      <c r="D91" s="1043" t="s">
        <v>1646</v>
      </c>
      <c r="E91" s="668">
        <v>17.100000000000001</v>
      </c>
      <c r="F91" s="769" t="str" cm="1">
        <f t="array" aca="1" ref="F91" ca="1">OFFSET(G91,-1,-1)</f>
        <v>1</v>
      </c>
      <c r="G91" s="177"/>
      <c r="H91" s="177"/>
      <c r="I91" s="177"/>
      <c r="J91" s="177"/>
      <c r="K91" s="177"/>
      <c r="L91" s="140"/>
      <c r="M91" s="1067"/>
      <c r="N91" s="1067" t="str" cm="1">
        <f t="array" aca="1" ref="N91" ca="1">OFFSET(M91,-1,1)</f>
        <v>ТЭ.42.27968109.0001</v>
      </c>
      <c r="O91" s="1068"/>
      <c r="P91" s="1068"/>
      <c r="Q91" s="1068"/>
      <c r="R91" s="1068"/>
      <c r="T91" s="679" t="b">
        <f t="shared" ca="1" si="49"/>
        <v>0</v>
      </c>
      <c r="U91" s="1152"/>
      <c r="V91" s="1152"/>
      <c r="W91" s="1152"/>
      <c r="X91" s="1485"/>
      <c r="Y91" s="1152"/>
      <c r="Z91" s="1485"/>
      <c r="AA91" s="177"/>
      <c r="AB91" s="257" t="s">
        <v>1331</v>
      </c>
      <c r="AC91" s="258" t="s">
        <v>1647</v>
      </c>
      <c r="AD91" s="255" t="s">
        <v>521</v>
      </c>
      <c r="AE91" s="73"/>
      <c r="AF91" s="73"/>
      <c r="AG91" s="73"/>
      <c r="AH91" s="253">
        <f t="shared" si="38"/>
        <v>0</v>
      </c>
      <c r="AI91" s="73"/>
      <c r="AJ91" s="509"/>
      <c r="AK91" s="1315"/>
      <c r="AL91" s="1315"/>
      <c r="AM91" s="73"/>
      <c r="AN91" s="73"/>
      <c r="AO91" s="73"/>
      <c r="AP91" s="73"/>
      <c r="AQ91" s="73"/>
      <c r="AR91" s="73"/>
      <c r="AS91" s="73"/>
      <c r="AT91" s="509"/>
      <c r="AU91" s="1315"/>
      <c r="AV91" s="1315"/>
      <c r="AW91" s="73"/>
      <c r="AX91" s="73"/>
      <c r="AY91" s="73"/>
      <c r="AZ91" s="73"/>
      <c r="BA91" s="73"/>
      <c r="BB91" s="73"/>
      <c r="BC91" s="73"/>
      <c r="BD91" s="253">
        <f t="shared" si="39"/>
        <v>0</v>
      </c>
      <c r="BE91" s="253">
        <f t="shared" si="40"/>
        <v>0</v>
      </c>
      <c r="BF91" s="253">
        <f t="shared" si="41"/>
        <v>0</v>
      </c>
      <c r="BG91" s="253">
        <f t="shared" si="42"/>
        <v>0</v>
      </c>
      <c r="BH91" s="253">
        <f t="shared" si="43"/>
        <v>0</v>
      </c>
      <c r="BI91" s="253">
        <f t="shared" si="44"/>
        <v>0</v>
      </c>
      <c r="BJ91" s="253">
        <f t="shared" si="45"/>
        <v>0</v>
      </c>
      <c r="BK91" s="253">
        <f t="shared" si="46"/>
        <v>0</v>
      </c>
      <c r="BL91" s="253">
        <f t="shared" si="47"/>
        <v>0</v>
      </c>
      <c r="BM91" s="253">
        <f t="shared" si="48"/>
        <v>0</v>
      </c>
      <c r="BN91" s="25"/>
      <c r="BO91" s="25"/>
      <c r="BP91" s="25"/>
      <c r="BQ91" s="177"/>
      <c r="BR91" s="177"/>
      <c r="BS91" s="1021" t="s">
        <v>1648</v>
      </c>
      <c r="BT91" s="1021"/>
      <c r="BU91" s="1021"/>
      <c r="BV91" s="1022"/>
      <c r="BW91" s="1022"/>
      <c r="BX91" s="1054"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M11488::ТЭ.42.27968109.0001::Неопределено::Неопределено::Неопределено::Неопределено::Неопределено</v>
      </c>
    </row>
    <row r="92" spans="1:76" s="1167" customFormat="1" ht="16.5" hidden="1" customHeight="1" x14ac:dyDescent="0.15">
      <c r="A92" s="175"/>
      <c r="B92" s="773"/>
      <c r="C92" s="1084" t="s">
        <v>1649</v>
      </c>
      <c r="D92" s="1043" t="s">
        <v>1650</v>
      </c>
      <c r="E92" s="668">
        <v>17.100000000000001</v>
      </c>
      <c r="F92" s="769" t="str" cm="1">
        <f t="array" aca="1" ref="F92" ca="1">OFFSET(G92,-1,-1)</f>
        <v>1</v>
      </c>
      <c r="G92" s="177"/>
      <c r="H92" s="177"/>
      <c r="I92" s="177"/>
      <c r="J92" s="177"/>
      <c r="K92" s="177"/>
      <c r="L92" s="140"/>
      <c r="M92" s="1067"/>
      <c r="N92" s="1067" t="str" cm="1">
        <f t="array" aca="1" ref="N92" ca="1">OFFSET(M92,-1,1)</f>
        <v>ТЭ.42.27968109.0001</v>
      </c>
      <c r="O92" s="1068"/>
      <c r="P92" s="1068"/>
      <c r="Q92" s="1068"/>
      <c r="R92" s="1068"/>
      <c r="T92" s="679" t="b">
        <f t="shared" ca="1" si="49"/>
        <v>0</v>
      </c>
      <c r="U92" s="1152"/>
      <c r="V92" s="1152"/>
      <c r="W92" s="1152"/>
      <c r="X92" s="1485"/>
      <c r="Y92" s="1152"/>
      <c r="Z92" s="1485"/>
      <c r="AA92" s="177"/>
      <c r="AB92" s="257" t="s">
        <v>1334</v>
      </c>
      <c r="AC92" s="79" t="s">
        <v>1651</v>
      </c>
      <c r="AD92" s="255" t="s">
        <v>830</v>
      </c>
      <c r="AE92" s="73"/>
      <c r="AF92" s="73"/>
      <c r="AG92" s="73"/>
      <c r="AH92" s="253">
        <f t="shared" si="38"/>
        <v>0</v>
      </c>
      <c r="AI92" s="73"/>
      <c r="AJ92" s="509"/>
      <c r="AK92" s="1315"/>
      <c r="AL92" s="1315"/>
      <c r="AM92" s="73"/>
      <c r="AN92" s="73"/>
      <c r="AO92" s="73"/>
      <c r="AP92" s="73"/>
      <c r="AQ92" s="73"/>
      <c r="AR92" s="73"/>
      <c r="AS92" s="73"/>
      <c r="AT92" s="509"/>
      <c r="AU92" s="1315"/>
      <c r="AV92" s="1315"/>
      <c r="AW92" s="73"/>
      <c r="AX92" s="73"/>
      <c r="AY92" s="73"/>
      <c r="AZ92" s="73"/>
      <c r="BA92" s="73"/>
      <c r="BB92" s="73"/>
      <c r="BC92" s="73"/>
      <c r="BD92" s="253">
        <f t="shared" si="39"/>
        <v>0</v>
      </c>
      <c r="BE92" s="253">
        <f t="shared" si="40"/>
        <v>0</v>
      </c>
      <c r="BF92" s="253">
        <f t="shared" si="41"/>
        <v>0</v>
      </c>
      <c r="BG92" s="253">
        <f t="shared" si="42"/>
        <v>0</v>
      </c>
      <c r="BH92" s="253">
        <f t="shared" si="43"/>
        <v>0</v>
      </c>
      <c r="BI92" s="253">
        <f t="shared" si="44"/>
        <v>0</v>
      </c>
      <c r="BJ92" s="253">
        <f t="shared" si="45"/>
        <v>0</v>
      </c>
      <c r="BK92" s="253">
        <f t="shared" si="46"/>
        <v>0</v>
      </c>
      <c r="BL92" s="253">
        <f t="shared" si="47"/>
        <v>0</v>
      </c>
      <c r="BM92" s="253">
        <f t="shared" si="48"/>
        <v>0</v>
      </c>
      <c r="BN92" s="25"/>
      <c r="BO92" s="25"/>
      <c r="BP92" s="25"/>
      <c r="BQ92" s="177"/>
      <c r="BR92" s="177"/>
      <c r="BS92" s="1021" t="s">
        <v>1652</v>
      </c>
      <c r="BT92" s="1021"/>
      <c r="BU92" s="1021"/>
      <c r="BV92" s="1022"/>
      <c r="BW92" s="1022"/>
      <c r="BX92" s="1054"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M11489::ТЭ.42.27968109.0001::Неопределено::Неопределено::Неопределено::Неопределено::Неопределено</v>
      </c>
    </row>
    <row r="93" spans="1:76" s="1167" customFormat="1" ht="16.5" hidden="1" customHeight="1" x14ac:dyDescent="0.15">
      <c r="A93" s="175"/>
      <c r="B93" s="773"/>
      <c r="C93" s="1084" t="s">
        <v>1653</v>
      </c>
      <c r="D93" s="1043" t="s">
        <v>1654</v>
      </c>
      <c r="E93" s="668">
        <v>17.100000000000001</v>
      </c>
      <c r="F93" s="769" t="str" cm="1">
        <f t="array" aca="1" ref="F93" ca="1">OFFSET(G93,-1,-1)</f>
        <v>1</v>
      </c>
      <c r="G93" s="177"/>
      <c r="H93" s="177"/>
      <c r="I93" s="177"/>
      <c r="J93" s="177"/>
      <c r="K93" s="177"/>
      <c r="L93" s="140"/>
      <c r="M93" s="1067"/>
      <c r="N93" s="1067" t="str" cm="1">
        <f t="array" aca="1" ref="N93" ca="1">OFFSET(M93,-1,1)</f>
        <v>ТЭ.42.27968109.0001</v>
      </c>
      <c r="O93" s="1068"/>
      <c r="P93" s="1068"/>
      <c r="Q93" s="1068"/>
      <c r="R93" s="1068"/>
      <c r="T93" s="679" t="b">
        <f t="shared" ca="1" si="49"/>
        <v>0</v>
      </c>
      <c r="U93" s="1152"/>
      <c r="V93" s="1152"/>
      <c r="W93" s="1152"/>
      <c r="X93" s="1485"/>
      <c r="Y93" s="1152"/>
      <c r="Z93" s="1485"/>
      <c r="AA93" s="177"/>
      <c r="AB93" s="257" t="s">
        <v>1337</v>
      </c>
      <c r="AC93" s="79" t="s">
        <v>1655</v>
      </c>
      <c r="AD93" s="255" t="s">
        <v>830</v>
      </c>
      <c r="AE93" s="73"/>
      <c r="AF93" s="73"/>
      <c r="AG93" s="73"/>
      <c r="AH93" s="253">
        <f t="shared" si="38"/>
        <v>0</v>
      </c>
      <c r="AI93" s="73"/>
      <c r="AJ93" s="509"/>
      <c r="AK93" s="1315"/>
      <c r="AL93" s="1315"/>
      <c r="AM93" s="73"/>
      <c r="AN93" s="73"/>
      <c r="AO93" s="73"/>
      <c r="AP93" s="73"/>
      <c r="AQ93" s="73"/>
      <c r="AR93" s="73"/>
      <c r="AS93" s="73"/>
      <c r="AT93" s="509"/>
      <c r="AU93" s="1315"/>
      <c r="AV93" s="1315"/>
      <c r="AW93" s="73"/>
      <c r="AX93" s="73"/>
      <c r="AY93" s="73"/>
      <c r="AZ93" s="73"/>
      <c r="BA93" s="73"/>
      <c r="BB93" s="73"/>
      <c r="BC93" s="73"/>
      <c r="BD93" s="253">
        <f t="shared" si="39"/>
        <v>0</v>
      </c>
      <c r="BE93" s="253">
        <f t="shared" si="40"/>
        <v>0</v>
      </c>
      <c r="BF93" s="253">
        <f t="shared" si="41"/>
        <v>0</v>
      </c>
      <c r="BG93" s="253">
        <f t="shared" si="42"/>
        <v>0</v>
      </c>
      <c r="BH93" s="253">
        <f t="shared" si="43"/>
        <v>0</v>
      </c>
      <c r="BI93" s="253">
        <f t="shared" si="44"/>
        <v>0</v>
      </c>
      <c r="BJ93" s="253">
        <f t="shared" si="45"/>
        <v>0</v>
      </c>
      <c r="BK93" s="253">
        <f t="shared" si="46"/>
        <v>0</v>
      </c>
      <c r="BL93" s="253">
        <f t="shared" si="47"/>
        <v>0</v>
      </c>
      <c r="BM93" s="253">
        <f t="shared" si="48"/>
        <v>0</v>
      </c>
      <c r="BN93" s="25"/>
      <c r="BO93" s="25"/>
      <c r="BP93" s="25"/>
      <c r="BQ93" s="177"/>
      <c r="BR93" s="177"/>
      <c r="BS93" s="1021" t="s">
        <v>1656</v>
      </c>
      <c r="BT93" s="1021"/>
      <c r="BU93" s="1021"/>
      <c r="BV93" s="1022"/>
      <c r="BW93" s="1022"/>
      <c r="BX93" s="1054"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M11490::ТЭ.42.27968109.0001::Неопределено::Неопределено::Неопределено::Неопределено::Неопределено</v>
      </c>
    </row>
    <row r="94" spans="1:76" s="1167" customFormat="1" ht="16.5" hidden="1" customHeight="1" x14ac:dyDescent="0.15">
      <c r="A94" s="175"/>
      <c r="B94" s="773"/>
      <c r="C94" s="1084" t="s">
        <v>1657</v>
      </c>
      <c r="D94" s="1043" t="s">
        <v>1658</v>
      </c>
      <c r="E94" s="668">
        <v>17.100000000000001</v>
      </c>
      <c r="F94" s="769" t="str" cm="1">
        <f t="array" aca="1" ref="F94" ca="1">OFFSET(G94,-1,-1)</f>
        <v>1</v>
      </c>
      <c r="G94" s="177"/>
      <c r="H94" s="177"/>
      <c r="I94" s="177"/>
      <c r="J94" s="177"/>
      <c r="K94" s="177"/>
      <c r="L94" s="140"/>
      <c r="M94" s="1067"/>
      <c r="N94" s="1067" t="str" cm="1">
        <f t="array" aca="1" ref="N94" ca="1">OFFSET(M94,-1,1)</f>
        <v>ТЭ.42.27968109.0001</v>
      </c>
      <c r="O94" s="1068"/>
      <c r="P94" s="1068"/>
      <c r="Q94" s="1068"/>
      <c r="R94" s="1068"/>
      <c r="T94" s="679" t="b">
        <f t="shared" ca="1" si="49"/>
        <v>0</v>
      </c>
      <c r="U94" s="1152"/>
      <c r="V94" s="1152"/>
      <c r="W94" s="1152"/>
      <c r="X94" s="1485"/>
      <c r="Y94" s="1152"/>
      <c r="Z94" s="1485"/>
      <c r="AA94" s="177"/>
      <c r="AB94" s="257" t="s">
        <v>1659</v>
      </c>
      <c r="AC94" s="80" t="s">
        <v>1660</v>
      </c>
      <c r="AD94" s="255" t="s">
        <v>521</v>
      </c>
      <c r="AE94" s="73"/>
      <c r="AF94" s="73"/>
      <c r="AG94" s="73"/>
      <c r="AH94" s="253">
        <f t="shared" si="38"/>
        <v>0</v>
      </c>
      <c r="AI94" s="73"/>
      <c r="AJ94" s="509"/>
      <c r="AK94" s="1315"/>
      <c r="AL94" s="1315"/>
      <c r="AM94" s="73"/>
      <c r="AN94" s="73"/>
      <c r="AO94" s="73"/>
      <c r="AP94" s="73"/>
      <c r="AQ94" s="73"/>
      <c r="AR94" s="73"/>
      <c r="AS94" s="73"/>
      <c r="AT94" s="509"/>
      <c r="AU94" s="1315"/>
      <c r="AV94" s="1315"/>
      <c r="AW94" s="73"/>
      <c r="AX94" s="73"/>
      <c r="AY94" s="73"/>
      <c r="AZ94" s="73"/>
      <c r="BA94" s="73"/>
      <c r="BB94" s="73"/>
      <c r="BC94" s="73"/>
      <c r="BD94" s="253">
        <f t="shared" si="39"/>
        <v>0</v>
      </c>
      <c r="BE94" s="253">
        <f t="shared" si="40"/>
        <v>0</v>
      </c>
      <c r="BF94" s="253">
        <f t="shared" si="41"/>
        <v>0</v>
      </c>
      <c r="BG94" s="253">
        <f t="shared" si="42"/>
        <v>0</v>
      </c>
      <c r="BH94" s="253">
        <f t="shared" si="43"/>
        <v>0</v>
      </c>
      <c r="BI94" s="253">
        <f t="shared" si="44"/>
        <v>0</v>
      </c>
      <c r="BJ94" s="253">
        <f t="shared" si="45"/>
        <v>0</v>
      </c>
      <c r="BK94" s="253">
        <f t="shared" si="46"/>
        <v>0</v>
      </c>
      <c r="BL94" s="253">
        <f t="shared" si="47"/>
        <v>0</v>
      </c>
      <c r="BM94" s="253">
        <f t="shared" si="48"/>
        <v>0</v>
      </c>
      <c r="BN94" s="25"/>
      <c r="BO94" s="25"/>
      <c r="BP94" s="25"/>
      <c r="BQ94" s="177"/>
      <c r="BR94" s="177"/>
      <c r="BS94" s="1021" t="s">
        <v>1661</v>
      </c>
      <c r="BT94" s="1021"/>
      <c r="BU94" s="1021"/>
      <c r="BV94" s="1022"/>
      <c r="BW94" s="1022"/>
      <c r="BX94" s="1054"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M11491::ТЭ.42.27968109.0001::Неопределено::Неопределено::Неопределено::Неопределено::Неопределено</v>
      </c>
    </row>
    <row r="95" spans="1:76" s="1167" customFormat="1" ht="16.5" hidden="1" customHeight="1" x14ac:dyDescent="0.15">
      <c r="A95" s="175"/>
      <c r="B95" s="773"/>
      <c r="C95" s="1084" t="s">
        <v>1662</v>
      </c>
      <c r="D95" s="1043" t="s">
        <v>1663</v>
      </c>
      <c r="E95" s="668">
        <v>17.100000000000001</v>
      </c>
      <c r="F95" s="769" t="str" cm="1">
        <f t="array" aca="1" ref="F95" ca="1">OFFSET(G95,-1,-1)</f>
        <v>1</v>
      </c>
      <c r="G95" s="177"/>
      <c r="H95" s="177"/>
      <c r="I95" s="177"/>
      <c r="J95" s="177"/>
      <c r="K95" s="177"/>
      <c r="L95" s="140"/>
      <c r="M95" s="1067"/>
      <c r="N95" s="1067" t="str" cm="1">
        <f t="array" aca="1" ref="N95" ca="1">OFFSET(M95,-1,1)</f>
        <v>ТЭ.42.27968109.0001</v>
      </c>
      <c r="O95" s="1068"/>
      <c r="P95" s="1068"/>
      <c r="Q95" s="1068"/>
      <c r="R95" s="1068"/>
      <c r="T95" s="679" t="b">
        <f t="shared" ca="1" si="49"/>
        <v>0</v>
      </c>
      <c r="U95" s="1152"/>
      <c r="V95" s="1152"/>
      <c r="W95" s="1152"/>
      <c r="X95" s="1485"/>
      <c r="Y95" s="1152"/>
      <c r="Z95" s="1485"/>
      <c r="AA95" s="177"/>
      <c r="AB95" s="257" t="s">
        <v>1340</v>
      </c>
      <c r="AC95" s="79" t="s">
        <v>1664</v>
      </c>
      <c r="AD95" s="255" t="s">
        <v>521</v>
      </c>
      <c r="AE95" s="73"/>
      <c r="AF95" s="73"/>
      <c r="AG95" s="73"/>
      <c r="AH95" s="253">
        <f t="shared" si="38"/>
        <v>0</v>
      </c>
      <c r="AI95" s="73"/>
      <c r="AJ95" s="509"/>
      <c r="AK95" s="1315"/>
      <c r="AL95" s="1315"/>
      <c r="AM95" s="73"/>
      <c r="AN95" s="73"/>
      <c r="AO95" s="73"/>
      <c r="AP95" s="73"/>
      <c r="AQ95" s="73"/>
      <c r="AR95" s="73"/>
      <c r="AS95" s="73"/>
      <c r="AT95" s="509"/>
      <c r="AU95" s="1315"/>
      <c r="AV95" s="1315"/>
      <c r="AW95" s="73"/>
      <c r="AX95" s="73"/>
      <c r="AY95" s="73"/>
      <c r="AZ95" s="73"/>
      <c r="BA95" s="73"/>
      <c r="BB95" s="73"/>
      <c r="BC95" s="73"/>
      <c r="BD95" s="253">
        <f t="shared" si="39"/>
        <v>0</v>
      </c>
      <c r="BE95" s="253">
        <f t="shared" si="40"/>
        <v>0</v>
      </c>
      <c r="BF95" s="253">
        <f t="shared" si="41"/>
        <v>0</v>
      </c>
      <c r="BG95" s="253">
        <f t="shared" si="42"/>
        <v>0</v>
      </c>
      <c r="BH95" s="253">
        <f t="shared" si="43"/>
        <v>0</v>
      </c>
      <c r="BI95" s="253">
        <f t="shared" si="44"/>
        <v>0</v>
      </c>
      <c r="BJ95" s="253">
        <f t="shared" si="45"/>
        <v>0</v>
      </c>
      <c r="BK95" s="253">
        <f t="shared" si="46"/>
        <v>0</v>
      </c>
      <c r="BL95" s="253">
        <f t="shared" si="47"/>
        <v>0</v>
      </c>
      <c r="BM95" s="253">
        <f t="shared" si="48"/>
        <v>0</v>
      </c>
      <c r="BN95" s="25"/>
      <c r="BO95" s="25"/>
      <c r="BP95" s="25"/>
      <c r="BQ95" s="177"/>
      <c r="BR95" s="177"/>
      <c r="BS95" s="1021" t="s">
        <v>1665</v>
      </c>
      <c r="BT95" s="1021"/>
      <c r="BU95" s="1021"/>
      <c r="BV95" s="1022"/>
      <c r="BW95" s="1022"/>
      <c r="BX95" s="1054"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M11493::ТЭ.42.27968109.0001::Неопределено::Неопределено::Неопределено::Неопределено::Неопределено</v>
      </c>
    </row>
    <row r="96" spans="1:76" s="1167" customFormat="1" ht="16.5" hidden="1" customHeight="1" x14ac:dyDescent="0.15">
      <c r="A96" s="175"/>
      <c r="B96" s="773"/>
      <c r="C96" s="1084" t="s">
        <v>1666</v>
      </c>
      <c r="D96" s="1043" t="s">
        <v>1667</v>
      </c>
      <c r="E96" s="668">
        <v>17.100000000000001</v>
      </c>
      <c r="F96" s="769" t="str" cm="1">
        <f t="array" aca="1" ref="F96" ca="1">OFFSET(G96,-1,-1)</f>
        <v>1</v>
      </c>
      <c r="G96" s="177"/>
      <c r="H96" s="177"/>
      <c r="I96" s="177"/>
      <c r="J96" s="177"/>
      <c r="K96" s="177"/>
      <c r="L96" s="140"/>
      <c r="M96" s="1067"/>
      <c r="N96" s="1067" t="str" cm="1">
        <f t="array" aca="1" ref="N96" ca="1">OFFSET(M96,-1,1)</f>
        <v>ТЭ.42.27968109.0001</v>
      </c>
      <c r="O96" s="1068"/>
      <c r="P96" s="1068"/>
      <c r="Q96" s="1068"/>
      <c r="R96" s="1068"/>
      <c r="T96" s="679" t="b">
        <f t="shared" ca="1" si="49"/>
        <v>0</v>
      </c>
      <c r="U96" s="1152"/>
      <c r="V96" s="1152"/>
      <c r="W96" s="1152"/>
      <c r="X96" s="1485"/>
      <c r="Y96" s="1152"/>
      <c r="Z96" s="1485"/>
      <c r="AA96" s="177"/>
      <c r="AB96" s="257" t="s">
        <v>1668</v>
      </c>
      <c r="AC96" s="80" t="s">
        <v>1669</v>
      </c>
      <c r="AD96" s="255" t="s">
        <v>521</v>
      </c>
      <c r="AE96" s="73"/>
      <c r="AF96" s="73"/>
      <c r="AG96" s="73"/>
      <c r="AH96" s="253">
        <f t="shared" si="38"/>
        <v>0</v>
      </c>
      <c r="AI96" s="73"/>
      <c r="AJ96" s="509"/>
      <c r="AK96" s="1315"/>
      <c r="AL96" s="1315"/>
      <c r="AM96" s="73"/>
      <c r="AN96" s="73"/>
      <c r="AO96" s="73"/>
      <c r="AP96" s="73"/>
      <c r="AQ96" s="73"/>
      <c r="AR96" s="73"/>
      <c r="AS96" s="73"/>
      <c r="AT96" s="509"/>
      <c r="AU96" s="1315"/>
      <c r="AV96" s="1315"/>
      <c r="AW96" s="73"/>
      <c r="AX96" s="73"/>
      <c r="AY96" s="73"/>
      <c r="AZ96" s="73"/>
      <c r="BA96" s="73"/>
      <c r="BB96" s="73"/>
      <c r="BC96" s="73"/>
      <c r="BD96" s="253">
        <f t="shared" si="39"/>
        <v>0</v>
      </c>
      <c r="BE96" s="253">
        <f t="shared" si="40"/>
        <v>0</v>
      </c>
      <c r="BF96" s="253">
        <f t="shared" si="41"/>
        <v>0</v>
      </c>
      <c r="BG96" s="253">
        <f t="shared" si="42"/>
        <v>0</v>
      </c>
      <c r="BH96" s="253">
        <f t="shared" si="43"/>
        <v>0</v>
      </c>
      <c r="BI96" s="253">
        <f t="shared" si="44"/>
        <v>0</v>
      </c>
      <c r="BJ96" s="253">
        <f t="shared" si="45"/>
        <v>0</v>
      </c>
      <c r="BK96" s="253">
        <f t="shared" si="46"/>
        <v>0</v>
      </c>
      <c r="BL96" s="253">
        <f t="shared" si="47"/>
        <v>0</v>
      </c>
      <c r="BM96" s="253">
        <f t="shared" si="48"/>
        <v>0</v>
      </c>
      <c r="BN96" s="25"/>
      <c r="BO96" s="25"/>
      <c r="BP96" s="25"/>
      <c r="BQ96" s="177"/>
      <c r="BR96" s="177"/>
      <c r="BS96" s="1021" t="s">
        <v>1670</v>
      </c>
      <c r="BT96" s="1021"/>
      <c r="BU96" s="1021"/>
      <c r="BV96" s="1022"/>
      <c r="BW96" s="1022"/>
      <c r="BX96" s="1054"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M11494::ТЭ.42.27968109.0001::Неопределено::Неопределено::Неопределено::Неопределено::Неопределено</v>
      </c>
    </row>
    <row r="97" spans="1:76" s="1167" customFormat="1" ht="16.5" hidden="1" customHeight="1" x14ac:dyDescent="0.15">
      <c r="A97" s="175"/>
      <c r="B97" s="773"/>
      <c r="C97" s="1084" t="s">
        <v>1671</v>
      </c>
      <c r="D97" s="1043" t="s">
        <v>1672</v>
      </c>
      <c r="E97" s="668">
        <v>17.100000000000001</v>
      </c>
      <c r="F97" s="769" t="str" cm="1">
        <f t="array" aca="1" ref="F97" ca="1">OFFSET(G97,-1,-1)</f>
        <v>1</v>
      </c>
      <c r="G97" s="177"/>
      <c r="H97" s="177"/>
      <c r="I97" s="177"/>
      <c r="J97" s="177"/>
      <c r="K97" s="177"/>
      <c r="L97" s="140"/>
      <c r="M97" s="1067"/>
      <c r="N97" s="1067" t="str" cm="1">
        <f t="array" aca="1" ref="N97" ca="1">OFFSET(M97,-1,1)</f>
        <v>ТЭ.42.27968109.0001</v>
      </c>
      <c r="O97" s="1068"/>
      <c r="P97" s="1068"/>
      <c r="Q97" s="1068"/>
      <c r="R97" s="1068"/>
      <c r="T97" s="679" t="b">
        <f t="shared" ca="1" si="49"/>
        <v>0</v>
      </c>
      <c r="U97" s="1152"/>
      <c r="V97" s="1152"/>
      <c r="W97" s="1152"/>
      <c r="X97" s="1485"/>
      <c r="Y97" s="1152"/>
      <c r="Z97" s="1485"/>
      <c r="AA97" s="177"/>
      <c r="AB97" s="257" t="s">
        <v>1673</v>
      </c>
      <c r="AC97" s="80" t="s">
        <v>1674</v>
      </c>
      <c r="AD97" s="255" t="s">
        <v>521</v>
      </c>
      <c r="AE97" s="73"/>
      <c r="AF97" s="73"/>
      <c r="AG97" s="73"/>
      <c r="AH97" s="253">
        <f t="shared" si="38"/>
        <v>0</v>
      </c>
      <c r="AI97" s="73"/>
      <c r="AJ97" s="509"/>
      <c r="AK97" s="1315"/>
      <c r="AL97" s="1315"/>
      <c r="AM97" s="73"/>
      <c r="AN97" s="73"/>
      <c r="AO97" s="73"/>
      <c r="AP97" s="73"/>
      <c r="AQ97" s="73"/>
      <c r="AR97" s="73"/>
      <c r="AS97" s="73"/>
      <c r="AT97" s="509"/>
      <c r="AU97" s="1315"/>
      <c r="AV97" s="1315"/>
      <c r="AW97" s="73"/>
      <c r="AX97" s="73"/>
      <c r="AY97" s="73"/>
      <c r="AZ97" s="73"/>
      <c r="BA97" s="73"/>
      <c r="BB97" s="73"/>
      <c r="BC97" s="73"/>
      <c r="BD97" s="253">
        <f t="shared" si="39"/>
        <v>0</v>
      </c>
      <c r="BE97" s="253">
        <f t="shared" si="40"/>
        <v>0</v>
      </c>
      <c r="BF97" s="253">
        <f t="shared" si="41"/>
        <v>0</v>
      </c>
      <c r="BG97" s="253">
        <f t="shared" si="42"/>
        <v>0</v>
      </c>
      <c r="BH97" s="253">
        <f t="shared" si="43"/>
        <v>0</v>
      </c>
      <c r="BI97" s="253">
        <f t="shared" si="44"/>
        <v>0</v>
      </c>
      <c r="BJ97" s="253">
        <f t="shared" si="45"/>
        <v>0</v>
      </c>
      <c r="BK97" s="253">
        <f t="shared" si="46"/>
        <v>0</v>
      </c>
      <c r="BL97" s="253">
        <f t="shared" si="47"/>
        <v>0</v>
      </c>
      <c r="BM97" s="253">
        <f t="shared" si="48"/>
        <v>0</v>
      </c>
      <c r="BN97" s="25"/>
      <c r="BO97" s="25"/>
      <c r="BP97" s="25"/>
      <c r="BQ97" s="177"/>
      <c r="BR97" s="177"/>
      <c r="BS97" s="1021" t="s">
        <v>1675</v>
      </c>
      <c r="BT97" s="1021"/>
      <c r="BU97" s="1021"/>
      <c r="BV97" s="1022"/>
      <c r="BW97" s="1022"/>
      <c r="BX97" s="1054"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M11495::ТЭ.42.27968109.0001::Неопределено::Неопределено::Неопределено::Неопределено::Неопределено</v>
      </c>
    </row>
    <row r="98" spans="1:76" s="1167" customFormat="1" ht="16.5" customHeight="1" x14ac:dyDescent="0.15">
      <c r="A98" s="175"/>
      <c r="B98" s="773"/>
      <c r="C98" s="1084" t="s">
        <v>1676</v>
      </c>
      <c r="D98" s="1043" t="s">
        <v>1677</v>
      </c>
      <c r="E98" s="668">
        <v>17.100000000000001</v>
      </c>
      <c r="F98" s="769" t="str" cm="1">
        <f t="array" aca="1" ref="F98" ca="1">OFFSET(G98,-1,-1)</f>
        <v>1</v>
      </c>
      <c r="G98" s="140" t="s">
        <v>1523</v>
      </c>
      <c r="H98" s="177"/>
      <c r="I98" s="177"/>
      <c r="J98" s="177"/>
      <c r="K98" s="177"/>
      <c r="L98" s="140"/>
      <c r="M98" s="1067"/>
      <c r="N98" s="1067" t="str" cm="1">
        <f t="array" aca="1" ref="N98" ca="1">OFFSET(M98,-1,1)</f>
        <v>ТЭ.42.27968109.0001</v>
      </c>
      <c r="O98" s="1068"/>
      <c r="P98" s="1068"/>
      <c r="Q98" s="1068"/>
      <c r="R98" s="1068"/>
      <c r="T98" s="679" t="b">
        <f t="shared" ref="T98:T103" ca="1" si="50">AND(F98&gt;0,method_reg="Метод индексации")</f>
        <v>1</v>
      </c>
      <c r="U98" s="1152"/>
      <c r="V98" s="1152"/>
      <c r="W98" s="1152"/>
      <c r="X98" s="1485"/>
      <c r="Y98" s="1152"/>
      <c r="Z98" s="1485"/>
      <c r="AA98" s="177"/>
      <c r="AB98" s="108" t="s">
        <v>437</v>
      </c>
      <c r="AC98" s="505" t="s">
        <v>1525</v>
      </c>
      <c r="AD98" s="411" t="s">
        <v>1044</v>
      </c>
      <c r="AE98" s="1316">
        <f>AE99+AE100+AE101</f>
        <v>1872.93</v>
      </c>
      <c r="AF98" s="1316">
        <f>AF99+AF100+AF101</f>
        <v>7980.2100000000009</v>
      </c>
      <c r="AG98" s="1316">
        <f>AG99+AG100+AG101</f>
        <v>1872.9</v>
      </c>
      <c r="AH98" s="253">
        <f t="shared" si="38"/>
        <v>-6107.3100000000013</v>
      </c>
      <c r="AI98" s="1316">
        <f t="shared" ref="AI98:BC98" si="51">AI99+AI100+AI101</f>
        <v>0</v>
      </c>
      <c r="AJ98" s="509">
        <f t="shared" si="51"/>
        <v>3677.54</v>
      </c>
      <c r="AK98" s="1315">
        <f t="shared" si="51"/>
        <v>0</v>
      </c>
      <c r="AL98" s="1315">
        <f t="shared" si="51"/>
        <v>0</v>
      </c>
      <c r="AM98" s="1316">
        <f t="shared" si="51"/>
        <v>0</v>
      </c>
      <c r="AN98" s="1316">
        <f t="shared" si="51"/>
        <v>0</v>
      </c>
      <c r="AO98" s="1316">
        <f t="shared" si="51"/>
        <v>0</v>
      </c>
      <c r="AP98" s="1316">
        <f t="shared" si="51"/>
        <v>0</v>
      </c>
      <c r="AQ98" s="1316">
        <f t="shared" si="51"/>
        <v>0</v>
      </c>
      <c r="AR98" s="1316">
        <f t="shared" si="51"/>
        <v>0</v>
      </c>
      <c r="AS98" s="1316">
        <f t="shared" si="51"/>
        <v>0</v>
      </c>
      <c r="AT98" s="509">
        <f t="shared" si="51"/>
        <v>0</v>
      </c>
      <c r="AU98" s="1315">
        <f t="shared" si="51"/>
        <v>0</v>
      </c>
      <c r="AV98" s="1315">
        <f t="shared" si="51"/>
        <v>0</v>
      </c>
      <c r="AW98" s="1316">
        <f t="shared" si="51"/>
        <v>0</v>
      </c>
      <c r="AX98" s="1316">
        <f t="shared" si="51"/>
        <v>0</v>
      </c>
      <c r="AY98" s="1316">
        <f t="shared" si="51"/>
        <v>0</v>
      </c>
      <c r="AZ98" s="1316">
        <f t="shared" si="51"/>
        <v>0</v>
      </c>
      <c r="BA98" s="1316">
        <f t="shared" si="51"/>
        <v>0</v>
      </c>
      <c r="BB98" s="1316">
        <f t="shared" si="51"/>
        <v>0</v>
      </c>
      <c r="BC98" s="1316">
        <f t="shared" si="51"/>
        <v>0</v>
      </c>
      <c r="BD98" s="253">
        <f t="shared" si="39"/>
        <v>0</v>
      </c>
      <c r="BE98" s="253">
        <f t="shared" si="40"/>
        <v>0</v>
      </c>
      <c r="BF98" s="253">
        <f t="shared" si="41"/>
        <v>0</v>
      </c>
      <c r="BG98" s="253">
        <f t="shared" si="42"/>
        <v>0</v>
      </c>
      <c r="BH98" s="253">
        <f t="shared" si="43"/>
        <v>0</v>
      </c>
      <c r="BI98" s="253">
        <f t="shared" si="44"/>
        <v>0</v>
      </c>
      <c r="BJ98" s="253">
        <f t="shared" si="45"/>
        <v>0</v>
      </c>
      <c r="BK98" s="253">
        <f t="shared" si="46"/>
        <v>0</v>
      </c>
      <c r="BL98" s="253">
        <f t="shared" si="47"/>
        <v>0</v>
      </c>
      <c r="BM98" s="253">
        <f t="shared" si="48"/>
        <v>0</v>
      </c>
      <c r="BN98" s="1231"/>
      <c r="BO98" s="1231"/>
      <c r="BP98" s="1231"/>
      <c r="BQ98" s="177"/>
      <c r="BR98" s="177"/>
      <c r="BS98" s="1021" t="s">
        <v>1526</v>
      </c>
      <c r="BT98" s="1021"/>
      <c r="BU98" s="1021"/>
      <c r="BV98" s="1022"/>
      <c r="BW98" s="1022"/>
      <c r="BX98" s="1054"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M10606::ТЭ.42.27968109.0001::Неопределено::Неопределено::Неопределено::Неопределено::Неопределено</v>
      </c>
    </row>
    <row r="99" spans="1:76" s="1167" customFormat="1" ht="58.5" customHeight="1" x14ac:dyDescent="0.15">
      <c r="A99" s="175"/>
      <c r="B99" s="773"/>
      <c r="C99" s="1084" t="s">
        <v>1678</v>
      </c>
      <c r="D99" s="1043" t="s">
        <v>1679</v>
      </c>
      <c r="E99" s="668">
        <v>60</v>
      </c>
      <c r="F99" s="769" t="str" cm="1">
        <f t="array" aca="1" ref="F99" ca="1">OFFSET(G99,-1,-1)</f>
        <v>1</v>
      </c>
      <c r="G99" s="177"/>
      <c r="H99" s="177"/>
      <c r="I99" s="177"/>
      <c r="J99" s="177"/>
      <c r="K99" s="177"/>
      <c r="L99" s="140"/>
      <c r="M99" s="1067"/>
      <c r="N99" s="1067" t="str" cm="1">
        <f t="array" aca="1" ref="N99" ca="1">OFFSET(M99,-1,1)</f>
        <v>ТЭ.42.27968109.0001</v>
      </c>
      <c r="O99" s="1068"/>
      <c r="P99" s="1068"/>
      <c r="Q99" s="1068"/>
      <c r="R99" s="1068"/>
      <c r="T99" s="679" t="b">
        <f t="shared" ca="1" si="50"/>
        <v>1</v>
      </c>
      <c r="U99" s="1152"/>
      <c r="V99" s="1152"/>
      <c r="W99" s="1152"/>
      <c r="X99" s="1485"/>
      <c r="Y99" s="1152"/>
      <c r="Z99" s="1485"/>
      <c r="AA99" s="177"/>
      <c r="AB99" s="108" t="s">
        <v>771</v>
      </c>
      <c r="AC99" s="852" t="s">
        <v>1680</v>
      </c>
      <c r="AD99" s="411" t="s">
        <v>1426</v>
      </c>
      <c r="AE99" s="1316">
        <v>1872.93</v>
      </c>
      <c r="AF99" s="1316">
        <v>4274.93</v>
      </c>
      <c r="AG99" s="1316">
        <v>1872.9</v>
      </c>
      <c r="AH99" s="253">
        <f t="shared" si="38"/>
        <v>-2402.0300000000002</v>
      </c>
      <c r="AI99" s="1316">
        <v>0</v>
      </c>
      <c r="AJ99" s="509">
        <v>3677.54</v>
      </c>
      <c r="AK99" s="1315"/>
      <c r="AL99" s="1315"/>
      <c r="AM99" s="1316"/>
      <c r="AN99" s="1316"/>
      <c r="AO99" s="1316"/>
      <c r="AP99" s="1316"/>
      <c r="AQ99" s="1316"/>
      <c r="AR99" s="1316"/>
      <c r="AS99" s="1316"/>
      <c r="AT99" s="509">
        <v>0</v>
      </c>
      <c r="AU99" s="1315"/>
      <c r="AV99" s="1315"/>
      <c r="AW99" s="1316"/>
      <c r="AX99" s="1316"/>
      <c r="AY99" s="1316"/>
      <c r="AZ99" s="1316"/>
      <c r="BA99" s="1316"/>
      <c r="BB99" s="1316"/>
      <c r="BC99" s="1316"/>
      <c r="BD99" s="253">
        <f t="shared" si="39"/>
        <v>0</v>
      </c>
      <c r="BE99" s="253">
        <f t="shared" si="40"/>
        <v>0</v>
      </c>
      <c r="BF99" s="253">
        <f t="shared" si="41"/>
        <v>0</v>
      </c>
      <c r="BG99" s="253">
        <f t="shared" si="42"/>
        <v>0</v>
      </c>
      <c r="BH99" s="253">
        <f t="shared" si="43"/>
        <v>0</v>
      </c>
      <c r="BI99" s="253">
        <f t="shared" si="44"/>
        <v>0</v>
      </c>
      <c r="BJ99" s="253">
        <f t="shared" si="45"/>
        <v>0</v>
      </c>
      <c r="BK99" s="253">
        <f t="shared" si="46"/>
        <v>0</v>
      </c>
      <c r="BL99" s="253">
        <f t="shared" si="47"/>
        <v>0</v>
      </c>
      <c r="BM99" s="253">
        <f t="shared" si="48"/>
        <v>0</v>
      </c>
      <c r="BN99" s="1231"/>
      <c r="BO99" s="1231"/>
      <c r="BP99" s="1231"/>
      <c r="BQ99" s="177"/>
      <c r="BR99" s="177"/>
      <c r="BS99" s="1021" t="s">
        <v>1681</v>
      </c>
      <c r="BT99" s="1021"/>
      <c r="BU99" s="1021"/>
      <c r="BV99" s="1022"/>
      <c r="BW99" s="1022"/>
      <c r="BX99" s="1054"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M10614::ТЭ.42.27968109.0001::Неопределено::Неопределено::Неопределено::Неопределено::Неопределено</v>
      </c>
    </row>
    <row r="100" spans="1:76" s="1167" customFormat="1" ht="29.25" customHeight="1" x14ac:dyDescent="0.15">
      <c r="A100" s="175"/>
      <c r="B100" s="773"/>
      <c r="C100" s="1084" t="s">
        <v>1682</v>
      </c>
      <c r="D100" s="1043" t="s">
        <v>1683</v>
      </c>
      <c r="E100" s="668">
        <v>30</v>
      </c>
      <c r="F100" s="769" t="str" cm="1">
        <f t="array" aca="1" ref="F100" ca="1">OFFSET(G100,-1,-1)</f>
        <v>1</v>
      </c>
      <c r="G100" s="177"/>
      <c r="H100" s="177"/>
      <c r="I100" s="177"/>
      <c r="J100" s="177"/>
      <c r="K100" s="177"/>
      <c r="L100" s="140"/>
      <c r="M100" s="1067"/>
      <c r="N100" s="1067" t="str" cm="1">
        <f t="array" aca="1" ref="N100" ca="1">OFFSET(M100,-1,1)</f>
        <v>ТЭ.42.27968109.0001</v>
      </c>
      <c r="O100" s="1068"/>
      <c r="P100" s="1068"/>
      <c r="Q100" s="1068"/>
      <c r="R100" s="1068"/>
      <c r="T100" s="679" t="b">
        <f t="shared" ca="1" si="50"/>
        <v>1</v>
      </c>
      <c r="U100" s="1152"/>
      <c r="V100" s="1152"/>
      <c r="W100" s="1152"/>
      <c r="X100" s="1485"/>
      <c r="Y100" s="1152"/>
      <c r="Z100" s="1485"/>
      <c r="AA100" s="177"/>
      <c r="AB100" s="108" t="s">
        <v>1633</v>
      </c>
      <c r="AC100" s="505" t="s">
        <v>1684</v>
      </c>
      <c r="AD100" s="411" t="s">
        <v>1426</v>
      </c>
      <c r="AE100" s="1316"/>
      <c r="AF100" s="1316"/>
      <c r="AG100" s="1316"/>
      <c r="AH100" s="253">
        <f t="shared" si="38"/>
        <v>0</v>
      </c>
      <c r="AI100" s="1316"/>
      <c r="AJ100" s="509"/>
      <c r="AK100" s="1315"/>
      <c r="AL100" s="1315"/>
      <c r="AM100" s="1316"/>
      <c r="AN100" s="1316"/>
      <c r="AO100" s="1316"/>
      <c r="AP100" s="1316"/>
      <c r="AQ100" s="1316"/>
      <c r="AR100" s="1316"/>
      <c r="AS100" s="1316"/>
      <c r="AT100" s="509"/>
      <c r="AU100" s="1315"/>
      <c r="AV100" s="1315"/>
      <c r="AW100" s="1316"/>
      <c r="AX100" s="1316"/>
      <c r="AY100" s="1316"/>
      <c r="AZ100" s="1316"/>
      <c r="BA100" s="1316"/>
      <c r="BB100" s="1316"/>
      <c r="BC100" s="1316"/>
      <c r="BD100" s="253">
        <f t="shared" si="39"/>
        <v>0</v>
      </c>
      <c r="BE100" s="253">
        <f t="shared" si="40"/>
        <v>0</v>
      </c>
      <c r="BF100" s="253">
        <f t="shared" si="41"/>
        <v>0</v>
      </c>
      <c r="BG100" s="253">
        <f t="shared" si="42"/>
        <v>0</v>
      </c>
      <c r="BH100" s="253">
        <f t="shared" si="43"/>
        <v>0</v>
      </c>
      <c r="BI100" s="253">
        <f t="shared" si="44"/>
        <v>0</v>
      </c>
      <c r="BJ100" s="253">
        <f t="shared" si="45"/>
        <v>0</v>
      </c>
      <c r="BK100" s="253">
        <f t="shared" si="46"/>
        <v>0</v>
      </c>
      <c r="BL100" s="253">
        <f t="shared" si="47"/>
        <v>0</v>
      </c>
      <c r="BM100" s="253">
        <f t="shared" si="48"/>
        <v>0</v>
      </c>
      <c r="BN100" s="1231"/>
      <c r="BO100" s="1231"/>
      <c r="BP100" s="1231"/>
      <c r="BQ100" s="177"/>
      <c r="BR100" s="177"/>
      <c r="BS100" s="1021" t="s">
        <v>1685</v>
      </c>
      <c r="BT100" s="1021"/>
      <c r="BU100" s="1021"/>
      <c r="BV100" s="1022"/>
      <c r="BW100" s="1022"/>
      <c r="BX100" s="1054"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M10608::ТЭ.42.27968109.0001::Неопределено::Неопределено::Неопределено::Неопределено::Неопределено</v>
      </c>
    </row>
    <row r="101" spans="1:76" s="1167" customFormat="1" ht="43.5" customHeight="1" x14ac:dyDescent="0.15">
      <c r="A101" s="175"/>
      <c r="B101" s="773"/>
      <c r="C101" s="1084" t="s">
        <v>1686</v>
      </c>
      <c r="D101" s="1043" t="s">
        <v>1687</v>
      </c>
      <c r="E101" s="668">
        <v>45</v>
      </c>
      <c r="F101" s="769" t="str" cm="1">
        <f t="array" aca="1" ref="F101" ca="1">OFFSET(G101,-1,-1)</f>
        <v>1</v>
      </c>
      <c r="G101" s="177"/>
      <c r="H101" s="177"/>
      <c r="I101" s="177"/>
      <c r="J101" s="177"/>
      <c r="K101" s="177"/>
      <c r="L101" s="140"/>
      <c r="M101" s="1067"/>
      <c r="N101" s="1067" t="str" cm="1">
        <f t="array" aca="1" ref="N101" ca="1">OFFSET(M101,-1,1)</f>
        <v>ТЭ.42.27968109.0001</v>
      </c>
      <c r="O101" s="1068"/>
      <c r="P101" s="1068"/>
      <c r="Q101" s="1068"/>
      <c r="R101" s="1068"/>
      <c r="T101" s="679" t="b">
        <f t="shared" ca="1" si="50"/>
        <v>1</v>
      </c>
      <c r="U101" s="1152"/>
      <c r="V101" s="1152"/>
      <c r="W101" s="1152"/>
      <c r="X101" s="1485"/>
      <c r="Y101" s="1152"/>
      <c r="Z101" s="1485"/>
      <c r="AA101" s="177"/>
      <c r="AB101" s="108" t="s">
        <v>1688</v>
      </c>
      <c r="AC101" s="505" t="s">
        <v>1689</v>
      </c>
      <c r="AD101" s="411" t="s">
        <v>1426</v>
      </c>
      <c r="AE101" s="1316"/>
      <c r="AF101" s="1316">
        <v>3705.28</v>
      </c>
      <c r="AG101" s="1316"/>
      <c r="AH101" s="253">
        <f t="shared" si="38"/>
        <v>-3705.28</v>
      </c>
      <c r="AI101" s="1316"/>
      <c r="AJ101" s="509"/>
      <c r="AK101" s="1315"/>
      <c r="AL101" s="1315"/>
      <c r="AM101" s="1316"/>
      <c r="AN101" s="1316"/>
      <c r="AO101" s="1316"/>
      <c r="AP101" s="1316"/>
      <c r="AQ101" s="1316"/>
      <c r="AR101" s="1316"/>
      <c r="AS101" s="1316"/>
      <c r="AT101" s="509"/>
      <c r="AU101" s="1315"/>
      <c r="AV101" s="1315"/>
      <c r="AW101" s="1316"/>
      <c r="AX101" s="1316"/>
      <c r="AY101" s="1316"/>
      <c r="AZ101" s="1316"/>
      <c r="BA101" s="1316"/>
      <c r="BB101" s="1316"/>
      <c r="BC101" s="1316"/>
      <c r="BD101" s="253">
        <f t="shared" si="39"/>
        <v>0</v>
      </c>
      <c r="BE101" s="253">
        <f t="shared" si="40"/>
        <v>0</v>
      </c>
      <c r="BF101" s="253">
        <f t="shared" si="41"/>
        <v>0</v>
      </c>
      <c r="BG101" s="253">
        <f t="shared" si="42"/>
        <v>0</v>
      </c>
      <c r="BH101" s="253">
        <f t="shared" si="43"/>
        <v>0</v>
      </c>
      <c r="BI101" s="253">
        <f t="shared" si="44"/>
        <v>0</v>
      </c>
      <c r="BJ101" s="253">
        <f t="shared" si="45"/>
        <v>0</v>
      </c>
      <c r="BK101" s="253">
        <f t="shared" si="46"/>
        <v>0</v>
      </c>
      <c r="BL101" s="253">
        <f t="shared" si="47"/>
        <v>0</v>
      </c>
      <c r="BM101" s="253">
        <f t="shared" si="48"/>
        <v>0</v>
      </c>
      <c r="BN101" s="1231"/>
      <c r="BO101" s="1231"/>
      <c r="BP101" s="1231"/>
      <c r="BQ101" s="177"/>
      <c r="BR101" s="177"/>
      <c r="BS101" s="1021" t="s">
        <v>1690</v>
      </c>
      <c r="BT101" s="1021"/>
      <c r="BU101" s="1021"/>
      <c r="BV101" s="1022"/>
      <c r="BW101" s="1022"/>
      <c r="BX101" s="1054"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M10610::ТЭ.42.27968109.0001::Неопределено::Неопределено::Неопределено::Неопределено::Неопределено</v>
      </c>
    </row>
    <row r="102" spans="1:76" s="1167" customFormat="1" ht="14.25" customHeight="1" x14ac:dyDescent="0.15">
      <c r="A102" s="175"/>
      <c r="B102" s="773"/>
      <c r="C102" s="1084" t="s">
        <v>1691</v>
      </c>
      <c r="D102" s="1043" t="s">
        <v>1692</v>
      </c>
      <c r="E102" s="668">
        <v>15</v>
      </c>
      <c r="F102" s="769" t="str" cm="1">
        <f t="array" aca="1" ref="F102" ca="1">OFFSET(G102,-1,-1)</f>
        <v>1</v>
      </c>
      <c r="G102" s="140" t="s">
        <v>1530</v>
      </c>
      <c r="H102" s="177"/>
      <c r="I102" s="177"/>
      <c r="J102" s="177"/>
      <c r="K102" s="177"/>
      <c r="L102" s="140"/>
      <c r="M102" s="1067"/>
      <c r="N102" s="1067" t="str" cm="1">
        <f t="array" aca="1" ref="N102" ca="1">OFFSET(M102,-1,1)</f>
        <v>ТЭ.42.27968109.0001</v>
      </c>
      <c r="O102" s="1068"/>
      <c r="P102" s="1068"/>
      <c r="Q102" s="1068"/>
      <c r="R102" s="1068"/>
      <c r="T102" s="679" t="b">
        <f t="shared" ca="1" si="50"/>
        <v>1</v>
      </c>
      <c r="U102" s="1152"/>
      <c r="V102" s="1152"/>
      <c r="W102" s="1152"/>
      <c r="X102" s="1485"/>
      <c r="Y102" s="1152"/>
      <c r="Z102" s="1485"/>
      <c r="AA102" s="177"/>
      <c r="AB102" s="108" t="s">
        <v>441</v>
      </c>
      <c r="AC102" s="505" t="s">
        <v>1532</v>
      </c>
      <c r="AD102" s="411" t="s">
        <v>1044</v>
      </c>
      <c r="AE102" s="1316">
        <v>11263.9</v>
      </c>
      <c r="AF102" s="1316">
        <v>11263.9</v>
      </c>
      <c r="AG102" s="1316">
        <v>11263.9</v>
      </c>
      <c r="AH102" s="253">
        <f t="shared" si="38"/>
        <v>0</v>
      </c>
      <c r="AI102" s="1316">
        <v>12162.2</v>
      </c>
      <c r="AJ102" s="509">
        <v>13398.46</v>
      </c>
      <c r="AK102" s="1315"/>
      <c r="AL102" s="1315"/>
      <c r="AM102" s="1316"/>
      <c r="AN102" s="1316"/>
      <c r="AO102" s="1316"/>
      <c r="AP102" s="1316"/>
      <c r="AQ102" s="1316"/>
      <c r="AR102" s="1316"/>
      <c r="AS102" s="1316"/>
      <c r="AT102" s="509">
        <v>13063.24</v>
      </c>
      <c r="AU102" s="1315"/>
      <c r="AV102" s="1315"/>
      <c r="AW102" s="1316"/>
      <c r="AX102" s="1316"/>
      <c r="AY102" s="1316"/>
      <c r="AZ102" s="1316"/>
      <c r="BA102" s="1316"/>
      <c r="BB102" s="1316"/>
      <c r="BC102" s="1316"/>
      <c r="BD102" s="253">
        <f t="shared" si="39"/>
        <v>7.4085280623571306</v>
      </c>
      <c r="BE102" s="253">
        <f t="shared" si="40"/>
        <v>-100</v>
      </c>
      <c r="BF102" s="253">
        <f t="shared" si="41"/>
        <v>0</v>
      </c>
      <c r="BG102" s="253">
        <f t="shared" si="42"/>
        <v>0</v>
      </c>
      <c r="BH102" s="253">
        <f t="shared" si="43"/>
        <v>0</v>
      </c>
      <c r="BI102" s="253">
        <f t="shared" si="44"/>
        <v>0</v>
      </c>
      <c r="BJ102" s="253">
        <f t="shared" si="45"/>
        <v>0</v>
      </c>
      <c r="BK102" s="253">
        <f t="shared" si="46"/>
        <v>0</v>
      </c>
      <c r="BL102" s="253">
        <f t="shared" si="47"/>
        <v>0</v>
      </c>
      <c r="BM102" s="253">
        <f t="shared" si="48"/>
        <v>0</v>
      </c>
      <c r="BN102" s="1231"/>
      <c r="BO102" s="1231"/>
      <c r="BP102" s="1231"/>
      <c r="BQ102" s="177"/>
      <c r="BR102" s="177"/>
      <c r="BS102" s="1021" t="s">
        <v>1693</v>
      </c>
      <c r="BT102" s="1021"/>
      <c r="BU102" s="1021"/>
      <c r="BV102" s="1022"/>
      <c r="BW102" s="1022"/>
      <c r="BX102" s="1054"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M11281::ТЭ.42.27968109.0001::Неопределено::Неопределено::Неопределено::Неопределено::Неопределено</v>
      </c>
    </row>
    <row r="103" spans="1:76" s="1167" customFormat="1" ht="14.25" customHeight="1" x14ac:dyDescent="0.15">
      <c r="A103" s="175"/>
      <c r="B103" s="773"/>
      <c r="C103" s="1084" t="s">
        <v>1694</v>
      </c>
      <c r="D103" s="1043" t="s">
        <v>1695</v>
      </c>
      <c r="E103" s="668">
        <v>15</v>
      </c>
      <c r="F103" s="769" t="str" cm="1">
        <f t="array" aca="1" ref="F103" ca="1">OFFSET(G103,-1,-1)</f>
        <v>1</v>
      </c>
      <c r="G103" s="177"/>
      <c r="H103" s="177"/>
      <c r="I103" s="177"/>
      <c r="J103" s="177"/>
      <c r="K103" s="177"/>
      <c r="L103" s="140"/>
      <c r="M103" s="1067"/>
      <c r="N103" s="1067" t="str" cm="1">
        <f t="array" aca="1" ref="N103" ca="1">OFFSET(M103,-1,1)</f>
        <v>ТЭ.42.27968109.0001</v>
      </c>
      <c r="O103" s="1068"/>
      <c r="P103" s="1068"/>
      <c r="Q103" s="1068"/>
      <c r="R103" s="1068"/>
      <c r="T103" s="679" t="b">
        <f t="shared" ca="1" si="50"/>
        <v>1</v>
      </c>
      <c r="U103" s="1152"/>
      <c r="V103" s="1152"/>
      <c r="W103" s="1152"/>
      <c r="X103" s="1485"/>
      <c r="Y103" s="1152"/>
      <c r="Z103" s="1485"/>
      <c r="AA103" s="177"/>
      <c r="AB103" s="108" t="s">
        <v>776</v>
      </c>
      <c r="AC103" s="113" t="s">
        <v>1528</v>
      </c>
      <c r="AD103" s="411" t="s">
        <v>521</v>
      </c>
      <c r="AE103" s="1310">
        <v>25</v>
      </c>
      <c r="AF103" s="1310"/>
      <c r="AG103" s="1310"/>
      <c r="AH103" s="253">
        <f t="shared" si="38"/>
        <v>0</v>
      </c>
      <c r="AI103" s="1310"/>
      <c r="AJ103" s="924"/>
      <c r="AK103" s="1308"/>
      <c r="AL103" s="1308"/>
      <c r="AM103" s="1310"/>
      <c r="AN103" s="1310"/>
      <c r="AO103" s="1310"/>
      <c r="AP103" s="1310"/>
      <c r="AQ103" s="1310"/>
      <c r="AR103" s="1310"/>
      <c r="AS103" s="1310"/>
      <c r="AT103" s="924"/>
      <c r="AU103" s="1308"/>
      <c r="AV103" s="1308"/>
      <c r="AW103" s="1310"/>
      <c r="AX103" s="1310"/>
      <c r="AY103" s="1310"/>
      <c r="AZ103" s="1310"/>
      <c r="BA103" s="1310"/>
      <c r="BB103" s="1310"/>
      <c r="BC103" s="1310"/>
      <c r="BD103" s="253">
        <f t="shared" si="39"/>
        <v>0</v>
      </c>
      <c r="BE103" s="253">
        <f t="shared" si="40"/>
        <v>0</v>
      </c>
      <c r="BF103" s="253">
        <f t="shared" si="41"/>
        <v>0</v>
      </c>
      <c r="BG103" s="253">
        <f t="shared" si="42"/>
        <v>0</v>
      </c>
      <c r="BH103" s="253">
        <f t="shared" si="43"/>
        <v>0</v>
      </c>
      <c r="BI103" s="253">
        <f t="shared" si="44"/>
        <v>0</v>
      </c>
      <c r="BJ103" s="253">
        <f t="shared" si="45"/>
        <v>0</v>
      </c>
      <c r="BK103" s="253">
        <f t="shared" si="46"/>
        <v>0</v>
      </c>
      <c r="BL103" s="253">
        <f t="shared" si="47"/>
        <v>0</v>
      </c>
      <c r="BM103" s="253">
        <f t="shared" si="48"/>
        <v>0</v>
      </c>
      <c r="BN103" s="1231"/>
      <c r="BO103" s="1231"/>
      <c r="BP103" s="1231"/>
      <c r="BQ103" s="177"/>
      <c r="BR103" s="177"/>
      <c r="BS103" s="1021" t="s">
        <v>1696</v>
      </c>
      <c r="BT103" s="1021"/>
      <c r="BU103" s="1021"/>
      <c r="BV103" s="1022"/>
      <c r="BW103" s="1022"/>
      <c r="BX103" s="1054"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M10607::ТЭ.42.27968109.0001::Неопределено::Неопределено::Неопределено::Неопределено::Неопределено</v>
      </c>
    </row>
    <row r="104" spans="1:76" s="1167" customFormat="1" ht="28.5" customHeight="1" x14ac:dyDescent="0.15">
      <c r="A104" s="175"/>
      <c r="B104" s="773"/>
      <c r="C104" s="1084" t="s">
        <v>1697</v>
      </c>
      <c r="D104" s="1043" t="s">
        <v>1698</v>
      </c>
      <c r="E104" s="668">
        <v>29.3</v>
      </c>
      <c r="F104" s="769" t="str" cm="1">
        <f t="array" aca="1" ref="F104" ca="1">OFFSET(G104,-1,-1)</f>
        <v>1</v>
      </c>
      <c r="G104" s="140">
        <v>6</v>
      </c>
      <c r="H104" s="177"/>
      <c r="I104" s="177"/>
      <c r="J104" s="177"/>
      <c r="K104" s="177"/>
      <c r="L104" s="140"/>
      <c r="M104" s="1067"/>
      <c r="N104" s="1067" t="str" cm="1">
        <f t="array" aca="1" ref="N104" ca="1">OFFSET(M104,-1,1)</f>
        <v>ТЭ.42.27968109.0001</v>
      </c>
      <c r="O104" s="1068"/>
      <c r="P104" s="1068"/>
      <c r="Q104" s="1068"/>
      <c r="R104" s="1068"/>
      <c r="T104" s="679" t="b">
        <f ca="1">F104&gt;0</f>
        <v>1</v>
      </c>
      <c r="U104" s="1152"/>
      <c r="V104" s="1152"/>
      <c r="W104" s="1152"/>
      <c r="X104" s="1485"/>
      <c r="Y104" s="1152"/>
      <c r="Z104" s="1485"/>
      <c r="AA104" s="177"/>
      <c r="AB104" s="108" t="s">
        <v>445</v>
      </c>
      <c r="AC104" s="505" t="s">
        <v>1535</v>
      </c>
      <c r="AD104" s="411" t="s">
        <v>1044</v>
      </c>
      <c r="AE104" s="1316"/>
      <c r="AF104" s="1316"/>
      <c r="AG104" s="1316"/>
      <c r="AH104" s="253">
        <f t="shared" si="38"/>
        <v>0</v>
      </c>
      <c r="AI104" s="1316"/>
      <c r="AJ104" s="509"/>
      <c r="AK104" s="1315"/>
      <c r="AL104" s="1315"/>
      <c r="AM104" s="1316"/>
      <c r="AN104" s="1316"/>
      <c r="AO104" s="1316"/>
      <c r="AP104" s="1316"/>
      <c r="AQ104" s="1316"/>
      <c r="AR104" s="1316"/>
      <c r="AS104" s="1316"/>
      <c r="AT104" s="509"/>
      <c r="AU104" s="1315"/>
      <c r="AV104" s="1315"/>
      <c r="AW104" s="1316"/>
      <c r="AX104" s="1316"/>
      <c r="AY104" s="1316"/>
      <c r="AZ104" s="1316"/>
      <c r="BA104" s="1316"/>
      <c r="BB104" s="1316"/>
      <c r="BC104" s="1316"/>
      <c r="BD104" s="253">
        <f t="shared" si="39"/>
        <v>0</v>
      </c>
      <c r="BE104" s="253">
        <f t="shared" si="40"/>
        <v>0</v>
      </c>
      <c r="BF104" s="253">
        <f t="shared" si="41"/>
        <v>0</v>
      </c>
      <c r="BG104" s="253">
        <f t="shared" si="42"/>
        <v>0</v>
      </c>
      <c r="BH104" s="253">
        <f t="shared" si="43"/>
        <v>0</v>
      </c>
      <c r="BI104" s="253">
        <f t="shared" si="44"/>
        <v>0</v>
      </c>
      <c r="BJ104" s="253">
        <f t="shared" si="45"/>
        <v>0</v>
      </c>
      <c r="BK104" s="253">
        <f t="shared" si="46"/>
        <v>0</v>
      </c>
      <c r="BL104" s="253">
        <f t="shared" si="47"/>
        <v>0</v>
      </c>
      <c r="BM104" s="253">
        <f t="shared" si="48"/>
        <v>0</v>
      </c>
      <c r="BN104" s="1231"/>
      <c r="BO104" s="1231"/>
      <c r="BP104" s="1231"/>
      <c r="BQ104" s="177"/>
      <c r="BR104" s="177"/>
      <c r="BS104" s="1021" t="s">
        <v>1699</v>
      </c>
      <c r="BT104" s="1021"/>
      <c r="BU104" s="1021"/>
      <c r="BV104" s="1022"/>
      <c r="BW104" s="1022"/>
      <c r="BX104" s="1054"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M11584::ТЭ.42.27968109.0001::Неопределено::Неопределено::Неопределено::Неопределено::Неопределено</v>
      </c>
    </row>
    <row r="105" spans="1:76" s="1167" customFormat="1" ht="28.5" customHeight="1" x14ac:dyDescent="0.15">
      <c r="A105" s="175"/>
      <c r="B105" s="773"/>
      <c r="C105" s="1084" t="s">
        <v>1700</v>
      </c>
      <c r="D105" s="1043" t="s">
        <v>1701</v>
      </c>
      <c r="E105" s="668">
        <v>29.3</v>
      </c>
      <c r="F105" s="769" t="str" cm="1">
        <f t="array" aca="1" ref="F105" ca="1">OFFSET(G105,-1,-1)</f>
        <v>1</v>
      </c>
      <c r="G105" s="140" t="s">
        <v>1562</v>
      </c>
      <c r="H105" s="177"/>
      <c r="I105" s="177"/>
      <c r="J105" s="177"/>
      <c r="K105" s="177"/>
      <c r="L105" s="140"/>
      <c r="M105" s="1067"/>
      <c r="N105" s="1067" t="str" cm="1">
        <f t="array" aca="1" ref="N105" ca="1">OFFSET(M105,-1,1)</f>
        <v>ТЭ.42.27968109.0001</v>
      </c>
      <c r="O105" s="1068"/>
      <c r="P105" s="1068"/>
      <c r="Q105" s="1068"/>
      <c r="R105" s="1068"/>
      <c r="T105" s="679" t="b" cm="1">
        <f t="array" aca="1" ref="T105" ca="1">T104</f>
        <v>1</v>
      </c>
      <c r="U105" s="1152"/>
      <c r="V105" s="1152"/>
      <c r="W105" s="1152"/>
      <c r="X105" s="1485"/>
      <c r="Y105" s="1152"/>
      <c r="Z105" s="1485"/>
      <c r="AA105" s="177"/>
      <c r="AB105" s="108" t="s">
        <v>449</v>
      </c>
      <c r="AC105" s="614" t="s">
        <v>1702</v>
      </c>
      <c r="AD105" s="411" t="s">
        <v>1044</v>
      </c>
      <c r="AE105" s="1316"/>
      <c r="AF105" s="1316"/>
      <c r="AG105" s="1316"/>
      <c r="AH105" s="253">
        <f t="shared" si="38"/>
        <v>0</v>
      </c>
      <c r="AI105" s="1316">
        <v>8645.0580505981907</v>
      </c>
      <c r="AJ105" s="509">
        <v>27478.28</v>
      </c>
      <c r="AK105" s="1315"/>
      <c r="AL105" s="1315"/>
      <c r="AM105" s="1316"/>
      <c r="AN105" s="1316"/>
      <c r="AO105" s="1316"/>
      <c r="AP105" s="1316"/>
      <c r="AQ105" s="1316"/>
      <c r="AR105" s="1316"/>
      <c r="AS105" s="1316"/>
      <c r="AT105" s="509">
        <v>25917.95</v>
      </c>
      <c r="AU105" s="1315"/>
      <c r="AV105" s="1315"/>
      <c r="AW105" s="1316"/>
      <c r="AX105" s="1316"/>
      <c r="AY105" s="1316"/>
      <c r="AZ105" s="1316"/>
      <c r="BA105" s="1316"/>
      <c r="BB105" s="1316"/>
      <c r="BC105" s="1316"/>
      <c r="BD105" s="253">
        <f t="shared" si="39"/>
        <v>199.80076302907673</v>
      </c>
      <c r="BE105" s="253">
        <f t="shared" si="40"/>
        <v>-100</v>
      </c>
      <c r="BF105" s="253">
        <f t="shared" si="41"/>
        <v>0</v>
      </c>
      <c r="BG105" s="253">
        <f t="shared" si="42"/>
        <v>0</v>
      </c>
      <c r="BH105" s="253">
        <f t="shared" si="43"/>
        <v>0</v>
      </c>
      <c r="BI105" s="253">
        <f t="shared" si="44"/>
        <v>0</v>
      </c>
      <c r="BJ105" s="253">
        <f t="shared" si="45"/>
        <v>0</v>
      </c>
      <c r="BK105" s="253">
        <f t="shared" si="46"/>
        <v>0</v>
      </c>
      <c r="BL105" s="253">
        <f t="shared" si="47"/>
        <v>0</v>
      </c>
      <c r="BM105" s="253">
        <f t="shared" si="48"/>
        <v>0</v>
      </c>
      <c r="BN105" s="1231"/>
      <c r="BO105" s="1231"/>
      <c r="BP105" s="1231"/>
      <c r="BQ105" s="177"/>
      <c r="BR105" s="177"/>
      <c r="BS105" s="1021" t="s">
        <v>1703</v>
      </c>
      <c r="BT105" s="1021"/>
      <c r="BU105" s="1021"/>
      <c r="BV105" s="1022"/>
      <c r="BW105" s="1022"/>
      <c r="BX105" s="1054"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M11585::ТЭ.42.27968109.0001::Неопределено::Неопределено::Неопределено::Неопределено::Неопределено</v>
      </c>
    </row>
    <row r="106" spans="1:76" s="1328" customFormat="1" ht="63.75" customHeight="1" x14ac:dyDescent="0.15">
      <c r="A106" s="182"/>
      <c r="B106" s="182"/>
      <c r="C106" s="1084" t="s">
        <v>1704</v>
      </c>
      <c r="D106" s="1043" t="s">
        <v>1705</v>
      </c>
      <c r="E106" s="668">
        <v>66</v>
      </c>
      <c r="F106" s="769" t="str" cm="1">
        <f t="array" aca="1" ref="F106" ca="1">OFFSET(G106,-1,-1)</f>
        <v>1</v>
      </c>
      <c r="G106" s="182"/>
      <c r="H106" s="182"/>
      <c r="I106" s="182"/>
      <c r="J106" s="182"/>
      <c r="K106" s="182"/>
      <c r="L106" s="182"/>
      <c r="M106" s="1067"/>
      <c r="N106" s="1067" t="str" cm="1">
        <f t="array" aca="1" ref="N106" ca="1">OFFSET(M106,-1,1)</f>
        <v>ТЭ.42.27968109.0001</v>
      </c>
      <c r="O106" s="1069"/>
      <c r="P106" s="1069"/>
      <c r="Q106" s="1069"/>
      <c r="R106" s="1069"/>
      <c r="S106" s="182"/>
      <c r="T106" s="679" t="b" cm="1">
        <f t="array" aca="1" ref="T106" ca="1">T105</f>
        <v>1</v>
      </c>
      <c r="U106" s="182"/>
      <c r="V106" s="182"/>
      <c r="W106" s="182"/>
      <c r="X106" s="1586"/>
      <c r="Y106" s="182"/>
      <c r="Z106" s="1586"/>
      <c r="AA106" s="182"/>
      <c r="AB106" s="108" t="s">
        <v>455</v>
      </c>
      <c r="AC106" s="505" t="s">
        <v>1706</v>
      </c>
      <c r="AD106" s="411" t="s">
        <v>1044</v>
      </c>
      <c r="AE106" s="1316"/>
      <c r="AF106" s="1316"/>
      <c r="AG106" s="1316"/>
      <c r="AH106" s="253">
        <f t="shared" si="38"/>
        <v>0</v>
      </c>
      <c r="AI106" s="1316"/>
      <c r="AJ106" s="509"/>
      <c r="AK106" s="1315"/>
      <c r="AL106" s="1315"/>
      <c r="AM106" s="1316"/>
      <c r="AN106" s="1316"/>
      <c r="AO106" s="1316"/>
      <c r="AP106" s="1316"/>
      <c r="AQ106" s="1316"/>
      <c r="AR106" s="1316"/>
      <c r="AS106" s="1316"/>
      <c r="AT106" s="509"/>
      <c r="AU106" s="1315"/>
      <c r="AV106" s="1315"/>
      <c r="AW106" s="1316"/>
      <c r="AX106" s="1316"/>
      <c r="AY106" s="1316"/>
      <c r="AZ106" s="1316"/>
      <c r="BA106" s="1316"/>
      <c r="BB106" s="1316"/>
      <c r="BC106" s="1316"/>
      <c r="BD106" s="253">
        <f t="shared" si="39"/>
        <v>0</v>
      </c>
      <c r="BE106" s="253">
        <f t="shared" si="40"/>
        <v>0</v>
      </c>
      <c r="BF106" s="253">
        <f t="shared" si="41"/>
        <v>0</v>
      </c>
      <c r="BG106" s="253">
        <f t="shared" si="42"/>
        <v>0</v>
      </c>
      <c r="BH106" s="253">
        <f t="shared" si="43"/>
        <v>0</v>
      </c>
      <c r="BI106" s="253">
        <f t="shared" si="44"/>
        <v>0</v>
      </c>
      <c r="BJ106" s="253">
        <f t="shared" si="45"/>
        <v>0</v>
      </c>
      <c r="BK106" s="253">
        <f t="shared" si="46"/>
        <v>0</v>
      </c>
      <c r="BL106" s="253">
        <f t="shared" si="47"/>
        <v>0</v>
      </c>
      <c r="BM106" s="253">
        <f t="shared" si="48"/>
        <v>0</v>
      </c>
      <c r="BN106" s="1231"/>
      <c r="BO106" s="1231"/>
      <c r="BP106" s="1231"/>
      <c r="BQ106" s="182"/>
      <c r="BR106" s="182"/>
      <c r="BS106" s="1021" t="s">
        <v>1539</v>
      </c>
      <c r="BT106" s="1029"/>
      <c r="BU106" s="1029"/>
      <c r="BV106" s="1030"/>
      <c r="BW106" s="1030"/>
      <c r="BX106" s="1054"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M11583::ТЭ.42.27968109.0001::Неопределено::Неопределено::Неопределено::Неопределено::Неопределено</v>
      </c>
    </row>
    <row r="107" spans="1:76" s="1329" customFormat="1" ht="32.25" customHeight="1" x14ac:dyDescent="0.15">
      <c r="A107" s="182"/>
      <c r="B107" s="182"/>
      <c r="C107" s="1084" t="s">
        <v>1707</v>
      </c>
      <c r="D107" s="1043" t="s">
        <v>1708</v>
      </c>
      <c r="E107" s="668">
        <v>33.799999999999997</v>
      </c>
      <c r="F107" s="769" t="str" cm="1">
        <f t="array" aca="1" ref="F107" ca="1">OFFSET(G107,-1,-1)</f>
        <v>1</v>
      </c>
      <c r="G107" s="182"/>
      <c r="H107" s="182"/>
      <c r="I107" s="182"/>
      <c r="J107" s="182"/>
      <c r="K107" s="182"/>
      <c r="L107" s="182"/>
      <c r="M107" s="1067"/>
      <c r="N107" s="1067" t="str" cm="1">
        <f t="array" aca="1" ref="N107" ca="1">OFFSET(M107,-1,1)</f>
        <v>ТЭ.42.27968109.0001</v>
      </c>
      <c r="O107" s="1069"/>
      <c r="P107" s="1069"/>
      <c r="Q107" s="1069"/>
      <c r="R107" s="1069"/>
      <c r="S107" s="182"/>
      <c r="T107" s="679" t="b" cm="1">
        <f t="array" aca="1" ref="T107" ca="1">T106</f>
        <v>1</v>
      </c>
      <c r="U107" s="182"/>
      <c r="V107" s="182"/>
      <c r="W107" s="182"/>
      <c r="X107" s="1586"/>
      <c r="Y107" s="182"/>
      <c r="Z107" s="1586"/>
      <c r="AA107" s="182"/>
      <c r="AB107" s="108" t="s">
        <v>689</v>
      </c>
      <c r="AC107" s="505" t="s">
        <v>1709</v>
      </c>
      <c r="AD107" s="411" t="s">
        <v>1044</v>
      </c>
      <c r="AE107" s="1316"/>
      <c r="AF107" s="1316"/>
      <c r="AG107" s="1316"/>
      <c r="AH107" s="253">
        <f t="shared" si="38"/>
        <v>0</v>
      </c>
      <c r="AI107" s="1316"/>
      <c r="AJ107" s="509"/>
      <c r="AK107" s="1315"/>
      <c r="AL107" s="1315"/>
      <c r="AM107" s="1316"/>
      <c r="AN107" s="1316"/>
      <c r="AO107" s="1316"/>
      <c r="AP107" s="1316"/>
      <c r="AQ107" s="1316"/>
      <c r="AR107" s="1316"/>
      <c r="AS107" s="1316"/>
      <c r="AT107" s="509"/>
      <c r="AU107" s="1315"/>
      <c r="AV107" s="1315"/>
      <c r="AW107" s="1316"/>
      <c r="AX107" s="1316"/>
      <c r="AY107" s="1316"/>
      <c r="AZ107" s="1316"/>
      <c r="BA107" s="1316"/>
      <c r="BB107" s="1316"/>
      <c r="BC107" s="1316"/>
      <c r="BD107" s="253">
        <f t="shared" si="39"/>
        <v>0</v>
      </c>
      <c r="BE107" s="253">
        <f t="shared" si="40"/>
        <v>0</v>
      </c>
      <c r="BF107" s="253">
        <f t="shared" si="41"/>
        <v>0</v>
      </c>
      <c r="BG107" s="253">
        <f t="shared" si="42"/>
        <v>0</v>
      </c>
      <c r="BH107" s="253">
        <f t="shared" si="43"/>
        <v>0</v>
      </c>
      <c r="BI107" s="253">
        <f t="shared" si="44"/>
        <v>0</v>
      </c>
      <c r="BJ107" s="253">
        <f t="shared" si="45"/>
        <v>0</v>
      </c>
      <c r="BK107" s="253">
        <f t="shared" si="46"/>
        <v>0</v>
      </c>
      <c r="BL107" s="253">
        <f t="shared" si="47"/>
        <v>0</v>
      </c>
      <c r="BM107" s="253">
        <f t="shared" si="48"/>
        <v>0</v>
      </c>
      <c r="BN107" s="1231"/>
      <c r="BO107" s="1231"/>
      <c r="BP107" s="1231"/>
      <c r="BQ107" s="182"/>
      <c r="BR107" s="182"/>
      <c r="BS107" s="1021" t="s">
        <v>1710</v>
      </c>
      <c r="BT107" s="1029"/>
      <c r="BU107" s="1029"/>
      <c r="BV107" s="1030"/>
      <c r="BW107" s="1030"/>
      <c r="BX107" s="1054"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M10742::ТЭ.42.27968109.0001::Неопределено::Неопределено::Неопределено::Неопределено::Неопределено</v>
      </c>
    </row>
    <row r="108" spans="1:76" s="1167" customFormat="1" ht="61.5" customHeight="1" x14ac:dyDescent="0.15">
      <c r="A108" s="175"/>
      <c r="B108" s="773"/>
      <c r="C108" s="1084" t="s">
        <v>1711</v>
      </c>
      <c r="D108" s="1043" t="s">
        <v>1712</v>
      </c>
      <c r="E108" s="668">
        <v>63.8</v>
      </c>
      <c r="F108" s="769" t="str" cm="1">
        <f t="array" aca="1" ref="F108" ca="1">OFFSET(G108,-1,-1)</f>
        <v>1</v>
      </c>
      <c r="G108" s="177"/>
      <c r="H108" s="177"/>
      <c r="I108" s="177"/>
      <c r="J108" s="177"/>
      <c r="K108" s="177"/>
      <c r="L108" s="140"/>
      <c r="M108" s="1067"/>
      <c r="N108" s="1067" t="str" cm="1">
        <f t="array" aca="1" ref="N108" ca="1">OFFSET(M108,-1,1)</f>
        <v>ТЭ.42.27968109.0001</v>
      </c>
      <c r="O108" s="1068"/>
      <c r="P108" s="1068"/>
      <c r="Q108" s="1068"/>
      <c r="R108" s="1068"/>
      <c r="T108" s="679" t="b" cm="1">
        <f t="array" aca="1" ref="T108" ca="1">T107</f>
        <v>1</v>
      </c>
      <c r="U108" s="1152"/>
      <c r="V108" s="1152"/>
      <c r="W108" s="1152"/>
      <c r="X108" s="1485"/>
      <c r="Y108" s="1152"/>
      <c r="Z108" s="1485"/>
      <c r="AA108" s="177"/>
      <c r="AB108" s="531" t="s">
        <v>713</v>
      </c>
      <c r="AC108" s="533" t="s">
        <v>1713</v>
      </c>
      <c r="AD108" s="416" t="s">
        <v>1044</v>
      </c>
      <c r="AE108" s="1330"/>
      <c r="AF108" s="1316"/>
      <c r="AG108" s="1316"/>
      <c r="AH108" s="253">
        <f t="shared" si="38"/>
        <v>0</v>
      </c>
      <c r="AI108" s="1316"/>
      <c r="AJ108" s="509"/>
      <c r="AK108" s="1315"/>
      <c r="AL108" s="1315"/>
      <c r="AM108" s="1316"/>
      <c r="AN108" s="1316"/>
      <c r="AO108" s="1316"/>
      <c r="AP108" s="1316"/>
      <c r="AQ108" s="1316"/>
      <c r="AR108" s="1316"/>
      <c r="AS108" s="1316"/>
      <c r="AT108" s="509"/>
      <c r="AU108" s="1315"/>
      <c r="AV108" s="1315"/>
      <c r="AW108" s="1316"/>
      <c r="AX108" s="1316"/>
      <c r="AY108" s="1316"/>
      <c r="AZ108" s="1316"/>
      <c r="BA108" s="1316"/>
      <c r="BB108" s="1316"/>
      <c r="BC108" s="1316"/>
      <c r="BD108" s="253">
        <f t="shared" si="39"/>
        <v>0</v>
      </c>
      <c r="BE108" s="253">
        <f t="shared" si="40"/>
        <v>0</v>
      </c>
      <c r="BF108" s="253">
        <f t="shared" si="41"/>
        <v>0</v>
      </c>
      <c r="BG108" s="253">
        <f t="shared" si="42"/>
        <v>0</v>
      </c>
      <c r="BH108" s="253">
        <f t="shared" si="43"/>
        <v>0</v>
      </c>
      <c r="BI108" s="253">
        <f t="shared" si="44"/>
        <v>0</v>
      </c>
      <c r="BJ108" s="253">
        <f t="shared" si="45"/>
        <v>0</v>
      </c>
      <c r="BK108" s="253">
        <f t="shared" si="46"/>
        <v>0</v>
      </c>
      <c r="BL108" s="253">
        <f t="shared" si="47"/>
        <v>0</v>
      </c>
      <c r="BM108" s="253">
        <f t="shared" si="48"/>
        <v>0</v>
      </c>
      <c r="BN108" s="1237"/>
      <c r="BO108" s="1237"/>
      <c r="BP108" s="1237"/>
      <c r="BQ108" s="177"/>
      <c r="BR108" s="177"/>
      <c r="BS108" s="1021" t="s">
        <v>1714</v>
      </c>
      <c r="BT108" s="1021"/>
      <c r="BU108" s="1021"/>
      <c r="BV108" s="1022"/>
      <c r="BW108" s="1022"/>
      <c r="BX108" s="1054"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M10743::ТЭ.42.27968109.0001::Неопределено::Неопределено::Неопределено::Неопределено::Неопределено</v>
      </c>
    </row>
    <row r="109" spans="1:76" s="1167" customFormat="1" ht="16.5" customHeight="1" x14ac:dyDescent="0.15">
      <c r="A109" s="175"/>
      <c r="B109" s="773"/>
      <c r="C109" s="1084" t="s">
        <v>1715</v>
      </c>
      <c r="D109" s="1043" t="s">
        <v>1716</v>
      </c>
      <c r="E109" s="668">
        <v>17.100000000000001</v>
      </c>
      <c r="F109" s="769" t="str" cm="1">
        <f t="array" aca="1" ref="F109" ca="1">OFFSET(G109,-1,-1)</f>
        <v>1</v>
      </c>
      <c r="G109" s="177"/>
      <c r="H109" s="177"/>
      <c r="I109" s="177"/>
      <c r="J109" s="177"/>
      <c r="K109" s="177"/>
      <c r="L109" s="140"/>
      <c r="M109" s="1067"/>
      <c r="N109" s="1067" t="str" cm="1">
        <f t="array" aca="1" ref="N109" ca="1">OFFSET(M109,-1,1)</f>
        <v>ТЭ.42.27968109.0001</v>
      </c>
      <c r="O109" s="1068"/>
      <c r="P109" s="1068"/>
      <c r="Q109" s="1068"/>
      <c r="R109" s="1068"/>
      <c r="T109" s="679" t="b" cm="1">
        <f t="array" aca="1" ref="T109" ca="1">T108</f>
        <v>1</v>
      </c>
      <c r="U109" s="1152"/>
      <c r="V109" s="1152"/>
      <c r="W109" s="1152"/>
      <c r="X109" s="1485"/>
      <c r="Y109" s="1152"/>
      <c r="Z109" s="1485"/>
      <c r="AA109" s="177"/>
      <c r="AB109" s="108" t="s">
        <v>721</v>
      </c>
      <c r="AC109" s="505" t="s">
        <v>1717</v>
      </c>
      <c r="AD109" s="541" t="s">
        <v>1044</v>
      </c>
      <c r="AE109" s="507">
        <f>SUM(AE110:AE112)</f>
        <v>0</v>
      </c>
      <c r="AF109" s="507">
        <f>SUM(AF110:AF112)</f>
        <v>0</v>
      </c>
      <c r="AG109" s="542">
        <f>SUM(AG110:AG112)</f>
        <v>0</v>
      </c>
      <c r="AH109" s="253">
        <f t="shared" si="38"/>
        <v>0</v>
      </c>
      <c r="AI109" s="543">
        <f t="shared" ref="AI109:BC109" si="52">SUM(AI110:AI112)</f>
        <v>0</v>
      </c>
      <c r="AJ109" s="507">
        <f t="shared" si="52"/>
        <v>0</v>
      </c>
      <c r="AK109" s="507">
        <f t="shared" si="52"/>
        <v>0</v>
      </c>
      <c r="AL109" s="507">
        <f t="shared" si="52"/>
        <v>0</v>
      </c>
      <c r="AM109" s="507">
        <f t="shared" si="52"/>
        <v>0</v>
      </c>
      <c r="AN109" s="507">
        <f t="shared" si="52"/>
        <v>0</v>
      </c>
      <c r="AO109" s="507">
        <f t="shared" si="52"/>
        <v>0</v>
      </c>
      <c r="AP109" s="507">
        <f t="shared" si="52"/>
        <v>0</v>
      </c>
      <c r="AQ109" s="507">
        <f t="shared" si="52"/>
        <v>0</v>
      </c>
      <c r="AR109" s="507">
        <f t="shared" si="52"/>
        <v>0</v>
      </c>
      <c r="AS109" s="507">
        <f t="shared" si="52"/>
        <v>0</v>
      </c>
      <c r="AT109" s="507">
        <f t="shared" si="52"/>
        <v>0</v>
      </c>
      <c r="AU109" s="507">
        <f t="shared" si="52"/>
        <v>0</v>
      </c>
      <c r="AV109" s="507">
        <f t="shared" si="52"/>
        <v>0</v>
      </c>
      <c r="AW109" s="507">
        <f t="shared" si="52"/>
        <v>0</v>
      </c>
      <c r="AX109" s="507">
        <f t="shared" si="52"/>
        <v>0</v>
      </c>
      <c r="AY109" s="507">
        <f t="shared" si="52"/>
        <v>0</v>
      </c>
      <c r="AZ109" s="507">
        <f t="shared" si="52"/>
        <v>0</v>
      </c>
      <c r="BA109" s="507">
        <f t="shared" si="52"/>
        <v>0</v>
      </c>
      <c r="BB109" s="507">
        <f t="shared" si="52"/>
        <v>0</v>
      </c>
      <c r="BC109" s="507">
        <f t="shared" si="52"/>
        <v>0</v>
      </c>
      <c r="BD109" s="253">
        <f t="shared" si="39"/>
        <v>0</v>
      </c>
      <c r="BE109" s="253">
        <f t="shared" si="40"/>
        <v>0</v>
      </c>
      <c r="BF109" s="253">
        <f t="shared" si="41"/>
        <v>0</v>
      </c>
      <c r="BG109" s="253">
        <f t="shared" si="42"/>
        <v>0</v>
      </c>
      <c r="BH109" s="253">
        <f t="shared" si="43"/>
        <v>0</v>
      </c>
      <c r="BI109" s="253">
        <f t="shared" si="44"/>
        <v>0</v>
      </c>
      <c r="BJ109" s="253">
        <f t="shared" si="45"/>
        <v>0</v>
      </c>
      <c r="BK109" s="253">
        <f t="shared" si="46"/>
        <v>0</v>
      </c>
      <c r="BL109" s="253">
        <f t="shared" si="47"/>
        <v>0</v>
      </c>
      <c r="BM109" s="253">
        <f t="shared" si="48"/>
        <v>0</v>
      </c>
      <c r="BN109" s="1238"/>
      <c r="BO109" s="1238"/>
      <c r="BP109" s="1238"/>
      <c r="BQ109" s="177"/>
      <c r="BR109" s="177"/>
      <c r="BS109" s="1021" t="s">
        <v>1292</v>
      </c>
      <c r="BT109" s="1021"/>
      <c r="BU109" s="1021"/>
      <c r="BV109" s="1022"/>
      <c r="BW109" s="1022"/>
      <c r="BX109" s="1054"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M10895::ТЭ.42.27968109.0001::Неопределено::Неопределено::Неопределено::Неопределено::Неопределено</v>
      </c>
    </row>
    <row r="110" spans="1:76" s="1331" customFormat="1" ht="17.25" hidden="1" customHeight="1" x14ac:dyDescent="0.15">
      <c r="A110" s="535"/>
      <c r="B110" s="535"/>
      <c r="C110" s="1084"/>
      <c r="D110" s="1043"/>
      <c r="E110" s="668">
        <v>0</v>
      </c>
      <c r="F110" s="769" t="str" cm="1">
        <f t="array" aca="1" ref="F110" ca="1">OFFSET(G110,-1,-1)</f>
        <v>1</v>
      </c>
      <c r="G110" s="535"/>
      <c r="H110" s="535"/>
      <c r="I110" s="535"/>
      <c r="J110" s="535"/>
      <c r="K110" s="535"/>
      <c r="L110" s="535"/>
      <c r="M110" s="1067"/>
      <c r="N110" s="1067" t="str" cm="1">
        <f t="array" aca="1" ref="N110" ca="1">OFFSET(M110,-1,1)</f>
        <v>ТЭ.42.27968109.0001</v>
      </c>
      <c r="O110" s="1070"/>
      <c r="P110" s="1070"/>
      <c r="Q110" s="1070"/>
      <c r="R110" s="1070"/>
      <c r="S110" s="1144"/>
      <c r="T110" s="679" t="b" cm="1">
        <f t="array" aca="1" ref="T110" ca="1">T109</f>
        <v>1</v>
      </c>
      <c r="U110" s="535"/>
      <c r="V110" s="535"/>
      <c r="W110" s="535"/>
      <c r="X110" s="1596"/>
      <c r="Y110" s="535"/>
      <c r="Z110" s="1596"/>
      <c r="AA110" s="535"/>
      <c r="AB110" s="539"/>
      <c r="AC110" s="540"/>
      <c r="AD110" s="479"/>
      <c r="AE110" s="508"/>
      <c r="AF110" s="508"/>
      <c r="AG110" s="82"/>
      <c r="AH110" s="508"/>
      <c r="AI110" s="851"/>
      <c r="AJ110" s="508"/>
      <c r="AK110" s="508"/>
      <c r="AL110" s="508"/>
      <c r="AM110" s="508"/>
      <c r="AN110" s="508"/>
      <c r="AO110" s="508"/>
      <c r="AP110" s="508"/>
      <c r="AQ110" s="508"/>
      <c r="AR110" s="508"/>
      <c r="AS110" s="508"/>
      <c r="AT110" s="508"/>
      <c r="AU110" s="508"/>
      <c r="AV110" s="508"/>
      <c r="AW110" s="508"/>
      <c r="AX110" s="508"/>
      <c r="AY110" s="508"/>
      <c r="AZ110" s="508"/>
      <c r="BA110" s="508"/>
      <c r="BB110" s="508"/>
      <c r="BC110" s="508"/>
      <c r="BD110" s="536"/>
      <c r="BE110" s="536"/>
      <c r="BF110" s="536"/>
      <c r="BG110" s="536"/>
      <c r="BH110" s="536"/>
      <c r="BI110" s="536"/>
      <c r="BJ110" s="536"/>
      <c r="BK110" s="536"/>
      <c r="BL110" s="536"/>
      <c r="BM110" s="536"/>
      <c r="BN110" s="711"/>
      <c r="BO110" s="711"/>
      <c r="BP110" s="711"/>
      <c r="BQ110" s="535"/>
      <c r="BR110" s="535"/>
      <c r="BS110" s="1021" t="str">
        <f>IF(AND(ISNUMBER(VALUE(TRIM(SUBSTITUTE(AB110,".","")))),TRIM(SUBSTITUTE(AB110,".",""))&lt;&gt;""),"P"&amp;SUBSTITUTE(AB110,".",""),"")</f>
        <v/>
      </c>
      <c r="BT110" s="1034"/>
      <c r="BU110" s="1034"/>
      <c r="BV110" s="1035"/>
      <c r="BW110" s="1035"/>
      <c r="BX110" s="1054"/>
    </row>
    <row r="111" spans="1:76" s="1167" customFormat="1" ht="16.5" hidden="1" customHeight="1" x14ac:dyDescent="0.15">
      <c r="C111" s="1084" t="s">
        <v>1715</v>
      </c>
      <c r="D111" s="1043" t="s">
        <v>1716</v>
      </c>
      <c r="E111" s="668">
        <v>17.100000000000001</v>
      </c>
      <c r="F111" s="769" t="str" cm="1">
        <f t="array" aca="1" ref="F111" ca="1">OFFSET(G111,-1,-1)</f>
        <v>1</v>
      </c>
      <c r="M111" s="1071" cm="1">
        <f t="array" ref="M111">AC111</f>
        <v>0</v>
      </c>
      <c r="N111" s="1067" t="str" cm="1">
        <f t="array" aca="1" ref="N111" ca="1">OFFSET(M111,-1,1)</f>
        <v>ТЭ.42.27968109.0001</v>
      </c>
      <c r="O111" s="1068"/>
      <c r="P111" s="1068"/>
      <c r="Q111" s="1068"/>
      <c r="R111" s="1068"/>
      <c r="T111" s="679" t="b">
        <f ca="1">AND(F111&gt;0,Y111&gt;0)</f>
        <v>0</v>
      </c>
      <c r="W111" s="123" t="s">
        <v>237</v>
      </c>
      <c r="X111" s="1481"/>
      <c r="Y111" s="123">
        <v>0</v>
      </c>
      <c r="Z111" s="1481"/>
      <c r="AA111" s="916" t="s">
        <v>218</v>
      </c>
      <c r="AB111" s="531" t="str">
        <f>"11."&amp;Y111</f>
        <v>11.0</v>
      </c>
      <c r="AC111" s="83"/>
      <c r="AD111" s="541" t="s">
        <v>1044</v>
      </c>
      <c r="AE111" s="73"/>
      <c r="AF111" s="73"/>
      <c r="AG111" s="84"/>
      <c r="AH111" s="253">
        <f>AG111-AF111</f>
        <v>0</v>
      </c>
      <c r="AI111" s="85"/>
      <c r="AJ111" s="509"/>
      <c r="AK111" s="73"/>
      <c r="AL111" s="73"/>
      <c r="AM111" s="73"/>
      <c r="AN111" s="73"/>
      <c r="AO111" s="73"/>
      <c r="AP111" s="73"/>
      <c r="AQ111" s="73"/>
      <c r="AR111" s="73"/>
      <c r="AS111" s="73"/>
      <c r="AT111" s="509"/>
      <c r="AU111" s="73"/>
      <c r="AV111" s="73"/>
      <c r="AW111" s="73"/>
      <c r="AX111" s="73"/>
      <c r="AY111" s="73"/>
      <c r="AZ111" s="73"/>
      <c r="BA111" s="73"/>
      <c r="BB111" s="73"/>
      <c r="BC111" s="73"/>
      <c r="BD111" s="253">
        <f>IF(AI111=0,0,(AT111-AI111)/AI111*100)</f>
        <v>0</v>
      </c>
      <c r="BE111" s="253">
        <f t="shared" ref="BE111:BM111" si="53">IF(AT111=0,0,(AU111-AT111)/AT111*100)</f>
        <v>0</v>
      </c>
      <c r="BF111" s="253">
        <f t="shared" si="53"/>
        <v>0</v>
      </c>
      <c r="BG111" s="253">
        <f t="shared" si="53"/>
        <v>0</v>
      </c>
      <c r="BH111" s="253">
        <f t="shared" si="53"/>
        <v>0</v>
      </c>
      <c r="BI111" s="253">
        <f t="shared" si="53"/>
        <v>0</v>
      </c>
      <c r="BJ111" s="253">
        <f t="shared" si="53"/>
        <v>0</v>
      </c>
      <c r="BK111" s="253">
        <f t="shared" si="53"/>
        <v>0</v>
      </c>
      <c r="BL111" s="253">
        <f t="shared" si="53"/>
        <v>0</v>
      </c>
      <c r="BM111" s="253">
        <f t="shared" si="53"/>
        <v>0</v>
      </c>
      <c r="BN111" s="31"/>
      <c r="BO111" s="31"/>
      <c r="BP111" s="31"/>
      <c r="BS111" s="1021" t="s">
        <v>1292</v>
      </c>
      <c r="BT111" s="1021" t="s">
        <v>1221</v>
      </c>
      <c r="BU111" s="1031" cm="1">
        <f t="array" ref="BU111">AC111</f>
        <v>0</v>
      </c>
      <c r="BV111" s="1022"/>
      <c r="BW111" s="1022" t="b">
        <v>1</v>
      </c>
      <c r="BX111" s="1054"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M10895::ТЭ.42.27968109.0001::0::Неопределено::Неопределено::Неопределено::Неопределено</v>
      </c>
    </row>
    <row r="112" spans="1:76" s="1332" customFormat="1" ht="16.5" customHeight="1" x14ac:dyDescent="0.15">
      <c r="A112" s="535"/>
      <c r="B112" s="535"/>
      <c r="C112" s="1084"/>
      <c r="D112" s="1043"/>
      <c r="E112" s="668">
        <v>17.100000000000001</v>
      </c>
      <c r="F112" s="769" t="str" cm="1">
        <f t="array" aca="1" ref="F112" ca="1">OFFSET(G112,-1,-1)</f>
        <v>1</v>
      </c>
      <c r="G112" s="535"/>
      <c r="H112" s="535"/>
      <c r="I112" s="535"/>
      <c r="J112" s="535"/>
      <c r="K112" s="535"/>
      <c r="L112" s="535"/>
      <c r="M112" s="1067"/>
      <c r="N112" s="1067" t="str" cm="1">
        <f t="array" aca="1" ref="N112" ca="1">OFFSET(M112,-1,1)</f>
        <v>ТЭ.42.27968109.0001</v>
      </c>
      <c r="O112" s="1070"/>
      <c r="P112" s="1070"/>
      <c r="Q112" s="1070"/>
      <c r="R112" s="1070"/>
      <c r="S112" s="1144"/>
      <c r="T112" s="679" t="b">
        <f ca="1">F112&gt;0</f>
        <v>1</v>
      </c>
      <c r="U112" s="535"/>
      <c r="V112" s="535"/>
      <c r="W112" s="312" t="s">
        <v>1718</v>
      </c>
      <c r="X112" s="1596"/>
      <c r="Y112" s="535"/>
      <c r="Z112" s="1596"/>
      <c r="AA112" s="535"/>
      <c r="AB112" s="246"/>
      <c r="AC112" s="608" t="s">
        <v>239</v>
      </c>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902"/>
      <c r="BO112" s="902"/>
      <c r="BP112" s="899"/>
      <c r="BQ112" s="535"/>
      <c r="BR112" s="535"/>
      <c r="BS112" s="1021" t="str">
        <f>IF(AND(ISNUMBER(VALUE(TRIM(SUBSTITUTE(AB112,".","")))),TRIM(SUBSTITUTE(AB112,".",""))&lt;&gt;""),"P"&amp;SUBSTITUTE(AB112,".",""),"")</f>
        <v/>
      </c>
      <c r="BT112" s="1034"/>
      <c r="BU112" s="1034"/>
      <c r="BV112" s="1035" t="s">
        <v>1221</v>
      </c>
      <c r="BW112" s="1035"/>
      <c r="BX112" s="1054"/>
    </row>
    <row r="113" spans="1:76" s="1167" customFormat="1" ht="14.25" customHeight="1" x14ac:dyDescent="0.15">
      <c r="A113" s="175"/>
      <c r="B113" s="773"/>
      <c r="C113" s="1084" t="s">
        <v>1719</v>
      </c>
      <c r="D113" s="1043" t="s">
        <v>1720</v>
      </c>
      <c r="E113" s="668">
        <v>15</v>
      </c>
      <c r="F113" s="769" t="str" cm="1">
        <f t="array" aca="1" ref="F113" ca="1">OFFSET(G113,-1,-1)</f>
        <v>1</v>
      </c>
      <c r="G113" s="177"/>
      <c r="H113" s="177"/>
      <c r="I113" s="177"/>
      <c r="J113" s="177"/>
      <c r="K113" s="177"/>
      <c r="L113" s="140"/>
      <c r="M113" s="1067"/>
      <c r="N113" s="1067" t="str" cm="1">
        <f t="array" aca="1" ref="N113" ca="1">OFFSET(M113,-1,1)</f>
        <v>ТЭ.42.27968109.0001</v>
      </c>
      <c r="O113" s="1068"/>
      <c r="P113" s="1068"/>
      <c r="Q113" s="1068"/>
      <c r="R113" s="1068"/>
      <c r="T113" s="679" t="b" cm="1">
        <f t="array" aca="1" ref="T113" ca="1">T112</f>
        <v>1</v>
      </c>
      <c r="U113" s="1152"/>
      <c r="V113" s="1152"/>
      <c r="W113" s="1152"/>
      <c r="X113" s="1485"/>
      <c r="Y113" s="1152"/>
      <c r="Z113" s="1485"/>
      <c r="AA113" s="177"/>
      <c r="AB113" s="537" t="s">
        <v>1721</v>
      </c>
      <c r="AC113" s="538" t="s">
        <v>1722</v>
      </c>
      <c r="AD113" s="546" t="s">
        <v>1044</v>
      </c>
      <c r="AE113" s="507">
        <f ca="1">AE83+AE84+AE85+IF(method_reg="Метод индексации",AE98+AE102,AE86+AE89)+AE104+AE105+AE106+AE107+AE108+AE109</f>
        <v>281560.00155944529</v>
      </c>
      <c r="AF113" s="507">
        <f ca="1">AF83+AF84+AF85+IF(method_reg="Метод индексации",AF98+AF102,AF86+AF89)+AF104+AF105+AF106+AF107+AF108+AF109</f>
        <v>306219.74580999993</v>
      </c>
      <c r="AG113" s="507">
        <f ca="1">AG83+AG84+AG85+IF(method_reg="Метод индексации",AG98+AG102,AG86+AG89)+AG104+AG105+AG106+AG107+AG108+AG109</f>
        <v>284223.10986972012</v>
      </c>
      <c r="AH113" s="253">
        <f ca="1">AG113-AF113</f>
        <v>-21996.635940279812</v>
      </c>
      <c r="AI113" s="507">
        <f t="shared" ref="AI113:BC113" ca="1" si="54">AI83+AI84+AI85+IF(method_reg="Метод индексации",AI98+AI102,AI86+AI89)+AI104+AI105+AI106+AI107+AI108+AI109</f>
        <v>313254.75225294667</v>
      </c>
      <c r="AJ113" s="507">
        <f t="shared" ca="1" si="54"/>
        <v>377455.91255128803</v>
      </c>
      <c r="AK113" s="507">
        <f t="shared" ca="1" si="54"/>
        <v>183243.88173071566</v>
      </c>
      <c r="AL113" s="507">
        <f t="shared" ca="1" si="54"/>
        <v>181411.44291340851</v>
      </c>
      <c r="AM113" s="507">
        <f t="shared" ca="1" si="54"/>
        <v>179597.32848427442</v>
      </c>
      <c r="AN113" s="507">
        <f t="shared" ca="1" si="54"/>
        <v>177801.35519943168</v>
      </c>
      <c r="AO113" s="507">
        <f t="shared" ca="1" si="54"/>
        <v>176023.34164743737</v>
      </c>
      <c r="AP113" s="507">
        <f t="shared" ca="1" si="54"/>
        <v>174263.108230963</v>
      </c>
      <c r="AQ113" s="507">
        <f t="shared" ca="1" si="54"/>
        <v>172520.47714865336</v>
      </c>
      <c r="AR113" s="507">
        <f t="shared" ca="1" si="54"/>
        <v>170795.27237716681</v>
      </c>
      <c r="AS113" s="507">
        <f t="shared" ca="1" si="54"/>
        <v>169087.31965339513</v>
      </c>
      <c r="AT113" s="507">
        <f t="shared" ca="1" si="54"/>
        <v>360203.92560963467</v>
      </c>
      <c r="AU113" s="507">
        <f t="shared" ca="1" si="54"/>
        <v>183246.27609147457</v>
      </c>
      <c r="AV113" s="507">
        <f t="shared" ca="1" si="54"/>
        <v>181413.81333055982</v>
      </c>
      <c r="AW113" s="507">
        <f t="shared" ca="1" si="54"/>
        <v>179599.67519725423</v>
      </c>
      <c r="AX113" s="507">
        <f t="shared" ca="1" si="54"/>
        <v>177803.67844528169</v>
      </c>
      <c r="AY113" s="507">
        <f t="shared" ca="1" si="54"/>
        <v>176025.64166082887</v>
      </c>
      <c r="AZ113" s="507">
        <f t="shared" ca="1" si="54"/>
        <v>174265.38524422058</v>
      </c>
      <c r="BA113" s="507">
        <f t="shared" ca="1" si="54"/>
        <v>172522.73139177836</v>
      </c>
      <c r="BB113" s="507">
        <f t="shared" ca="1" si="54"/>
        <v>170797.50407786056</v>
      </c>
      <c r="BC113" s="507">
        <f t="shared" ca="1" si="54"/>
        <v>169089.52903708196</v>
      </c>
      <c r="BD113" s="253">
        <f ca="1">IF(AI113=0,0,(AT113-AI113)/AI113*100)</f>
        <v>14.987537465601648</v>
      </c>
      <c r="BE113" s="253">
        <f t="shared" ref="BE113:BM117" ca="1" si="55">IF(AT113=0,0,(AU113-AT113)/AT113*100)</f>
        <v>-49.127074120212441</v>
      </c>
      <c r="BF113" s="253">
        <f t="shared" ca="1" si="55"/>
        <v>-1.0000000000000064</v>
      </c>
      <c r="BG113" s="253">
        <f t="shared" ca="1" si="55"/>
        <v>-0.99999999999999589</v>
      </c>
      <c r="BH113" s="253">
        <f t="shared" ca="1" si="55"/>
        <v>-0.99999999999999445</v>
      </c>
      <c r="BI113" s="253">
        <f t="shared" ca="1" si="55"/>
        <v>-1.0000000000000033</v>
      </c>
      <c r="BJ113" s="253">
        <f t="shared" ca="1" si="55"/>
        <v>-0.99999999999999989</v>
      </c>
      <c r="BK113" s="253">
        <f t="shared" ca="1" si="55"/>
        <v>-1.0000000000000089</v>
      </c>
      <c r="BL113" s="253">
        <f t="shared" ca="1" si="55"/>
        <v>-1.0000000000000093</v>
      </c>
      <c r="BM113" s="253">
        <f t="shared" ca="1" si="55"/>
        <v>-0.99999999999999967</v>
      </c>
      <c r="BN113" s="1239"/>
      <c r="BO113" s="1239"/>
      <c r="BP113" s="1239"/>
      <c r="BQ113" s="177"/>
      <c r="BR113" s="177"/>
      <c r="BS113" s="1021" t="s">
        <v>1723</v>
      </c>
      <c r="BT113" s="1021"/>
      <c r="BU113" s="1021"/>
      <c r="BV113" s="1022"/>
      <c r="BW113" s="1022"/>
      <c r="BX113" s="1054"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M10655::ТЭ.42.27968109.0001::Неопределено::Неопределено::Неопределено::Неопределено::Неопределено</v>
      </c>
    </row>
    <row r="114" spans="1:76" s="1167" customFormat="1" ht="48.75" customHeight="1" x14ac:dyDescent="0.15">
      <c r="A114" s="175"/>
      <c r="B114" s="773"/>
      <c r="C114" s="1113" t="s">
        <v>1724</v>
      </c>
      <c r="D114" s="1043" t="s">
        <v>1725</v>
      </c>
      <c r="E114" s="668">
        <v>50</v>
      </c>
      <c r="F114" s="769" t="str" cm="1">
        <f t="array" aca="1" ref="F114" ca="1">OFFSET(G114,-1,-1)</f>
        <v>1</v>
      </c>
      <c r="G114" s="177"/>
      <c r="H114" s="177"/>
      <c r="I114" s="177"/>
      <c r="J114" s="177"/>
      <c r="K114" s="177"/>
      <c r="L114" s="140"/>
      <c r="M114" s="1067"/>
      <c r="N114" s="1067" t="str" cm="1">
        <f t="array" aca="1" ref="N114" ca="1">OFFSET(M114,-1,1)</f>
        <v>ТЭ.42.27968109.0001</v>
      </c>
      <c r="O114" s="1068"/>
      <c r="P114" s="1068"/>
      <c r="Q114" s="1068"/>
      <c r="R114" s="1068"/>
      <c r="T114" s="679" t="b" cm="1">
        <f t="array" aca="1" ref="T114" ca="1">T113</f>
        <v>1</v>
      </c>
      <c r="U114" s="1152"/>
      <c r="V114" s="1152"/>
      <c r="W114" s="1152"/>
      <c r="X114" s="1485"/>
      <c r="Y114" s="1152"/>
      <c r="Z114" s="1485"/>
      <c r="AA114" s="177"/>
      <c r="AB114" s="532" t="s">
        <v>1726</v>
      </c>
      <c r="AC114" s="893" t="s">
        <v>1724</v>
      </c>
      <c r="AD114" s="541" t="s">
        <v>1044</v>
      </c>
      <c r="AE114" s="1333">
        <v>-2851.98</v>
      </c>
      <c r="AF114" s="1333"/>
      <c r="AG114" s="1333"/>
      <c r="AH114" s="253">
        <f>AG114-AF114</f>
        <v>0</v>
      </c>
      <c r="AI114" s="1333"/>
      <c r="AJ114" s="550"/>
      <c r="AK114" s="1326"/>
      <c r="AL114" s="1326"/>
      <c r="AM114" s="1333"/>
      <c r="AN114" s="1333"/>
      <c r="AO114" s="1333"/>
      <c r="AP114" s="1333"/>
      <c r="AQ114" s="1333"/>
      <c r="AR114" s="1333"/>
      <c r="AS114" s="1333"/>
      <c r="AT114" s="550">
        <v>-41399</v>
      </c>
      <c r="AU114" s="1326"/>
      <c r="AV114" s="1326"/>
      <c r="AW114" s="1333"/>
      <c r="AX114" s="1333"/>
      <c r="AY114" s="1333"/>
      <c r="AZ114" s="1333"/>
      <c r="BA114" s="1333"/>
      <c r="BB114" s="1333"/>
      <c r="BC114" s="1333"/>
      <c r="BD114" s="253">
        <f>IF(AI114=0,0,(AT114-AI114)/AI114*100)</f>
        <v>0</v>
      </c>
      <c r="BE114" s="253">
        <f t="shared" si="55"/>
        <v>-100</v>
      </c>
      <c r="BF114" s="253">
        <f t="shared" si="55"/>
        <v>0</v>
      </c>
      <c r="BG114" s="253">
        <f t="shared" si="55"/>
        <v>0</v>
      </c>
      <c r="BH114" s="253">
        <f t="shared" si="55"/>
        <v>0</v>
      </c>
      <c r="BI114" s="253">
        <f t="shared" si="55"/>
        <v>0</v>
      </c>
      <c r="BJ114" s="253">
        <f t="shared" si="55"/>
        <v>0</v>
      </c>
      <c r="BK114" s="253">
        <f t="shared" si="55"/>
        <v>0</v>
      </c>
      <c r="BL114" s="253">
        <f t="shared" si="55"/>
        <v>0</v>
      </c>
      <c r="BM114" s="253">
        <f t="shared" si="55"/>
        <v>0</v>
      </c>
      <c r="BN114" s="1239"/>
      <c r="BO114" s="1239"/>
      <c r="BP114" s="1239"/>
      <c r="BQ114" s="177"/>
      <c r="BR114" s="177"/>
      <c r="BS114" s="1021" t="s">
        <v>1727</v>
      </c>
      <c r="BT114" s="1021"/>
      <c r="BU114" s="1021"/>
      <c r="BV114" s="1022"/>
      <c r="BW114" s="1022"/>
      <c r="BX114" s="1054"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M11579::ТЭ.42.27968109.0001::Неопределено::Неопределено::Неопределено::Неопределено::Неопределено</v>
      </c>
    </row>
    <row r="115" spans="1:76" s="1167" customFormat="1" ht="14.25" customHeight="1" x14ac:dyDescent="0.15">
      <c r="A115" s="175"/>
      <c r="B115" s="773"/>
      <c r="C115" s="1084" t="s">
        <v>1728</v>
      </c>
      <c r="D115" s="1043" t="s">
        <v>1729</v>
      </c>
      <c r="E115" s="668">
        <v>15</v>
      </c>
      <c r="F115" s="769" t="str" cm="1">
        <f t="array" aca="1" ref="F115" ca="1">OFFSET(G115,-1,-1)</f>
        <v>1</v>
      </c>
      <c r="G115" s="140" t="s">
        <v>1730</v>
      </c>
      <c r="H115" s="177"/>
      <c r="I115" s="177"/>
      <c r="J115" s="177"/>
      <c r="K115" s="177"/>
      <c r="L115" s="140"/>
      <c r="M115" s="1067"/>
      <c r="N115" s="1067" t="str" cm="1">
        <f t="array" aca="1" ref="N115" ca="1">OFFSET(M115,-1,1)</f>
        <v>ТЭ.42.27968109.0001</v>
      </c>
      <c r="O115" s="1072"/>
      <c r="P115" s="1068"/>
      <c r="Q115" s="1068"/>
      <c r="R115" s="1072"/>
      <c r="T115" s="679" t="b" cm="1">
        <f t="array" aca="1" ref="T115" ca="1">T114</f>
        <v>1</v>
      </c>
      <c r="U115" s="1152"/>
      <c r="V115" s="1152"/>
      <c r="W115" s="1152"/>
      <c r="X115" s="1485"/>
      <c r="Y115" s="1152"/>
      <c r="Z115" s="1485"/>
      <c r="AA115" s="177"/>
      <c r="AB115" s="537" t="s">
        <v>1731</v>
      </c>
      <c r="AC115" s="885" t="s">
        <v>1732</v>
      </c>
      <c r="AD115" s="541" t="s">
        <v>1044</v>
      </c>
      <c r="AE115" s="571">
        <f ca="1">AE113+AE114</f>
        <v>278708.0215594453</v>
      </c>
      <c r="AF115" s="571">
        <f ca="1">AF113+AF114</f>
        <v>306219.74580999993</v>
      </c>
      <c r="AG115" s="571">
        <f ca="1">AG113+AG114</f>
        <v>284223.10986972012</v>
      </c>
      <c r="AH115" s="253">
        <f ca="1">AG115-AF115</f>
        <v>-21996.635940279812</v>
      </c>
      <c r="AI115" s="571">
        <f t="shared" ref="AI115:BC115" ca="1" si="56">AI113+AI114</f>
        <v>313254.75225294667</v>
      </c>
      <c r="AJ115" s="571">
        <f t="shared" ca="1" si="56"/>
        <v>377455.91255128803</v>
      </c>
      <c r="AK115" s="571">
        <f t="shared" ca="1" si="56"/>
        <v>183243.88173071566</v>
      </c>
      <c r="AL115" s="571">
        <f t="shared" ca="1" si="56"/>
        <v>181411.44291340851</v>
      </c>
      <c r="AM115" s="571">
        <f t="shared" ca="1" si="56"/>
        <v>179597.32848427442</v>
      </c>
      <c r="AN115" s="571">
        <f t="shared" ca="1" si="56"/>
        <v>177801.35519943168</v>
      </c>
      <c r="AO115" s="571">
        <f t="shared" ca="1" si="56"/>
        <v>176023.34164743737</v>
      </c>
      <c r="AP115" s="571">
        <f t="shared" ca="1" si="56"/>
        <v>174263.108230963</v>
      </c>
      <c r="AQ115" s="571">
        <f t="shared" ca="1" si="56"/>
        <v>172520.47714865336</v>
      </c>
      <c r="AR115" s="571">
        <f t="shared" ca="1" si="56"/>
        <v>170795.27237716681</v>
      </c>
      <c r="AS115" s="571">
        <f t="shared" ca="1" si="56"/>
        <v>169087.31965339513</v>
      </c>
      <c r="AT115" s="571">
        <f t="shared" ca="1" si="56"/>
        <v>318804.92560963467</v>
      </c>
      <c r="AU115" s="571">
        <f t="shared" ca="1" si="56"/>
        <v>183246.27609147457</v>
      </c>
      <c r="AV115" s="571">
        <f t="shared" ca="1" si="56"/>
        <v>181413.81333055982</v>
      </c>
      <c r="AW115" s="571">
        <f t="shared" ca="1" si="56"/>
        <v>179599.67519725423</v>
      </c>
      <c r="AX115" s="571">
        <f t="shared" ca="1" si="56"/>
        <v>177803.67844528169</v>
      </c>
      <c r="AY115" s="571">
        <f t="shared" ca="1" si="56"/>
        <v>176025.64166082887</v>
      </c>
      <c r="AZ115" s="571">
        <f t="shared" ca="1" si="56"/>
        <v>174265.38524422058</v>
      </c>
      <c r="BA115" s="571">
        <f t="shared" ca="1" si="56"/>
        <v>172522.73139177836</v>
      </c>
      <c r="BB115" s="571">
        <f t="shared" ca="1" si="56"/>
        <v>170797.50407786056</v>
      </c>
      <c r="BC115" s="571">
        <f t="shared" ca="1" si="56"/>
        <v>169089.52903708196</v>
      </c>
      <c r="BD115" s="253">
        <f ca="1">IF(AI115=0,0,(AT115-AI115)/AI115*100)</f>
        <v>1.7717762673258186</v>
      </c>
      <c r="BE115" s="253">
        <f t="shared" ca="1" si="55"/>
        <v>-42.520876758393264</v>
      </c>
      <c r="BF115" s="253">
        <f t="shared" ca="1" si="55"/>
        <v>-1.0000000000000064</v>
      </c>
      <c r="BG115" s="253">
        <f t="shared" ca="1" si="55"/>
        <v>-0.99999999999999589</v>
      </c>
      <c r="BH115" s="253">
        <f t="shared" ca="1" si="55"/>
        <v>-0.99999999999999445</v>
      </c>
      <c r="BI115" s="253">
        <f t="shared" ca="1" si="55"/>
        <v>-1.0000000000000033</v>
      </c>
      <c r="BJ115" s="253">
        <f t="shared" ca="1" si="55"/>
        <v>-0.99999999999999989</v>
      </c>
      <c r="BK115" s="253">
        <f t="shared" ca="1" si="55"/>
        <v>-1.0000000000000089</v>
      </c>
      <c r="BL115" s="253">
        <f t="shared" ca="1" si="55"/>
        <v>-1.0000000000000093</v>
      </c>
      <c r="BM115" s="253">
        <f t="shared" ca="1" si="55"/>
        <v>-0.99999999999999967</v>
      </c>
      <c r="BN115" s="1239"/>
      <c r="BO115" s="1239"/>
      <c r="BP115" s="1239"/>
      <c r="BQ115" s="177"/>
      <c r="BR115" s="177"/>
      <c r="BS115" s="1021" t="s">
        <v>1733</v>
      </c>
      <c r="BT115" s="1021"/>
      <c r="BU115" s="1021"/>
      <c r="BV115" s="1022"/>
      <c r="BW115" s="1022"/>
      <c r="BX115" s="1054"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M11580::ТЭ.42.27968109.0001::Неопределено::Неопределено::Неопределено::Неопределено::Неопределено</v>
      </c>
    </row>
    <row r="116" spans="1:76" s="1167" customFormat="1" ht="14.25" hidden="1" customHeight="1" x14ac:dyDescent="0.15">
      <c r="A116" s="175"/>
      <c r="B116" s="773"/>
      <c r="C116" s="1113" t="s">
        <v>1734</v>
      </c>
      <c r="D116" s="1043" t="s">
        <v>1735</v>
      </c>
      <c r="E116" s="668">
        <v>15</v>
      </c>
      <c r="F116" s="769" t="str" cm="1">
        <f t="array" aca="1" ref="F116" ca="1">OFFSET(G116,-1,-1)</f>
        <v>1</v>
      </c>
      <c r="G116" s="140" t="s">
        <v>986</v>
      </c>
      <c r="H116" s="177"/>
      <c r="I116" s="177"/>
      <c r="J116" s="177"/>
      <c r="K116" s="177"/>
      <c r="L116" s="140" t="s">
        <v>1736</v>
      </c>
      <c r="M116" s="1067"/>
      <c r="N116" s="1067" t="str" cm="1">
        <f t="array" aca="1" ref="N116" ca="1">OFFSET(M116,-1,1)</f>
        <v>ТЭ.42.27968109.0001</v>
      </c>
      <c r="O116" s="1072"/>
      <c r="P116" s="1068"/>
      <c r="Q116" s="1068"/>
      <c r="R116" s="1072"/>
      <c r="T116" s="679" t="b">
        <f ca="1">AND(F116&gt;0,G82="двухставочный")</f>
        <v>0</v>
      </c>
      <c r="U116" s="1152"/>
      <c r="V116" s="1152"/>
      <c r="W116" s="1152"/>
      <c r="X116" s="1485"/>
      <c r="Y116" s="1152"/>
      <c r="Z116" s="1485"/>
      <c r="AA116" s="177"/>
      <c r="AB116" s="545" t="str">
        <f>AB115&amp;".1"</f>
        <v>14.1</v>
      </c>
      <c r="AC116" s="511" t="s">
        <v>1737</v>
      </c>
      <c r="AD116" s="255" t="s">
        <v>830</v>
      </c>
      <c r="AE116" s="73">
        <f ca="1">SUMIFS('Ресурсы (5.4)'!AE$26:AE$47,'Ресурсы (5.4)'!$F$26:$F$47,$F116,'Ресурсы (5.4)'!$AB$26:$AB$47,"6.1")</f>
        <v>42676.951000000001</v>
      </c>
      <c r="AF116" s="73">
        <f ca="1">SUMIFS('Ресурсы (5.4)'!AF$26:AF$47,'Ресурсы (5.4)'!$F$26:$F$47,$F116,'Ресурсы (5.4)'!$AB$26:$AB$47,"6.1")</f>
        <v>42513.225999999995</v>
      </c>
      <c r="AG116" s="73">
        <f ca="1">SUMIFS('Ресурсы (5.4)'!AG$26:AG$47,'Ресурсы (5.4)'!$F$26:$F$47,$F116,'Ресурсы (5.4)'!$AB$26:$AB$47,"6.1")</f>
        <v>42513.227999999996</v>
      </c>
      <c r="AH116" s="253">
        <f ca="1">AG116-AF116</f>
        <v>2.0000000004074536E-3</v>
      </c>
      <c r="AI116" s="73">
        <f ca="1">SUMIFS('Ресурсы (5.4)'!AI$26:AI$47,'Ресурсы (5.4)'!$F$26:$F$47,$F116,'Ресурсы (5.4)'!$AB$26:$AB$47,"6.1")</f>
        <v>49203.479999999996</v>
      </c>
      <c r="AJ116" s="509">
        <f ca="1">SUMIFS('Ресурсы (5.4)'!AJ$26:AJ$47,'Ресурсы (5.4)'!$F$26:$F$47,$F116,'Ресурсы (5.4)'!$AB$26:$AB$47,"6.1")</f>
        <v>63706.505880262062</v>
      </c>
      <c r="AK116" s="1315">
        <f ca="1">SUMIFS('Ресурсы (5.4)'!AK$26:AK$47,'Ресурсы (5.4)'!$F$26:$F$47,$F116,'Ресурсы (5.4)'!$AB$26:$AB$47,"6.1")</f>
        <v>0</v>
      </c>
      <c r="AL116" s="1315">
        <f ca="1">SUMIFS('Ресурсы (5.4)'!AL$26:AL$47,'Ресурсы (5.4)'!$F$26:$F$47,$F116,'Ресурсы (5.4)'!$AB$26:$AB$47,"6.1")</f>
        <v>0</v>
      </c>
      <c r="AM116" s="73">
        <f ca="1">SUMIFS('Ресурсы (5.4)'!AM$26:AM$47,'Ресурсы (5.4)'!$F$26:$F$47,$F116,'Ресурсы (5.4)'!$AB$26:$AB$47,"6.1")</f>
        <v>0</v>
      </c>
      <c r="AN116" s="73">
        <f ca="1">SUMIFS('Ресурсы (5.4)'!AN$26:AN$47,'Ресурсы (5.4)'!$F$26:$F$47,$F116,'Ресурсы (5.4)'!$AB$26:$AB$47,"6.1")</f>
        <v>0</v>
      </c>
      <c r="AO116" s="73">
        <f ca="1">SUMIFS('Ресурсы (5.4)'!AO$26:AO$47,'Ресурсы (5.4)'!$F$26:$F$47,$F116,'Ресурсы (5.4)'!$AB$26:$AB$47,"6.1")</f>
        <v>0</v>
      </c>
      <c r="AP116" s="73">
        <f ca="1">SUMIFS('Ресурсы (5.4)'!AP$26:AP$47,'Ресурсы (5.4)'!$F$26:$F$47,$F116,'Ресурсы (5.4)'!$AB$26:$AB$47,"6.1")</f>
        <v>0</v>
      </c>
      <c r="AQ116" s="73">
        <f ca="1">SUMIFS('Ресурсы (5.4)'!AQ$26:AQ$47,'Ресурсы (5.4)'!$F$26:$F$47,$F116,'Ресурсы (5.4)'!$AB$26:$AB$47,"6.1")</f>
        <v>0</v>
      </c>
      <c r="AR116" s="73">
        <f ca="1">SUMIFS('Ресурсы (5.4)'!AR$26:AR$47,'Ресурсы (5.4)'!$F$26:$F$47,$F116,'Ресурсы (5.4)'!$AB$26:$AB$47,"6.1")</f>
        <v>0</v>
      </c>
      <c r="AS116" s="73">
        <f ca="1">SUMIFS('Ресурсы (5.4)'!AS$26:AS$47,'Ресурсы (5.4)'!$F$26:$F$47,$F116,'Ресурсы (5.4)'!$AB$26:$AB$47,"6.1")</f>
        <v>0</v>
      </c>
      <c r="AT116" s="509">
        <f ca="1">SUMIFS('Ресурсы (5.4)'!AT$26:AT$47,'Ресурсы (5.4)'!$F$26:$F$47,$F116,'Ресурсы (5.4)'!$AB$26:$AB$47,"6.1")</f>
        <v>59960.620675622908</v>
      </c>
      <c r="AU116" s="1315">
        <f ca="1">SUMIFS('Ресурсы (5.4)'!AU$26:AU$47,'Ресурсы (5.4)'!$F$26:$F$47,$F116,'Ресурсы (5.4)'!$AB$26:$AB$47,"6.1")</f>
        <v>0</v>
      </c>
      <c r="AV116" s="1315">
        <f ca="1">SUMIFS('Ресурсы (5.4)'!AV$26:AV$47,'Ресурсы (5.4)'!$F$26:$F$47,$F116,'Ресурсы (5.4)'!$AB$26:$AB$47,"6.1")</f>
        <v>0</v>
      </c>
      <c r="AW116" s="73">
        <f ca="1">SUMIFS('Ресурсы (5.4)'!AW$26:AW$47,'Ресурсы (5.4)'!$F$26:$F$47,$F116,'Ресурсы (5.4)'!$AB$26:$AB$47,"6.1")</f>
        <v>0</v>
      </c>
      <c r="AX116" s="73">
        <f ca="1">SUMIFS('Ресурсы (5.4)'!AX$26:AX$47,'Ресурсы (5.4)'!$F$26:$F$47,$F116,'Ресурсы (5.4)'!$AB$26:$AB$47,"6.1")</f>
        <v>0</v>
      </c>
      <c r="AY116" s="73">
        <f ca="1">SUMIFS('Ресурсы (5.4)'!AY$26:AY$47,'Ресурсы (5.4)'!$F$26:$F$47,$F116,'Ресурсы (5.4)'!$AB$26:$AB$47,"6.1")</f>
        <v>0</v>
      </c>
      <c r="AZ116" s="73">
        <f ca="1">SUMIFS('Ресурсы (5.4)'!AZ$26:AZ$47,'Ресурсы (5.4)'!$F$26:$F$47,$F116,'Ресурсы (5.4)'!$AB$26:$AB$47,"6.1")</f>
        <v>0</v>
      </c>
      <c r="BA116" s="73">
        <f ca="1">SUMIFS('Ресурсы (5.4)'!BA$26:BA$47,'Ресурсы (5.4)'!$F$26:$F$47,$F116,'Ресурсы (5.4)'!$AB$26:$AB$47,"6.1")</f>
        <v>0</v>
      </c>
      <c r="BB116" s="73">
        <f ca="1">SUMIFS('Ресурсы (5.4)'!BB$26:BB$47,'Ресурсы (5.4)'!$F$26:$F$47,$F116,'Ресурсы (5.4)'!$AB$26:$AB$47,"6.1")</f>
        <v>0</v>
      </c>
      <c r="BC116" s="73">
        <f ca="1">SUMIFS('Ресурсы (5.4)'!BC$26:BC$47,'Ресурсы (5.4)'!$F$26:$F$47,$F116,'Ресурсы (5.4)'!$AB$26:$AB$47,"6.1")</f>
        <v>0</v>
      </c>
      <c r="BD116" s="253">
        <f ca="1">IF(AI116=0,0,(AT116-AI116)/AI116*100)</f>
        <v>21.862560688030424</v>
      </c>
      <c r="BE116" s="253">
        <f t="shared" ca="1" si="55"/>
        <v>-100</v>
      </c>
      <c r="BF116" s="253">
        <f t="shared" ca="1" si="55"/>
        <v>0</v>
      </c>
      <c r="BG116" s="253">
        <f t="shared" ca="1" si="55"/>
        <v>0</v>
      </c>
      <c r="BH116" s="253">
        <f t="shared" ca="1" si="55"/>
        <v>0</v>
      </c>
      <c r="BI116" s="253">
        <f t="shared" ca="1" si="55"/>
        <v>0</v>
      </c>
      <c r="BJ116" s="253">
        <f t="shared" ca="1" si="55"/>
        <v>0</v>
      </c>
      <c r="BK116" s="253">
        <f t="shared" ca="1" si="55"/>
        <v>0</v>
      </c>
      <c r="BL116" s="253">
        <f t="shared" ca="1" si="55"/>
        <v>0</v>
      </c>
      <c r="BM116" s="253">
        <f t="shared" ca="1" si="55"/>
        <v>0</v>
      </c>
      <c r="BN116" s="25"/>
      <c r="BO116" s="25"/>
      <c r="BP116" s="25"/>
      <c r="BQ116" s="177"/>
      <c r="BR116" s="177"/>
      <c r="BS116" s="1021" t="s">
        <v>1738</v>
      </c>
      <c r="BT116" s="1021"/>
      <c r="BU116" s="1021"/>
      <c r="BV116" s="1022"/>
      <c r="BW116" s="1022"/>
      <c r="BX116" s="1054"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M11581::ТЭ.42.27968109.0001::Неопределено::Неопределено::Неопределено::Неопределено::Неопределено</v>
      </c>
    </row>
    <row r="117" spans="1:76" s="1167" customFormat="1" ht="14.25" hidden="1" customHeight="1" x14ac:dyDescent="0.15">
      <c r="A117" s="175"/>
      <c r="B117" s="773"/>
      <c r="C117" s="1113" t="s">
        <v>1739</v>
      </c>
      <c r="D117" s="1043" t="s">
        <v>1740</v>
      </c>
      <c r="E117" s="668">
        <v>15</v>
      </c>
      <c r="F117" s="769" t="str" cm="1">
        <f t="array" aca="1" ref="F117" ca="1">OFFSET(G117,-1,-1)</f>
        <v>1</v>
      </c>
      <c r="G117" s="177"/>
      <c r="H117" s="177"/>
      <c r="I117" s="177"/>
      <c r="J117" s="177"/>
      <c r="K117" s="177"/>
      <c r="L117" s="140" t="s">
        <v>1736</v>
      </c>
      <c r="M117" s="1067"/>
      <c r="N117" s="1067" t="str" cm="1">
        <f t="array" aca="1" ref="N117" ca="1">OFFSET(M117,-1,1)</f>
        <v>ТЭ.42.27968109.0001</v>
      </c>
      <c r="O117" s="1072"/>
      <c r="P117" s="1068"/>
      <c r="Q117" s="1068"/>
      <c r="R117" s="1072"/>
      <c r="T117" s="679" t="b" cm="1">
        <f t="array" aca="1" ref="T117" ca="1">T116</f>
        <v>0</v>
      </c>
      <c r="U117" s="1152"/>
      <c r="V117" s="1152"/>
      <c r="W117" s="1152"/>
      <c r="X117" s="1485"/>
      <c r="Y117" s="1152"/>
      <c r="Z117" s="1485"/>
      <c r="AA117" s="177"/>
      <c r="AB117" s="545" t="str">
        <f>AB115&amp;".2"</f>
        <v>14.2</v>
      </c>
      <c r="AC117" s="511" t="s">
        <v>1739</v>
      </c>
      <c r="AD117" s="255" t="s">
        <v>830</v>
      </c>
      <c r="AE117" s="507">
        <f ca="1">AE115-AE116</f>
        <v>236031.0705594453</v>
      </c>
      <c r="AF117" s="507">
        <f ca="1">AF115-AF116</f>
        <v>263706.51980999997</v>
      </c>
      <c r="AG117" s="507">
        <f ca="1">AG115-AG116</f>
        <v>241709.88186972012</v>
      </c>
      <c r="AH117" s="253">
        <f ca="1">AG117-AF117</f>
        <v>-21996.637940279848</v>
      </c>
      <c r="AI117" s="507">
        <f t="shared" ref="AI117:BC117" ca="1" si="57">AI115-AI116</f>
        <v>264051.27225294668</v>
      </c>
      <c r="AJ117" s="507">
        <f t="shared" ca="1" si="57"/>
        <v>313749.40667102596</v>
      </c>
      <c r="AK117" s="507">
        <f t="shared" ca="1" si="57"/>
        <v>183243.88173071566</v>
      </c>
      <c r="AL117" s="507">
        <f t="shared" ca="1" si="57"/>
        <v>181411.44291340851</v>
      </c>
      <c r="AM117" s="507">
        <f t="shared" ca="1" si="57"/>
        <v>179597.32848427442</v>
      </c>
      <c r="AN117" s="507">
        <f t="shared" ca="1" si="57"/>
        <v>177801.35519943168</v>
      </c>
      <c r="AO117" s="507">
        <f t="shared" ca="1" si="57"/>
        <v>176023.34164743737</v>
      </c>
      <c r="AP117" s="507">
        <f t="shared" ca="1" si="57"/>
        <v>174263.108230963</v>
      </c>
      <c r="AQ117" s="507">
        <f t="shared" ca="1" si="57"/>
        <v>172520.47714865336</v>
      </c>
      <c r="AR117" s="507">
        <f t="shared" ca="1" si="57"/>
        <v>170795.27237716681</v>
      </c>
      <c r="AS117" s="507">
        <f t="shared" ca="1" si="57"/>
        <v>169087.31965339513</v>
      </c>
      <c r="AT117" s="507">
        <f t="shared" ca="1" si="57"/>
        <v>258844.30493401177</v>
      </c>
      <c r="AU117" s="507">
        <f t="shared" ca="1" si="57"/>
        <v>183246.27609147457</v>
      </c>
      <c r="AV117" s="507">
        <f t="shared" ca="1" si="57"/>
        <v>181413.81333055982</v>
      </c>
      <c r="AW117" s="507">
        <f t="shared" ca="1" si="57"/>
        <v>179599.67519725423</v>
      </c>
      <c r="AX117" s="507">
        <f t="shared" ca="1" si="57"/>
        <v>177803.67844528169</v>
      </c>
      <c r="AY117" s="507">
        <f t="shared" ca="1" si="57"/>
        <v>176025.64166082887</v>
      </c>
      <c r="AZ117" s="507">
        <f t="shared" ca="1" si="57"/>
        <v>174265.38524422058</v>
      </c>
      <c r="BA117" s="507">
        <f t="shared" ca="1" si="57"/>
        <v>172522.73139177836</v>
      </c>
      <c r="BB117" s="507">
        <f t="shared" ca="1" si="57"/>
        <v>170797.50407786056</v>
      </c>
      <c r="BC117" s="542">
        <f t="shared" ca="1" si="57"/>
        <v>169089.52903708196</v>
      </c>
      <c r="BD117" s="253">
        <f ca="1">IF(AI117=0,0,(AT117-AI117)/AI117*100)</f>
        <v>-1.9719531265681318</v>
      </c>
      <c r="BE117" s="253">
        <f t="shared" ca="1" si="55"/>
        <v>-29.205984988470078</v>
      </c>
      <c r="BF117" s="253">
        <f t="shared" ca="1" si="55"/>
        <v>-1.0000000000000064</v>
      </c>
      <c r="BG117" s="253">
        <f t="shared" ca="1" si="55"/>
        <v>-0.99999999999999589</v>
      </c>
      <c r="BH117" s="253">
        <f t="shared" ca="1" si="55"/>
        <v>-0.99999999999999445</v>
      </c>
      <c r="BI117" s="253">
        <f t="shared" ca="1" si="55"/>
        <v>-1.0000000000000033</v>
      </c>
      <c r="BJ117" s="253">
        <f t="shared" ca="1" si="55"/>
        <v>-0.99999999999999989</v>
      </c>
      <c r="BK117" s="253">
        <f t="shared" ca="1" si="55"/>
        <v>-1.0000000000000089</v>
      </c>
      <c r="BL117" s="253">
        <f t="shared" ca="1" si="55"/>
        <v>-1.0000000000000093</v>
      </c>
      <c r="BM117" s="253">
        <f t="shared" ca="1" si="55"/>
        <v>-0.99999999999999967</v>
      </c>
      <c r="BN117" s="25"/>
      <c r="BO117" s="25"/>
      <c r="BP117" s="25"/>
      <c r="BQ117" s="177"/>
      <c r="BR117" s="177"/>
      <c r="BS117" s="1021" t="s">
        <v>1741</v>
      </c>
      <c r="BT117" s="1021"/>
      <c r="BU117" s="1021"/>
      <c r="BV117" s="1022"/>
      <c r="BW117" s="1022"/>
      <c r="BX117" s="1054"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M11582::ТЭ.42.27968109.0001::Неопределено::Неопределено::Неопределено::Неопределено::Неопределено</v>
      </c>
    </row>
    <row r="118" spans="1:76" s="1167" customFormat="1" ht="14.25" customHeight="1" x14ac:dyDescent="0.15">
      <c r="A118" s="175"/>
      <c r="B118" s="773"/>
      <c r="C118" s="1084" t="s">
        <v>1742</v>
      </c>
      <c r="D118" s="1043" t="s">
        <v>1743</v>
      </c>
      <c r="E118" s="668">
        <v>15</v>
      </c>
      <c r="F118" s="769" t="str" cm="1">
        <f t="array" aca="1" ref="F118" ca="1">OFFSET(G118,-1,-1)</f>
        <v>1</v>
      </c>
      <c r="G118" s="177"/>
      <c r="H118" s="177"/>
      <c r="I118" s="177"/>
      <c r="J118" s="177"/>
      <c r="K118" s="177"/>
      <c r="L118" s="140"/>
      <c r="M118" s="1067"/>
      <c r="N118" s="1067" t="str" cm="1">
        <f t="array" aca="1" ref="N118" ca="1">OFFSET(M118,-1,1)</f>
        <v>ТЭ.42.27968109.0001</v>
      </c>
      <c r="O118" s="1068"/>
      <c r="P118" s="1068"/>
      <c r="Q118" s="1068"/>
      <c r="R118" s="1068"/>
      <c r="T118" s="679" t="b" cm="1">
        <f t="array" aca="1" ref="T118" ca="1">T115</f>
        <v>1</v>
      </c>
      <c r="U118" s="1152"/>
      <c r="V118" s="1152"/>
      <c r="W118" s="1152"/>
      <c r="X118" s="1485"/>
      <c r="Y118" s="1152"/>
      <c r="Z118" s="1485"/>
      <c r="AA118" s="177"/>
      <c r="AB118" s="260" t="s">
        <v>1744</v>
      </c>
      <c r="AC118" s="256" t="s">
        <v>1745</v>
      </c>
      <c r="AD118" s="261" t="s">
        <v>622</v>
      </c>
      <c r="AE118" s="253">
        <f ca="1">IF($K82="передача тепловой энергии",SUMIFS('Баланс Тр'!AE$27:AE$43,'Баланс Тр'!$F$27:$F$43,$F118,'Баланс Тр'!$AB$27:$AB$43,"3"),SUMIFS('Баланс Пр'!AE$27:AE$165,'Баланс Пр'!$F$27:$F$165,$F118,'Баланс Пр'!$AB$27:$AB$165,"9.1"))</f>
        <v>67402</v>
      </c>
      <c r="AF118" s="508"/>
      <c r="AG118" s="508"/>
      <c r="AH118" s="508"/>
      <c r="AI118" s="253">
        <f ca="1">IF($K82="передача тепловой энергии",SUMIFS('Баланс Тр'!AH$27:AH$43,'Баланс Тр'!$F$27:$F$43,$F118,'Баланс Тр'!$AB$27:$AB$43,"3"),SUMIFS('Баланс Пр'!AH$27:AH$165,'Баланс Пр'!$F$27:$F$165,$F118,'Баланс Пр'!$AB$27:$AB$165,"9.1"))</f>
        <v>68975</v>
      </c>
      <c r="AJ118" s="253">
        <f ca="1">IF($K82="передача тепловой энергии",SUMIFS('Баланс Тр'!AI$27:AI$43,'Баланс Тр'!$F$27:$F$43,$F118,'Баланс Тр'!$AB$27:$AB$43,"3"),SUMIFS('Баланс Пр'!AI$27:AI$165,'Баланс Пр'!$F$27:$F$165,$F118,'Баланс Пр'!$AB$27:$AB$165,"9.1"))</f>
        <v>65109.039999999994</v>
      </c>
      <c r="AK118" s="253">
        <f ca="1">IF($K82="передача тепловой энергии",SUMIFS('Баланс Тр'!AJ$27:AJ$43,'Баланс Тр'!$F$27:$F$43,$F118,'Баланс Тр'!$AB$27:$AB$43,"3"),SUMIFS('Баланс Пр'!AJ$27:AJ$165,'Баланс Пр'!$F$27:$F$165,$F118,'Баланс Пр'!$AB$27:$AB$165,"9.1"))</f>
        <v>0</v>
      </c>
      <c r="AL118" s="253">
        <f ca="1">IF($K82="передача тепловой энергии",SUMIFS('Баланс Тр'!AK$27:AK$43,'Баланс Тр'!$F$27:$F$43,$F118,'Баланс Тр'!$AB$27:$AB$43,"3"),SUMIFS('Баланс Пр'!AK$27:AK$165,'Баланс Пр'!$F$27:$F$165,$F118,'Баланс Пр'!$AB$27:$AB$165,"9.1"))</f>
        <v>0</v>
      </c>
      <c r="AM118" s="253">
        <f ca="1">IF($K82="передача тепловой энергии",SUMIFS('Баланс Тр'!AL$27:AL$43,'Баланс Тр'!$F$27:$F$43,$F118,'Баланс Тр'!$AB$27:$AB$43,"3"),SUMIFS('Баланс Пр'!AL$27:AL$165,'Баланс Пр'!$F$27:$F$165,$F118,'Баланс Пр'!$AB$27:$AB$165,"9.1"))</f>
        <v>0</v>
      </c>
      <c r="AN118" s="253">
        <f ca="1">IF($K82="передача тепловой энергии",SUMIFS('Баланс Тр'!AM$27:AM$43,'Баланс Тр'!$F$27:$F$43,$F118,'Баланс Тр'!$AB$27:$AB$43,"3"),SUMIFS('Баланс Пр'!AM$27:AM$165,'Баланс Пр'!$F$27:$F$165,$F118,'Баланс Пр'!$AB$27:$AB$165,"9.1"))</f>
        <v>0</v>
      </c>
      <c r="AO118" s="253">
        <f ca="1">IF($K82="передача тепловой энергии",SUMIFS('Баланс Тр'!AN$27:AN$43,'Баланс Тр'!$F$27:$F$43,$F118,'Баланс Тр'!$AB$27:$AB$43,"3"),SUMIFS('Баланс Пр'!AN$27:AN$165,'Баланс Пр'!$F$27:$F$165,$F118,'Баланс Пр'!$AB$27:$AB$165,"9.1"))</f>
        <v>0</v>
      </c>
      <c r="AP118" s="253">
        <f ca="1">IF($K82="передача тепловой энергии",SUMIFS('Баланс Тр'!AO$27:AO$43,'Баланс Тр'!$F$27:$F$43,$F118,'Баланс Тр'!$AB$27:$AB$43,"3"),SUMIFS('Баланс Пр'!AO$27:AO$165,'Баланс Пр'!$F$27:$F$165,$F118,'Баланс Пр'!$AB$27:$AB$165,"9.1"))</f>
        <v>0</v>
      </c>
      <c r="AQ118" s="253">
        <f ca="1">IF($K82="передача тепловой энергии",SUMIFS('Баланс Тр'!AP$27:AP$43,'Баланс Тр'!$F$27:$F$43,$F118,'Баланс Тр'!$AB$27:$AB$43,"3"),SUMIFS('Баланс Пр'!AP$27:AP$165,'Баланс Пр'!$F$27:$F$165,$F118,'Баланс Пр'!$AB$27:$AB$165,"9.1"))</f>
        <v>0</v>
      </c>
      <c r="AR118" s="253">
        <f ca="1">IF($K82="передача тепловой энергии",SUMIFS('Баланс Тр'!AQ$27:AQ$43,'Баланс Тр'!$F$27:$F$43,$F118,'Баланс Тр'!$AB$27:$AB$43,"3"),SUMIFS('Баланс Пр'!AQ$27:AQ$165,'Баланс Пр'!$F$27:$F$165,$F118,'Баланс Пр'!$AB$27:$AB$165,"9.1"))</f>
        <v>0</v>
      </c>
      <c r="AS118" s="253">
        <f ca="1">IF($K82="передача тепловой энергии",SUMIFS('Баланс Тр'!AR$27:AR$43,'Баланс Тр'!$F$27:$F$43,$F118,'Баланс Тр'!$AB$27:$AB$43,"3"),SUMIFS('Баланс Пр'!AR$27:AR$165,'Баланс Пр'!$F$27:$F$165,$F118,'Баланс Пр'!$AB$27:$AB$165,"9.1"))</f>
        <v>0</v>
      </c>
      <c r="AT118" s="253">
        <f ca="1">IF($K82="передача тепловой энергии",SUMIFS('Баланс Тр'!AS$27:AS$43,'Баланс Тр'!$F$27:$F$43,$F118,'Баланс Тр'!$AB$27:$AB$43,"3"),SUMIFS('Баланс Пр'!AS$27:AS$165,'Баланс Пр'!$F$27:$F$165,$F118,'Баланс Пр'!$AB$27:$AB$165,"9.1"))</f>
        <v>65109</v>
      </c>
      <c r="AU118" s="253">
        <f ca="1">IF($K82="передача тепловой энергии",SUMIFS('Баланс Тр'!AT$27:AT$43,'Баланс Тр'!$F$27:$F$43,$F118,'Баланс Тр'!$AB$27:$AB$43,"3"),SUMIFS('Баланс Пр'!AT$27:AT$165,'Баланс Пр'!$F$27:$F$165,$F118,'Баланс Пр'!$AB$27:$AB$165,"9.1"))</f>
        <v>0</v>
      </c>
      <c r="AV118" s="253">
        <f ca="1">IF($K82="передача тепловой энергии",SUMIFS('Баланс Тр'!AU$27:AU$43,'Баланс Тр'!$F$27:$F$43,$F118,'Баланс Тр'!$AB$27:$AB$43,"3"),SUMIFS('Баланс Пр'!AU$27:AU$165,'Баланс Пр'!$F$27:$F$165,$F118,'Баланс Пр'!$AB$27:$AB$165,"9.1"))</f>
        <v>0</v>
      </c>
      <c r="AW118" s="253">
        <f ca="1">IF($K82="передача тепловой энергии",SUMIFS('Баланс Тр'!AV$27:AV$43,'Баланс Тр'!$F$27:$F$43,$F118,'Баланс Тр'!$AB$27:$AB$43,"3"),SUMIFS('Баланс Пр'!AV$27:AV$165,'Баланс Пр'!$F$27:$F$165,$F118,'Баланс Пр'!$AB$27:$AB$165,"9.1"))</f>
        <v>0</v>
      </c>
      <c r="AX118" s="253">
        <f ca="1">IF($K82="передача тепловой энергии",SUMIFS('Баланс Тр'!AW$27:AW$43,'Баланс Тр'!$F$27:$F$43,$F118,'Баланс Тр'!$AB$27:$AB$43,"3"),SUMIFS('Баланс Пр'!AW$27:AW$165,'Баланс Пр'!$F$27:$F$165,$F118,'Баланс Пр'!$AB$27:$AB$165,"9.1"))</f>
        <v>0</v>
      </c>
      <c r="AY118" s="253">
        <f ca="1">IF($K82="передача тепловой энергии",SUMIFS('Баланс Тр'!AX$27:AX$43,'Баланс Тр'!$F$27:$F$43,$F118,'Баланс Тр'!$AB$27:$AB$43,"3"),SUMIFS('Баланс Пр'!AX$27:AX$165,'Баланс Пр'!$F$27:$F$165,$F118,'Баланс Пр'!$AB$27:$AB$165,"9.1"))</f>
        <v>0</v>
      </c>
      <c r="AZ118" s="253">
        <f ca="1">IF($K82="передача тепловой энергии",SUMIFS('Баланс Тр'!AY$27:AY$43,'Баланс Тр'!$F$27:$F$43,$F118,'Баланс Тр'!$AB$27:$AB$43,"3"),SUMIFS('Баланс Пр'!AY$27:AY$165,'Баланс Пр'!$F$27:$F$165,$F118,'Баланс Пр'!$AB$27:$AB$165,"9.1"))</f>
        <v>0</v>
      </c>
      <c r="BA118" s="253">
        <f ca="1">IF($K82="передача тепловой энергии",SUMIFS('Баланс Тр'!AZ$27:AZ$43,'Баланс Тр'!$F$27:$F$43,$F118,'Баланс Тр'!$AB$27:$AB$43,"3"),SUMIFS('Баланс Пр'!AZ$27:AZ$165,'Баланс Пр'!$F$27:$F$165,$F118,'Баланс Пр'!$AB$27:$AB$165,"9.1"))</f>
        <v>0</v>
      </c>
      <c r="BB118" s="253">
        <f ca="1">IF($K82="передача тепловой энергии",SUMIFS('Баланс Тр'!BA$27:BA$43,'Баланс Тр'!$F$27:$F$43,$F118,'Баланс Тр'!$AB$27:$AB$43,"3"),SUMIFS('Баланс Пр'!BA$27:BA$165,'Баланс Пр'!$F$27:$F$165,$F118,'Баланс Пр'!$AB$27:$AB$165,"9.1"))</f>
        <v>0</v>
      </c>
      <c r="BC118" s="253">
        <f ca="1">IF($K82="передача тепловой энергии",SUMIFS('Баланс Тр'!BB$27:BB$43,'Баланс Тр'!$F$27:$F$43,$F118,'Баланс Тр'!$AB$27:$AB$43,"3"),SUMIFS('Баланс Пр'!BB$27:BB$165,'Баланс Пр'!$F$27:$F$165,$F118,'Баланс Пр'!$AB$27:$AB$165,"9.1"))</f>
        <v>0</v>
      </c>
      <c r="BD118" s="548"/>
      <c r="BE118" s="548"/>
      <c r="BF118" s="548"/>
      <c r="BG118" s="548"/>
      <c r="BH118" s="548"/>
      <c r="BI118" s="548"/>
      <c r="BJ118" s="548"/>
      <c r="BK118" s="548"/>
      <c r="BL118" s="548"/>
      <c r="BM118" s="548"/>
      <c r="BN118" s="1231"/>
      <c r="BO118" s="1231"/>
      <c r="BP118" s="1231"/>
      <c r="BQ118" s="177"/>
      <c r="BR118" s="177"/>
      <c r="BS118" s="1021" t="s">
        <v>1746</v>
      </c>
      <c r="BT118" s="1021"/>
      <c r="BU118" s="1021"/>
      <c r="BV118" s="1022"/>
      <c r="BW118" s="1022"/>
      <c r="BX118" s="1054"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M10502::ТЭ.42.27968109.0001::Неопределено::Неопределено::Неопределено::Неопределено::Неопределено</v>
      </c>
    </row>
    <row r="119" spans="1:76" s="1167" customFormat="1" ht="14.25" customHeight="1" x14ac:dyDescent="0.15">
      <c r="A119" s="175"/>
      <c r="B119" s="773"/>
      <c r="C119" s="1084" t="s">
        <v>1747</v>
      </c>
      <c r="D119" s="1043" t="s">
        <v>1748</v>
      </c>
      <c r="E119" s="668">
        <v>15</v>
      </c>
      <c r="F119" s="769" t="str" cm="1">
        <f t="array" aca="1" ref="F119" ca="1">OFFSET(G119,-1,-1)</f>
        <v>1</v>
      </c>
      <c r="G119" s="140" t="s">
        <v>1749</v>
      </c>
      <c r="H119" s="177"/>
      <c r="I119" s="177"/>
      <c r="J119" s="177"/>
      <c r="K119" s="177"/>
      <c r="L119" s="140"/>
      <c r="M119" s="1067"/>
      <c r="N119" s="1067" t="str" cm="1">
        <f t="array" aca="1" ref="N119" ca="1">OFFSET(M119,-1,1)</f>
        <v>ТЭ.42.27968109.0001</v>
      </c>
      <c r="O119" s="1068" t="s">
        <v>1750</v>
      </c>
      <c r="P119" s="1068"/>
      <c r="Q119" s="1068"/>
      <c r="R119" s="1068"/>
      <c r="T119" s="679" t="b" cm="1">
        <f t="array" aca="1" ref="T119" ca="1">T118</f>
        <v>1</v>
      </c>
      <c r="U119" s="1152"/>
      <c r="V119" s="1152"/>
      <c r="W119" s="1152"/>
      <c r="X119" s="1485"/>
      <c r="Y119" s="1152"/>
      <c r="Z119" s="1485"/>
      <c r="AA119" s="177"/>
      <c r="AB119" s="545" t="str">
        <f>AB118&amp;".1"</f>
        <v>15.1</v>
      </c>
      <c r="AC119" s="233" t="s">
        <v>1751</v>
      </c>
      <c r="AD119" s="255" t="s">
        <v>622</v>
      </c>
      <c r="AE119" s="1316">
        <v>34974.92</v>
      </c>
      <c r="AF119" s="508"/>
      <c r="AG119" s="508"/>
      <c r="AH119" s="508"/>
      <c r="AI119" s="1316">
        <v>35791.129999999997</v>
      </c>
      <c r="AJ119" s="509">
        <v>33600.442000000003</v>
      </c>
      <c r="AK119" s="1315"/>
      <c r="AL119" s="1315"/>
      <c r="AM119" s="1316"/>
      <c r="AN119" s="1316"/>
      <c r="AO119" s="1316"/>
      <c r="AP119" s="1316"/>
      <c r="AQ119" s="1316"/>
      <c r="AR119" s="1316"/>
      <c r="AS119" s="1316"/>
      <c r="AT119" s="509">
        <v>46985.242279999999</v>
      </c>
      <c r="AU119" s="1315"/>
      <c r="AV119" s="1315"/>
      <c r="AW119" s="1316"/>
      <c r="AX119" s="1316"/>
      <c r="AY119" s="1316"/>
      <c r="AZ119" s="1316"/>
      <c r="BA119" s="1316"/>
      <c r="BB119" s="1316"/>
      <c r="BC119" s="1316"/>
      <c r="BD119" s="313"/>
      <c r="BE119" s="313"/>
      <c r="BF119" s="313"/>
      <c r="BG119" s="313"/>
      <c r="BH119" s="313"/>
      <c r="BI119" s="313"/>
      <c r="BJ119" s="313"/>
      <c r="BK119" s="313"/>
      <c r="BL119" s="313"/>
      <c r="BM119" s="313"/>
      <c r="BN119" s="1231"/>
      <c r="BO119" s="1231"/>
      <c r="BP119" s="1231"/>
      <c r="BQ119" s="177"/>
      <c r="BR119" s="177"/>
      <c r="BS119" s="1021" t="s">
        <v>1752</v>
      </c>
      <c r="BT119" s="1021"/>
      <c r="BU119" s="1021"/>
      <c r="BV119" s="1022"/>
      <c r="BW119" s="1022"/>
      <c r="BX119" s="1054"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M10670::ТЭ.42.27968109.0001::Неопределено::8.0.3.::Неопределено::Неопределено::Неопределено</v>
      </c>
    </row>
    <row r="120" spans="1:76" s="1167" customFormat="1" ht="14.25" customHeight="1" x14ac:dyDescent="0.15">
      <c r="A120" s="175"/>
      <c r="B120" s="773"/>
      <c r="C120" s="1084" t="s">
        <v>1753</v>
      </c>
      <c r="D120" s="1043" t="s">
        <v>1754</v>
      </c>
      <c r="E120" s="668">
        <v>15</v>
      </c>
      <c r="F120" s="769" t="str" cm="1">
        <f t="array" aca="1" ref="F120" ca="1">OFFSET(G120,-1,-1)</f>
        <v>1</v>
      </c>
      <c r="G120" s="140" t="s">
        <v>1755</v>
      </c>
      <c r="H120" s="177"/>
      <c r="I120" s="177"/>
      <c r="J120" s="177"/>
      <c r="K120" s="177"/>
      <c r="L120" s="140"/>
      <c r="M120" s="1067"/>
      <c r="N120" s="1067" t="str" cm="1">
        <f t="array" aca="1" ref="N120" ca="1">OFFSET(M120,-1,1)</f>
        <v>ТЭ.42.27968109.0001</v>
      </c>
      <c r="O120" s="1068" t="s">
        <v>1750</v>
      </c>
      <c r="P120" s="1068"/>
      <c r="Q120" s="1068"/>
      <c r="R120" s="1068"/>
      <c r="T120" s="679" t="b" cm="1">
        <f t="array" aca="1" ref="T120" ca="1">T119</f>
        <v>1</v>
      </c>
      <c r="U120" s="1152"/>
      <c r="V120" s="1152"/>
      <c r="W120" s="1152"/>
      <c r="X120" s="1485"/>
      <c r="Y120" s="1152"/>
      <c r="Z120" s="1485"/>
      <c r="AA120" s="177"/>
      <c r="AB120" s="545" t="str">
        <f>AB118&amp;".2"</f>
        <v>15.2</v>
      </c>
      <c r="AC120" s="233" t="s">
        <v>1756</v>
      </c>
      <c r="AD120" s="255" t="s">
        <v>920</v>
      </c>
      <c r="AE120" s="1316">
        <v>3952.46</v>
      </c>
      <c r="AF120" s="508"/>
      <c r="AG120" s="508"/>
      <c r="AH120" s="508"/>
      <c r="AI120" s="1316">
        <f ca="1">MIN(AE122,AI124)</f>
        <v>4331.8999999999996</v>
      </c>
      <c r="AJ120" s="509">
        <f t="shared" ref="AJ120:AS120" ca="1" si="58">MIN(AI122,AJ124)</f>
        <v>4765.16</v>
      </c>
      <c r="AK120" s="1315">
        <f t="shared" ca="1" si="58"/>
        <v>0</v>
      </c>
      <c r="AL120" s="1315">
        <f t="shared" ca="1" si="58"/>
        <v>0</v>
      </c>
      <c r="AM120" s="1316">
        <f t="shared" ca="1" si="58"/>
        <v>0</v>
      </c>
      <c r="AN120" s="1316">
        <f t="shared" ca="1" si="58"/>
        <v>0</v>
      </c>
      <c r="AO120" s="1316">
        <f t="shared" ca="1" si="58"/>
        <v>0</v>
      </c>
      <c r="AP120" s="1316">
        <f t="shared" ca="1" si="58"/>
        <v>0</v>
      </c>
      <c r="AQ120" s="1316">
        <f t="shared" ca="1" si="58"/>
        <v>0</v>
      </c>
      <c r="AR120" s="1316">
        <f t="shared" ca="1" si="58"/>
        <v>0</v>
      </c>
      <c r="AS120" s="1316">
        <f t="shared" ca="1" si="58"/>
        <v>0</v>
      </c>
      <c r="AT120" s="509">
        <f ca="1">MIN(AI122,AT124)</f>
        <v>4765.16</v>
      </c>
      <c r="AU120" s="1315">
        <f t="shared" ref="AU120:BC120" ca="1" si="59">MIN(AT122,AU124)</f>
        <v>0</v>
      </c>
      <c r="AV120" s="1315">
        <f t="shared" ca="1" si="59"/>
        <v>0</v>
      </c>
      <c r="AW120" s="1316">
        <f t="shared" ca="1" si="59"/>
        <v>0</v>
      </c>
      <c r="AX120" s="1316">
        <f t="shared" ca="1" si="59"/>
        <v>0</v>
      </c>
      <c r="AY120" s="1316">
        <f t="shared" ca="1" si="59"/>
        <v>0</v>
      </c>
      <c r="AZ120" s="1316">
        <f t="shared" ca="1" si="59"/>
        <v>0</v>
      </c>
      <c r="BA120" s="1316">
        <f t="shared" ca="1" si="59"/>
        <v>0</v>
      </c>
      <c r="BB120" s="1316">
        <f t="shared" ca="1" si="59"/>
        <v>0</v>
      </c>
      <c r="BC120" s="1316">
        <f t="shared" ca="1" si="59"/>
        <v>0</v>
      </c>
      <c r="BD120" s="313"/>
      <c r="BE120" s="313"/>
      <c r="BF120" s="313"/>
      <c r="BG120" s="313"/>
      <c r="BH120" s="313"/>
      <c r="BI120" s="313"/>
      <c r="BJ120" s="313"/>
      <c r="BK120" s="313"/>
      <c r="BL120" s="313"/>
      <c r="BM120" s="313"/>
      <c r="BN120" s="1231"/>
      <c r="BO120" s="1231"/>
      <c r="BP120" s="1231"/>
      <c r="BQ120" s="177"/>
      <c r="BR120" s="177"/>
      <c r="BS120" s="1021" t="s">
        <v>1757</v>
      </c>
      <c r="BT120" s="1021"/>
      <c r="BU120" s="1021"/>
      <c r="BV120" s="1022"/>
      <c r="BW120" s="1022"/>
      <c r="BX120" s="1054"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M10546::ТЭ.42.27968109.0001::Неопределено::8.0.3.::Неопределено::Неопределено::Неопределено</v>
      </c>
    </row>
    <row r="121" spans="1:76" s="1167" customFormat="1" ht="14.25" customHeight="1" x14ac:dyDescent="0.15">
      <c r="A121" s="175"/>
      <c r="B121" s="773"/>
      <c r="C121" s="1084" t="s">
        <v>1747</v>
      </c>
      <c r="D121" s="1043" t="s">
        <v>1748</v>
      </c>
      <c r="E121" s="668">
        <v>15</v>
      </c>
      <c r="F121" s="769" t="str" cm="1">
        <f t="array" aca="1" ref="F121" ca="1">OFFSET(G121,-1,-1)</f>
        <v>1</v>
      </c>
      <c r="G121" s="140" t="s">
        <v>1758</v>
      </c>
      <c r="H121" s="177"/>
      <c r="I121" s="177"/>
      <c r="J121" s="177"/>
      <c r="K121" s="177"/>
      <c r="L121" s="140"/>
      <c r="M121" s="1067"/>
      <c r="N121" s="1067" t="str" cm="1">
        <f t="array" aca="1" ref="N121" ca="1">OFFSET(M121,-1,1)</f>
        <v>ТЭ.42.27968109.0001</v>
      </c>
      <c r="O121" s="1068" t="s">
        <v>1759</v>
      </c>
      <c r="P121" s="1068"/>
      <c r="Q121" s="1068"/>
      <c r="R121" s="1068"/>
      <c r="T121" s="679" t="b" cm="1">
        <f t="array" aca="1" ref="T121" ca="1">T120</f>
        <v>1</v>
      </c>
      <c r="U121" s="1152"/>
      <c r="V121" s="1152"/>
      <c r="W121" s="1152"/>
      <c r="X121" s="1485"/>
      <c r="Y121" s="1152"/>
      <c r="Z121" s="1485"/>
      <c r="AA121" s="177"/>
      <c r="AB121" s="545" t="str">
        <f>AB118&amp;".3"</f>
        <v>15.3</v>
      </c>
      <c r="AC121" s="233" t="s">
        <v>1760</v>
      </c>
      <c r="AD121" s="255" t="s">
        <v>622</v>
      </c>
      <c r="AE121" s="507">
        <f ca="1">AE118-AE119</f>
        <v>32427.08</v>
      </c>
      <c r="AF121" s="508"/>
      <c r="AG121" s="508"/>
      <c r="AH121" s="508"/>
      <c r="AI121" s="507">
        <f t="shared" ref="AI121:BC121" ca="1" si="60">AI118-AI119</f>
        <v>33183.870000000003</v>
      </c>
      <c r="AJ121" s="507">
        <f t="shared" ca="1" si="60"/>
        <v>31508.597999999991</v>
      </c>
      <c r="AK121" s="507">
        <f t="shared" ca="1" si="60"/>
        <v>0</v>
      </c>
      <c r="AL121" s="507">
        <f t="shared" ca="1" si="60"/>
        <v>0</v>
      </c>
      <c r="AM121" s="507">
        <f t="shared" ca="1" si="60"/>
        <v>0</v>
      </c>
      <c r="AN121" s="507">
        <f t="shared" ca="1" si="60"/>
        <v>0</v>
      </c>
      <c r="AO121" s="507">
        <f t="shared" ca="1" si="60"/>
        <v>0</v>
      </c>
      <c r="AP121" s="507">
        <f t="shared" ca="1" si="60"/>
        <v>0</v>
      </c>
      <c r="AQ121" s="507">
        <f t="shared" ca="1" si="60"/>
        <v>0</v>
      </c>
      <c r="AR121" s="507">
        <f t="shared" ca="1" si="60"/>
        <v>0</v>
      </c>
      <c r="AS121" s="507">
        <f t="shared" ca="1" si="60"/>
        <v>0</v>
      </c>
      <c r="AT121" s="507">
        <f t="shared" ca="1" si="60"/>
        <v>18123.757720000001</v>
      </c>
      <c r="AU121" s="507">
        <f t="shared" ca="1" si="60"/>
        <v>0</v>
      </c>
      <c r="AV121" s="507">
        <f t="shared" ca="1" si="60"/>
        <v>0</v>
      </c>
      <c r="AW121" s="507">
        <f t="shared" ca="1" si="60"/>
        <v>0</v>
      </c>
      <c r="AX121" s="507">
        <f t="shared" ca="1" si="60"/>
        <v>0</v>
      </c>
      <c r="AY121" s="507">
        <f t="shared" ca="1" si="60"/>
        <v>0</v>
      </c>
      <c r="AZ121" s="507">
        <f t="shared" ca="1" si="60"/>
        <v>0</v>
      </c>
      <c r="BA121" s="507">
        <f t="shared" ca="1" si="60"/>
        <v>0</v>
      </c>
      <c r="BB121" s="507">
        <f t="shared" ca="1" si="60"/>
        <v>0</v>
      </c>
      <c r="BC121" s="507">
        <f t="shared" ca="1" si="60"/>
        <v>0</v>
      </c>
      <c r="BD121" s="313"/>
      <c r="BE121" s="313"/>
      <c r="BF121" s="313"/>
      <c r="BG121" s="313"/>
      <c r="BH121" s="313"/>
      <c r="BI121" s="313"/>
      <c r="BJ121" s="313"/>
      <c r="BK121" s="313"/>
      <c r="BL121" s="313"/>
      <c r="BM121" s="313"/>
      <c r="BN121" s="1231"/>
      <c r="BO121" s="1231"/>
      <c r="BP121" s="1231"/>
      <c r="BQ121" s="177"/>
      <c r="BR121" s="177"/>
      <c r="BS121" s="1021" t="s">
        <v>1761</v>
      </c>
      <c r="BT121" s="1021"/>
      <c r="BU121" s="1021"/>
      <c r="BV121" s="1022"/>
      <c r="BW121" s="1022"/>
      <c r="BX121" s="1054"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M10670::ТЭ.42.27968109.0001::Неопределено::8.0.5.::Неопределено::Неопределено::Неопределено</v>
      </c>
    </row>
    <row r="122" spans="1:76" s="1167" customFormat="1" ht="14.25" customHeight="1" x14ac:dyDescent="0.15">
      <c r="A122" s="175"/>
      <c r="B122" s="773"/>
      <c r="C122" s="1084" t="s">
        <v>1753</v>
      </c>
      <c r="D122" s="1043" t="s">
        <v>1754</v>
      </c>
      <c r="E122" s="668">
        <v>15</v>
      </c>
      <c r="F122" s="769" t="str" cm="1">
        <f t="array" aca="1" ref="F122" ca="1">OFFSET(G122,-1,-1)</f>
        <v>1</v>
      </c>
      <c r="G122" s="140" t="s">
        <v>1762</v>
      </c>
      <c r="H122" s="177"/>
      <c r="I122" s="177"/>
      <c r="J122" s="177"/>
      <c r="K122" s="177"/>
      <c r="L122" s="140"/>
      <c r="M122" s="1067"/>
      <c r="N122" s="1067" t="str" cm="1">
        <f t="array" aca="1" ref="N122" ca="1">OFFSET(M122,-1,1)</f>
        <v>ТЭ.42.27968109.0001</v>
      </c>
      <c r="O122" s="1068" t="s">
        <v>1759</v>
      </c>
      <c r="P122" s="1068"/>
      <c r="Q122" s="1068"/>
      <c r="R122" s="1068"/>
      <c r="T122" s="679" t="b" cm="1">
        <f t="array" aca="1" ref="T122" ca="1">T121</f>
        <v>1</v>
      </c>
      <c r="U122" s="1152"/>
      <c r="V122" s="1152"/>
      <c r="W122" s="1152"/>
      <c r="X122" s="1485"/>
      <c r="Y122" s="1152"/>
      <c r="Z122" s="1485"/>
      <c r="AA122" s="177"/>
      <c r="AB122" s="545" t="str">
        <f>AB118&amp;".4"</f>
        <v>15.4</v>
      </c>
      <c r="AC122" s="233" t="s">
        <v>1763</v>
      </c>
      <c r="AD122" s="255" t="s">
        <v>920</v>
      </c>
      <c r="AE122" s="1316">
        <v>4331.8999999999996</v>
      </c>
      <c r="AF122" s="508"/>
      <c r="AG122" s="508"/>
      <c r="AH122" s="508"/>
      <c r="AI122" s="1316">
        <v>4765.16</v>
      </c>
      <c r="AJ122" s="509">
        <f t="shared" ref="AJ122:BC122" ca="1" si="61">IFERROR((AJ115*1000-AJ119*AJ120)/AJ121,0)</f>
        <v>6897.9403764828912</v>
      </c>
      <c r="AK122" s="1315">
        <f t="shared" ca="1" si="61"/>
        <v>0</v>
      </c>
      <c r="AL122" s="1315">
        <f t="shared" ca="1" si="61"/>
        <v>0</v>
      </c>
      <c r="AM122" s="1316">
        <f t="shared" ca="1" si="61"/>
        <v>0</v>
      </c>
      <c r="AN122" s="1316">
        <f t="shared" ca="1" si="61"/>
        <v>0</v>
      </c>
      <c r="AO122" s="1316">
        <f t="shared" ca="1" si="61"/>
        <v>0</v>
      </c>
      <c r="AP122" s="1316">
        <f t="shared" ca="1" si="61"/>
        <v>0</v>
      </c>
      <c r="AQ122" s="1316">
        <f t="shared" ca="1" si="61"/>
        <v>0</v>
      </c>
      <c r="AR122" s="1316">
        <f t="shared" ca="1" si="61"/>
        <v>0</v>
      </c>
      <c r="AS122" s="1316">
        <f t="shared" ca="1" si="61"/>
        <v>0</v>
      </c>
      <c r="AT122" s="509">
        <f t="shared" ca="1" si="61"/>
        <v>5236.9232679562574</v>
      </c>
      <c r="AU122" s="1315">
        <f t="shared" ca="1" si="61"/>
        <v>0</v>
      </c>
      <c r="AV122" s="1315">
        <f t="shared" ca="1" si="61"/>
        <v>0</v>
      </c>
      <c r="AW122" s="1316">
        <f t="shared" ca="1" si="61"/>
        <v>0</v>
      </c>
      <c r="AX122" s="1316">
        <f t="shared" ca="1" si="61"/>
        <v>0</v>
      </c>
      <c r="AY122" s="1316">
        <f t="shared" ca="1" si="61"/>
        <v>0</v>
      </c>
      <c r="AZ122" s="1316">
        <f t="shared" ca="1" si="61"/>
        <v>0</v>
      </c>
      <c r="BA122" s="1316">
        <f t="shared" ca="1" si="61"/>
        <v>0</v>
      </c>
      <c r="BB122" s="1316">
        <f t="shared" ca="1" si="61"/>
        <v>0</v>
      </c>
      <c r="BC122" s="1316">
        <f t="shared" ca="1" si="61"/>
        <v>0</v>
      </c>
      <c r="BD122" s="313"/>
      <c r="BE122" s="313"/>
      <c r="BF122" s="313"/>
      <c r="BG122" s="313"/>
      <c r="BH122" s="313"/>
      <c r="BI122" s="313"/>
      <c r="BJ122" s="313"/>
      <c r="BK122" s="313"/>
      <c r="BL122" s="313"/>
      <c r="BM122" s="313"/>
      <c r="BN122" s="1231"/>
      <c r="BO122" s="1231"/>
      <c r="BP122" s="1231"/>
      <c r="BQ122" s="177"/>
      <c r="BR122" s="177"/>
      <c r="BS122" s="1021" t="s">
        <v>1764</v>
      </c>
      <c r="BT122" s="1021"/>
      <c r="BU122" s="1021"/>
      <c r="BV122" s="1022"/>
      <c r="BW122" s="1022"/>
      <c r="BX122" s="1054"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M10546::ТЭ.42.27968109.0001::Неопределено::8.0.5.::Неопределено::Неопределено::Неопределено</v>
      </c>
    </row>
    <row r="123" spans="1:76" s="1167" customFormat="1" ht="14.25" customHeight="1" x14ac:dyDescent="0.15">
      <c r="A123" s="175"/>
      <c r="B123" s="773"/>
      <c r="C123" s="1084" t="s">
        <v>1765</v>
      </c>
      <c r="D123" s="1043" t="s">
        <v>1766</v>
      </c>
      <c r="E123" s="668">
        <v>15</v>
      </c>
      <c r="F123" s="769" t="str" cm="1">
        <f t="array" aca="1" ref="F123" ca="1">OFFSET(G123,-1,-1)</f>
        <v>1</v>
      </c>
      <c r="G123" s="177"/>
      <c r="H123" s="177"/>
      <c r="I123" s="177"/>
      <c r="J123" s="177"/>
      <c r="K123" s="177"/>
      <c r="L123" s="140"/>
      <c r="M123" s="1067"/>
      <c r="N123" s="1067" t="str" cm="1">
        <f t="array" aca="1" ref="N123" ca="1">OFFSET(M123,-1,1)</f>
        <v>ТЭ.42.27968109.0001</v>
      </c>
      <c r="O123" s="1068"/>
      <c r="P123" s="1068"/>
      <c r="Q123" s="1068"/>
      <c r="R123" s="1068"/>
      <c r="T123" s="679" t="b" cm="1">
        <f t="array" aca="1" ref="T123" ca="1">T122</f>
        <v>1</v>
      </c>
      <c r="U123" s="1152"/>
      <c r="V123" s="1152"/>
      <c r="W123" s="1152"/>
      <c r="X123" s="1485"/>
      <c r="Y123" s="1152"/>
      <c r="Z123" s="1485"/>
      <c r="AA123" s="177"/>
      <c r="AB123" s="545" t="str">
        <f>AB118&amp;".5"</f>
        <v>15.5</v>
      </c>
      <c r="AC123" s="258" t="s">
        <v>1767</v>
      </c>
      <c r="AD123" s="255" t="s">
        <v>521</v>
      </c>
      <c r="AE123" s="547">
        <f>IFERROR(AE122/AE120,0)</f>
        <v>1.096000971546834</v>
      </c>
      <c r="AF123" s="508"/>
      <c r="AG123" s="508"/>
      <c r="AH123" s="508"/>
      <c r="AI123" s="547">
        <f t="shared" ref="AI123:BC123" ca="1" si="62">IFERROR(AI122/AI120,0)</f>
        <v>1.1000161591911171</v>
      </c>
      <c r="AJ123" s="547">
        <f t="shared" ca="1" si="62"/>
        <v>1.4475779147988508</v>
      </c>
      <c r="AK123" s="547">
        <f t="shared" ca="1" si="62"/>
        <v>0</v>
      </c>
      <c r="AL123" s="547">
        <f t="shared" ca="1" si="62"/>
        <v>0</v>
      </c>
      <c r="AM123" s="547">
        <f t="shared" ca="1" si="62"/>
        <v>0</v>
      </c>
      <c r="AN123" s="547">
        <f t="shared" ca="1" si="62"/>
        <v>0</v>
      </c>
      <c r="AO123" s="547">
        <f t="shared" ca="1" si="62"/>
        <v>0</v>
      </c>
      <c r="AP123" s="547">
        <f t="shared" ca="1" si="62"/>
        <v>0</v>
      </c>
      <c r="AQ123" s="547">
        <f t="shared" ca="1" si="62"/>
        <v>0</v>
      </c>
      <c r="AR123" s="547">
        <f t="shared" ca="1" si="62"/>
        <v>0</v>
      </c>
      <c r="AS123" s="547">
        <f t="shared" ca="1" si="62"/>
        <v>0</v>
      </c>
      <c r="AT123" s="547">
        <f t="shared" ca="1" si="62"/>
        <v>1.0990026080879252</v>
      </c>
      <c r="AU123" s="547">
        <f t="shared" ca="1" si="62"/>
        <v>0</v>
      </c>
      <c r="AV123" s="547">
        <f t="shared" ca="1" si="62"/>
        <v>0</v>
      </c>
      <c r="AW123" s="547">
        <f t="shared" ca="1" si="62"/>
        <v>0</v>
      </c>
      <c r="AX123" s="547">
        <f t="shared" ca="1" si="62"/>
        <v>0</v>
      </c>
      <c r="AY123" s="547">
        <f t="shared" ca="1" si="62"/>
        <v>0</v>
      </c>
      <c r="AZ123" s="547">
        <f t="shared" ca="1" si="62"/>
        <v>0</v>
      </c>
      <c r="BA123" s="547">
        <f t="shared" ca="1" si="62"/>
        <v>0</v>
      </c>
      <c r="BB123" s="547">
        <f t="shared" ca="1" si="62"/>
        <v>0</v>
      </c>
      <c r="BC123" s="547">
        <f t="shared" ca="1" si="62"/>
        <v>0</v>
      </c>
      <c r="BD123" s="313"/>
      <c r="BE123" s="313"/>
      <c r="BF123" s="313"/>
      <c r="BG123" s="313"/>
      <c r="BH123" s="313"/>
      <c r="BI123" s="313"/>
      <c r="BJ123" s="313"/>
      <c r="BK123" s="313"/>
      <c r="BL123" s="313"/>
      <c r="BM123" s="313"/>
      <c r="BN123" s="1231"/>
      <c r="BO123" s="1231"/>
      <c r="BP123" s="1231"/>
      <c r="BQ123" s="177"/>
      <c r="BR123" s="177"/>
      <c r="BS123" s="1021" t="s">
        <v>1768</v>
      </c>
      <c r="BT123" s="1021"/>
      <c r="BU123" s="1021"/>
      <c r="BV123" s="1022"/>
      <c r="BW123" s="1022"/>
      <c r="BX123" s="1054"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M11244::ТЭ.42.27968109.0001::Неопределено::Неопределено::Неопределено::Неопределено::Неопределено</v>
      </c>
    </row>
    <row r="124" spans="1:76" s="1167" customFormat="1" ht="14.25" customHeight="1" x14ac:dyDescent="0.15">
      <c r="A124" s="175"/>
      <c r="B124" s="773"/>
      <c r="C124" s="1084" t="s">
        <v>1769</v>
      </c>
      <c r="D124" s="1043" t="s">
        <v>1770</v>
      </c>
      <c r="E124" s="668">
        <v>15</v>
      </c>
      <c r="F124" s="769" t="str" cm="1">
        <f t="array" aca="1" ref="F124" ca="1">OFFSET(G124,-1,-1)</f>
        <v>1</v>
      </c>
      <c r="G124" s="177"/>
      <c r="H124" s="177"/>
      <c r="I124" s="177"/>
      <c r="J124" s="177"/>
      <c r="K124" s="177"/>
      <c r="L124" s="140"/>
      <c r="M124" s="1067"/>
      <c r="N124" s="1067" t="str" cm="1">
        <f t="array" aca="1" ref="N124" ca="1">OFFSET(M124,-1,1)</f>
        <v>ТЭ.42.27968109.0001</v>
      </c>
      <c r="O124" s="1068"/>
      <c r="P124" s="1068"/>
      <c r="Q124" s="1068"/>
      <c r="R124" s="1068"/>
      <c r="T124" s="679" t="b" cm="1">
        <f t="array" aca="1" ref="T124" ca="1">T123</f>
        <v>1</v>
      </c>
      <c r="U124" s="1152"/>
      <c r="V124" s="1152"/>
      <c r="W124" s="1152"/>
      <c r="X124" s="1485"/>
      <c r="Y124" s="1152"/>
      <c r="Z124" s="1485"/>
      <c r="AA124" s="177"/>
      <c r="AB124" s="545" t="str">
        <f>AB118&amp;".6"</f>
        <v>15.6</v>
      </c>
      <c r="AC124" s="258" t="s">
        <v>1771</v>
      </c>
      <c r="AD124" s="255" t="s">
        <v>920</v>
      </c>
      <c r="AE124" s="507">
        <f ca="1">IFERROR(AE115*1000/AE118,0)</f>
        <v>4135.0111504027373</v>
      </c>
      <c r="AF124" s="508"/>
      <c r="AG124" s="508"/>
      <c r="AH124" s="508"/>
      <c r="AI124" s="507">
        <f t="shared" ref="AI124:BC124" ca="1" si="63">IFERROR(AI115*1000/AI118,0)</f>
        <v>4541.5694418694693</v>
      </c>
      <c r="AJ124" s="507">
        <f t="shared" ca="1" si="63"/>
        <v>5797.2888642082271</v>
      </c>
      <c r="AK124" s="507">
        <f t="shared" ca="1" si="63"/>
        <v>0</v>
      </c>
      <c r="AL124" s="507">
        <f t="shared" ca="1" si="63"/>
        <v>0</v>
      </c>
      <c r="AM124" s="507">
        <f t="shared" ca="1" si="63"/>
        <v>0</v>
      </c>
      <c r="AN124" s="507">
        <f t="shared" ca="1" si="63"/>
        <v>0</v>
      </c>
      <c r="AO124" s="507">
        <f t="shared" ca="1" si="63"/>
        <v>0</v>
      </c>
      <c r="AP124" s="507">
        <f t="shared" ca="1" si="63"/>
        <v>0</v>
      </c>
      <c r="AQ124" s="507">
        <f t="shared" ca="1" si="63"/>
        <v>0</v>
      </c>
      <c r="AR124" s="507">
        <f t="shared" ca="1" si="63"/>
        <v>0</v>
      </c>
      <c r="AS124" s="507">
        <f t="shared" ca="1" si="63"/>
        <v>0</v>
      </c>
      <c r="AT124" s="507">
        <f t="shared" ca="1" si="63"/>
        <v>4896.480142678196</v>
      </c>
      <c r="AU124" s="507">
        <f t="shared" ca="1" si="63"/>
        <v>0</v>
      </c>
      <c r="AV124" s="507">
        <f t="shared" ca="1" si="63"/>
        <v>0</v>
      </c>
      <c r="AW124" s="507">
        <f t="shared" ca="1" si="63"/>
        <v>0</v>
      </c>
      <c r="AX124" s="507">
        <f t="shared" ca="1" si="63"/>
        <v>0</v>
      </c>
      <c r="AY124" s="507">
        <f t="shared" ca="1" si="63"/>
        <v>0</v>
      </c>
      <c r="AZ124" s="507">
        <f t="shared" ca="1" si="63"/>
        <v>0</v>
      </c>
      <c r="BA124" s="507">
        <f t="shared" ca="1" si="63"/>
        <v>0</v>
      </c>
      <c r="BB124" s="507">
        <f t="shared" ca="1" si="63"/>
        <v>0</v>
      </c>
      <c r="BC124" s="507">
        <f t="shared" ca="1" si="63"/>
        <v>0</v>
      </c>
      <c r="BD124" s="313"/>
      <c r="BE124" s="313"/>
      <c r="BF124" s="313"/>
      <c r="BG124" s="313"/>
      <c r="BH124" s="313"/>
      <c r="BI124" s="313"/>
      <c r="BJ124" s="313"/>
      <c r="BK124" s="313"/>
      <c r="BL124" s="313"/>
      <c r="BM124" s="313"/>
      <c r="BN124" s="1231"/>
      <c r="BO124" s="1231"/>
      <c r="BP124" s="1231"/>
      <c r="BQ124" s="177"/>
      <c r="BR124" s="177"/>
      <c r="BS124" s="1021" t="s">
        <v>1772</v>
      </c>
      <c r="BT124" s="1021"/>
      <c r="BU124" s="1021"/>
      <c r="BV124" s="1022"/>
      <c r="BW124" s="1022"/>
      <c r="BX124" s="1054"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M10552::ТЭ.42.27968109.0001::Неопределено::Неопределено::Неопределено::Неопределено::Неопределено</v>
      </c>
    </row>
    <row r="125" spans="1:76" s="1167" customFormat="1" ht="14.25" hidden="1" customHeight="1" x14ac:dyDescent="0.15">
      <c r="A125" s="175"/>
      <c r="B125" s="773"/>
      <c r="C125" s="1084" t="s">
        <v>1773</v>
      </c>
      <c r="D125" s="1043" t="s">
        <v>1774</v>
      </c>
      <c r="E125" s="668">
        <v>15</v>
      </c>
      <c r="F125" s="769" t="str" cm="1">
        <f t="array" aca="1" ref="F125" ca="1">OFFSET(G125,-1,-1)</f>
        <v>1</v>
      </c>
      <c r="G125" s="177"/>
      <c r="H125" s="177"/>
      <c r="I125" s="177"/>
      <c r="J125" s="177"/>
      <c r="K125" s="177"/>
      <c r="L125" s="140" t="s">
        <v>1736</v>
      </c>
      <c r="M125" s="1067"/>
      <c r="N125" s="1067" t="str" cm="1">
        <f t="array" aca="1" ref="N125" ca="1">OFFSET(M125,-1,1)</f>
        <v>ТЭ.42.27968109.0001</v>
      </c>
      <c r="O125" s="1068"/>
      <c r="P125" s="1068"/>
      <c r="Q125" s="1068"/>
      <c r="R125" s="1068"/>
      <c r="T125" s="679" t="b" cm="1">
        <f t="array" aca="1" ref="T125" ca="1">T116</f>
        <v>0</v>
      </c>
      <c r="U125" s="1152"/>
      <c r="V125" s="1152"/>
      <c r="W125" s="1152"/>
      <c r="X125" s="1485"/>
      <c r="Y125" s="1152"/>
      <c r="Z125" s="1485"/>
      <c r="AA125" s="177"/>
      <c r="AB125" s="260" t="s">
        <v>1775</v>
      </c>
      <c r="AC125" s="743" t="s">
        <v>1776</v>
      </c>
      <c r="AD125" s="549" t="s">
        <v>715</v>
      </c>
      <c r="AE125" s="253">
        <f ca="1">SUMIFS('Баланс Пр'!AE$27:AE$165,'Баланс Пр'!$F$27:$F$165,$F125,'Баланс Пр'!$AB$27:$AB$165,"10")</f>
        <v>0</v>
      </c>
      <c r="AF125" s="508"/>
      <c r="AG125" s="508"/>
      <c r="AH125" s="508"/>
      <c r="AI125" s="253">
        <f ca="1">SUMIFS('Баланс Пр'!AH$27:AH$165,'Баланс Пр'!$F$27:$F$165,$F125,'Баланс Пр'!$AB$27:$AB$165,"10")</f>
        <v>0</v>
      </c>
      <c r="AJ125" s="253">
        <f ca="1">SUMIFS('Баланс Пр'!AI$27:AI$165,'Баланс Пр'!$F$27:$F$165,$F125,'Баланс Пр'!$AB$27:$AB$165,"10")</f>
        <v>0</v>
      </c>
      <c r="AK125" s="253">
        <f ca="1">SUMIFS('Баланс Пр'!AJ$27:AJ$165,'Баланс Пр'!$F$27:$F$165,$F125,'Баланс Пр'!$AB$27:$AB$165,"10")</f>
        <v>0</v>
      </c>
      <c r="AL125" s="253">
        <f ca="1">SUMIFS('Баланс Пр'!AK$27:AK$165,'Баланс Пр'!$F$27:$F$165,$F125,'Баланс Пр'!$AB$27:$AB$165,"10")</f>
        <v>0</v>
      </c>
      <c r="AM125" s="253">
        <f ca="1">SUMIFS('Баланс Пр'!AL$27:AL$165,'Баланс Пр'!$F$27:$F$165,$F125,'Баланс Пр'!$AB$27:$AB$165,"10")</f>
        <v>0</v>
      </c>
      <c r="AN125" s="253">
        <f ca="1">SUMIFS('Баланс Пр'!AM$27:AM$165,'Баланс Пр'!$F$27:$F$165,$F125,'Баланс Пр'!$AB$27:$AB$165,"10")</f>
        <v>0</v>
      </c>
      <c r="AO125" s="253">
        <f ca="1">SUMIFS('Баланс Пр'!AN$27:AN$165,'Баланс Пр'!$F$27:$F$165,$F125,'Баланс Пр'!$AB$27:$AB$165,"10")</f>
        <v>0</v>
      </c>
      <c r="AP125" s="253">
        <f ca="1">SUMIFS('Баланс Пр'!AO$27:AO$165,'Баланс Пр'!$F$27:$F$165,$F125,'Баланс Пр'!$AB$27:$AB$165,"10")</f>
        <v>0</v>
      </c>
      <c r="AQ125" s="253">
        <f ca="1">SUMIFS('Баланс Пр'!AP$27:AP$165,'Баланс Пр'!$F$27:$F$165,$F125,'Баланс Пр'!$AB$27:$AB$165,"10")</f>
        <v>0</v>
      </c>
      <c r="AR125" s="253">
        <f ca="1">SUMIFS('Баланс Пр'!AQ$27:AQ$165,'Баланс Пр'!$F$27:$F$165,$F125,'Баланс Пр'!$AB$27:$AB$165,"10")</f>
        <v>0</v>
      </c>
      <c r="AS125" s="253">
        <f ca="1">SUMIFS('Баланс Пр'!AR$27:AR$165,'Баланс Пр'!$F$27:$F$165,$F125,'Баланс Пр'!$AB$27:$AB$165,"10")</f>
        <v>0</v>
      </c>
      <c r="AT125" s="253">
        <f ca="1">SUMIFS('Баланс Пр'!AS$27:AS$165,'Баланс Пр'!$F$27:$F$165,$F125,'Баланс Пр'!$AB$27:$AB$165,"10")</f>
        <v>0</v>
      </c>
      <c r="AU125" s="253">
        <f ca="1">SUMIFS('Баланс Пр'!AT$27:AT$165,'Баланс Пр'!$F$27:$F$165,$F125,'Баланс Пр'!$AB$27:$AB$165,"10")</f>
        <v>0</v>
      </c>
      <c r="AV125" s="253">
        <f ca="1">SUMIFS('Баланс Пр'!AU$27:AU$165,'Баланс Пр'!$F$27:$F$165,$F125,'Баланс Пр'!$AB$27:$AB$165,"10")</f>
        <v>0</v>
      </c>
      <c r="AW125" s="253">
        <f ca="1">SUMIFS('Баланс Пр'!AV$27:AV$165,'Баланс Пр'!$F$27:$F$165,$F125,'Баланс Пр'!$AB$27:$AB$165,"10")</f>
        <v>0</v>
      </c>
      <c r="AX125" s="253">
        <f ca="1">SUMIFS('Баланс Пр'!AW$27:AW$165,'Баланс Пр'!$F$27:$F$165,$F125,'Баланс Пр'!$AB$27:$AB$165,"10")</f>
        <v>0</v>
      </c>
      <c r="AY125" s="253">
        <f ca="1">SUMIFS('Баланс Пр'!AX$27:AX$165,'Баланс Пр'!$F$27:$F$165,$F125,'Баланс Пр'!$AB$27:$AB$165,"10")</f>
        <v>0</v>
      </c>
      <c r="AZ125" s="253">
        <f ca="1">SUMIFS('Баланс Пр'!AY$27:AY$165,'Баланс Пр'!$F$27:$F$165,$F125,'Баланс Пр'!$AB$27:$AB$165,"10")</f>
        <v>0</v>
      </c>
      <c r="BA125" s="253">
        <f ca="1">SUMIFS('Баланс Пр'!AZ$27:AZ$165,'Баланс Пр'!$F$27:$F$165,$F125,'Баланс Пр'!$AB$27:$AB$165,"10")</f>
        <v>0</v>
      </c>
      <c r="BB125" s="253">
        <f ca="1">SUMIFS('Баланс Пр'!BA$27:BA$165,'Баланс Пр'!$F$27:$F$165,$F125,'Баланс Пр'!$AB$27:$AB$165,"10")</f>
        <v>0</v>
      </c>
      <c r="BC125" s="253">
        <f ca="1">SUMIFS('Баланс Пр'!BB$27:BB$165,'Баланс Пр'!$F$27:$F$165,$F125,'Баланс Пр'!$AB$27:$AB$165,"10")</f>
        <v>0</v>
      </c>
      <c r="BD125" s="313"/>
      <c r="BE125" s="313"/>
      <c r="BF125" s="313"/>
      <c r="BG125" s="313"/>
      <c r="BH125" s="313"/>
      <c r="BI125" s="313"/>
      <c r="BJ125" s="313"/>
      <c r="BK125" s="313"/>
      <c r="BL125" s="313"/>
      <c r="BM125" s="313"/>
      <c r="BN125" s="25"/>
      <c r="BO125" s="25"/>
      <c r="BP125" s="25"/>
      <c r="BQ125" s="177"/>
      <c r="BR125" s="177"/>
      <c r="BS125" s="1021" t="s">
        <v>716</v>
      </c>
      <c r="BT125" s="1021"/>
      <c r="BU125" s="1021"/>
      <c r="BV125" s="1022"/>
      <c r="BW125" s="1022"/>
      <c r="BX125" s="1054"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M10476::ТЭ.42.27968109.0001::Неопределено::Неопределено::Неопределено::Неопределено::Неопределено</v>
      </c>
    </row>
    <row r="126" spans="1:76" s="1167" customFormat="1" ht="14.25" hidden="1" customHeight="1" x14ac:dyDescent="0.15">
      <c r="A126" s="175"/>
      <c r="B126" s="773"/>
      <c r="C126" s="1084" t="s">
        <v>1773</v>
      </c>
      <c r="D126" s="1043" t="s">
        <v>1774</v>
      </c>
      <c r="E126" s="668">
        <v>15</v>
      </c>
      <c r="F126" s="769" t="str" cm="1">
        <f t="array" aca="1" ref="F126" ca="1">OFFSET(G126,-1,-1)</f>
        <v>1</v>
      </c>
      <c r="G126" s="140" t="s">
        <v>1777</v>
      </c>
      <c r="H126" s="177"/>
      <c r="I126" s="177"/>
      <c r="J126" s="177"/>
      <c r="K126" s="177"/>
      <c r="L126" s="140" t="s">
        <v>1736</v>
      </c>
      <c r="M126" s="1067"/>
      <c r="N126" s="1067" t="str" cm="1">
        <f t="array" aca="1" ref="N126" ca="1">OFFSET(M126,-1,1)</f>
        <v>ТЭ.42.27968109.0001</v>
      </c>
      <c r="O126" s="1068" t="s">
        <v>1750</v>
      </c>
      <c r="P126" s="1068"/>
      <c r="Q126" s="1068"/>
      <c r="R126" s="1068"/>
      <c r="T126" s="679" t="b" cm="1">
        <f t="array" aca="1" ref="T126" ca="1">T125</f>
        <v>0</v>
      </c>
      <c r="U126" s="1152"/>
      <c r="V126" s="1152"/>
      <c r="W126" s="1152"/>
      <c r="X126" s="1485"/>
      <c r="Y126" s="1152"/>
      <c r="Z126" s="1485"/>
      <c r="AA126" s="177"/>
      <c r="AB126" s="545" t="str">
        <f>AB125&amp;".1"</f>
        <v>16.1</v>
      </c>
      <c r="AC126" s="600" t="s">
        <v>1778</v>
      </c>
      <c r="AD126" s="515" t="s">
        <v>715</v>
      </c>
      <c r="AE126" s="73" cm="1">
        <f t="array" aca="1" ref="AE126" ca="1">AE125</f>
        <v>0</v>
      </c>
      <c r="AF126" s="508"/>
      <c r="AG126" s="508"/>
      <c r="AH126" s="508"/>
      <c r="AI126" s="73" cm="1">
        <f t="array" aca="1" ref="AI126" ca="1">AI125</f>
        <v>0</v>
      </c>
      <c r="AJ126" s="509" cm="1">
        <f t="array" aca="1" ref="AJ126" ca="1">AJ125</f>
        <v>0</v>
      </c>
      <c r="AK126" s="1315" cm="1">
        <f t="array" aca="1" ref="AK126" ca="1">AK125</f>
        <v>0</v>
      </c>
      <c r="AL126" s="1315" cm="1">
        <f t="array" aca="1" ref="AL126" ca="1">AL125</f>
        <v>0</v>
      </c>
      <c r="AM126" s="73" cm="1">
        <f t="array" aca="1" ref="AM126" ca="1">AM125</f>
        <v>0</v>
      </c>
      <c r="AN126" s="73" cm="1">
        <f t="array" aca="1" ref="AN126" ca="1">AN125</f>
        <v>0</v>
      </c>
      <c r="AO126" s="73" cm="1">
        <f t="array" aca="1" ref="AO126" ca="1">AO125</f>
        <v>0</v>
      </c>
      <c r="AP126" s="73" cm="1">
        <f t="array" aca="1" ref="AP126" ca="1">AP125</f>
        <v>0</v>
      </c>
      <c r="AQ126" s="73" cm="1">
        <f t="array" aca="1" ref="AQ126" ca="1">AQ125</f>
        <v>0</v>
      </c>
      <c r="AR126" s="73" cm="1">
        <f t="array" aca="1" ref="AR126" ca="1">AR125</f>
        <v>0</v>
      </c>
      <c r="AS126" s="73" cm="1">
        <f t="array" aca="1" ref="AS126" ca="1">AS125</f>
        <v>0</v>
      </c>
      <c r="AT126" s="509" cm="1">
        <f t="array" aca="1" ref="AT126" ca="1">AT125</f>
        <v>0</v>
      </c>
      <c r="AU126" s="1315" cm="1">
        <f t="array" aca="1" ref="AU126" ca="1">AU125</f>
        <v>0</v>
      </c>
      <c r="AV126" s="1315" cm="1">
        <f t="array" aca="1" ref="AV126" ca="1">AV125</f>
        <v>0</v>
      </c>
      <c r="AW126" s="73" cm="1">
        <f t="array" aca="1" ref="AW126" ca="1">AW125</f>
        <v>0</v>
      </c>
      <c r="AX126" s="73" cm="1">
        <f t="array" aca="1" ref="AX126" ca="1">AX125</f>
        <v>0</v>
      </c>
      <c r="AY126" s="73" cm="1">
        <f t="array" aca="1" ref="AY126" ca="1">AY125</f>
        <v>0</v>
      </c>
      <c r="AZ126" s="73" cm="1">
        <f t="array" aca="1" ref="AZ126" ca="1">AZ125</f>
        <v>0</v>
      </c>
      <c r="BA126" s="73" cm="1">
        <f t="array" aca="1" ref="BA126" ca="1">BA125</f>
        <v>0</v>
      </c>
      <c r="BB126" s="73" cm="1">
        <f t="array" aca="1" ref="BB126" ca="1">BB125</f>
        <v>0</v>
      </c>
      <c r="BC126" s="73" cm="1">
        <f t="array" aca="1" ref="BC126" ca="1">BC125</f>
        <v>0</v>
      </c>
      <c r="BD126" s="313"/>
      <c r="BE126" s="313"/>
      <c r="BF126" s="313"/>
      <c r="BG126" s="313"/>
      <c r="BH126" s="313"/>
      <c r="BI126" s="313"/>
      <c r="BJ126" s="313"/>
      <c r="BK126" s="313"/>
      <c r="BL126" s="313"/>
      <c r="BM126" s="313"/>
      <c r="BN126" s="25"/>
      <c r="BO126" s="25"/>
      <c r="BP126" s="25"/>
      <c r="BQ126" s="177"/>
      <c r="BR126" s="177"/>
      <c r="BS126" s="1021" t="s">
        <v>1779</v>
      </c>
      <c r="BT126" s="1021"/>
      <c r="BU126" s="1021"/>
      <c r="BV126" s="1022"/>
      <c r="BW126" s="1022"/>
      <c r="BX126" s="1054"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M10476::ТЭ.42.27968109.0001::Неопределено::8.0.3.::Неопределено::Неопределено::Неопределено</v>
      </c>
    </row>
    <row r="127" spans="1:76" s="1167" customFormat="1" ht="14.25" hidden="1" customHeight="1" x14ac:dyDescent="0.15">
      <c r="A127" s="175"/>
      <c r="B127" s="773"/>
      <c r="C127" s="1084" t="s">
        <v>1773</v>
      </c>
      <c r="D127" s="1043" t="s">
        <v>1774</v>
      </c>
      <c r="E127" s="668">
        <v>15</v>
      </c>
      <c r="F127" s="769" t="str" cm="1">
        <f t="array" aca="1" ref="F127" ca="1">OFFSET(G127,-1,-1)</f>
        <v>1</v>
      </c>
      <c r="G127" s="140" t="s">
        <v>1780</v>
      </c>
      <c r="H127" s="177"/>
      <c r="I127" s="177"/>
      <c r="J127" s="177"/>
      <c r="K127" s="177"/>
      <c r="L127" s="140" t="s">
        <v>1736</v>
      </c>
      <c r="M127" s="1067"/>
      <c r="N127" s="1067" t="str" cm="1">
        <f t="array" aca="1" ref="N127" ca="1">OFFSET(M127,-1,1)</f>
        <v>ТЭ.42.27968109.0001</v>
      </c>
      <c r="O127" s="1068" t="s">
        <v>1759</v>
      </c>
      <c r="P127" s="1068"/>
      <c r="Q127" s="1068"/>
      <c r="R127" s="1068"/>
      <c r="T127" s="679" t="b" cm="1">
        <f t="array" aca="1" ref="T127" ca="1">T126</f>
        <v>0</v>
      </c>
      <c r="U127" s="1152"/>
      <c r="V127" s="1152"/>
      <c r="W127" s="1152"/>
      <c r="X127" s="1485"/>
      <c r="Y127" s="1152"/>
      <c r="Z127" s="1485"/>
      <c r="AA127" s="177"/>
      <c r="AB127" s="545" t="str">
        <f>AB125&amp;".2"</f>
        <v>16.2</v>
      </c>
      <c r="AC127" s="600" t="s">
        <v>1781</v>
      </c>
      <c r="AD127" s="515" t="s">
        <v>715</v>
      </c>
      <c r="AE127" s="73" cm="1">
        <f t="array" aca="1" ref="AE127" ca="1">AE125</f>
        <v>0</v>
      </c>
      <c r="AF127" s="508"/>
      <c r="AG127" s="508"/>
      <c r="AH127" s="508"/>
      <c r="AI127" s="73" cm="1">
        <f t="array" aca="1" ref="AI127" ca="1">AI125</f>
        <v>0</v>
      </c>
      <c r="AJ127" s="509" cm="1">
        <f t="array" aca="1" ref="AJ127" ca="1">AJ125</f>
        <v>0</v>
      </c>
      <c r="AK127" s="1315" cm="1">
        <f t="array" aca="1" ref="AK127" ca="1">AK125</f>
        <v>0</v>
      </c>
      <c r="AL127" s="1315" cm="1">
        <f t="array" aca="1" ref="AL127" ca="1">AL125</f>
        <v>0</v>
      </c>
      <c r="AM127" s="73" cm="1">
        <f t="array" aca="1" ref="AM127" ca="1">AM125</f>
        <v>0</v>
      </c>
      <c r="AN127" s="73" cm="1">
        <f t="array" aca="1" ref="AN127" ca="1">AN125</f>
        <v>0</v>
      </c>
      <c r="AO127" s="73" cm="1">
        <f t="array" aca="1" ref="AO127" ca="1">AO125</f>
        <v>0</v>
      </c>
      <c r="AP127" s="73" cm="1">
        <f t="array" aca="1" ref="AP127" ca="1">AP125</f>
        <v>0</v>
      </c>
      <c r="AQ127" s="73" cm="1">
        <f t="array" aca="1" ref="AQ127" ca="1">AQ125</f>
        <v>0</v>
      </c>
      <c r="AR127" s="73" cm="1">
        <f t="array" aca="1" ref="AR127" ca="1">AR125</f>
        <v>0</v>
      </c>
      <c r="AS127" s="73" cm="1">
        <f t="array" aca="1" ref="AS127" ca="1">AS125</f>
        <v>0</v>
      </c>
      <c r="AT127" s="509" cm="1">
        <f t="array" aca="1" ref="AT127" ca="1">AT125</f>
        <v>0</v>
      </c>
      <c r="AU127" s="1315" cm="1">
        <f t="array" aca="1" ref="AU127" ca="1">AU125</f>
        <v>0</v>
      </c>
      <c r="AV127" s="1315" cm="1">
        <f t="array" aca="1" ref="AV127" ca="1">AV125</f>
        <v>0</v>
      </c>
      <c r="AW127" s="73" cm="1">
        <f t="array" aca="1" ref="AW127" ca="1">AW125</f>
        <v>0</v>
      </c>
      <c r="AX127" s="73" cm="1">
        <f t="array" aca="1" ref="AX127" ca="1">AX125</f>
        <v>0</v>
      </c>
      <c r="AY127" s="73" cm="1">
        <f t="array" aca="1" ref="AY127" ca="1">AY125</f>
        <v>0</v>
      </c>
      <c r="AZ127" s="73" cm="1">
        <f t="array" aca="1" ref="AZ127" ca="1">AZ125</f>
        <v>0</v>
      </c>
      <c r="BA127" s="73" cm="1">
        <f t="array" aca="1" ref="BA127" ca="1">BA125</f>
        <v>0</v>
      </c>
      <c r="BB127" s="73" cm="1">
        <f t="array" aca="1" ref="BB127" ca="1">BB125</f>
        <v>0</v>
      </c>
      <c r="BC127" s="73" cm="1">
        <f t="array" aca="1" ref="BC127" ca="1">BC125</f>
        <v>0</v>
      </c>
      <c r="BD127" s="313"/>
      <c r="BE127" s="313"/>
      <c r="BF127" s="313"/>
      <c r="BG127" s="313"/>
      <c r="BH127" s="313"/>
      <c r="BI127" s="313"/>
      <c r="BJ127" s="313"/>
      <c r="BK127" s="313"/>
      <c r="BL127" s="313"/>
      <c r="BM127" s="313"/>
      <c r="BN127" s="25"/>
      <c r="BO127" s="25"/>
      <c r="BP127" s="25"/>
      <c r="BQ127" s="177"/>
      <c r="BR127" s="177"/>
      <c r="BS127" s="1021" t="s">
        <v>1782</v>
      </c>
      <c r="BT127" s="1021"/>
      <c r="BU127" s="1021"/>
      <c r="BV127" s="1022"/>
      <c r="BW127" s="1022"/>
      <c r="BX127" s="1054"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M10476::ТЭ.42.27968109.0001::Неопределено::8.0.5.::Неопределено::Неопределено::Неопределено</v>
      </c>
    </row>
    <row r="128" spans="1:76" s="1167" customFormat="1" ht="14.25" hidden="1" customHeight="1" x14ac:dyDescent="0.15">
      <c r="A128" s="175"/>
      <c r="B128" s="773"/>
      <c r="C128" s="1084"/>
      <c r="D128" s="1043"/>
      <c r="E128" s="668">
        <v>15</v>
      </c>
      <c r="F128" s="769" t="str" cm="1">
        <f t="array" aca="1" ref="F128" ca="1">OFFSET(G128,-1,-1)</f>
        <v>1</v>
      </c>
      <c r="G128" s="177"/>
      <c r="H128" s="177"/>
      <c r="I128" s="177"/>
      <c r="J128" s="177"/>
      <c r="K128" s="177"/>
      <c r="L128" s="140" t="s">
        <v>1736</v>
      </c>
      <c r="M128" s="1067"/>
      <c r="N128" s="1067" t="str" cm="1">
        <f t="array" aca="1" ref="N128" ca="1">OFFSET(M128,-1,1)</f>
        <v>ТЭ.42.27968109.0001</v>
      </c>
      <c r="O128" s="1068"/>
      <c r="P128" s="1068"/>
      <c r="Q128" s="1068"/>
      <c r="R128" s="1068"/>
      <c r="T128" s="679" t="b" cm="1">
        <f t="array" aca="1" ref="T128" ca="1">T127</f>
        <v>0</v>
      </c>
      <c r="U128" s="1152"/>
      <c r="V128" s="1152"/>
      <c r="W128" s="1152"/>
      <c r="X128" s="1485"/>
      <c r="Y128" s="1152"/>
      <c r="Z128" s="1485"/>
      <c r="AA128" s="177"/>
      <c r="AB128" s="544" t="s">
        <v>1783</v>
      </c>
      <c r="AC128" s="513" t="s">
        <v>1784</v>
      </c>
      <c r="AD128" s="514"/>
      <c r="AE128" s="508"/>
      <c r="AF128" s="508"/>
      <c r="AG128" s="508"/>
      <c r="AH128" s="508"/>
      <c r="AI128" s="508"/>
      <c r="AJ128" s="508"/>
      <c r="AK128" s="508"/>
      <c r="AL128" s="508"/>
      <c r="AM128" s="508"/>
      <c r="AN128" s="508"/>
      <c r="AO128" s="508"/>
      <c r="AP128" s="508"/>
      <c r="AQ128" s="508"/>
      <c r="AR128" s="508"/>
      <c r="AS128" s="508"/>
      <c r="AT128" s="508"/>
      <c r="AU128" s="508"/>
      <c r="AV128" s="508"/>
      <c r="AW128" s="508"/>
      <c r="AX128" s="508"/>
      <c r="AY128" s="508"/>
      <c r="AZ128" s="508"/>
      <c r="BA128" s="508"/>
      <c r="BB128" s="508"/>
      <c r="BC128" s="508"/>
      <c r="BD128" s="313"/>
      <c r="BE128" s="313"/>
      <c r="BF128" s="313"/>
      <c r="BG128" s="313"/>
      <c r="BH128" s="313"/>
      <c r="BI128" s="313"/>
      <c r="BJ128" s="313"/>
      <c r="BK128" s="313"/>
      <c r="BL128" s="313"/>
      <c r="BM128" s="313"/>
      <c r="BN128" s="25"/>
      <c r="BO128" s="25"/>
      <c r="BP128" s="25"/>
      <c r="BQ128" s="177"/>
      <c r="BR128" s="177"/>
      <c r="BS128" s="1021" t="s">
        <v>1785</v>
      </c>
      <c r="BT128" s="1021"/>
      <c r="BU128" s="1021"/>
      <c r="BV128" s="1022"/>
      <c r="BW128" s="1022"/>
      <c r="BX128" s="1122" t="str" cm="1">
        <f t="array" aca="1" ref="BX128" ca="1">"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M11407::ТЭ.42.27968109.0001::Неопределено::Неопределено::Неопределено::Неопределено::Неопределено</v>
      </c>
    </row>
    <row r="129" spans="1:76" s="1167" customFormat="1" ht="14.25" hidden="1" customHeight="1" x14ac:dyDescent="0.15">
      <c r="A129" s="175"/>
      <c r="B129" s="773"/>
      <c r="C129" s="1084" t="s">
        <v>1786</v>
      </c>
      <c r="D129" s="1043" t="s">
        <v>1787</v>
      </c>
      <c r="E129" s="668">
        <v>15</v>
      </c>
      <c r="F129" s="769" t="str" cm="1">
        <f t="array" aca="1" ref="F129" ca="1">OFFSET(G129,-1,-1)</f>
        <v>1</v>
      </c>
      <c r="G129" s="140" t="s">
        <v>1788</v>
      </c>
      <c r="H129" s="177"/>
      <c r="I129" s="177"/>
      <c r="J129" s="177"/>
      <c r="K129" s="177"/>
      <c r="L129" s="140" t="s">
        <v>1736</v>
      </c>
      <c r="M129" s="1067"/>
      <c r="N129" s="1067" t="str" cm="1">
        <f t="array" aca="1" ref="N129" ca="1">OFFSET(M129,-1,1)</f>
        <v>ТЭ.42.27968109.0001</v>
      </c>
      <c r="O129" s="1068" t="s">
        <v>1750</v>
      </c>
      <c r="P129" s="1068"/>
      <c r="Q129" s="1068"/>
      <c r="R129" s="1068"/>
      <c r="T129" s="679" t="b" cm="1">
        <f t="array" aca="1" ref="T129" ca="1">T128</f>
        <v>0</v>
      </c>
      <c r="U129" s="1152"/>
      <c r="V129" s="1152"/>
      <c r="W129" s="1152"/>
      <c r="X129" s="1485"/>
      <c r="Y129" s="1152"/>
      <c r="Z129" s="1485"/>
      <c r="AA129" s="177"/>
      <c r="AB129" s="545" t="str">
        <f>AB128&amp;".1"</f>
        <v>17.1</v>
      </c>
      <c r="AC129" s="1129" t="s">
        <v>1789</v>
      </c>
      <c r="AD129" s="435" t="s">
        <v>920</v>
      </c>
      <c r="AE129" s="73"/>
      <c r="AF129" s="508"/>
      <c r="AG129" s="508"/>
      <c r="AH129" s="508"/>
      <c r="AI129" s="73">
        <f ca="1">MIN(AE130,IFERROR(AI116*1000/AI118,0))</f>
        <v>713.35237404856821</v>
      </c>
      <c r="AJ129" s="509">
        <f t="shared" ref="AJ129:AS129" ca="1" si="64">MIN(AI130,IFERROR(AJ116*1000/AJ118,0))</f>
        <v>713.35237404856821</v>
      </c>
      <c r="AK129" s="1315">
        <f t="shared" ca="1" si="64"/>
        <v>0</v>
      </c>
      <c r="AL129" s="1315">
        <f t="shared" ca="1" si="64"/>
        <v>0</v>
      </c>
      <c r="AM129" s="73">
        <f t="shared" ca="1" si="64"/>
        <v>0</v>
      </c>
      <c r="AN129" s="73">
        <f t="shared" ca="1" si="64"/>
        <v>0</v>
      </c>
      <c r="AO129" s="73">
        <f t="shared" ca="1" si="64"/>
        <v>0</v>
      </c>
      <c r="AP129" s="73">
        <f t="shared" ca="1" si="64"/>
        <v>0</v>
      </c>
      <c r="AQ129" s="73">
        <f t="shared" ca="1" si="64"/>
        <v>0</v>
      </c>
      <c r="AR129" s="73">
        <f t="shared" ca="1" si="64"/>
        <v>0</v>
      </c>
      <c r="AS129" s="73">
        <f t="shared" ca="1" si="64"/>
        <v>0</v>
      </c>
      <c r="AT129" s="509">
        <f ca="1">MIN(AI130,IFERROR(AT116*1000/AT118,0))</f>
        <v>713.35237404856821</v>
      </c>
      <c r="AU129" s="1315">
        <f t="shared" ref="AU129:BC129" ca="1" si="65">MIN(AT130,IFERROR(AU116*1000/AU118,0))</f>
        <v>0</v>
      </c>
      <c r="AV129" s="1315">
        <f t="shared" ca="1" si="65"/>
        <v>0</v>
      </c>
      <c r="AW129" s="73">
        <f t="shared" ca="1" si="65"/>
        <v>0</v>
      </c>
      <c r="AX129" s="73">
        <f t="shared" ca="1" si="65"/>
        <v>0</v>
      </c>
      <c r="AY129" s="73">
        <f t="shared" ca="1" si="65"/>
        <v>0</v>
      </c>
      <c r="AZ129" s="73">
        <f t="shared" ca="1" si="65"/>
        <v>0</v>
      </c>
      <c r="BA129" s="73">
        <f t="shared" ca="1" si="65"/>
        <v>0</v>
      </c>
      <c r="BB129" s="73">
        <f t="shared" ca="1" si="65"/>
        <v>0</v>
      </c>
      <c r="BC129" s="73">
        <f t="shared" ca="1" si="65"/>
        <v>0</v>
      </c>
      <c r="BD129" s="313"/>
      <c r="BE129" s="313"/>
      <c r="BF129" s="313"/>
      <c r="BG129" s="313"/>
      <c r="BH129" s="313"/>
      <c r="BI129" s="313"/>
      <c r="BJ129" s="313"/>
      <c r="BK129" s="313"/>
      <c r="BL129" s="313"/>
      <c r="BM129" s="313"/>
      <c r="BN129" s="25"/>
      <c r="BO129" s="25"/>
      <c r="BP129" s="25"/>
      <c r="BQ129" s="177"/>
      <c r="BR129" s="177"/>
      <c r="BS129" s="1021" t="s">
        <v>1790</v>
      </c>
      <c r="BT129" s="1021"/>
      <c r="BU129" s="1021"/>
      <c r="BV129" s="1022"/>
      <c r="BW129" s="1022"/>
      <c r="BX129" s="1054"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M11407::ТЭ.42.27968109.0001::Неопределено::8.0.3.::Неопределено::Неопределено::Неопределено</v>
      </c>
    </row>
    <row r="130" spans="1:76" s="1167" customFormat="1" ht="14.25" hidden="1" customHeight="1" x14ac:dyDescent="0.15">
      <c r="A130" s="175"/>
      <c r="B130" s="773"/>
      <c r="C130" s="1084" t="s">
        <v>1786</v>
      </c>
      <c r="D130" s="1043" t="s">
        <v>1787</v>
      </c>
      <c r="E130" s="668">
        <v>15</v>
      </c>
      <c r="F130" s="769" t="str" cm="1">
        <f t="array" aca="1" ref="F130" ca="1">OFFSET(G130,-1,-1)</f>
        <v>1</v>
      </c>
      <c r="G130" s="140" t="s">
        <v>1791</v>
      </c>
      <c r="H130" s="177"/>
      <c r="I130" s="177"/>
      <c r="J130" s="177"/>
      <c r="K130" s="177"/>
      <c r="L130" s="140" t="s">
        <v>1736</v>
      </c>
      <c r="M130" s="1067"/>
      <c r="N130" s="1067" t="str" cm="1">
        <f t="array" aca="1" ref="N130" ca="1">OFFSET(M130,-1,1)</f>
        <v>ТЭ.42.27968109.0001</v>
      </c>
      <c r="O130" s="1068" t="s">
        <v>1759</v>
      </c>
      <c r="P130" s="1068"/>
      <c r="Q130" s="1068"/>
      <c r="R130" s="1068"/>
      <c r="T130" s="679" t="b" cm="1">
        <f t="array" aca="1" ref="T130" ca="1">T129</f>
        <v>0</v>
      </c>
      <c r="U130" s="1152"/>
      <c r="V130" s="1152"/>
      <c r="W130" s="1152"/>
      <c r="X130" s="1485"/>
      <c r="Y130" s="1152"/>
      <c r="Z130" s="1485"/>
      <c r="AA130" s="177"/>
      <c r="AB130" s="545" t="str">
        <f>AB128&amp;".2"</f>
        <v>17.2</v>
      </c>
      <c r="AC130" s="1129" t="s">
        <v>1792</v>
      </c>
      <c r="AD130" s="435" t="s">
        <v>920</v>
      </c>
      <c r="AE130" s="507">
        <f ca="1">IFERROR((AE116*1000-AE119*AE129)/AE121,0)</f>
        <v>1316.0898545289924</v>
      </c>
      <c r="AF130" s="508"/>
      <c r="AG130" s="508"/>
      <c r="AH130" s="508"/>
      <c r="AI130" s="507">
        <f t="shared" ref="AI130:BC130" ca="1" si="66">IFERROR((AI116*1000-AI119*AI129)/AI121,0)</f>
        <v>713.35237404856821</v>
      </c>
      <c r="AJ130" s="507">
        <f t="shared" ca="1" si="66"/>
        <v>1261.1653114645358</v>
      </c>
      <c r="AK130" s="507">
        <f t="shared" ca="1" si="66"/>
        <v>0</v>
      </c>
      <c r="AL130" s="507">
        <f t="shared" ca="1" si="66"/>
        <v>0</v>
      </c>
      <c r="AM130" s="507">
        <f t="shared" ca="1" si="66"/>
        <v>0</v>
      </c>
      <c r="AN130" s="507">
        <f t="shared" ca="1" si="66"/>
        <v>0</v>
      </c>
      <c r="AO130" s="507">
        <f t="shared" ca="1" si="66"/>
        <v>0</v>
      </c>
      <c r="AP130" s="507">
        <f t="shared" ca="1" si="66"/>
        <v>0</v>
      </c>
      <c r="AQ130" s="507">
        <f t="shared" ca="1" si="66"/>
        <v>0</v>
      </c>
      <c r="AR130" s="507">
        <f t="shared" ca="1" si="66"/>
        <v>0</v>
      </c>
      <c r="AS130" s="507">
        <f t="shared" ca="1" si="66"/>
        <v>0</v>
      </c>
      <c r="AT130" s="507">
        <f t="shared" ca="1" si="66"/>
        <v>1459.0565024358398</v>
      </c>
      <c r="AU130" s="507">
        <f t="shared" ca="1" si="66"/>
        <v>0</v>
      </c>
      <c r="AV130" s="507">
        <f t="shared" ca="1" si="66"/>
        <v>0</v>
      </c>
      <c r="AW130" s="507">
        <f t="shared" ca="1" si="66"/>
        <v>0</v>
      </c>
      <c r="AX130" s="507">
        <f t="shared" ca="1" si="66"/>
        <v>0</v>
      </c>
      <c r="AY130" s="507">
        <f t="shared" ca="1" si="66"/>
        <v>0</v>
      </c>
      <c r="AZ130" s="507">
        <f t="shared" ca="1" si="66"/>
        <v>0</v>
      </c>
      <c r="BA130" s="507">
        <f t="shared" ca="1" si="66"/>
        <v>0</v>
      </c>
      <c r="BB130" s="507">
        <f t="shared" ca="1" si="66"/>
        <v>0</v>
      </c>
      <c r="BC130" s="507">
        <f t="shared" ca="1" si="66"/>
        <v>0</v>
      </c>
      <c r="BD130" s="313"/>
      <c r="BE130" s="313"/>
      <c r="BF130" s="313"/>
      <c r="BG130" s="313"/>
      <c r="BH130" s="313"/>
      <c r="BI130" s="313"/>
      <c r="BJ130" s="313"/>
      <c r="BK130" s="313"/>
      <c r="BL130" s="313"/>
      <c r="BM130" s="313"/>
      <c r="BN130" s="25"/>
      <c r="BO130" s="25"/>
      <c r="BP130" s="25"/>
      <c r="BQ130" s="177"/>
      <c r="BR130" s="177"/>
      <c r="BS130" s="1021" t="s">
        <v>1793</v>
      </c>
      <c r="BT130" s="1021"/>
      <c r="BU130" s="1021"/>
      <c r="BV130" s="1022"/>
      <c r="BW130" s="1022"/>
      <c r="BX130" s="1054"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M11407::ТЭ.42.27968109.0001::Неопределено::8.0.5.::Неопределено::Неопределено::Неопределено</v>
      </c>
    </row>
    <row r="131" spans="1:76" s="1167" customFormat="1" ht="14.25" hidden="1" customHeight="1" x14ac:dyDescent="0.15">
      <c r="A131" s="175"/>
      <c r="B131" s="773"/>
      <c r="C131" s="1084" t="s">
        <v>1794</v>
      </c>
      <c r="D131" s="1043" t="s">
        <v>1795</v>
      </c>
      <c r="E131" s="668">
        <v>15</v>
      </c>
      <c r="F131" s="769" t="str" cm="1">
        <f t="array" aca="1" ref="F131" ca="1">OFFSET(G131,-1,-1)</f>
        <v>1</v>
      </c>
      <c r="G131" s="177"/>
      <c r="H131" s="177"/>
      <c r="I131" s="177"/>
      <c r="J131" s="177"/>
      <c r="K131" s="177"/>
      <c r="L131" s="140" t="s">
        <v>1736</v>
      </c>
      <c r="M131" s="1067"/>
      <c r="N131" s="1067" t="str" cm="1">
        <f t="array" aca="1" ref="N131" ca="1">OFFSET(M131,-1,1)</f>
        <v>ТЭ.42.27968109.0001</v>
      </c>
      <c r="O131" s="1068"/>
      <c r="P131" s="1068" t="s">
        <v>1796</v>
      </c>
      <c r="Q131" s="1068"/>
      <c r="R131" s="1068"/>
      <c r="T131" s="679" t="b" cm="1">
        <f t="array" aca="1" ref="T131" ca="1">T130</f>
        <v>0</v>
      </c>
      <c r="U131" s="1152"/>
      <c r="V131" s="1152"/>
      <c r="W131" s="1152"/>
      <c r="X131" s="1485"/>
      <c r="Y131" s="1152"/>
      <c r="Z131" s="1485"/>
      <c r="AA131" s="177"/>
      <c r="AB131" s="545" t="str">
        <f>AB128&amp;".3"</f>
        <v>17.3</v>
      </c>
      <c r="AC131" s="258" t="s">
        <v>1797</v>
      </c>
      <c r="AD131" s="435" t="s">
        <v>521</v>
      </c>
      <c r="AE131" s="547">
        <f ca="1">IFERROR(AE130/AE129,0)</f>
        <v>0</v>
      </c>
      <c r="AF131" s="508"/>
      <c r="AG131" s="508"/>
      <c r="AH131" s="508"/>
      <c r="AI131" s="547">
        <f t="shared" ref="AI131:BC131" ca="1" si="67">IFERROR(AI130/AI129,0)</f>
        <v>1</v>
      </c>
      <c r="AJ131" s="547">
        <f t="shared" ca="1" si="67"/>
        <v>1.7679415634476743</v>
      </c>
      <c r="AK131" s="547">
        <f t="shared" ca="1" si="67"/>
        <v>0</v>
      </c>
      <c r="AL131" s="547">
        <f t="shared" ca="1" si="67"/>
        <v>0</v>
      </c>
      <c r="AM131" s="547">
        <f t="shared" ca="1" si="67"/>
        <v>0</v>
      </c>
      <c r="AN131" s="547">
        <f t="shared" ca="1" si="67"/>
        <v>0</v>
      </c>
      <c r="AO131" s="547">
        <f t="shared" ca="1" si="67"/>
        <v>0</v>
      </c>
      <c r="AP131" s="547">
        <f t="shared" ca="1" si="67"/>
        <v>0</v>
      </c>
      <c r="AQ131" s="547">
        <f t="shared" ca="1" si="67"/>
        <v>0</v>
      </c>
      <c r="AR131" s="547">
        <f t="shared" ca="1" si="67"/>
        <v>0</v>
      </c>
      <c r="AS131" s="547">
        <f t="shared" ca="1" si="67"/>
        <v>0</v>
      </c>
      <c r="AT131" s="547">
        <f t="shared" ca="1" si="67"/>
        <v>2.0453517160882129</v>
      </c>
      <c r="AU131" s="547">
        <f t="shared" ca="1" si="67"/>
        <v>0</v>
      </c>
      <c r="AV131" s="547">
        <f t="shared" ca="1" si="67"/>
        <v>0</v>
      </c>
      <c r="AW131" s="547">
        <f t="shared" ca="1" si="67"/>
        <v>0</v>
      </c>
      <c r="AX131" s="547">
        <f t="shared" ca="1" si="67"/>
        <v>0</v>
      </c>
      <c r="AY131" s="547">
        <f t="shared" ca="1" si="67"/>
        <v>0</v>
      </c>
      <c r="AZ131" s="547">
        <f t="shared" ca="1" si="67"/>
        <v>0</v>
      </c>
      <c r="BA131" s="547">
        <f t="shared" ca="1" si="67"/>
        <v>0</v>
      </c>
      <c r="BB131" s="547">
        <f t="shared" ca="1" si="67"/>
        <v>0</v>
      </c>
      <c r="BC131" s="547">
        <f t="shared" ca="1" si="67"/>
        <v>0</v>
      </c>
      <c r="BD131" s="313"/>
      <c r="BE131" s="313"/>
      <c r="BF131" s="313"/>
      <c r="BG131" s="313"/>
      <c r="BH131" s="313"/>
      <c r="BI131" s="313"/>
      <c r="BJ131" s="313"/>
      <c r="BK131" s="313"/>
      <c r="BL131" s="313"/>
      <c r="BM131" s="313"/>
      <c r="BN131" s="25"/>
      <c r="BO131" s="25"/>
      <c r="BP131" s="25"/>
      <c r="BQ131" s="177"/>
      <c r="BR131" s="177"/>
      <c r="BS131" s="1021" t="s">
        <v>1798</v>
      </c>
      <c r="BT131" s="1021"/>
      <c r="BU131" s="1021"/>
      <c r="BV131" s="1022"/>
      <c r="BW131" s="1022"/>
      <c r="BX131" s="1054"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M10444::ТЭ.42.27968109.0001::Неопределено::Неопределено::90.0.0.::Неопределено::Неопределено</v>
      </c>
    </row>
    <row r="132" spans="1:76" s="1167" customFormat="1" ht="31.5" hidden="1" customHeight="1" x14ac:dyDescent="0.15">
      <c r="A132" s="175"/>
      <c r="B132" s="773"/>
      <c r="C132" s="1084"/>
      <c r="D132" s="1043"/>
      <c r="E132" s="668">
        <v>33</v>
      </c>
      <c r="F132" s="769" t="str" cm="1">
        <f t="array" aca="1" ref="F132" ca="1">OFFSET(G132,-1,-1)</f>
        <v>1</v>
      </c>
      <c r="G132" s="177"/>
      <c r="H132" s="177"/>
      <c r="I132" s="177"/>
      <c r="J132" s="177"/>
      <c r="K132" s="177"/>
      <c r="L132" s="140" t="s">
        <v>1736</v>
      </c>
      <c r="M132" s="1067"/>
      <c r="N132" s="1067" t="str" cm="1">
        <f t="array" aca="1" ref="N132" ca="1">OFFSET(M132,-1,1)</f>
        <v>ТЭ.42.27968109.0001</v>
      </c>
      <c r="O132" s="1068"/>
      <c r="P132" s="1068"/>
      <c r="Q132" s="1068"/>
      <c r="R132" s="1068"/>
      <c r="T132" s="679" t="b" cm="1">
        <f t="array" aca="1" ref="T132" ca="1">T131</f>
        <v>0</v>
      </c>
      <c r="U132" s="1152"/>
      <c r="V132" s="1152"/>
      <c r="W132" s="1152"/>
      <c r="X132" s="1485"/>
      <c r="Y132" s="1152"/>
      <c r="Z132" s="1485"/>
      <c r="AA132" s="177"/>
      <c r="AB132" s="230" t="s">
        <v>584</v>
      </c>
      <c r="AC132" s="513" t="s">
        <v>1799</v>
      </c>
      <c r="AD132" s="514"/>
      <c r="AE132" s="508"/>
      <c r="AF132" s="508"/>
      <c r="AG132" s="508"/>
      <c r="AH132" s="508"/>
      <c r="AI132" s="508"/>
      <c r="AJ132" s="508"/>
      <c r="AK132" s="508"/>
      <c r="AL132" s="508"/>
      <c r="AM132" s="508"/>
      <c r="AN132" s="508"/>
      <c r="AO132" s="508"/>
      <c r="AP132" s="508"/>
      <c r="AQ132" s="508"/>
      <c r="AR132" s="508"/>
      <c r="AS132" s="508"/>
      <c r="AT132" s="508"/>
      <c r="AU132" s="508"/>
      <c r="AV132" s="508"/>
      <c r="AW132" s="508"/>
      <c r="AX132" s="508"/>
      <c r="AY132" s="508"/>
      <c r="AZ132" s="508"/>
      <c r="BA132" s="508"/>
      <c r="BB132" s="508"/>
      <c r="BC132" s="508"/>
      <c r="BD132" s="313"/>
      <c r="BE132" s="313"/>
      <c r="BF132" s="313"/>
      <c r="BG132" s="313"/>
      <c r="BH132" s="313"/>
      <c r="BI132" s="313"/>
      <c r="BJ132" s="313"/>
      <c r="BK132" s="313"/>
      <c r="BL132" s="313"/>
      <c r="BM132" s="313"/>
      <c r="BN132" s="25"/>
      <c r="BO132" s="25"/>
      <c r="BP132" s="25"/>
      <c r="BQ132" s="177"/>
      <c r="BR132" s="177"/>
      <c r="BS132" s="1021" t="s">
        <v>1800</v>
      </c>
      <c r="BT132" s="1021"/>
      <c r="BU132" s="1021"/>
      <c r="BV132" s="1022"/>
      <c r="BW132" s="1022"/>
      <c r="BX132" s="1122" t="str" cm="1">
        <f t="array" aca="1" ref="BX132" ca="1">"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M11397::ТЭ.42.27968109.0001::Неопределено::Неопределено::Неопределено::Неопределено::Неопределено</v>
      </c>
    </row>
    <row r="133" spans="1:76" s="1167" customFormat="1" ht="31.5" hidden="1" customHeight="1" x14ac:dyDescent="0.15">
      <c r="A133" s="175"/>
      <c r="B133" s="773"/>
      <c r="C133" s="1084" t="s">
        <v>1801</v>
      </c>
      <c r="D133" s="1043" t="s">
        <v>1802</v>
      </c>
      <c r="E133" s="668">
        <v>33</v>
      </c>
      <c r="F133" s="769" t="str" cm="1">
        <f t="array" aca="1" ref="F133" ca="1">OFFSET(G133,-1,-1)</f>
        <v>1</v>
      </c>
      <c r="G133" s="140" t="s">
        <v>1803</v>
      </c>
      <c r="H133" s="177"/>
      <c r="I133" s="177"/>
      <c r="J133" s="177"/>
      <c r="K133" s="177"/>
      <c r="L133" s="140" t="s">
        <v>1736</v>
      </c>
      <c r="M133" s="1067"/>
      <c r="N133" s="1067" t="str" cm="1">
        <f t="array" aca="1" ref="N133" ca="1">OFFSET(M133,-1,1)</f>
        <v>ТЭ.42.27968109.0001</v>
      </c>
      <c r="O133" s="1068" t="s">
        <v>1750</v>
      </c>
      <c r="P133" s="1068"/>
      <c r="Q133" s="1068"/>
      <c r="R133" s="1068"/>
      <c r="T133" s="679" t="b" cm="1">
        <f t="array" aca="1" ref="T133" ca="1">T132</f>
        <v>0</v>
      </c>
      <c r="U133" s="1152"/>
      <c r="V133" s="1152"/>
      <c r="W133" s="1152"/>
      <c r="X133" s="1485"/>
      <c r="Y133" s="1152"/>
      <c r="Z133" s="1485"/>
      <c r="AA133" s="177"/>
      <c r="AB133" s="545" t="str">
        <f>AB132&amp;".1"</f>
        <v>18.1</v>
      </c>
      <c r="AC133" s="112" t="s">
        <v>1804</v>
      </c>
      <c r="AD133" s="435" t="s">
        <v>1805</v>
      </c>
      <c r="AE133" s="50"/>
      <c r="AF133" s="313"/>
      <c r="AG133" s="313"/>
      <c r="AH133" s="313"/>
      <c r="AI133" s="73">
        <f ca="1">MIN(AE134,IFERROR(AI117/AI125/12,0))</f>
        <v>0</v>
      </c>
      <c r="AJ133" s="509">
        <f t="shared" ref="AJ133:AS133" ca="1" si="68">MIN(AI134,IFERROR(AJ117/AJ125/12,0))</f>
        <v>0</v>
      </c>
      <c r="AK133" s="1315">
        <f t="shared" ca="1" si="68"/>
        <v>0</v>
      </c>
      <c r="AL133" s="1315">
        <f t="shared" ca="1" si="68"/>
        <v>0</v>
      </c>
      <c r="AM133" s="73">
        <f t="shared" ca="1" si="68"/>
        <v>0</v>
      </c>
      <c r="AN133" s="73">
        <f t="shared" ca="1" si="68"/>
        <v>0</v>
      </c>
      <c r="AO133" s="73">
        <f t="shared" ca="1" si="68"/>
        <v>0</v>
      </c>
      <c r="AP133" s="73">
        <f t="shared" ca="1" si="68"/>
        <v>0</v>
      </c>
      <c r="AQ133" s="73">
        <f t="shared" ca="1" si="68"/>
        <v>0</v>
      </c>
      <c r="AR133" s="73">
        <f t="shared" ca="1" si="68"/>
        <v>0</v>
      </c>
      <c r="AS133" s="73">
        <f t="shared" ca="1" si="68"/>
        <v>0</v>
      </c>
      <c r="AT133" s="509">
        <f ca="1">MIN(AI134,IFERROR(AT117/AT125/12,0))</f>
        <v>0</v>
      </c>
      <c r="AU133" s="1315">
        <f t="shared" ref="AU133:BC133" ca="1" si="69">MIN(AT134,IFERROR(AU117/AU125/12,0))</f>
        <v>0</v>
      </c>
      <c r="AV133" s="1315">
        <f t="shared" ca="1" si="69"/>
        <v>0</v>
      </c>
      <c r="AW133" s="73">
        <f t="shared" ca="1" si="69"/>
        <v>0</v>
      </c>
      <c r="AX133" s="73">
        <f t="shared" ca="1" si="69"/>
        <v>0</v>
      </c>
      <c r="AY133" s="73">
        <f t="shared" ca="1" si="69"/>
        <v>0</v>
      </c>
      <c r="AZ133" s="73">
        <f t="shared" ca="1" si="69"/>
        <v>0</v>
      </c>
      <c r="BA133" s="73">
        <f t="shared" ca="1" si="69"/>
        <v>0</v>
      </c>
      <c r="BB133" s="73">
        <f t="shared" ca="1" si="69"/>
        <v>0</v>
      </c>
      <c r="BC133" s="73">
        <f t="shared" ca="1" si="69"/>
        <v>0</v>
      </c>
      <c r="BD133" s="313"/>
      <c r="BE133" s="313"/>
      <c r="BF133" s="313"/>
      <c r="BG133" s="313"/>
      <c r="BH133" s="313"/>
      <c r="BI133" s="313"/>
      <c r="BJ133" s="313"/>
      <c r="BK133" s="313"/>
      <c r="BL133" s="313"/>
      <c r="BM133" s="313"/>
      <c r="BN133" s="25"/>
      <c r="BO133" s="25"/>
      <c r="BP133" s="25"/>
      <c r="BQ133" s="177"/>
      <c r="BR133" s="177"/>
      <c r="BS133" s="1021" t="s">
        <v>1806</v>
      </c>
      <c r="BT133" s="1021"/>
      <c r="BU133" s="1021"/>
      <c r="BV133" s="1022"/>
      <c r="BW133" s="1022"/>
      <c r="BX133" s="1054"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M11397::ТЭ.42.27968109.0001::Неопределено::8.0.3.::Неопределено::Неопределено::Неопределено</v>
      </c>
    </row>
    <row r="134" spans="1:76" s="1167" customFormat="1" ht="31.5" hidden="1" customHeight="1" x14ac:dyDescent="0.15">
      <c r="A134" s="175"/>
      <c r="B134" s="773"/>
      <c r="C134" s="1084" t="s">
        <v>1801</v>
      </c>
      <c r="D134" s="1043" t="s">
        <v>1802</v>
      </c>
      <c r="E134" s="668">
        <v>33</v>
      </c>
      <c r="F134" s="769" t="str" cm="1">
        <f t="array" aca="1" ref="F134" ca="1">OFFSET(G134,-1,-1)</f>
        <v>1</v>
      </c>
      <c r="G134" s="140" t="s">
        <v>1807</v>
      </c>
      <c r="H134" s="177"/>
      <c r="I134" s="177"/>
      <c r="J134" s="177"/>
      <c r="K134" s="177"/>
      <c r="L134" s="140" t="s">
        <v>1736</v>
      </c>
      <c r="M134" s="1067"/>
      <c r="N134" s="1067" t="str" cm="1">
        <f t="array" aca="1" ref="N134" ca="1">OFFSET(M134,-1,1)</f>
        <v>ТЭ.42.27968109.0001</v>
      </c>
      <c r="O134" s="1068" t="s">
        <v>1759</v>
      </c>
      <c r="P134" s="1068"/>
      <c r="Q134" s="1068"/>
      <c r="R134" s="1068"/>
      <c r="T134" s="679" t="b" cm="1">
        <f t="array" aca="1" ref="T134" ca="1">T133</f>
        <v>0</v>
      </c>
      <c r="U134" s="1152"/>
      <c r="V134" s="1152"/>
      <c r="W134" s="1152"/>
      <c r="X134" s="1485"/>
      <c r="Y134" s="1152"/>
      <c r="Z134" s="1485"/>
      <c r="AA134" s="177"/>
      <c r="AB134" s="545" t="str">
        <f>AB132&amp;".2"</f>
        <v>18.2</v>
      </c>
      <c r="AC134" s="112" t="s">
        <v>1808</v>
      </c>
      <c r="AD134" s="435" t="s">
        <v>1805</v>
      </c>
      <c r="AE134" s="253">
        <f ca="1">IFERROR((AE117-AE126*6*AE133)/AE127/6,0)</f>
        <v>0</v>
      </c>
      <c r="AF134" s="313"/>
      <c r="AG134" s="313"/>
      <c r="AH134" s="313"/>
      <c r="AI134" s="253">
        <f ca="1">IFERROR((AI117-AI126*6*AI133)/AI127/6,0)</f>
        <v>0</v>
      </c>
      <c r="AJ134" s="253">
        <f ca="1">IFERROR((AJ117-AJ126*IF(god=2026,9,6)*AJ133)/AJ127/IF(god=2026,3,6),0)</f>
        <v>0</v>
      </c>
      <c r="AK134" s="253">
        <f ca="1">IFERROR((AK117-AK126*IF(god=2025,9,6)*AK133)/AK127/IF(god=2025,3,6),0)</f>
        <v>0</v>
      </c>
      <c r="AL134" s="253">
        <f t="shared" ref="AL134:AS134" ca="1" si="70">IFERROR((AL117-AL126*6*AL133)/AL127/6,0)</f>
        <v>0</v>
      </c>
      <c r="AM134" s="253">
        <f t="shared" ca="1" si="70"/>
        <v>0</v>
      </c>
      <c r="AN134" s="253">
        <f t="shared" ca="1" si="70"/>
        <v>0</v>
      </c>
      <c r="AO134" s="253">
        <f t="shared" ca="1" si="70"/>
        <v>0</v>
      </c>
      <c r="AP134" s="253">
        <f t="shared" ca="1" si="70"/>
        <v>0</v>
      </c>
      <c r="AQ134" s="253">
        <f t="shared" ca="1" si="70"/>
        <v>0</v>
      </c>
      <c r="AR134" s="253">
        <f t="shared" ca="1" si="70"/>
        <v>0</v>
      </c>
      <c r="AS134" s="253">
        <f t="shared" ca="1" si="70"/>
        <v>0</v>
      </c>
      <c r="AT134" s="253">
        <f ca="1">IFERROR((AT117-AT126*IF(god=2026,9,6)*AT133)/AT127/IF(god=2026,3,6),0)</f>
        <v>0</v>
      </c>
      <c r="AU134" s="253">
        <f ca="1">IFERROR((AU117-AU126*IF(god=2025,9,6)*AU133)/AU127/IF(god=2025,3,6),0)</f>
        <v>0</v>
      </c>
      <c r="AV134" s="253">
        <f t="shared" ref="AV134:BC134" ca="1" si="71">IFERROR((AV117-AV126*6*AV133)/AV127/6,0)</f>
        <v>0</v>
      </c>
      <c r="AW134" s="253">
        <f t="shared" ca="1" si="71"/>
        <v>0</v>
      </c>
      <c r="AX134" s="253">
        <f t="shared" ca="1" si="71"/>
        <v>0</v>
      </c>
      <c r="AY134" s="253">
        <f t="shared" ca="1" si="71"/>
        <v>0</v>
      </c>
      <c r="AZ134" s="253">
        <f t="shared" ca="1" si="71"/>
        <v>0</v>
      </c>
      <c r="BA134" s="253">
        <f t="shared" ca="1" si="71"/>
        <v>0</v>
      </c>
      <c r="BB134" s="253">
        <f t="shared" ca="1" si="71"/>
        <v>0</v>
      </c>
      <c r="BC134" s="253">
        <f t="shared" ca="1" si="71"/>
        <v>0</v>
      </c>
      <c r="BD134" s="313"/>
      <c r="BE134" s="313"/>
      <c r="BF134" s="313"/>
      <c r="BG134" s="313"/>
      <c r="BH134" s="313"/>
      <c r="BI134" s="313"/>
      <c r="BJ134" s="313"/>
      <c r="BK134" s="313"/>
      <c r="BL134" s="313"/>
      <c r="BM134" s="313"/>
      <c r="BN134" s="25"/>
      <c r="BO134" s="25"/>
      <c r="BP134" s="25"/>
      <c r="BQ134" s="177"/>
      <c r="BR134" s="177"/>
      <c r="BS134" s="1021" t="s">
        <v>1809</v>
      </c>
      <c r="BT134" s="1021"/>
      <c r="BU134" s="1021"/>
      <c r="BV134" s="1022"/>
      <c r="BW134" s="1022"/>
      <c r="BX134" s="1054"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M11397::ТЭ.42.27968109.0001::Неопределено::8.0.5.::Неопределено::Неопределено::Неопределено</v>
      </c>
    </row>
    <row r="135" spans="1:76" s="1167" customFormat="1" ht="14.25" hidden="1" customHeight="1" x14ac:dyDescent="0.15">
      <c r="A135" s="175"/>
      <c r="B135" s="773"/>
      <c r="C135" s="1084" t="s">
        <v>1794</v>
      </c>
      <c r="D135" s="1043" t="s">
        <v>1795</v>
      </c>
      <c r="E135" s="668">
        <v>15</v>
      </c>
      <c r="F135" s="769" t="str" cm="1">
        <f t="array" aca="1" ref="F135" ca="1">OFFSET(G135,-1,-1)</f>
        <v>1</v>
      </c>
      <c r="G135" s="177"/>
      <c r="H135" s="177"/>
      <c r="I135" s="177"/>
      <c r="J135" s="177"/>
      <c r="K135" s="177"/>
      <c r="L135" s="140" t="s">
        <v>1736</v>
      </c>
      <c r="M135" s="1067"/>
      <c r="N135" s="1067" t="str" cm="1">
        <f t="array" aca="1" ref="N135" ca="1">OFFSET(M135,-1,1)</f>
        <v>ТЭ.42.27968109.0001</v>
      </c>
      <c r="O135" s="1068"/>
      <c r="P135" s="1068"/>
      <c r="Q135" s="1068" t="s">
        <v>1810</v>
      </c>
      <c r="R135" s="1068"/>
      <c r="T135" s="679" t="b" cm="1">
        <f t="array" aca="1" ref="T135" ca="1">T134</f>
        <v>0</v>
      </c>
      <c r="U135" s="1152"/>
      <c r="V135" s="1152"/>
      <c r="W135" s="1152"/>
      <c r="X135" s="1485"/>
      <c r="Y135" s="1152"/>
      <c r="Z135" s="1485"/>
      <c r="AA135" s="177"/>
      <c r="AB135" s="545" t="str">
        <f>AB132&amp;".3"</f>
        <v>18.3</v>
      </c>
      <c r="AC135" s="258" t="s">
        <v>1811</v>
      </c>
      <c r="AD135" s="597" t="s">
        <v>521</v>
      </c>
      <c r="AE135" s="880">
        <f ca="1">IFERROR(AE134/AE133,0)</f>
        <v>0</v>
      </c>
      <c r="AF135" s="313"/>
      <c r="AG135" s="313"/>
      <c r="AH135" s="881"/>
      <c r="AI135" s="547">
        <f t="shared" ref="AI135:BC135" ca="1" si="72">IFERROR(AI134/AI133,0)</f>
        <v>0</v>
      </c>
      <c r="AJ135" s="547">
        <f t="shared" ca="1" si="72"/>
        <v>0</v>
      </c>
      <c r="AK135" s="547">
        <f t="shared" ca="1" si="72"/>
        <v>0</v>
      </c>
      <c r="AL135" s="547">
        <f t="shared" ca="1" si="72"/>
        <v>0</v>
      </c>
      <c r="AM135" s="547">
        <f t="shared" ca="1" si="72"/>
        <v>0</v>
      </c>
      <c r="AN135" s="547">
        <f t="shared" ca="1" si="72"/>
        <v>0</v>
      </c>
      <c r="AO135" s="547">
        <f t="shared" ca="1" si="72"/>
        <v>0</v>
      </c>
      <c r="AP135" s="547">
        <f t="shared" ca="1" si="72"/>
        <v>0</v>
      </c>
      <c r="AQ135" s="547">
        <f t="shared" ca="1" si="72"/>
        <v>0</v>
      </c>
      <c r="AR135" s="547">
        <f t="shared" ca="1" si="72"/>
        <v>0</v>
      </c>
      <c r="AS135" s="547">
        <f t="shared" ca="1" si="72"/>
        <v>0</v>
      </c>
      <c r="AT135" s="547">
        <f t="shared" ca="1" si="72"/>
        <v>0</v>
      </c>
      <c r="AU135" s="547">
        <f t="shared" ca="1" si="72"/>
        <v>0</v>
      </c>
      <c r="AV135" s="547">
        <f t="shared" ca="1" si="72"/>
        <v>0</v>
      </c>
      <c r="AW135" s="547">
        <f t="shared" ca="1" si="72"/>
        <v>0</v>
      </c>
      <c r="AX135" s="547">
        <f t="shared" ca="1" si="72"/>
        <v>0</v>
      </c>
      <c r="AY135" s="547">
        <f t="shared" ca="1" si="72"/>
        <v>0</v>
      </c>
      <c r="AZ135" s="547">
        <f t="shared" ca="1" si="72"/>
        <v>0</v>
      </c>
      <c r="BA135" s="547">
        <f t="shared" ca="1" si="72"/>
        <v>0</v>
      </c>
      <c r="BB135" s="547">
        <f t="shared" ca="1" si="72"/>
        <v>0</v>
      </c>
      <c r="BC135" s="547">
        <f t="shared" ca="1" si="72"/>
        <v>0</v>
      </c>
      <c r="BD135" s="313"/>
      <c r="BE135" s="313"/>
      <c r="BF135" s="313"/>
      <c r="BG135" s="313"/>
      <c r="BH135" s="313"/>
      <c r="BI135" s="313"/>
      <c r="BJ135" s="313"/>
      <c r="BK135" s="313"/>
      <c r="BL135" s="313"/>
      <c r="BM135" s="313"/>
      <c r="BN135" s="25"/>
      <c r="BO135" s="25"/>
      <c r="BP135" s="25"/>
      <c r="BQ135" s="177"/>
      <c r="BR135" s="177"/>
      <c r="BS135" s="1021" t="s">
        <v>1812</v>
      </c>
      <c r="BT135" s="1021"/>
      <c r="BU135" s="1021"/>
      <c r="BV135" s="1022"/>
      <c r="BW135" s="1022"/>
      <c r="BX135" s="1054"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M10444::ТЭ.42.27968109.0001::Неопределено::Неопределено::Неопределено::225.0.1.::Неопределено</v>
      </c>
    </row>
    <row r="136" spans="1:76" s="1167" customFormat="1" ht="29.25" customHeight="1" x14ac:dyDescent="0.15">
      <c r="A136" s="175"/>
      <c r="B136" s="773"/>
      <c r="C136" s="1084" t="s">
        <v>1813</v>
      </c>
      <c r="D136" s="1043" t="s">
        <v>1814</v>
      </c>
      <c r="E136" s="668">
        <v>30</v>
      </c>
      <c r="F136" s="769" t="str" cm="1">
        <f t="array" aca="1" ref="F136" ca="1">OFFSET(G136,-1,-1)</f>
        <v>1</v>
      </c>
      <c r="G136" s="177"/>
      <c r="H136" s="177"/>
      <c r="I136" s="177"/>
      <c r="J136" s="177"/>
      <c r="K136" s="177"/>
      <c r="L136" s="140"/>
      <c r="M136" s="1067"/>
      <c r="N136" s="1067" t="str" cm="1">
        <f t="array" aca="1" ref="N136" ca="1">OFFSET(M136,-1,1)</f>
        <v>ТЭ.42.27968109.0001</v>
      </c>
      <c r="O136" s="1068"/>
      <c r="P136" s="1068"/>
      <c r="Q136" s="1068"/>
      <c r="R136" s="1068"/>
      <c r="T136" s="679" t="b" cm="1">
        <f t="array" aca="1" ref="T136" ca="1">T115</f>
        <v>1</v>
      </c>
      <c r="U136" s="1152"/>
      <c r="V136" s="1152"/>
      <c r="W136" s="1152"/>
      <c r="X136" s="1485"/>
      <c r="Y136" s="1152"/>
      <c r="Z136" s="1485"/>
      <c r="AA136" s="177"/>
      <c r="AB136" s="232" t="s">
        <v>1815</v>
      </c>
      <c r="AC136" s="878" t="s">
        <v>1816</v>
      </c>
      <c r="AD136" s="479" t="s">
        <v>1044</v>
      </c>
      <c r="AE136" s="1266"/>
      <c r="AF136" s="1266"/>
      <c r="AG136" s="1334"/>
      <c r="AH136" s="253">
        <f>AG136-AF136</f>
        <v>0</v>
      </c>
      <c r="AI136" s="1335"/>
      <c r="AJ136" s="879"/>
      <c r="AK136" s="1327"/>
      <c r="AL136" s="1327"/>
      <c r="AM136" s="1335"/>
      <c r="AN136" s="1335"/>
      <c r="AO136" s="1335"/>
      <c r="AP136" s="1335"/>
      <c r="AQ136" s="1335"/>
      <c r="AR136" s="1335"/>
      <c r="AS136" s="1335"/>
      <c r="AT136" s="879"/>
      <c r="AU136" s="1327"/>
      <c r="AV136" s="1327"/>
      <c r="AW136" s="1335"/>
      <c r="AX136" s="1335"/>
      <c r="AY136" s="1335"/>
      <c r="AZ136" s="1335"/>
      <c r="BA136" s="1335"/>
      <c r="BB136" s="1335"/>
      <c r="BC136" s="1335"/>
      <c r="BD136" s="253">
        <f>IF(AI136=0,0,(AT136-AI136)/AI136*100)</f>
        <v>0</v>
      </c>
      <c r="BE136" s="253">
        <f t="shared" ref="BE136:BM136" si="73">IF(AT136=0,0,(AU136-AT136)/AT136*100)</f>
        <v>0</v>
      </c>
      <c r="BF136" s="253">
        <f t="shared" si="73"/>
        <v>0</v>
      </c>
      <c r="BG136" s="253">
        <f t="shared" si="73"/>
        <v>0</v>
      </c>
      <c r="BH136" s="253">
        <f t="shared" si="73"/>
        <v>0</v>
      </c>
      <c r="BI136" s="253">
        <f t="shared" si="73"/>
        <v>0</v>
      </c>
      <c r="BJ136" s="253">
        <f t="shared" si="73"/>
        <v>0</v>
      </c>
      <c r="BK136" s="253">
        <f t="shared" si="73"/>
        <v>0</v>
      </c>
      <c r="BL136" s="253">
        <f t="shared" si="73"/>
        <v>0</v>
      </c>
      <c r="BM136" s="253">
        <f t="shared" si="73"/>
        <v>0</v>
      </c>
      <c r="BN136" s="1231"/>
      <c r="BO136" s="1231"/>
      <c r="BP136" s="1231"/>
      <c r="BQ136" s="177"/>
      <c r="BR136" s="177"/>
      <c r="BS136" s="1021" t="s">
        <v>1817</v>
      </c>
      <c r="BT136" s="1021"/>
      <c r="BU136" s="1021"/>
      <c r="BV136" s="1022"/>
      <c r="BW136" s="1022"/>
      <c r="BX136" s="1054"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M10591::ТЭ.42.27968109.0001::Неопределено::Неопределено::Неопределено::Неопределено::Неопределено</v>
      </c>
    </row>
    <row r="137" spans="1:76" ht="9.9499999999999993" customHeight="1" x14ac:dyDescent="0.15">
      <c r="E137" s="668">
        <v>10.199999999999999</v>
      </c>
      <c r="U137" s="126" t="s">
        <v>239</v>
      </c>
      <c r="V137" s="119" t="s">
        <v>1818</v>
      </c>
    </row>
    <row r="138" spans="1:76" ht="11.25" hidden="1" customHeight="1" x14ac:dyDescent="0.15">
      <c r="E138" s="668">
        <v>0</v>
      </c>
    </row>
    <row r="139" spans="1:76" ht="14.65" customHeight="1" x14ac:dyDescent="0.15">
      <c r="E139" s="668">
        <v>15</v>
      </c>
      <c r="AB139" s="1558" t="s">
        <v>725</v>
      </c>
      <c r="AC139" s="1558"/>
      <c r="AD139" s="1558"/>
      <c r="AE139" s="1558"/>
      <c r="AF139" s="1558"/>
      <c r="AG139" s="1558"/>
      <c r="AH139" s="1558"/>
      <c r="AI139" s="1558"/>
      <c r="AJ139" s="1558"/>
      <c r="AK139" s="1558"/>
      <c r="AL139" s="1558"/>
      <c r="AM139" s="1558"/>
      <c r="AN139" s="1558"/>
      <c r="AO139" s="1558"/>
      <c r="AP139" s="1558"/>
      <c r="AQ139" s="1558"/>
      <c r="AR139" s="1558"/>
      <c r="AS139" s="1558"/>
      <c r="AT139" s="1558"/>
      <c r="AU139" s="1558"/>
      <c r="AV139" s="1558"/>
      <c r="AW139" s="1558"/>
      <c r="AX139" s="1558"/>
      <c r="AY139" s="1558"/>
      <c r="AZ139" s="1558"/>
      <c r="BA139" s="1558"/>
      <c r="BB139" s="1558"/>
      <c r="BC139" s="1558"/>
      <c r="BD139" s="1558"/>
      <c r="BE139" s="1558"/>
      <c r="BF139" s="1558"/>
      <c r="BG139" s="1558"/>
      <c r="BH139" s="1558"/>
      <c r="BI139" s="1558"/>
      <c r="BJ139" s="1558"/>
      <c r="BK139" s="1558"/>
      <c r="BL139" s="1558"/>
      <c r="BM139" s="1558"/>
      <c r="BN139" s="1558"/>
      <c r="BO139" s="1558"/>
      <c r="BP139" s="1558"/>
    </row>
    <row r="140" spans="1:76" ht="14.65" customHeight="1" x14ac:dyDescent="0.15">
      <c r="E140" s="668">
        <v>15</v>
      </c>
      <c r="AA140" s="768"/>
      <c r="AB140" s="1579"/>
      <c r="AC140" s="1576"/>
      <c r="AD140" s="1576"/>
      <c r="AE140" s="1576"/>
      <c r="AF140" s="1576"/>
      <c r="AG140" s="1576"/>
      <c r="AH140" s="1576"/>
      <c r="AI140" s="1576"/>
      <c r="AJ140" s="1576"/>
      <c r="AK140" s="1576"/>
      <c r="AL140" s="1576"/>
      <c r="AM140" s="1576"/>
      <c r="AN140" s="1576"/>
      <c r="AO140" s="1576"/>
      <c r="AP140" s="1576"/>
      <c r="AQ140" s="1576"/>
      <c r="AR140" s="1576"/>
      <c r="AS140" s="1576"/>
      <c r="AT140" s="1576"/>
      <c r="AU140" s="1576"/>
      <c r="AV140" s="1576"/>
      <c r="AW140" s="1576"/>
      <c r="AX140" s="1576"/>
      <c r="AY140" s="1576"/>
      <c r="AZ140" s="1576"/>
      <c r="BA140" s="1576"/>
      <c r="BB140" s="1576"/>
      <c r="BC140" s="1576"/>
      <c r="BD140" s="1576"/>
      <c r="BE140" s="1576"/>
      <c r="BF140" s="1576"/>
      <c r="BG140" s="1576"/>
      <c r="BH140" s="1576"/>
      <c r="BI140" s="1576"/>
      <c r="BJ140" s="1576"/>
      <c r="BK140" s="1576"/>
      <c r="BL140" s="1576"/>
      <c r="BM140" s="1576"/>
      <c r="BN140" s="1576"/>
      <c r="BO140" s="1576"/>
      <c r="BP140" s="1576"/>
    </row>
    <row r="141" spans="1:76" ht="14.65" hidden="1" customHeight="1" x14ac:dyDescent="0.15">
      <c r="E141" s="668">
        <v>15</v>
      </c>
      <c r="S141" s="1243"/>
      <c r="T141" s="679" t="b">
        <f>ROW(W141)&gt;ROW(W$141)</f>
        <v>0</v>
      </c>
      <c r="W141" s="123" t="s">
        <v>237</v>
      </c>
      <c r="AA141" s="764" t="s">
        <v>218</v>
      </c>
      <c r="AB141" s="1575"/>
      <c r="AC141" s="1576"/>
      <c r="AD141" s="1576"/>
      <c r="AE141" s="1576"/>
      <c r="AF141" s="1576"/>
      <c r="AG141" s="1576"/>
      <c r="AH141" s="1576"/>
      <c r="AI141" s="1576"/>
      <c r="AJ141" s="1576"/>
      <c r="AK141" s="1576"/>
      <c r="AL141" s="1576"/>
      <c r="AM141" s="1576"/>
      <c r="AN141" s="1576"/>
      <c r="AO141" s="1576"/>
      <c r="AP141" s="1576"/>
      <c r="AQ141" s="1576"/>
      <c r="AR141" s="1576"/>
      <c r="AS141" s="1576"/>
      <c r="AT141" s="1576"/>
      <c r="AU141" s="1576"/>
      <c r="AV141" s="1576"/>
      <c r="AW141" s="1576"/>
      <c r="AX141" s="1576"/>
      <c r="AY141" s="1576"/>
      <c r="AZ141" s="1576"/>
      <c r="BA141" s="1576"/>
      <c r="BB141" s="1576"/>
      <c r="BC141" s="1576"/>
      <c r="BD141" s="1576"/>
      <c r="BE141" s="1576"/>
      <c r="BF141" s="1576"/>
      <c r="BG141" s="1576"/>
      <c r="BH141" s="1576"/>
      <c r="BI141" s="1576"/>
      <c r="BJ141" s="1576"/>
      <c r="BK141" s="1576"/>
      <c r="BL141" s="1576"/>
      <c r="BM141" s="1576"/>
      <c r="BN141" s="1576"/>
      <c r="BO141" s="1576"/>
      <c r="BP141" s="1576"/>
    </row>
    <row r="142" spans="1:76" ht="14.65" customHeight="1" x14ac:dyDescent="0.15">
      <c r="E142" s="668">
        <v>15</v>
      </c>
      <c r="W142" s="119" t="s">
        <v>238</v>
      </c>
      <c r="AA142" s="160"/>
      <c r="AB142" s="1500" t="s">
        <v>726</v>
      </c>
      <c r="AC142" s="1501"/>
      <c r="AD142" s="317"/>
      <c r="AE142" s="317"/>
      <c r="AF142" s="317"/>
      <c r="AG142" s="317"/>
      <c r="AH142" s="317"/>
      <c r="AI142" s="317"/>
      <c r="AJ142" s="317"/>
      <c r="AK142" s="317"/>
      <c r="AL142" s="317"/>
      <c r="AM142" s="317"/>
      <c r="AN142" s="317"/>
      <c r="AO142" s="317"/>
      <c r="AP142" s="317"/>
      <c r="AQ142" s="317"/>
      <c r="AR142" s="317"/>
      <c r="AS142" s="317"/>
      <c r="AT142" s="317"/>
      <c r="AU142" s="317"/>
      <c r="AV142" s="317"/>
      <c r="AW142" s="317"/>
      <c r="AX142" s="317"/>
      <c r="AY142" s="317"/>
      <c r="AZ142" s="317"/>
      <c r="BA142" s="317"/>
      <c r="BB142" s="317"/>
      <c r="BC142" s="317"/>
      <c r="BD142" s="317"/>
      <c r="BE142" s="317"/>
      <c r="BF142" s="317"/>
      <c r="BG142" s="317"/>
      <c r="BH142" s="317"/>
      <c r="BI142" s="317"/>
      <c r="BJ142" s="317"/>
      <c r="BK142" s="317"/>
      <c r="BL142" s="317"/>
      <c r="BM142" s="317"/>
      <c r="BN142" s="317"/>
      <c r="BO142" s="317"/>
      <c r="BP142" s="290"/>
    </row>
  </sheetData>
  <sheetProtection formatColumns="0" formatRows="0" insertRows="0" deleteColumns="0" deleteRows="0" sort="0" autoFilter="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05C85-C9CF-1855-6F08-34D9189046E8}">
  <sheetPr>
    <tabColor rgb="FF92D050"/>
    <outlinePr summaryBelow="0" summaryRight="0"/>
    <pageSetUpPr fitToPage="1"/>
  </sheetPr>
  <dimension ref="A1:AS16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3" hidden="1" customWidth="1"/>
    <col min="2" max="2" width="8.5703125" style="773" hidden="1" customWidth="1"/>
    <col min="3" max="3" width="12.140625" style="1089" hidden="1" customWidth="1"/>
    <col min="4" max="4" width="12.140625" style="1049" hidden="1" customWidth="1"/>
    <col min="5" max="5" width="8.42578125" style="772" hidden="1" customWidth="1"/>
    <col min="6" max="6" width="6.42578125" style="175" hidden="1" customWidth="1"/>
    <col min="7" max="11" width="3.5703125" style="177" hidden="1" customWidth="1"/>
    <col min="12" max="19" width="8.7109375" style="1114"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7" width="12.5703125" style="177" customWidth="1"/>
    <col min="38" max="38" width="36" style="177" customWidth="1"/>
    <col min="39" max="39" width="19" style="177" customWidth="1"/>
    <col min="40" max="40" width="17.28515625" style="177" customWidth="1"/>
    <col min="41" max="41" width="31.28515625" style="177" customWidth="1"/>
    <col min="42" max="42" width="3" style="177" customWidth="1"/>
    <col min="43" max="43" width="9.140625" style="177" hidden="1"/>
    <col min="44" max="44" width="9.140625" style="1019" hidden="1"/>
    <col min="45" max="45" width="9.140625" style="1116" hidden="1"/>
  </cols>
  <sheetData>
    <row r="1" spans="1:45" s="175" customFormat="1" ht="12" hidden="1" customHeight="1" x14ac:dyDescent="0.15">
      <c r="A1" s="973"/>
      <c r="B1" s="659"/>
      <c r="C1" s="1089" t="s">
        <v>84</v>
      </c>
      <c r="D1" s="1049" t="s">
        <v>85</v>
      </c>
      <c r="E1" s="659"/>
      <c r="F1" s="690" t="s">
        <v>83</v>
      </c>
      <c r="G1" s="177"/>
      <c r="H1" s="177"/>
      <c r="I1" s="177"/>
      <c r="J1" s="177"/>
      <c r="K1" s="177"/>
      <c r="L1" s="1062" t="s">
        <v>1819</v>
      </c>
      <c r="M1" s="1062" t="s">
        <v>1592</v>
      </c>
      <c r="N1" s="1062" t="s">
        <v>1820</v>
      </c>
      <c r="O1" s="1062" t="s">
        <v>1821</v>
      </c>
      <c r="P1" s="1062" t="s">
        <v>1822</v>
      </c>
      <c r="Q1" s="1062" t="s">
        <v>1823</v>
      </c>
      <c r="R1" s="1062" t="s">
        <v>1595</v>
      </c>
      <c r="S1" s="1052" t="s">
        <v>1593</v>
      </c>
      <c r="T1" s="679" t="s">
        <v>86</v>
      </c>
      <c r="U1" s="679" t="s">
        <v>91</v>
      </c>
      <c r="V1" s="679" t="s">
        <v>87</v>
      </c>
      <c r="W1" s="679" t="s">
        <v>88</v>
      </c>
      <c r="X1" s="679" t="s">
        <v>89</v>
      </c>
      <c r="Y1" s="690" t="s">
        <v>374</v>
      </c>
      <c r="Z1" s="679" t="s">
        <v>93</v>
      </c>
      <c r="AA1" s="690" t="s">
        <v>90</v>
      </c>
      <c r="AB1" s="690" t="s">
        <v>92</v>
      </c>
      <c r="AR1" s="1019" t="s">
        <v>375</v>
      </c>
      <c r="AS1" s="1062" t="s">
        <v>1596</v>
      </c>
    </row>
    <row r="2" spans="1:45" s="773" customFormat="1" ht="12" hidden="1" customHeight="1" x14ac:dyDescent="0.15">
      <c r="A2" s="981"/>
      <c r="B2" s="758" t="s">
        <v>15</v>
      </c>
      <c r="C2" s="1086"/>
      <c r="D2" s="1045"/>
      <c r="G2" s="776"/>
      <c r="H2" s="776"/>
      <c r="I2" s="776"/>
      <c r="J2" s="776"/>
      <c r="K2" s="776"/>
      <c r="L2" s="1078"/>
      <c r="M2" s="1078"/>
      <c r="N2" s="1078"/>
      <c r="O2" s="1078"/>
      <c r="P2" s="1078"/>
      <c r="Q2" s="1078"/>
      <c r="R2" s="1078"/>
      <c r="S2" s="1078"/>
      <c r="AC2" s="663"/>
      <c r="AJ2" s="680" t="b">
        <f>AJ6&lt;=last_year_vis</f>
        <v>1</v>
      </c>
      <c r="AK2" s="680" t="b">
        <f>AK6&lt;=last_year_vis</f>
        <v>1</v>
      </c>
      <c r="AL2" s="680" t="b">
        <f>AL6&lt;=last_year_vis</f>
        <v>1</v>
      </c>
      <c r="AR2" s="947"/>
      <c r="AS2" s="1041"/>
    </row>
    <row r="3" spans="1:45" s="175" customFormat="1" ht="12" hidden="1" customHeight="1" x14ac:dyDescent="0.15">
      <c r="A3" s="973"/>
      <c r="B3" s="659"/>
      <c r="C3" s="1083"/>
      <c r="D3" s="1046"/>
      <c r="E3" s="659"/>
      <c r="G3" s="177"/>
      <c r="H3" s="177"/>
      <c r="I3" s="177"/>
      <c r="J3" s="177"/>
      <c r="K3" s="177"/>
      <c r="L3" s="1062"/>
      <c r="M3" s="1062"/>
      <c r="N3" s="1062"/>
      <c r="O3" s="1062"/>
      <c r="P3" s="1062"/>
      <c r="Q3" s="1062"/>
      <c r="R3" s="1062"/>
      <c r="S3" s="1062"/>
      <c r="T3" s="123"/>
      <c r="U3" s="123"/>
      <c r="V3" s="123"/>
      <c r="W3" s="123"/>
      <c r="X3" s="123"/>
      <c r="Y3" s="123"/>
      <c r="Z3" s="123"/>
      <c r="AC3" s="179"/>
      <c r="AR3" s="1019"/>
      <c r="AS3" s="1052"/>
    </row>
    <row r="4" spans="1:45" s="175" customFormat="1" ht="12" hidden="1" customHeight="1" x14ac:dyDescent="0.15">
      <c r="A4" s="973"/>
      <c r="B4" s="659"/>
      <c r="C4" s="1083"/>
      <c r="D4" s="1046"/>
      <c r="E4" s="659"/>
      <c r="G4" s="177"/>
      <c r="H4" s="177"/>
      <c r="I4" s="177"/>
      <c r="J4" s="177"/>
      <c r="K4" s="177"/>
      <c r="L4" s="1062"/>
      <c r="M4" s="1062"/>
      <c r="N4" s="1062"/>
      <c r="O4" s="1062"/>
      <c r="P4" s="1062"/>
      <c r="Q4" s="1062"/>
      <c r="R4" s="1062"/>
      <c r="S4" s="1062"/>
      <c r="T4" s="123"/>
      <c r="U4" s="123"/>
      <c r="V4" s="123"/>
      <c r="W4" s="123"/>
      <c r="X4" s="123"/>
      <c r="Y4" s="123"/>
      <c r="Z4" s="123"/>
      <c r="AC4" s="179"/>
      <c r="AR4" s="1019"/>
      <c r="AS4" s="1052"/>
    </row>
    <row r="5" spans="1:45" s="772" customFormat="1" ht="12" hidden="1" customHeight="1" x14ac:dyDescent="0.15">
      <c r="A5" s="981"/>
      <c r="B5" s="659"/>
      <c r="C5" s="1086"/>
      <c r="D5" s="1045"/>
      <c r="E5" s="668" t="s">
        <v>16</v>
      </c>
      <c r="G5" s="777"/>
      <c r="H5" s="777"/>
      <c r="I5" s="777"/>
      <c r="J5" s="777"/>
      <c r="K5" s="777"/>
      <c r="L5" s="1078"/>
      <c r="M5" s="1078"/>
      <c r="N5" s="1078"/>
      <c r="O5" s="1078"/>
      <c r="P5" s="1078"/>
      <c r="Q5" s="1078"/>
      <c r="R5" s="1078"/>
      <c r="S5" s="1078"/>
      <c r="AA5" s="668">
        <v>3</v>
      </c>
      <c r="AB5" s="668">
        <v>8.1300000000000008</v>
      </c>
      <c r="AC5" s="674">
        <v>70.13</v>
      </c>
      <c r="AD5" s="668">
        <v>14.38</v>
      </c>
      <c r="AE5" s="668">
        <v>12.63</v>
      </c>
      <c r="AF5" s="668">
        <v>12.63</v>
      </c>
      <c r="AG5" s="668">
        <v>12.63</v>
      </c>
      <c r="AH5" s="668">
        <v>19.13</v>
      </c>
      <c r="AI5" s="668">
        <v>12.63</v>
      </c>
      <c r="AJ5" s="668">
        <v>12.63</v>
      </c>
      <c r="AK5" s="668">
        <v>12.63</v>
      </c>
      <c r="AL5" s="668">
        <v>36</v>
      </c>
      <c r="AM5" s="668">
        <v>19</v>
      </c>
      <c r="AN5" s="668">
        <v>17.25</v>
      </c>
      <c r="AO5" s="668">
        <v>31.25</v>
      </c>
      <c r="AP5" s="668">
        <v>3</v>
      </c>
      <c r="AR5" s="947"/>
      <c r="AS5" s="1041"/>
    </row>
    <row r="6" spans="1:45" s="175" customFormat="1" ht="12" hidden="1" customHeight="1" x14ac:dyDescent="0.15">
      <c r="A6" s="973"/>
      <c r="B6" s="659"/>
      <c r="C6" s="1083"/>
      <c r="D6" s="1046"/>
      <c r="E6" s="668"/>
      <c r="G6" s="177"/>
      <c r="H6" s="177"/>
      <c r="I6" s="177"/>
      <c r="J6" s="177"/>
      <c r="K6" s="177"/>
      <c r="L6" s="1062"/>
      <c r="M6" s="1062"/>
      <c r="N6" s="1062"/>
      <c r="O6" s="1062"/>
      <c r="P6" s="1062"/>
      <c r="Q6" s="1062"/>
      <c r="R6" s="1062"/>
      <c r="S6" s="1062"/>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cm="1">
        <f t="array" ref="AK6">god</f>
        <v>2026</v>
      </c>
      <c r="AL6" s="123" cm="1">
        <f t="array" ref="AL6">god</f>
        <v>2026</v>
      </c>
      <c r="AR6" s="1019"/>
      <c r="AS6" s="1052"/>
    </row>
    <row r="7" spans="1:45" ht="12" hidden="1" customHeight="1" x14ac:dyDescent="0.15">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$AK$25</f>
        <v>Принято органом регулирования</v>
      </c>
      <c r="AL7" s="160"/>
    </row>
    <row r="8" spans="1:45" ht="12" hidden="1" customHeight="1" x14ac:dyDescent="0.15">
      <c r="F8" s="177"/>
      <c r="T8" s="160"/>
      <c r="U8" s="160"/>
      <c r="V8" s="160"/>
      <c r="W8" s="160"/>
      <c r="X8" s="160"/>
      <c r="Y8" s="160"/>
      <c r="Z8" s="160"/>
      <c r="AB8" s="177"/>
      <c r="AD8" s="177"/>
      <c r="AE8" s="160" t="str">
        <f t="shared" ref="AE8:AK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2024отклонение факта по данным организации к факту принятому органом регулирования</v>
      </c>
      <c r="AI8" s="160" t="str">
        <f t="shared" si="0"/>
        <v>2025Принято органом регулирования</v>
      </c>
      <c r="AJ8" s="160" t="str">
        <f t="shared" si="0"/>
        <v>2026Предложение организации</v>
      </c>
      <c r="AK8" s="160" t="str">
        <f t="shared" si="0"/>
        <v>2026Принято органом регулирования</v>
      </c>
      <c r="AL8" s="160"/>
    </row>
    <row r="9" spans="1:45" s="1020" customFormat="1" ht="12" hidden="1" customHeight="1" x14ac:dyDescent="0.15">
      <c r="A9" s="948" t="s">
        <v>461</v>
      </c>
      <c r="B9" s="941"/>
      <c r="C9" s="1083"/>
      <c r="D9" s="1046"/>
      <c r="E9" s="941"/>
      <c r="L9" s="1047"/>
      <c r="M9" s="1047"/>
      <c r="N9" s="1047"/>
      <c r="O9" s="1047"/>
      <c r="P9" s="1047"/>
      <c r="Q9" s="1047"/>
      <c r="R9" s="1047"/>
      <c r="S9" s="1047"/>
      <c r="T9" s="949"/>
      <c r="U9" s="949"/>
      <c r="V9" s="949"/>
      <c r="W9" s="949"/>
      <c r="X9" s="949"/>
      <c r="Y9" s="949"/>
      <c r="Z9" s="949"/>
      <c r="AE9" s="1020">
        <f>god-2</f>
        <v>2024</v>
      </c>
      <c r="AF9" s="1020">
        <f>god-2</f>
        <v>2024</v>
      </c>
      <c r="AG9" s="1020">
        <f>god-2</f>
        <v>2024</v>
      </c>
      <c r="AH9" s="1020">
        <f>god-2</f>
        <v>2024</v>
      </c>
      <c r="AI9" s="1020">
        <f>god-1</f>
        <v>2025</v>
      </c>
      <c r="AJ9" s="1020" cm="1">
        <f t="array" ref="AJ9">god</f>
        <v>2026</v>
      </c>
      <c r="AK9" s="1020" cm="1">
        <f t="array" ref="AK9">god</f>
        <v>2026</v>
      </c>
      <c r="AL9" s="1020" cm="1">
        <f t="array" ref="AL9">god</f>
        <v>2026</v>
      </c>
      <c r="AR9" s="1019"/>
      <c r="AS9" s="1052"/>
    </row>
    <row r="10" spans="1:45" s="1020" customFormat="1" ht="12" hidden="1" customHeight="1" x14ac:dyDescent="0.15">
      <c r="A10" s="948" t="s">
        <v>462</v>
      </c>
      <c r="B10" s="941"/>
      <c r="C10" s="1083"/>
      <c r="D10" s="1046"/>
      <c r="E10" s="941"/>
      <c r="L10" s="1047"/>
      <c r="M10" s="1047"/>
      <c r="N10" s="1047"/>
      <c r="O10" s="1047"/>
      <c r="P10" s="1047"/>
      <c r="Q10" s="1047"/>
      <c r="R10" s="1047"/>
      <c r="S10" s="1047"/>
      <c r="T10" s="949"/>
      <c r="U10" s="949"/>
      <c r="V10" s="949"/>
      <c r="W10" s="949"/>
      <c r="X10" s="949"/>
      <c r="Y10" s="949"/>
      <c r="Z10" s="949"/>
      <c r="AE10" s="1020" t="str" cm="1">
        <f t="array" ref="AE10">AE25</f>
        <v>Принято органом регулирования</v>
      </c>
      <c r="AF10" s="1020" t="str" cm="1">
        <f t="array" ref="AF10">AF25</f>
        <v>Факт по данным организации</v>
      </c>
      <c r="AG10" s="1020" t="str" cm="1">
        <f t="array" ref="AG10">AG25</f>
        <v>Факт, принятый органом регулирования</v>
      </c>
      <c r="AH10" s="1020" t="str" cm="1">
        <f t="array" ref="AH10">AH25</f>
        <v>отклонение факта по данным организации к факту принятому органом регулирования</v>
      </c>
      <c r="AI10" s="1020" t="str" cm="1">
        <f t="array" ref="AI10">AI25</f>
        <v>Принято органом регулирования</v>
      </c>
      <c r="AJ10" s="1020" t="str" cm="1">
        <f t="array" ref="AJ10">AJ25</f>
        <v>Предложение организации</v>
      </c>
      <c r="AK10" s="1020" t="str" cm="1">
        <f t="array" ref="AK10">AK25</f>
        <v>Принято органом регулирования</v>
      </c>
      <c r="AL10" s="1020"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19"/>
      <c r="AS10" s="1052"/>
    </row>
    <row r="11" spans="1:45" s="1020" customFormat="1" ht="12" hidden="1" customHeight="1" x14ac:dyDescent="0.15">
      <c r="A11" s="948" t="s">
        <v>463</v>
      </c>
      <c r="B11" s="941"/>
      <c r="C11" s="1083"/>
      <c r="D11" s="1046"/>
      <c r="E11" s="941"/>
      <c r="G11" s="1023"/>
      <c r="H11" s="1023"/>
      <c r="I11" s="1023"/>
      <c r="J11" s="1023"/>
      <c r="K11" s="1023"/>
      <c r="L11" s="1062"/>
      <c r="M11" s="1062"/>
      <c r="N11" s="1062"/>
      <c r="O11" s="1062"/>
      <c r="P11" s="1062"/>
      <c r="Q11" s="1062"/>
      <c r="R11" s="1062"/>
      <c r="S11" s="1062"/>
      <c r="T11" s="949"/>
      <c r="U11" s="949"/>
      <c r="V11" s="949"/>
      <c r="W11" s="949"/>
      <c r="X11" s="949"/>
      <c r="Y11" s="949"/>
      <c r="Z11" s="949"/>
      <c r="AC11" s="1024"/>
      <c r="AM11" s="1020" t="str" cm="1">
        <f t="array" ref="AM11">AM24</f>
        <v>Указание на подтверждающие документы / URL-ссылка на копии подтверждающих документов</v>
      </c>
      <c r="AN11" s="1020" t="str" cm="1">
        <f t="array" ref="AN11">AN24</f>
        <v>Ссылка на правовую норму (основание для принятия показателя в расчет тарифа)</v>
      </c>
      <c r="AO11" s="1020"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19"/>
      <c r="AS11" s="1052"/>
    </row>
    <row r="12" spans="1:45" s="1053" customFormat="1" ht="12" hidden="1" customHeight="1" x14ac:dyDescent="0.15">
      <c r="A12" s="1059" t="s">
        <v>103</v>
      </c>
      <c r="B12" s="1041"/>
      <c r="C12" s="1083"/>
      <c r="D12" s="1046"/>
      <c r="E12" s="1041"/>
      <c r="G12" s="1054"/>
      <c r="H12" s="1054"/>
      <c r="I12" s="1054"/>
      <c r="J12" s="1054"/>
      <c r="K12" s="1054"/>
      <c r="L12" s="1062"/>
      <c r="M12" s="1062"/>
      <c r="N12" s="1062"/>
      <c r="O12" s="1062"/>
      <c r="P12" s="1062"/>
      <c r="Q12" s="1062"/>
      <c r="R12" s="1062"/>
      <c r="S12" s="1062"/>
      <c r="T12" s="1056"/>
      <c r="U12" s="1056"/>
      <c r="V12" s="1056"/>
      <c r="W12" s="1056"/>
      <c r="X12" s="1056"/>
      <c r="Y12" s="1056"/>
      <c r="Z12" s="1056"/>
      <c r="AC12" s="1057"/>
      <c r="AE12" s="1052" t="s">
        <v>1597</v>
      </c>
      <c r="AF12" s="1052" t="s">
        <v>1597</v>
      </c>
      <c r="AG12" s="1052" t="s">
        <v>1597</v>
      </c>
      <c r="AH12" s="1052" t="s">
        <v>1597</v>
      </c>
      <c r="AI12" s="1052" t="s">
        <v>1597</v>
      </c>
      <c r="AJ12" s="1052" t="s">
        <v>1597</v>
      </c>
      <c r="AK12" s="1052" t="s">
        <v>1597</v>
      </c>
      <c r="AL12" s="1052" t="s">
        <v>1597</v>
      </c>
    </row>
    <row r="13" spans="1:45" s="1053" customFormat="1" ht="12" hidden="1" customHeight="1" x14ac:dyDescent="0.15">
      <c r="A13" s="1059" t="s">
        <v>1598</v>
      </c>
      <c r="B13" s="1041"/>
      <c r="C13" s="1083"/>
      <c r="D13" s="1046"/>
      <c r="E13" s="1041"/>
      <c r="G13" s="1054"/>
      <c r="H13" s="1054"/>
      <c r="I13" s="1054"/>
      <c r="J13" s="1054"/>
      <c r="K13" s="1054"/>
      <c r="L13" s="1062"/>
      <c r="M13" s="1062"/>
      <c r="N13" s="1062"/>
      <c r="O13" s="1062"/>
      <c r="P13" s="1062"/>
      <c r="Q13" s="1062"/>
      <c r="R13" s="1062"/>
      <c r="S13" s="1062"/>
      <c r="T13" s="1056"/>
      <c r="U13" s="1056"/>
      <c r="V13" s="1056"/>
      <c r="W13" s="1056"/>
      <c r="X13" s="1056"/>
      <c r="Y13" s="1056"/>
      <c r="Z13" s="1056"/>
      <c r="AC13" s="1057"/>
      <c r="AE13" s="1052" cm="1">
        <f t="array" ref="AE13">AE6</f>
        <v>2024</v>
      </c>
      <c r="AF13" s="1052" cm="1">
        <f t="array" ref="AF13">AF6</f>
        <v>2024</v>
      </c>
      <c r="AG13" s="1052" cm="1">
        <f t="array" ref="AG13">AG6</f>
        <v>2024</v>
      </c>
      <c r="AH13" s="1052" cm="1">
        <f t="array" ref="AH13">AH6</f>
        <v>2024</v>
      </c>
      <c r="AI13" s="1052" cm="1">
        <f t="array" ref="AI13">AI6</f>
        <v>2025</v>
      </c>
      <c r="AJ13" s="1052" cm="1">
        <f t="array" ref="AJ13">AJ6</f>
        <v>2026</v>
      </c>
      <c r="AK13" s="1052" cm="1">
        <f t="array" ref="AK13">AK6</f>
        <v>2026</v>
      </c>
      <c r="AL13" s="1052" cm="1">
        <f t="array" ref="AL13">AL6</f>
        <v>2026</v>
      </c>
    </row>
    <row r="14" spans="1:45" s="1053" customFormat="1" ht="12" hidden="1" customHeight="1" x14ac:dyDescent="0.15">
      <c r="A14" s="1059" t="s">
        <v>1599</v>
      </c>
      <c r="B14" s="1041"/>
      <c r="C14" s="1083"/>
      <c r="D14" s="1046"/>
      <c r="E14" s="1041"/>
      <c r="G14" s="1054"/>
      <c r="H14" s="1054"/>
      <c r="I14" s="1054"/>
      <c r="J14" s="1054"/>
      <c r="K14" s="1054"/>
      <c r="L14" s="1062"/>
      <c r="M14" s="1062"/>
      <c r="N14" s="1062"/>
      <c r="O14" s="1062"/>
      <c r="P14" s="1062"/>
      <c r="Q14" s="1062"/>
      <c r="R14" s="1062"/>
      <c r="S14" s="1062"/>
      <c r="T14" s="1056"/>
      <c r="U14" s="1056"/>
      <c r="V14" s="1056"/>
      <c r="W14" s="1056"/>
      <c r="X14" s="1056"/>
      <c r="Y14" s="1056"/>
      <c r="Z14" s="1056"/>
      <c r="AC14" s="1057"/>
      <c r="AE14" s="1052" t="s">
        <v>1600</v>
      </c>
      <c r="AF14" s="1052" t="s">
        <v>1601</v>
      </c>
      <c r="AG14" s="1052" t="s">
        <v>1600</v>
      </c>
      <c r="AH14" s="1052" t="s">
        <v>1602</v>
      </c>
      <c r="AI14" s="1052" t="s">
        <v>1600</v>
      </c>
      <c r="AJ14" s="1052" t="s">
        <v>1601</v>
      </c>
      <c r="AK14" s="1052" t="s">
        <v>1600</v>
      </c>
      <c r="AL14" s="1052" t="s">
        <v>1602</v>
      </c>
    </row>
    <row r="15" spans="1:45" s="1053" customFormat="1" ht="12" hidden="1" customHeight="1" x14ac:dyDescent="0.15">
      <c r="A15" s="1059" t="s">
        <v>1603</v>
      </c>
      <c r="B15" s="1041"/>
      <c r="C15" s="1083"/>
      <c r="D15" s="1046"/>
      <c r="E15" s="1041"/>
      <c r="G15" s="1054"/>
      <c r="H15" s="1054"/>
      <c r="I15" s="1054"/>
      <c r="J15" s="1054"/>
      <c r="K15" s="1054"/>
      <c r="L15" s="1062"/>
      <c r="M15" s="1062"/>
      <c r="N15" s="1062"/>
      <c r="O15" s="1062"/>
      <c r="P15" s="1062"/>
      <c r="Q15" s="1062"/>
      <c r="R15" s="1062"/>
      <c r="S15" s="1062"/>
      <c r="T15" s="1056"/>
      <c r="U15" s="1056"/>
      <c r="V15" s="1056"/>
      <c r="W15" s="1056"/>
      <c r="X15" s="1056"/>
      <c r="Y15" s="1056"/>
      <c r="Z15" s="1056"/>
      <c r="AC15" s="1057"/>
      <c r="AE15" s="1052" t="s">
        <v>1604</v>
      </c>
      <c r="AF15" s="1052" t="s">
        <v>1605</v>
      </c>
      <c r="AG15" s="1052" t="s">
        <v>1605</v>
      </c>
      <c r="AH15" s="1052" t="s">
        <v>1606</v>
      </c>
      <c r="AJ15" s="1056"/>
      <c r="AK15" s="1056"/>
      <c r="AL15" s="1056"/>
    </row>
    <row r="16" spans="1:45" s="1053" customFormat="1" ht="12" hidden="1" customHeight="1" x14ac:dyDescent="0.15">
      <c r="A16" s="1091" t="s">
        <v>1607</v>
      </c>
      <c r="B16" s="1041"/>
      <c r="C16" s="1083"/>
      <c r="D16" s="1046"/>
      <c r="E16" s="1041"/>
      <c r="G16" s="1054"/>
      <c r="H16" s="1054"/>
      <c r="I16" s="1054"/>
      <c r="J16" s="1054"/>
      <c r="K16" s="1054"/>
      <c r="L16" s="1062"/>
      <c r="M16" s="1062"/>
      <c r="N16" s="1062"/>
      <c r="O16" s="1062"/>
      <c r="P16" s="1062"/>
      <c r="Q16" s="1062"/>
      <c r="R16" s="1062"/>
      <c r="S16" s="1062"/>
      <c r="T16" s="1056"/>
      <c r="U16" s="1056"/>
      <c r="V16" s="1056"/>
      <c r="W16" s="1056"/>
      <c r="X16" s="1056"/>
      <c r="Y16" s="1056"/>
      <c r="Z16" s="1056"/>
      <c r="AC16" s="1057"/>
      <c r="AJ16" s="1056"/>
      <c r="AK16" s="1056"/>
      <c r="AL16" s="1056"/>
      <c r="AM16" s="1052" t="s">
        <v>1608</v>
      </c>
      <c r="AN16" s="1052" t="s">
        <v>1609</v>
      </c>
      <c r="AO16" s="1052" t="s">
        <v>1610</v>
      </c>
      <c r="AR16" s="1091"/>
    </row>
    <row r="17" spans="1:45" s="175" customFormat="1" ht="12" hidden="1" customHeight="1" x14ac:dyDescent="0.15">
      <c r="A17" s="973"/>
      <c r="B17" s="659"/>
      <c r="C17" s="1083"/>
      <c r="D17" s="1046"/>
      <c r="E17" s="668"/>
      <c r="G17" s="177"/>
      <c r="H17" s="177"/>
      <c r="I17" s="177"/>
      <c r="J17" s="177"/>
      <c r="K17" s="177"/>
      <c r="L17" s="1062"/>
      <c r="M17" s="1062"/>
      <c r="N17" s="1062"/>
      <c r="O17" s="1062"/>
      <c r="P17" s="1062"/>
      <c r="Q17" s="1062"/>
      <c r="R17" s="1062"/>
      <c r="S17" s="1062"/>
      <c r="T17" s="123"/>
      <c r="U17" s="123"/>
      <c r="V17" s="123"/>
      <c r="W17" s="123"/>
      <c r="X17" s="123"/>
      <c r="Y17" s="123"/>
      <c r="Z17" s="123"/>
      <c r="AC17" s="179"/>
      <c r="AR17" s="1019"/>
      <c r="AS17" s="1052"/>
    </row>
    <row r="18" spans="1:45" s="175" customFormat="1" ht="12" hidden="1" customHeight="1" x14ac:dyDescent="0.15">
      <c r="A18" s="973"/>
      <c r="B18" s="659"/>
      <c r="C18" s="1083"/>
      <c r="D18" s="1046"/>
      <c r="E18" s="668"/>
      <c r="G18" s="177"/>
      <c r="H18" s="177"/>
      <c r="I18" s="177"/>
      <c r="J18" s="177"/>
      <c r="K18" s="177"/>
      <c r="L18" s="1062"/>
      <c r="M18" s="1062"/>
      <c r="N18" s="1062"/>
      <c r="O18" s="1062"/>
      <c r="P18" s="1062"/>
      <c r="Q18" s="1062"/>
      <c r="R18" s="1062"/>
      <c r="S18" s="1062"/>
      <c r="T18" s="123"/>
      <c r="U18" s="123"/>
      <c r="V18" s="123"/>
      <c r="W18" s="123"/>
      <c r="X18" s="123"/>
      <c r="Y18" s="123"/>
      <c r="Z18" s="123"/>
      <c r="AC18" s="179"/>
      <c r="AR18" s="1019"/>
      <c r="AS18" s="1052"/>
    </row>
    <row r="19" spans="1:45" s="175" customFormat="1" ht="12" hidden="1" customHeight="1" x14ac:dyDescent="0.15">
      <c r="A19" s="973"/>
      <c r="B19" s="659"/>
      <c r="C19" s="1083"/>
      <c r="D19" s="1046"/>
      <c r="E19" s="668"/>
      <c r="G19" s="177"/>
      <c r="H19" s="177"/>
      <c r="I19" s="177"/>
      <c r="J19" s="177"/>
      <c r="K19" s="177"/>
      <c r="L19" s="1062"/>
      <c r="M19" s="1062"/>
      <c r="N19" s="1062"/>
      <c r="O19" s="1062"/>
      <c r="P19" s="1062"/>
      <c r="Q19" s="1062"/>
      <c r="R19" s="1062"/>
      <c r="S19" s="1062"/>
      <c r="T19" s="123"/>
      <c r="U19" s="123"/>
      <c r="V19" s="123"/>
      <c r="W19" s="123"/>
      <c r="X19" s="123"/>
      <c r="Y19" s="123"/>
      <c r="Z19" s="123"/>
      <c r="AC19" s="179"/>
      <c r="AR19" s="1019"/>
      <c r="AS19" s="1052"/>
    </row>
    <row r="20" spans="1:45" s="175" customFormat="1" ht="12" hidden="1" customHeight="1" x14ac:dyDescent="0.15">
      <c r="A20" s="973"/>
      <c r="B20" s="659"/>
      <c r="C20" s="1083"/>
      <c r="D20" s="1046"/>
      <c r="E20" s="668"/>
      <c r="G20" s="177"/>
      <c r="H20" s="177"/>
      <c r="I20" s="177"/>
      <c r="J20" s="177"/>
      <c r="K20" s="177"/>
      <c r="L20" s="1062"/>
      <c r="M20" s="1062"/>
      <c r="N20" s="1062"/>
      <c r="O20" s="1062"/>
      <c r="P20" s="1062"/>
      <c r="Q20" s="1062"/>
      <c r="R20" s="1062"/>
      <c r="S20" s="1062"/>
      <c r="T20" s="123"/>
      <c r="U20" s="123"/>
      <c r="V20" s="123"/>
      <c r="W20" s="123"/>
      <c r="X20" s="123"/>
      <c r="Y20" s="123"/>
      <c r="Z20" s="123"/>
      <c r="AC20" s="179"/>
      <c r="AR20" s="1019"/>
      <c r="AS20" s="1052"/>
    </row>
    <row r="21" spans="1:45" ht="14.65" customHeight="1" x14ac:dyDescent="0.15">
      <c r="E21" s="668">
        <v>15</v>
      </c>
      <c r="AA21" s="691"/>
      <c r="AB21" s="177"/>
      <c r="AC21" s="335" t="str" cm="1">
        <f t="array" ref="AC21">tpl_title</f>
        <v>Кемеровская область / 2026 / ООО ХК "СДС - Энерго" (ИНН:4250003450, КПП:420501001) / ДПР: 2024-2028</v>
      </c>
      <c r="AD21" s="177"/>
    </row>
    <row r="22" spans="1:45" s="1153" customFormat="1" ht="19.5" customHeight="1" x14ac:dyDescent="0.15">
      <c r="A22" s="823"/>
      <c r="B22" s="659"/>
      <c r="C22" s="1087"/>
      <c r="D22" s="1046"/>
      <c r="E22" s="668">
        <v>20.100000000000001</v>
      </c>
      <c r="F22" s="130"/>
      <c r="L22" s="1062"/>
      <c r="M22" s="1062"/>
      <c r="N22" s="1062"/>
      <c r="O22" s="1062"/>
      <c r="P22" s="1062"/>
      <c r="Q22" s="1062"/>
      <c r="R22" s="1062"/>
      <c r="S22" s="1062"/>
      <c r="T22" s="126"/>
      <c r="U22" s="126"/>
      <c r="V22" s="126"/>
      <c r="W22" s="126"/>
      <c r="X22" s="126"/>
      <c r="Y22" s="126"/>
      <c r="Z22" s="126"/>
      <c r="AB22" s="325" t="s">
        <v>65</v>
      </c>
      <c r="AC22" s="270"/>
      <c r="AD22" s="270"/>
      <c r="AE22" s="270"/>
      <c r="AF22" s="270"/>
      <c r="AG22" s="270"/>
      <c r="AH22" s="270"/>
      <c r="AI22" s="270"/>
      <c r="AJ22" s="270"/>
      <c r="AK22" s="270"/>
      <c r="AL22" s="270"/>
      <c r="AM22" s="270"/>
      <c r="AN22" s="270"/>
      <c r="AO22" s="270"/>
      <c r="AR22" s="1009"/>
      <c r="AS22" s="1062"/>
    </row>
    <row r="23" spans="1:45" s="1153" customFormat="1" ht="9.9499999999999993" customHeight="1" x14ac:dyDescent="0.15">
      <c r="A23" s="823"/>
      <c r="B23" s="659"/>
      <c r="C23" s="1087"/>
      <c r="D23" s="1046"/>
      <c r="E23" s="668">
        <v>10.199999999999999</v>
      </c>
      <c r="F23" s="130"/>
      <c r="L23" s="1062"/>
      <c r="M23" s="1062"/>
      <c r="N23" s="1062"/>
      <c r="O23" s="1062"/>
      <c r="P23" s="1062"/>
      <c r="Q23" s="1062"/>
      <c r="R23" s="1062"/>
      <c r="S23" s="1062"/>
      <c r="T23" s="126"/>
      <c r="U23" s="126"/>
      <c r="V23" s="126"/>
      <c r="W23" s="126"/>
      <c r="X23" s="126"/>
      <c r="Y23" s="126"/>
      <c r="Z23" s="126"/>
      <c r="AB23" s="178"/>
      <c r="AC23" s="178"/>
      <c r="AD23" s="178"/>
      <c r="AE23" s="178"/>
      <c r="AF23" s="178"/>
      <c r="AG23" s="178"/>
      <c r="AH23" s="178"/>
      <c r="AI23" s="178"/>
      <c r="AJ23" s="178"/>
      <c r="AK23" s="178"/>
      <c r="AL23" s="178"/>
      <c r="AM23" s="178"/>
      <c r="AN23" s="178"/>
      <c r="AO23" s="178"/>
      <c r="AR23" s="1009"/>
      <c r="AS23" s="1062"/>
    </row>
    <row r="24" spans="1:45" s="176" customFormat="1" ht="24.2" customHeight="1" x14ac:dyDescent="0.15">
      <c r="A24" s="273"/>
      <c r="B24" s="663"/>
      <c r="C24" s="1083"/>
      <c r="D24" s="1076"/>
      <c r="E24" s="674">
        <v>24.8</v>
      </c>
      <c r="F24" s="179"/>
      <c r="L24" s="1079"/>
      <c r="M24" s="1079"/>
      <c r="N24" s="1079"/>
      <c r="O24" s="1079"/>
      <c r="P24" s="1079"/>
      <c r="Q24" s="1079"/>
      <c r="R24" s="1079"/>
      <c r="S24" s="1079"/>
      <c r="T24" s="119"/>
      <c r="U24" s="119"/>
      <c r="V24" s="119"/>
      <c r="W24" s="119"/>
      <c r="X24" s="119"/>
      <c r="Y24" s="119"/>
      <c r="Z24" s="119"/>
      <c r="AB24" s="1581" t="s">
        <v>388</v>
      </c>
      <c r="AC24" s="1581" t="s">
        <v>464</v>
      </c>
      <c r="AD24" s="1581" t="s">
        <v>465</v>
      </c>
      <c r="AE24" s="208" t="str">
        <f>god-2&amp;" год"</f>
        <v>2024 год</v>
      </c>
      <c r="AF24" s="1137" t="str">
        <f>god-2&amp;" год"</f>
        <v>2024 год</v>
      </c>
      <c r="AG24" s="208" t="str">
        <f>god-2&amp;" год"</f>
        <v>2024 год</v>
      </c>
      <c r="AH24" s="208" t="str">
        <f>god-2&amp;" год"</f>
        <v>2024 год</v>
      </c>
      <c r="AI24" s="117" t="str">
        <f>god-1&amp;" год"</f>
        <v>2025 год</v>
      </c>
      <c r="AJ24" s="1131" t="str">
        <f>god&amp;" год"</f>
        <v>2026 год</v>
      </c>
      <c r="AK24" s="118" t="str">
        <f>god&amp;" год"</f>
        <v>2026 год</v>
      </c>
      <c r="AL24" s="118" t="str">
        <f>god&amp;" год"</f>
        <v>2026 год</v>
      </c>
      <c r="AM24" s="1580" t="s">
        <v>1313</v>
      </c>
      <c r="AN24" s="1580" t="s">
        <v>618</v>
      </c>
      <c r="AO24" s="1580" t="s">
        <v>1314</v>
      </c>
      <c r="AR24" s="1019"/>
      <c r="AS24" s="1064"/>
    </row>
    <row r="25" spans="1:45" s="176" customFormat="1" ht="44.65" customHeight="1" x14ac:dyDescent="0.15">
      <c r="A25" s="273"/>
      <c r="B25" s="663"/>
      <c r="C25" s="1083"/>
      <c r="D25" s="1076"/>
      <c r="E25" s="674">
        <v>45.8</v>
      </c>
      <c r="F25" s="179"/>
      <c r="L25" s="1079"/>
      <c r="M25" s="1079"/>
      <c r="N25" s="1079"/>
      <c r="O25" s="1079"/>
      <c r="P25" s="1079"/>
      <c r="Q25" s="1079"/>
      <c r="R25" s="1079"/>
      <c r="S25" s="1079"/>
      <c r="T25" s="119"/>
      <c r="U25" s="119"/>
      <c r="V25" s="119"/>
      <c r="W25" s="119"/>
      <c r="X25" s="119"/>
      <c r="Y25" s="119"/>
      <c r="Z25" s="119"/>
      <c r="AB25" s="1581"/>
      <c r="AC25" s="1581"/>
      <c r="AD25" s="1581"/>
      <c r="AE25" s="117" t="s">
        <v>404</v>
      </c>
      <c r="AF25" s="1133" t="s">
        <v>619</v>
      </c>
      <c r="AG25" s="117" t="s">
        <v>620</v>
      </c>
      <c r="AH25" s="208" t="s">
        <v>1315</v>
      </c>
      <c r="AI25" s="117" t="s">
        <v>404</v>
      </c>
      <c r="AJ25" s="1132" t="s">
        <v>405</v>
      </c>
      <c r="AK25" s="343" t="s">
        <v>404</v>
      </c>
      <c r="AL25" s="208" t="s">
        <v>1316</v>
      </c>
      <c r="AM25" s="1580"/>
      <c r="AN25" s="1580"/>
      <c r="AO25" s="1580"/>
      <c r="AR25" s="1019"/>
      <c r="AS25" s="1064"/>
    </row>
    <row r="26" spans="1:45" s="176" customFormat="1" ht="14.25" hidden="1" customHeight="1" x14ac:dyDescent="0.15">
      <c r="A26" s="273"/>
      <c r="B26" s="663"/>
      <c r="C26" s="1083"/>
      <c r="D26" s="1076"/>
      <c r="E26" s="674">
        <v>0</v>
      </c>
      <c r="F26" s="179"/>
      <c r="L26" s="1079"/>
      <c r="M26" s="1079"/>
      <c r="N26" s="1079"/>
      <c r="O26" s="1079"/>
      <c r="P26" s="1079"/>
      <c r="Q26" s="1079"/>
      <c r="R26" s="1079"/>
      <c r="S26" s="1079"/>
      <c r="T26" s="119"/>
      <c r="U26" s="119"/>
      <c r="V26" s="119"/>
      <c r="W26" s="119"/>
      <c r="X26" s="119"/>
      <c r="Y26" s="119"/>
      <c r="Z26" s="119"/>
      <c r="AB26" s="589"/>
      <c r="AC26" s="589"/>
      <c r="AD26" s="589"/>
      <c r="AE26" s="119"/>
      <c r="AF26" s="119"/>
      <c r="AG26" s="119"/>
      <c r="AH26" s="179"/>
      <c r="AI26" s="119"/>
      <c r="AJ26" s="119"/>
      <c r="AK26" s="119"/>
      <c r="AL26" s="179"/>
      <c r="AM26" s="179"/>
      <c r="AN26" s="179"/>
      <c r="AO26" s="179"/>
      <c r="AR26" s="1019"/>
      <c r="AS26" s="1064"/>
    </row>
    <row r="27" spans="1:45" s="167" customFormat="1" ht="16.7" hidden="1" customHeight="1" x14ac:dyDescent="0.15">
      <c r="C27" s="1088"/>
      <c r="D27" s="1038"/>
      <c r="E27" s="668">
        <v>17.100000000000001</v>
      </c>
      <c r="F27" s="769" cm="1">
        <f t="array" ref="F27">X27</f>
        <v>0</v>
      </c>
      <c r="G27" s="612"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L27" s="1078"/>
      <c r="M27" s="1078"/>
      <c r="N27" s="1078"/>
      <c r="O27" s="1078"/>
      <c r="P27" s="1078"/>
      <c r="Q27" s="1078"/>
      <c r="R27" s="1078"/>
      <c r="S27" s="1078"/>
      <c r="T27" s="679" t="b">
        <f>X27&gt;0</f>
        <v>0</v>
      </c>
      <c r="V27" s="123" t="s">
        <v>313</v>
      </c>
      <c r="X27" s="1597">
        <v>0</v>
      </c>
      <c r="Z27" s="1483"/>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R27" s="992"/>
      <c r="AS27" s="1066"/>
    </row>
    <row r="28" spans="1:45" ht="34.15" hidden="1" customHeight="1" x14ac:dyDescent="0.15">
      <c r="C28" s="1084" t="s">
        <v>1824</v>
      </c>
      <c r="D28" s="1043" t="s">
        <v>1825</v>
      </c>
      <c r="E28" s="668">
        <v>35</v>
      </c>
      <c r="F28" s="769" cm="1">
        <f t="array" aca="1" ref="F28" ca="1">OFFSET(G28,-1,-1)</f>
        <v>0</v>
      </c>
      <c r="L28" s="1072"/>
      <c r="M28" s="1072" cm="1">
        <f t="array" ref="M28">INDEX('Общие сведения'!$N$169:$N$202,MATCH($F27,'Общие сведения'!$Z$169:$Z$202,0)+1)</f>
        <v>0</v>
      </c>
      <c r="N28" s="1072"/>
      <c r="O28" s="1072"/>
      <c r="P28" s="1072"/>
      <c r="Q28" s="1072"/>
      <c r="R28" s="1072"/>
      <c r="S28" s="1072"/>
      <c r="T28" s="679" t="b" cm="1">
        <f t="array" ref="T28">T27</f>
        <v>0</v>
      </c>
      <c r="X28" s="1485"/>
      <c r="Z28" s="1485"/>
      <c r="AB28" s="824">
        <v>1</v>
      </c>
      <c r="AC28" s="825" t="s">
        <v>1826</v>
      </c>
      <c r="AD28" s="826" t="s">
        <v>1044</v>
      </c>
      <c r="AE28" s="507">
        <f ca="1">AE29+AE30+AE31+AE34+AE35+AE36+AE37+AE38+AE40+AE41+AE42+AE43+AE44+AE45+AE46+AE47+AE48+AE49</f>
        <v>0</v>
      </c>
      <c r="AF28" s="507">
        <f ca="1">AF29+AF30+AF31+AF34+AF35+AF36+AF37+AF38+AF40+AF41+AF42+AF43+AF44+AF45+AF46+AF47+AF48+AF49</f>
        <v>0</v>
      </c>
      <c r="AG28" s="507">
        <f ca="1">AG29+AG30+AG31+AG34+AG35+AG36+AG37+AG38+AG40+AG41+AG42+AG43+AG44+AG45+AG46+AG47+AG48+AG49</f>
        <v>0</v>
      </c>
      <c r="AH28" s="253">
        <f t="shared" ref="AH28:AH74" ca="1" si="1">AG28-AF28</f>
        <v>0</v>
      </c>
      <c r="AI28" s="507">
        <f ca="1">AI29+AI30+AI31+AI34+AI35+AI36+AI37+AI38+AI40+AI41+AI42+AI43+AI44+AI45+AI46+AI47+AI48+AI49</f>
        <v>0</v>
      </c>
      <c r="AJ28" s="507">
        <f ca="1">AJ29+AJ30+AJ31+AJ34+AJ35+AJ36+AJ37+AJ38+AJ40+AJ41+AJ42+AJ43+AJ44+AJ45+AJ46+AJ47+AJ48+AJ49</f>
        <v>0</v>
      </c>
      <c r="AK28" s="507">
        <f ca="1">AK29+AK30+AK31+AK34+AK35+AK36+AK37+AK38+AK40+AK41+AK42+AK43+AK44+AK45+AK46+AK47+AK48+AK49</f>
        <v>0</v>
      </c>
      <c r="AL28" s="253">
        <f t="shared" ref="AL28:AL59" ca="1" si="2">IF(AI28=0,0,(AK28-AI28)/AI28*100)</f>
        <v>0</v>
      </c>
      <c r="AM28" s="25"/>
      <c r="AN28" s="25"/>
      <c r="AO28" s="25"/>
      <c r="AR28" s="1019" t="s">
        <v>1827</v>
      </c>
      <c r="AS28" s="1054"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x14ac:dyDescent="0.15">
      <c r="C29" s="1084" t="s">
        <v>1824</v>
      </c>
      <c r="D29" s="1043" t="s">
        <v>1825</v>
      </c>
      <c r="E29" s="668">
        <v>17.100000000000001</v>
      </c>
      <c r="F29" s="769" cm="1">
        <f t="array" aca="1" ref="F29" ca="1">OFFSET(G29,-1,-1)</f>
        <v>0</v>
      </c>
      <c r="L29" s="1072" t="s">
        <v>1828</v>
      </c>
      <c r="M29" s="1070" cm="1">
        <f t="array" aca="1" ref="M29" ca="1">OFFSET(L29,-1,1)</f>
        <v>0</v>
      </c>
      <c r="N29" s="1072"/>
      <c r="O29" s="1072"/>
      <c r="P29" s="1072"/>
      <c r="Q29" s="1072"/>
      <c r="R29" s="1072"/>
      <c r="S29" s="1072"/>
      <c r="T29" s="679" t="b" cm="1">
        <f t="array" ref="T29">T28</f>
        <v>0</v>
      </c>
      <c r="X29" s="1485"/>
      <c r="Z29" s="1485"/>
      <c r="AB29" s="827" t="s">
        <v>473</v>
      </c>
      <c r="AC29" s="828" t="s">
        <v>1829</v>
      </c>
      <c r="AD29" s="829" t="s">
        <v>1044</v>
      </c>
      <c r="AE29" s="73"/>
      <c r="AF29" s="73"/>
      <c r="AG29" s="73"/>
      <c r="AH29" s="253">
        <f t="shared" si="1"/>
        <v>0</v>
      </c>
      <c r="AI29" s="73"/>
      <c r="AJ29" s="509"/>
      <c r="AK29" s="509"/>
      <c r="AL29" s="253">
        <f t="shared" si="2"/>
        <v>0</v>
      </c>
      <c r="AM29" s="25"/>
      <c r="AN29" s="25"/>
      <c r="AO29" s="25"/>
      <c r="AR29" s="1019" t="s">
        <v>1321</v>
      </c>
      <c r="AS29" s="1054"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x14ac:dyDescent="0.15">
      <c r="C30" s="1084" t="s">
        <v>1824</v>
      </c>
      <c r="D30" s="1043" t="s">
        <v>1825</v>
      </c>
      <c r="E30" s="668">
        <v>26.3</v>
      </c>
      <c r="F30" s="769" cm="1">
        <f t="array" aca="1" ref="F30" ca="1">OFFSET(G30,-1,-1)</f>
        <v>0</v>
      </c>
      <c r="G30" s="140" t="s">
        <v>1411</v>
      </c>
      <c r="L30" s="1072" t="s">
        <v>1830</v>
      </c>
      <c r="M30" s="1070" cm="1">
        <f t="array" aca="1" ref="M30" ca="1">OFFSET(L30,-1,1)</f>
        <v>0</v>
      </c>
      <c r="N30" s="1072"/>
      <c r="O30" s="1072"/>
      <c r="P30" s="1072"/>
      <c r="Q30" s="1072"/>
      <c r="R30" s="1072"/>
      <c r="S30" s="1072"/>
      <c r="T30" s="679" t="b" cm="1">
        <f t="array" ref="T30">T29</f>
        <v>0</v>
      </c>
      <c r="X30" s="1485"/>
      <c r="Z30" s="1485"/>
      <c r="AB30" s="827" t="s">
        <v>955</v>
      </c>
      <c r="AC30" s="828" t="s">
        <v>1412</v>
      </c>
      <c r="AD30" s="829" t="s">
        <v>1044</v>
      </c>
      <c r="AE30" s="253">
        <f ca="1">SUMIFS('Топливо 4.4'!AH$27:AH$275,'Топливо 4.4'!$F$27:$F$275,$F30,'Топливо 4.4'!$G$27:$G$275,$G30)</f>
        <v>0</v>
      </c>
      <c r="AF30" s="253">
        <f ca="1">SUMIFS('Топливо 4.4'!AI$27:AI$275,'Топливо 4.4'!$F$27:$F$275,$F30,'Топливо 4.4'!$G$27:$G$275,$G30)</f>
        <v>0</v>
      </c>
      <c r="AG30" s="253">
        <f ca="1">SUMIFS('Топливо 4.4'!AJ$27:AJ$275,'Топливо 4.4'!$F$27:$F$275,$F30,'Топливо 4.4'!$G$27:$G$275,$G30)</f>
        <v>0</v>
      </c>
      <c r="AH30" s="253">
        <f t="shared" ca="1" si="1"/>
        <v>0</v>
      </c>
      <c r="AI30" s="253">
        <f ca="1">SUMIFS('Топливо 4.4'!AK$27:AK$275,'Топливо 4.4'!$F$27:$F$275,$F30,'Топливо 4.4'!$G$27:$G$275,$G30)</f>
        <v>0</v>
      </c>
      <c r="AJ30" s="253">
        <f ca="1">SUMIFS('Топливо 4.4'!AL$27:AL$275,'Топливо 4.4'!$F$27:$F$275,$F30,'Топливо 4.4'!$G$27:$G$275,$G30)</f>
        <v>0</v>
      </c>
      <c r="AK30" s="253">
        <f ca="1">SUMIFS('Топливо 4.4'!BP$27:BP$275,'Топливо 4.4'!$F$27:$F$275,$F30,'Топливо 4.4'!$G$27:$G$275,$G30)</f>
        <v>0</v>
      </c>
      <c r="AL30" s="253">
        <f t="shared" ca="1" si="2"/>
        <v>0</v>
      </c>
      <c r="AM30" s="25"/>
      <c r="AN30" s="25"/>
      <c r="AO30" s="25"/>
      <c r="AR30" s="1019" t="s">
        <v>1406</v>
      </c>
      <c r="AS30" s="1054"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x14ac:dyDescent="0.15">
      <c r="C31" s="1084" t="s">
        <v>1824</v>
      </c>
      <c r="D31" s="1043" t="s">
        <v>1825</v>
      </c>
      <c r="E31" s="668">
        <v>17.100000000000001</v>
      </c>
      <c r="F31" s="769" cm="1">
        <f t="array" aca="1" ref="F31" ca="1">OFFSET(G31,-1,-1)</f>
        <v>0</v>
      </c>
      <c r="L31" s="1072" t="s">
        <v>1831</v>
      </c>
      <c r="M31" s="1070" cm="1">
        <f t="array" aca="1" ref="M31" ca="1">OFFSET(L31,-1,1)</f>
        <v>0</v>
      </c>
      <c r="N31" s="1072"/>
      <c r="O31" s="1072"/>
      <c r="P31" s="1072"/>
      <c r="Q31" s="1072"/>
      <c r="R31" s="1072"/>
      <c r="S31" s="1072"/>
      <c r="T31" s="679" t="b" cm="1">
        <f t="array" ref="T31">T30</f>
        <v>0</v>
      </c>
      <c r="X31" s="1485"/>
      <c r="Z31" s="1485"/>
      <c r="AB31" s="827" t="s">
        <v>957</v>
      </c>
      <c r="AC31" s="828" t="s">
        <v>39</v>
      </c>
      <c r="AD31" s="829" t="s">
        <v>1044</v>
      </c>
      <c r="AE31" s="507">
        <f ca="1">SUM(AE32:AE33)</f>
        <v>0</v>
      </c>
      <c r="AF31" s="507">
        <f ca="1">SUM(AF32:AF33)</f>
        <v>0</v>
      </c>
      <c r="AG31" s="507">
        <f ca="1">SUM(AG32:AG33)</f>
        <v>0</v>
      </c>
      <c r="AH31" s="253">
        <f t="shared" ca="1" si="1"/>
        <v>0</v>
      </c>
      <c r="AI31" s="507">
        <f ca="1">SUM(AI32:AI33)</f>
        <v>0</v>
      </c>
      <c r="AJ31" s="507">
        <f ca="1">SUM(AJ32:AJ33)</f>
        <v>0</v>
      </c>
      <c r="AK31" s="507">
        <f ca="1">SUM(AK32:AK33)</f>
        <v>0</v>
      </c>
      <c r="AL31" s="253">
        <f t="shared" ca="1" si="2"/>
        <v>0</v>
      </c>
      <c r="AM31" s="25"/>
      <c r="AN31" s="25"/>
      <c r="AO31" s="25"/>
      <c r="AR31" s="1019" t="s">
        <v>1832</v>
      </c>
      <c r="AS31" s="1054"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x14ac:dyDescent="0.15">
      <c r="C32" s="1084" t="s">
        <v>1824</v>
      </c>
      <c r="D32" s="1043" t="s">
        <v>1825</v>
      </c>
      <c r="E32" s="668">
        <v>17.100000000000001</v>
      </c>
      <c r="F32" s="769" cm="1">
        <f t="array" aca="1" ref="F32" ca="1">OFFSET(G32,-1,-1)</f>
        <v>0</v>
      </c>
      <c r="G32" s="140" t="s">
        <v>949</v>
      </c>
      <c r="L32" s="1072" t="s">
        <v>1833</v>
      </c>
      <c r="M32" s="1070" cm="1">
        <f t="array" aca="1" ref="M32" ca="1">OFFSET(L32,-1,1)</f>
        <v>0</v>
      </c>
      <c r="N32" s="1072"/>
      <c r="O32" s="1072"/>
      <c r="P32" s="1072"/>
      <c r="Q32" s="1072"/>
      <c r="R32" s="1072"/>
      <c r="S32" s="1072"/>
      <c r="T32" s="679" t="b" cm="1">
        <f t="array" ref="T32">T31</f>
        <v>0</v>
      </c>
      <c r="X32" s="1485"/>
      <c r="Z32" s="1485"/>
      <c r="AB32" s="827" t="s">
        <v>1190</v>
      </c>
      <c r="AC32" s="565" t="s">
        <v>1834</v>
      </c>
      <c r="AD32" s="829" t="s">
        <v>1044</v>
      </c>
      <c r="AE32" s="253">
        <f ca="1">SUMIFS(ЭнергоРесурсы!AE$26:AE$112,ЭнергоРесурсы!$F$26:$F$112,$F32,ЭнергоРесурсы!$G$26:$G$112,$G32)</f>
        <v>0</v>
      </c>
      <c r="AF32" s="253">
        <f ca="1">SUMIFS(ЭнергоРесурсы!AF$26:AF$112,ЭнергоРесурсы!$F$26:$F$112,$F32,ЭнергоРесурсы!$G$26:$G$112,$G32)</f>
        <v>0</v>
      </c>
      <c r="AG32" s="253">
        <f ca="1">SUMIFS(ЭнергоРесурсы!AG$26:AG$112,ЭнергоРесурсы!$F$26:$F$112,$F32,ЭнергоРесурсы!$G$26:$G$112,$G32)</f>
        <v>0</v>
      </c>
      <c r="AH32" s="253">
        <f t="shared" ca="1" si="1"/>
        <v>0</v>
      </c>
      <c r="AI32" s="253">
        <f ca="1">SUMIFS(ЭнергоРесурсы!AH$26:AH$112,ЭнергоРесурсы!$F$26:$F$112,$F32,ЭнергоРесурсы!$G$26:$G$112,$G32)</f>
        <v>0</v>
      </c>
      <c r="AJ32" s="253">
        <f ca="1">SUMIFS(ЭнергоРесурсы!AI$26:AI$112,ЭнергоРесурсы!$F$26:$F$112,$F32,ЭнергоРесурсы!$G$26:$G$112,$G32)</f>
        <v>0</v>
      </c>
      <c r="AK32" s="253">
        <f ca="1">SUMIFS(ЭнергоРесурсы!AS$26:AS$112,ЭнергоРесурсы!$F$26:$F$112,$F32,ЭнергоРесурсы!$G$26:$G$112,$G32)</f>
        <v>0</v>
      </c>
      <c r="AL32" s="253">
        <f t="shared" ca="1" si="2"/>
        <v>0</v>
      </c>
      <c r="AM32" s="25"/>
      <c r="AN32" s="25"/>
      <c r="AO32" s="25"/>
      <c r="AR32" s="1019" t="s">
        <v>1835</v>
      </c>
      <c r="AS32" s="1054"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x14ac:dyDescent="0.15">
      <c r="C33" s="1084" t="s">
        <v>1824</v>
      </c>
      <c r="D33" s="1043" t="s">
        <v>1825</v>
      </c>
      <c r="E33" s="668">
        <v>17.100000000000001</v>
      </c>
      <c r="F33" s="769" cm="1">
        <f t="array" aca="1" ref="F33" ca="1">OFFSET(G33,-1,-1)</f>
        <v>0</v>
      </c>
      <c r="G33" s="140" t="s">
        <v>984</v>
      </c>
      <c r="L33" s="1072" t="s">
        <v>1836</v>
      </c>
      <c r="M33" s="1070" cm="1">
        <f t="array" aca="1" ref="M33" ca="1">OFFSET(L33,-1,1)</f>
        <v>0</v>
      </c>
      <c r="N33" s="1072"/>
      <c r="O33" s="1072"/>
      <c r="P33" s="1072"/>
      <c r="Q33" s="1072"/>
      <c r="R33" s="1072"/>
      <c r="S33" s="1072"/>
      <c r="T33" s="679" t="b" cm="1">
        <f t="array" ref="T33">T32</f>
        <v>0</v>
      </c>
      <c r="X33" s="1485"/>
      <c r="Z33" s="1485"/>
      <c r="AB33" s="827" t="s">
        <v>1194</v>
      </c>
      <c r="AC33" s="565" t="s">
        <v>1837</v>
      </c>
      <c r="AD33" s="829" t="s">
        <v>1044</v>
      </c>
      <c r="AE33" s="253">
        <f ca="1">SUMIFS(ЭнергоРесурсы!AE$26:AE$112,ЭнергоРесурсы!$F$26:$F$112,$F33,ЭнергоРесурсы!$G$26:$G$112,$G33)</f>
        <v>0</v>
      </c>
      <c r="AF33" s="253">
        <f ca="1">SUMIFS(ЭнергоРесурсы!AF$26:AF$112,ЭнергоРесурсы!$F$26:$F$112,$F33,ЭнергоРесурсы!$G$26:$G$112,$G33)</f>
        <v>0</v>
      </c>
      <c r="AG33" s="253">
        <f ca="1">SUMIFS(ЭнергоРесурсы!AG$26:AG$112,ЭнергоРесурсы!$F$26:$F$112,$F33,ЭнергоРесурсы!$G$26:$G$112,$G33)</f>
        <v>0</v>
      </c>
      <c r="AH33" s="253">
        <f t="shared" ca="1" si="1"/>
        <v>0</v>
      </c>
      <c r="AI33" s="253">
        <f ca="1">SUMIFS(ЭнергоРесурсы!AH$26:AH$112,ЭнергоРесурсы!$F$26:$F$112,$F33,ЭнергоРесурсы!$G$26:$G$112,$G33)</f>
        <v>0</v>
      </c>
      <c r="AJ33" s="253">
        <f ca="1">SUMIFS(ЭнергоРесурсы!AI$26:AI$112,ЭнергоРесурсы!$F$26:$F$112,$F33,ЭнергоРесурсы!$G$26:$G$112,$G33)</f>
        <v>0</v>
      </c>
      <c r="AK33" s="253">
        <f ca="1">SUMIFS(ЭнергоРесурсы!AS$26:AS$112,ЭнергоРесурсы!$F$26:$F$112,$F33,ЭнергоРесурсы!$G$26:$G$112,$G33)</f>
        <v>0</v>
      </c>
      <c r="AL33" s="253">
        <f t="shared" ca="1" si="2"/>
        <v>0</v>
      </c>
      <c r="AM33" s="25"/>
      <c r="AN33" s="25"/>
      <c r="AO33" s="25"/>
      <c r="AR33" s="1019" t="s">
        <v>1838</v>
      </c>
      <c r="AS33" s="1054"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x14ac:dyDescent="0.15">
      <c r="C34" s="1084" t="s">
        <v>1824</v>
      </c>
      <c r="D34" s="1043" t="s">
        <v>1825</v>
      </c>
      <c r="E34" s="668">
        <v>17.100000000000001</v>
      </c>
      <c r="F34" s="769" cm="1">
        <f t="array" aca="1" ref="F34" ca="1">OFFSET(G34,-1,-1)</f>
        <v>0</v>
      </c>
      <c r="G34" s="140" t="s">
        <v>1016</v>
      </c>
      <c r="L34" s="1072" t="s">
        <v>1839</v>
      </c>
      <c r="M34" s="1070" cm="1">
        <f t="array" aca="1" ref="M34" ca="1">OFFSET(L34,-1,1)</f>
        <v>0</v>
      </c>
      <c r="N34" s="1072"/>
      <c r="O34" s="1072"/>
      <c r="P34" s="1072"/>
      <c r="Q34" s="1072"/>
      <c r="R34" s="1072"/>
      <c r="S34" s="1072"/>
      <c r="T34" s="679" t="b" cm="1">
        <f t="array" ref="T34">T33</f>
        <v>0</v>
      </c>
      <c r="X34" s="1485"/>
      <c r="Z34" s="1485"/>
      <c r="AB34" s="827" t="s">
        <v>961</v>
      </c>
      <c r="AC34" s="828" t="s">
        <v>1017</v>
      </c>
      <c r="AD34" s="829" t="s">
        <v>1044</v>
      </c>
      <c r="AE34" s="455">
        <f ca="1">SUMIFS('ХВС, ТН'!AE$26:AE$59,'ХВС, ТН'!$F$26:$F$59,$F34,'ХВС, ТН'!$G$26:$G$59,$G34)</f>
        <v>0</v>
      </c>
      <c r="AF34" s="455">
        <f ca="1">SUMIFS('ХВС, ТН'!AF$26:AF$59,'ХВС, ТН'!$F$26:$F$59,$F34,'ХВС, ТН'!$G$26:$G$59,$G34)</f>
        <v>0</v>
      </c>
      <c r="AG34" s="455">
        <f ca="1">SUMIFS('ХВС, ТН'!AG$26:AG$59,'ХВС, ТН'!$F$26:$F$59,$F34,'ХВС, ТН'!$G$26:$G$59,$G34)</f>
        <v>0</v>
      </c>
      <c r="AH34" s="253">
        <f t="shared" ca="1" si="1"/>
        <v>0</v>
      </c>
      <c r="AI34" s="455">
        <f ca="1">SUMIFS('ХВС, ТН'!AH$26:AH$59,'ХВС, ТН'!$F$26:$F$59,$F34,'ХВС, ТН'!$G$26:$G$59,$G34)</f>
        <v>0</v>
      </c>
      <c r="AJ34" s="455">
        <f ca="1">SUMIFS('ХВС, ТН'!AI$26:AI$59,'ХВС, ТН'!$F$26:$F$59,$F34,'ХВС, ТН'!$G$26:$G$59,$G34)</f>
        <v>0</v>
      </c>
      <c r="AK34" s="455">
        <f ca="1">SUMIFS('ХВС, ТН'!AS$26:AS$59,'ХВС, ТН'!$F$26:$F$59,$F34,'ХВС, ТН'!$G$26:$G$59,$G34)</f>
        <v>0</v>
      </c>
      <c r="AL34" s="253">
        <f t="shared" ca="1" si="2"/>
        <v>0</v>
      </c>
      <c r="AM34" s="25"/>
      <c r="AN34" s="25"/>
      <c r="AO34" s="25"/>
      <c r="AR34" s="1019" t="s">
        <v>1416</v>
      </c>
      <c r="AS34" s="1054"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x14ac:dyDescent="0.15">
      <c r="C35" s="1084" t="s">
        <v>1824</v>
      </c>
      <c r="D35" s="1043" t="s">
        <v>1825</v>
      </c>
      <c r="E35" s="668">
        <v>17.100000000000001</v>
      </c>
      <c r="F35" s="769" cm="1">
        <f t="array" aca="1" ref="F35" ca="1">OFFSET(G35,-1,-1)</f>
        <v>0</v>
      </c>
      <c r="G35" s="140" t="s">
        <v>1027</v>
      </c>
      <c r="L35" s="1072" t="s">
        <v>1840</v>
      </c>
      <c r="M35" s="1070" cm="1">
        <f t="array" aca="1" ref="M35" ca="1">OFFSET(L35,-1,1)</f>
        <v>0</v>
      </c>
      <c r="N35" s="1072"/>
      <c r="O35" s="1072"/>
      <c r="P35" s="1072"/>
      <c r="Q35" s="1072"/>
      <c r="R35" s="1072"/>
      <c r="S35" s="1072"/>
      <c r="T35" s="679" t="b" cm="1">
        <f t="array" ref="T35">T34</f>
        <v>0</v>
      </c>
      <c r="X35" s="1485"/>
      <c r="Z35" s="1485"/>
      <c r="AB35" s="827" t="s">
        <v>1067</v>
      </c>
      <c r="AC35" s="828" t="s">
        <v>1028</v>
      </c>
      <c r="AD35" s="829" t="s">
        <v>1044</v>
      </c>
      <c r="AE35" s="455">
        <f ca="1">SUMIFS('ХВС, ТН'!AE$26:AE$59,'ХВС, ТН'!$F$26:$F$59,$F35,'ХВС, ТН'!$G$26:$G$59,$G35)</f>
        <v>0</v>
      </c>
      <c r="AF35" s="455">
        <f ca="1">SUMIFS('ХВС, ТН'!AF$26:AF$59,'ХВС, ТН'!$F$26:$F$59,$F35,'ХВС, ТН'!$G$26:$G$59,$G35)</f>
        <v>0</v>
      </c>
      <c r="AG35" s="455">
        <f ca="1">SUMIFS('ХВС, ТН'!AG$26:AG$59,'ХВС, ТН'!$F$26:$F$59,$F35,'ХВС, ТН'!$G$26:$G$59,$G35)</f>
        <v>0</v>
      </c>
      <c r="AH35" s="253">
        <f t="shared" ca="1" si="1"/>
        <v>0</v>
      </c>
      <c r="AI35" s="455">
        <f ca="1">SUMIFS('ХВС, ТН'!AH$26:AH$59,'ХВС, ТН'!$F$26:$F$59,$F35,'ХВС, ТН'!$G$26:$G$59,$G35)</f>
        <v>0</v>
      </c>
      <c r="AJ35" s="455">
        <f ca="1">SUMIFS('ХВС, ТН'!AI$26:AI$59,'ХВС, ТН'!$F$26:$F$59,$F35,'ХВС, ТН'!$G$26:$G$59,$G35)</f>
        <v>0</v>
      </c>
      <c r="AK35" s="455">
        <f ca="1">SUMIFS('ХВС, ТН'!AS$26:AS$59,'ХВС, ТН'!$F$26:$F$59,$F35,'ХВС, ТН'!$G$26:$G$59,$G35)</f>
        <v>0</v>
      </c>
      <c r="AL35" s="253">
        <f t="shared" ca="1" si="2"/>
        <v>0</v>
      </c>
      <c r="AM35" s="25"/>
      <c r="AN35" s="25"/>
      <c r="AO35" s="25"/>
      <c r="AR35" s="1019" t="s">
        <v>1417</v>
      </c>
      <c r="AS35" s="1054"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x14ac:dyDescent="0.15">
      <c r="C36" s="1084" t="s">
        <v>1824</v>
      </c>
      <c r="D36" s="1043" t="s">
        <v>1825</v>
      </c>
      <c r="E36" s="668">
        <v>17.100000000000001</v>
      </c>
      <c r="F36" s="769" cm="1">
        <f t="array" aca="1" ref="F36" ca="1">OFFSET(G36,-1,-1)</f>
        <v>0</v>
      </c>
      <c r="G36" s="140" t="s">
        <v>1154</v>
      </c>
      <c r="L36" s="1072" t="s">
        <v>1841</v>
      </c>
      <c r="M36" s="1070" cm="1">
        <f t="array" aca="1" ref="M36" ca="1">OFFSET(L36,-1,1)</f>
        <v>0</v>
      </c>
      <c r="N36" s="1072"/>
      <c r="O36" s="1072"/>
      <c r="P36" s="1072"/>
      <c r="Q36" s="1072"/>
      <c r="R36" s="1072"/>
      <c r="S36" s="1072"/>
      <c r="T36" s="679" t="b" cm="1">
        <f t="array" ref="T36">T35</f>
        <v>0</v>
      </c>
      <c r="X36" s="1485"/>
      <c r="Z36" s="1485"/>
      <c r="AB36" s="827" t="s">
        <v>1070</v>
      </c>
      <c r="AC36" s="828" t="s">
        <v>1395</v>
      </c>
      <c r="AD36" s="829" t="s">
        <v>1044</v>
      </c>
      <c r="AE36" s="507">
        <f ca="1">SUMIFS(Амортизация!AE$26:AE$225,Амортизация!$F$26:$F$225,$F36,Амортизация!$G$26:$G$225,$G36)</f>
        <v>0</v>
      </c>
      <c r="AF36" s="507">
        <f ca="1">SUMIFS(Амортизация!AF$26:AF$225,Амортизация!$F$26:$F$225,$F36,Амортизация!$G$26:$G$225,$G36)</f>
        <v>0</v>
      </c>
      <c r="AG36" s="507">
        <f ca="1">SUMIFS(Амортизация!AG$26:AG$225,Амортизация!$F$26:$F$225,$F36,Амортизация!$G$26:$G$225,$G36)</f>
        <v>0</v>
      </c>
      <c r="AH36" s="253">
        <f t="shared" ca="1" si="1"/>
        <v>0</v>
      </c>
      <c r="AI36" s="507">
        <f ca="1">SUMIFS(Амортизация!AH$26:AH$225,Амортизация!$F$26:$F$225,$F36,Амортизация!$G$26:$G$225,$G36)</f>
        <v>0</v>
      </c>
      <c r="AJ36" s="507">
        <f ca="1">SUMIFS(Амортизация!AI$26:AI$225,Амортизация!$F$26:$F$225,$F36,Амортизация!$G$26:$G$225,$G36)</f>
        <v>0</v>
      </c>
      <c r="AK36" s="507">
        <f ca="1">SUMIFS(Амортизация!AS$26:AS$225,Амортизация!$F$26:$F$225,$F36,Амортизация!$G$26:$G$225,$G36)</f>
        <v>0</v>
      </c>
      <c r="AL36" s="253">
        <f t="shared" ca="1" si="2"/>
        <v>0</v>
      </c>
      <c r="AM36" s="25"/>
      <c r="AN36" s="25"/>
      <c r="AO36" s="25"/>
      <c r="AR36" s="1019" t="s">
        <v>1396</v>
      </c>
      <c r="AS36" s="1054"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x14ac:dyDescent="0.15">
      <c r="C37" s="1084" t="s">
        <v>1824</v>
      </c>
      <c r="D37" s="1043" t="s">
        <v>1825</v>
      </c>
      <c r="E37" s="668">
        <v>17.100000000000001</v>
      </c>
      <c r="F37" s="769" cm="1">
        <f t="array" aca="1" ref="F37" ca="1">OFFSET(G37,-1,-1)</f>
        <v>0</v>
      </c>
      <c r="G37" s="140" t="s">
        <v>48</v>
      </c>
      <c r="L37" s="1072" t="s">
        <v>1842</v>
      </c>
      <c r="M37" s="1070" cm="1">
        <f t="array" aca="1" ref="M37" ca="1">OFFSET(L37,-1,1)</f>
        <v>0</v>
      </c>
      <c r="N37" s="1072"/>
      <c r="O37" s="1072"/>
      <c r="P37" s="1072"/>
      <c r="Q37" s="1072"/>
      <c r="R37" s="1072"/>
      <c r="S37" s="1072"/>
      <c r="T37" s="679" t="b" cm="1">
        <f t="array" ref="T37">T36</f>
        <v>0</v>
      </c>
      <c r="X37" s="1485"/>
      <c r="Z37" s="1485"/>
      <c r="AB37" s="827" t="s">
        <v>1073</v>
      </c>
      <c r="AC37" s="828" t="s">
        <v>1843</v>
      </c>
      <c r="AD37" s="829" t="s">
        <v>1044</v>
      </c>
      <c r="AE37" s="253">
        <f ca="1">SUMIFS(ФОТ!AE$26:AE$77,ФОТ!$F$26:$F$77,$F37,ФОТ!$G$26:$G$77,$G37)</f>
        <v>0</v>
      </c>
      <c r="AF37" s="253">
        <f ca="1">SUMIFS(ФОТ!AF$26:AF$77,ФОТ!$F$26:$F$77,$F37,ФОТ!$G$26:$G$77,$G37)</f>
        <v>0</v>
      </c>
      <c r="AG37" s="253">
        <f ca="1">SUMIFS(ФОТ!AG$26:AG$77,ФОТ!$F$26:$F$77,$F37,ФОТ!$G$26:$G$77,$G37)</f>
        <v>0</v>
      </c>
      <c r="AH37" s="253">
        <f t="shared" ca="1" si="1"/>
        <v>0</v>
      </c>
      <c r="AI37" s="253">
        <f ca="1">SUMIFS(ФОТ!AH$26:AH$77,ФОТ!$F$26:$F$77,$F37,ФОТ!$G$26:$G$77,$G37)</f>
        <v>0</v>
      </c>
      <c r="AJ37" s="253">
        <f ca="1">SUMIFS(ФОТ!AI$26:AI$77,ФОТ!$F$26:$F$77,$F37,ФОТ!$G$26:$G$77,$G37)</f>
        <v>0</v>
      </c>
      <c r="AK37" s="253">
        <f ca="1">SUMIFS(ФОТ!AJ$26:AJ$77,ФОТ!$F$26:$F$77,$F37,ФОТ!$G$26:$G$77,$G37)</f>
        <v>0</v>
      </c>
      <c r="AL37" s="253">
        <f t="shared" ca="1" si="2"/>
        <v>0</v>
      </c>
      <c r="AM37" s="25"/>
      <c r="AN37" s="25"/>
      <c r="AO37" s="25"/>
      <c r="AR37" s="1019" t="s">
        <v>1324</v>
      </c>
      <c r="AS37" s="1054"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x14ac:dyDescent="0.15">
      <c r="C38" s="1084" t="s">
        <v>1824</v>
      </c>
      <c r="D38" s="1043" t="s">
        <v>1825</v>
      </c>
      <c r="E38" s="668">
        <v>17.100000000000001</v>
      </c>
      <c r="F38" s="769" cm="1">
        <f t="array" aca="1" ref="F38" ca="1">OFFSET(G38,-1,-1)</f>
        <v>0</v>
      </c>
      <c r="L38" s="1072" t="s">
        <v>1844</v>
      </c>
      <c r="M38" s="1070" cm="1">
        <f t="array" aca="1" ref="M38" ca="1">OFFSET(L38,-1,1)</f>
        <v>0</v>
      </c>
      <c r="N38" s="1072"/>
      <c r="O38" s="1072"/>
      <c r="P38" s="1072"/>
      <c r="Q38" s="1072"/>
      <c r="R38" s="1072"/>
      <c r="S38" s="1072"/>
      <c r="T38" s="679" t="b" cm="1">
        <f t="array" ref="T38">T37</f>
        <v>0</v>
      </c>
      <c r="X38" s="1485"/>
      <c r="Z38" s="1485"/>
      <c r="AB38" s="827" t="s">
        <v>1076</v>
      </c>
      <c r="AC38" s="828" t="s">
        <v>1388</v>
      </c>
      <c r="AD38" s="829" t="s">
        <v>1044</v>
      </c>
      <c r="AE38" s="73"/>
      <c r="AF38" s="73"/>
      <c r="AG38" s="73"/>
      <c r="AH38" s="253">
        <f t="shared" si="1"/>
        <v>0</v>
      </c>
      <c r="AI38" s="73"/>
      <c r="AJ38" s="509"/>
      <c r="AK38" s="509"/>
      <c r="AL38" s="253">
        <f t="shared" si="2"/>
        <v>0</v>
      </c>
      <c r="AM38" s="25"/>
      <c r="AN38" s="25"/>
      <c r="AO38" s="25"/>
      <c r="AR38" s="1019" t="s">
        <v>1389</v>
      </c>
      <c r="AS38" s="1054"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x14ac:dyDescent="0.15">
      <c r="C39" s="1084" t="s">
        <v>1845</v>
      </c>
      <c r="D39" s="1043" t="s">
        <v>1846</v>
      </c>
      <c r="E39" s="668">
        <v>17.100000000000001</v>
      </c>
      <c r="F39" s="769" cm="1">
        <f t="array" aca="1" ref="F39" ca="1">OFFSET(G39,-1,-1)</f>
        <v>0</v>
      </c>
      <c r="L39" s="1072" t="s">
        <v>1847</v>
      </c>
      <c r="M39" s="1070" cm="1">
        <f t="array" aca="1" ref="M39" ca="1">OFFSET(L39,-1,1)</f>
        <v>0</v>
      </c>
      <c r="N39" s="1072"/>
      <c r="O39" s="1072"/>
      <c r="P39" s="1072"/>
      <c r="Q39" s="1072"/>
      <c r="R39" s="1072"/>
      <c r="S39" s="1072"/>
      <c r="T39" s="679" t="b" cm="1">
        <f t="array" ref="T39">T38</f>
        <v>0</v>
      </c>
      <c r="X39" s="1485"/>
      <c r="Z39" s="1485"/>
      <c r="AB39" s="827" t="s">
        <v>1848</v>
      </c>
      <c r="AC39" s="565" t="s">
        <v>1849</v>
      </c>
      <c r="AD39" s="829" t="s">
        <v>521</v>
      </c>
      <c r="AE39" s="73"/>
      <c r="AF39" s="73"/>
      <c r="AG39" s="73"/>
      <c r="AH39" s="253">
        <f t="shared" si="1"/>
        <v>0</v>
      </c>
      <c r="AI39" s="73"/>
      <c r="AJ39" s="509"/>
      <c r="AK39" s="509"/>
      <c r="AL39" s="253">
        <f t="shared" si="2"/>
        <v>0</v>
      </c>
      <c r="AM39" s="25"/>
      <c r="AN39" s="25"/>
      <c r="AO39" s="25"/>
      <c r="AR39" s="1019" t="s">
        <v>1386</v>
      </c>
      <c r="AS39" s="1054"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x14ac:dyDescent="0.15">
      <c r="C40" s="1084" t="s">
        <v>1850</v>
      </c>
      <c r="D40" s="1043" t="s">
        <v>1851</v>
      </c>
      <c r="E40" s="668">
        <v>17.100000000000001</v>
      </c>
      <c r="F40" s="769" cm="1">
        <f t="array" aca="1" ref="F40" ca="1">OFFSET(G40,-1,-1)</f>
        <v>0</v>
      </c>
      <c r="L40" s="1072"/>
      <c r="M40" s="1070" cm="1">
        <f t="array" aca="1" ref="M40" ca="1">OFFSET(L40,-1,1)</f>
        <v>0</v>
      </c>
      <c r="N40" s="1072" t="s">
        <v>1852</v>
      </c>
      <c r="O40" s="1072"/>
      <c r="P40" s="1072"/>
      <c r="Q40" s="1072"/>
      <c r="R40" s="1072"/>
      <c r="S40" s="1072"/>
      <c r="T40" s="679" t="b" cm="1">
        <f t="array" ref="T40">T39</f>
        <v>0</v>
      </c>
      <c r="X40" s="1485"/>
      <c r="Z40" s="1485"/>
      <c r="AB40" s="827" t="s">
        <v>1290</v>
      </c>
      <c r="AC40" s="828" t="s">
        <v>1853</v>
      </c>
      <c r="AD40" s="829" t="s">
        <v>1044</v>
      </c>
      <c r="AE40" s="73"/>
      <c r="AF40" s="73"/>
      <c r="AG40" s="73"/>
      <c r="AH40" s="253">
        <f t="shared" si="1"/>
        <v>0</v>
      </c>
      <c r="AI40" s="73"/>
      <c r="AJ40" s="509"/>
      <c r="AK40" s="509"/>
      <c r="AL40" s="253">
        <f t="shared" si="2"/>
        <v>0</v>
      </c>
      <c r="AM40" s="25"/>
      <c r="AN40" s="25"/>
      <c r="AO40" s="25"/>
      <c r="AR40" s="1019" t="s">
        <v>1854</v>
      </c>
      <c r="AS40" s="1054"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x14ac:dyDescent="0.15">
      <c r="C41" s="1084" t="s">
        <v>47</v>
      </c>
      <c r="D41" s="1043" t="s">
        <v>1855</v>
      </c>
      <c r="E41" s="668">
        <v>35</v>
      </c>
      <c r="F41" s="769" cm="1">
        <f t="array" aca="1" ref="F41" ca="1">OFFSET(G41,-1,-1)</f>
        <v>0</v>
      </c>
      <c r="G41" s="140" t="s">
        <v>1204</v>
      </c>
      <c r="L41" s="1072"/>
      <c r="M41" s="1070" cm="1">
        <f t="array" aca="1" ref="M41" ca="1">OFFSET(L41,-1,1)</f>
        <v>0</v>
      </c>
      <c r="N41" s="1072" t="s">
        <v>1856</v>
      </c>
      <c r="O41" s="1072"/>
      <c r="P41" s="1072"/>
      <c r="Q41" s="1072"/>
      <c r="R41" s="1072"/>
      <c r="S41" s="1072"/>
      <c r="T41" s="679" t="b" cm="1">
        <f t="array" ref="T41">T40</f>
        <v>0</v>
      </c>
      <c r="X41" s="1485"/>
      <c r="Z41" s="1485"/>
      <c r="AB41" s="827" t="s">
        <v>1857</v>
      </c>
      <c r="AC41" s="828" t="s">
        <v>1858</v>
      </c>
      <c r="AD41" s="829" t="s">
        <v>1044</v>
      </c>
      <c r="AE41" s="507">
        <f ca="1">SUMIFS('Покупка услуг'!AE$26:AE$68,'Покупка услуг'!$F$26:$F$68,$F41,'Покупка услуг'!$G$26:$G$68,$G41)</f>
        <v>0</v>
      </c>
      <c r="AF41" s="507">
        <f ca="1">SUMIFS('Покупка услуг'!AF$26:AF$68,'Покупка услуг'!$F$26:$F$68,$F41,'Покупка услуг'!$G$26:$G$68,$G41)</f>
        <v>0</v>
      </c>
      <c r="AG41" s="507">
        <f ca="1">SUMIFS('Покупка услуг'!AG$26:AG$68,'Покупка услуг'!$F$26:$F$68,$F41,'Покупка услуг'!$G$26:$G$68,$G41)</f>
        <v>0</v>
      </c>
      <c r="AH41" s="253">
        <f t="shared" ca="1" si="1"/>
        <v>0</v>
      </c>
      <c r="AI41" s="507">
        <f ca="1">SUMIFS('Покупка услуг'!AH$26:AH$68,'Покупка услуг'!$F$26:$F$68,$F41,'Покупка услуг'!$G$26:$G$68,$G41)</f>
        <v>0</v>
      </c>
      <c r="AJ41" s="507">
        <f ca="1">SUMIFS('Покупка услуг'!AI$26:AI$68,'Покупка услуг'!$F$26:$F$68,$F41,'Покупка услуг'!$G$26:$G$68,$G41)</f>
        <v>0</v>
      </c>
      <c r="AK41" s="507">
        <f ca="1">SUMIFS('Покупка услуг'!AS$26:AS$68,'Покупка услуг'!$F$26:$F$68,$F41,'Покупка услуг'!$G$26:$G$68,$G41)</f>
        <v>0</v>
      </c>
      <c r="AL41" s="253">
        <f t="shared" ca="1" si="2"/>
        <v>0</v>
      </c>
      <c r="AM41" s="25"/>
      <c r="AN41" s="25"/>
      <c r="AO41" s="25"/>
      <c r="AR41" s="1019" t="s">
        <v>1859</v>
      </c>
      <c r="AS41" s="1054"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x14ac:dyDescent="0.15">
      <c r="C42" s="1084" t="s">
        <v>1824</v>
      </c>
      <c r="D42" s="1043" t="s">
        <v>1825</v>
      </c>
      <c r="E42" s="668">
        <v>35</v>
      </c>
      <c r="F42" s="769" cm="1">
        <f t="array" aca="1" ref="F42" ca="1">OFFSET(G42,-1,-1)</f>
        <v>0</v>
      </c>
      <c r="L42" s="1072" t="s">
        <v>1860</v>
      </c>
      <c r="M42" s="1070" cm="1">
        <f t="array" aca="1" ref="M42" ca="1">OFFSET(L42,-1,1)</f>
        <v>0</v>
      </c>
      <c r="N42" s="1072"/>
      <c r="O42" s="1072"/>
      <c r="P42" s="1072"/>
      <c r="Q42" s="1072"/>
      <c r="R42" s="1072"/>
      <c r="S42" s="1072"/>
      <c r="T42" s="679" t="b" cm="1">
        <f t="array" ref="T42">T41</f>
        <v>0</v>
      </c>
      <c r="X42" s="1485"/>
      <c r="Z42" s="1485"/>
      <c r="AB42" s="827" t="s">
        <v>1861</v>
      </c>
      <c r="AC42" s="828" t="s">
        <v>1862</v>
      </c>
      <c r="AD42" s="829" t="s">
        <v>1044</v>
      </c>
      <c r="AE42" s="73"/>
      <c r="AF42" s="73"/>
      <c r="AG42" s="73"/>
      <c r="AH42" s="253">
        <f t="shared" si="1"/>
        <v>0</v>
      </c>
      <c r="AI42" s="73"/>
      <c r="AJ42" s="509"/>
      <c r="AK42" s="509"/>
      <c r="AL42" s="253">
        <f t="shared" si="2"/>
        <v>0</v>
      </c>
      <c r="AM42" s="25"/>
      <c r="AN42" s="25"/>
      <c r="AO42" s="25"/>
      <c r="AR42" s="1019" t="s">
        <v>1863</v>
      </c>
      <c r="AS42" s="1054"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x14ac:dyDescent="0.15">
      <c r="C43" s="1084" t="s">
        <v>1824</v>
      </c>
      <c r="D43" s="1043" t="s">
        <v>1825</v>
      </c>
      <c r="E43" s="668">
        <v>55</v>
      </c>
      <c r="F43" s="769" cm="1">
        <f t="array" aca="1" ref="F43" ca="1">OFFSET(G43,-1,-1)</f>
        <v>0</v>
      </c>
      <c r="L43" s="1072" t="s">
        <v>1864</v>
      </c>
      <c r="M43" s="1070" cm="1">
        <f t="array" aca="1" ref="M43" ca="1">OFFSET(L43,-1,1)</f>
        <v>0</v>
      </c>
      <c r="N43" s="1072"/>
      <c r="O43" s="1072"/>
      <c r="P43" s="1072"/>
      <c r="Q43" s="1072"/>
      <c r="R43" s="1072"/>
      <c r="S43" s="1072"/>
      <c r="T43" s="679" t="b" cm="1">
        <f t="array" ref="T43">T42</f>
        <v>0</v>
      </c>
      <c r="X43" s="1485"/>
      <c r="Z43" s="1485"/>
      <c r="AB43" s="827" t="s">
        <v>1865</v>
      </c>
      <c r="AC43" s="828" t="s">
        <v>1866</v>
      </c>
      <c r="AD43" s="829" t="s">
        <v>1044</v>
      </c>
      <c r="AE43" s="73"/>
      <c r="AF43" s="73"/>
      <c r="AG43" s="73"/>
      <c r="AH43" s="253">
        <f t="shared" si="1"/>
        <v>0</v>
      </c>
      <c r="AI43" s="73"/>
      <c r="AJ43" s="509"/>
      <c r="AK43" s="509"/>
      <c r="AL43" s="253">
        <f t="shared" si="2"/>
        <v>0</v>
      </c>
      <c r="AM43" s="25"/>
      <c r="AN43" s="25"/>
      <c r="AO43" s="25"/>
      <c r="AR43" s="1019" t="s">
        <v>1867</v>
      </c>
      <c r="AS43" s="1054"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x14ac:dyDescent="0.15">
      <c r="C44" s="1084" t="s">
        <v>1824</v>
      </c>
      <c r="D44" s="1043" t="s">
        <v>1825</v>
      </c>
      <c r="E44" s="668">
        <v>40</v>
      </c>
      <c r="F44" s="769" cm="1">
        <f t="array" aca="1" ref="F44" ca="1">OFFSET(G44,-1,-1)</f>
        <v>0</v>
      </c>
      <c r="G44" s="140" t="s">
        <v>1269</v>
      </c>
      <c r="L44" s="1072" t="s">
        <v>1868</v>
      </c>
      <c r="M44" s="1070" cm="1">
        <f t="array" aca="1" ref="M44" ca="1">OFFSET(L44,-1,1)</f>
        <v>0</v>
      </c>
      <c r="N44" s="1072"/>
      <c r="O44" s="1072"/>
      <c r="P44" s="1072"/>
      <c r="Q44" s="1072"/>
      <c r="R44" s="1072"/>
      <c r="S44" s="1072"/>
      <c r="T44" s="679" t="b" cm="1">
        <f t="array" ref="T44">T43</f>
        <v>0</v>
      </c>
      <c r="X44" s="1485"/>
      <c r="Z44" s="1485"/>
      <c r="AB44" s="827" t="s">
        <v>1869</v>
      </c>
      <c r="AC44" s="828" t="s">
        <v>1870</v>
      </c>
      <c r="AD44" s="829" t="s">
        <v>1044</v>
      </c>
      <c r="AE44" s="507">
        <f ca="1">SUMIFS(Налоги!AE$26:AE$56,Налоги!$F$26:$F$56,$F44,Налоги!$G$26:$G$56,$G44)</f>
        <v>0</v>
      </c>
      <c r="AF44" s="507">
        <f ca="1">SUMIFS(Налоги!AF$26:AF$56,Налоги!$F$26:$F$56,$F44,Налоги!$G$26:$G$56,$G44)</f>
        <v>0</v>
      </c>
      <c r="AG44" s="507">
        <f ca="1">SUMIFS(Налоги!AG$26:AG$56,Налоги!$F$26:$F$56,$F44,Налоги!$G$26:$G$56,$G44)</f>
        <v>0</v>
      </c>
      <c r="AH44" s="253">
        <f t="shared" ca="1" si="1"/>
        <v>0</v>
      </c>
      <c r="AI44" s="507">
        <f ca="1">SUMIFS(Налоги!AH$26:AH$56,Налоги!$F$26:$F$56,$F44,Налоги!$G$26:$G$56,$G44)</f>
        <v>0</v>
      </c>
      <c r="AJ44" s="507">
        <f ca="1">SUMIFS(Налоги!AI$26:AI$56,Налоги!$F$26:$F$56,$F44,Налоги!$G$26:$G$56,$G44)</f>
        <v>0</v>
      </c>
      <c r="AK44" s="507">
        <f ca="1">SUMIFS(Налоги!AS$26:AS$56,Налоги!$F$26:$F$56,$F44,Налоги!$G$26:$G$56,$G44)</f>
        <v>0</v>
      </c>
      <c r="AL44" s="253">
        <f t="shared" ca="1" si="2"/>
        <v>0</v>
      </c>
      <c r="AM44" s="25"/>
      <c r="AN44" s="25"/>
      <c r="AO44" s="25"/>
      <c r="AR44" s="1019" t="s">
        <v>1384</v>
      </c>
      <c r="AS44" s="1054"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x14ac:dyDescent="0.15">
      <c r="C45" s="1084" t="s">
        <v>1824</v>
      </c>
      <c r="D45" s="1043" t="s">
        <v>1825</v>
      </c>
      <c r="E45" s="668">
        <v>17.100000000000001</v>
      </c>
      <c r="F45" s="769" cm="1">
        <f t="array" aca="1" ref="F45" ca="1">OFFSET(G45,-1,-1)</f>
        <v>0</v>
      </c>
      <c r="G45" s="140" t="s">
        <v>1172</v>
      </c>
      <c r="L45" s="1072"/>
      <c r="M45" s="1070" cm="1">
        <f t="array" aca="1" ref="M45" ca="1">OFFSET(L45,-1,1)</f>
        <v>0</v>
      </c>
      <c r="N45" s="1072" t="s">
        <v>1871</v>
      </c>
      <c r="O45" s="1072"/>
      <c r="P45" s="1072"/>
      <c r="Q45" s="1072"/>
      <c r="R45" s="1072"/>
      <c r="S45" s="1072"/>
      <c r="T45" s="679" t="b" cm="1">
        <f t="array" ref="T45">T44</f>
        <v>0</v>
      </c>
      <c r="X45" s="1485"/>
      <c r="Z45" s="1485"/>
      <c r="AB45" s="827" t="s">
        <v>1872</v>
      </c>
      <c r="AC45" s="828" t="s">
        <v>1873</v>
      </c>
      <c r="AD45" s="829" t="s">
        <v>1044</v>
      </c>
      <c r="AE45" s="253">
        <f ca="1">SUMIFS(Аренда!AE$26:AE$51,Аренда!$F$26:$F$51,$F45,Аренда!$G$26:$G$51,$G45)</f>
        <v>0</v>
      </c>
      <c r="AF45" s="253">
        <f ca="1">SUMIFS(Аренда!AF$26:AF$51,Аренда!$F$26:$F$51,$F45,Аренда!$G$26:$G$51,$G45)</f>
        <v>0</v>
      </c>
      <c r="AG45" s="253">
        <f ca="1">SUMIFS(Аренда!AG$26:AG$51,Аренда!$F$26:$F$51,$F45,Аренда!$G$26:$G$51,$G45)</f>
        <v>0</v>
      </c>
      <c r="AH45" s="253">
        <f t="shared" ca="1" si="1"/>
        <v>0</v>
      </c>
      <c r="AI45" s="253">
        <f ca="1">SUMIFS(Аренда!AH$26:AH$51,Аренда!$F$26:$F$51,$F45,Аренда!$G$26:$G$51,$G45)</f>
        <v>0</v>
      </c>
      <c r="AJ45" s="253">
        <f ca="1">SUMIFS(Аренда!AI$26:AI$51,Аренда!$F$26:$F$51,$F45,Аренда!$G$26:$G$51,$G45)</f>
        <v>0</v>
      </c>
      <c r="AK45" s="253">
        <f ca="1">SUMIFS(Аренда!AS$26:AS$51,Аренда!$F$26:$F$51,$F45,Аренда!$G$26:$G$51,$G45)</f>
        <v>0</v>
      </c>
      <c r="AL45" s="253">
        <f t="shared" ca="1" si="2"/>
        <v>0</v>
      </c>
      <c r="AM45" s="25"/>
      <c r="AN45" s="25"/>
      <c r="AO45" s="25"/>
      <c r="AR45" s="1019" t="s">
        <v>1874</v>
      </c>
      <c r="AS45" s="1054"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x14ac:dyDescent="0.15">
      <c r="C46" s="1084" t="s">
        <v>1824</v>
      </c>
      <c r="D46" s="1043" t="s">
        <v>1825</v>
      </c>
      <c r="E46" s="668">
        <v>17.100000000000001</v>
      </c>
      <c r="F46" s="769" cm="1">
        <f t="array" aca="1" ref="F46" ca="1">OFFSET(G46,-1,-1)</f>
        <v>0</v>
      </c>
      <c r="L46" s="1072"/>
      <c r="M46" s="1070" cm="1">
        <f t="array" aca="1" ref="M46" ca="1">OFFSET(L46,-1,1)</f>
        <v>0</v>
      </c>
      <c r="N46" s="1072"/>
      <c r="O46" s="1072" t="s">
        <v>1875</v>
      </c>
      <c r="P46" s="1072"/>
      <c r="Q46" s="1072"/>
      <c r="R46" s="1072"/>
      <c r="S46" s="1072"/>
      <c r="T46" s="679" t="b" cm="1">
        <f t="array" ref="T46">T45</f>
        <v>0</v>
      </c>
      <c r="X46" s="1485"/>
      <c r="Z46" s="1485"/>
      <c r="AB46" s="827" t="s">
        <v>1876</v>
      </c>
      <c r="AC46" s="828" t="s">
        <v>1343</v>
      </c>
      <c r="AD46" s="829" t="s">
        <v>1044</v>
      </c>
      <c r="AE46" s="73"/>
      <c r="AF46" s="73"/>
      <c r="AG46" s="73"/>
      <c r="AH46" s="253">
        <f t="shared" si="1"/>
        <v>0</v>
      </c>
      <c r="AI46" s="73"/>
      <c r="AJ46" s="509"/>
      <c r="AK46" s="509"/>
      <c r="AL46" s="253">
        <f t="shared" si="2"/>
        <v>0</v>
      </c>
      <c r="AM46" s="25"/>
      <c r="AN46" s="25"/>
      <c r="AO46" s="25"/>
      <c r="AR46" s="1019" t="s">
        <v>1877</v>
      </c>
      <c r="AS46" s="1054"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x14ac:dyDescent="0.15">
      <c r="C47" s="1084" t="s">
        <v>1824</v>
      </c>
      <c r="D47" s="1043" t="s">
        <v>1825</v>
      </c>
      <c r="E47" s="668">
        <v>17.100000000000001</v>
      </c>
      <c r="F47" s="769" cm="1">
        <f t="array" aca="1" ref="F47" ca="1">OFFSET(G47,-1,-1)</f>
        <v>0</v>
      </c>
      <c r="L47" s="1072"/>
      <c r="M47" s="1070" cm="1">
        <f t="array" aca="1" ref="M47" ca="1">OFFSET(L47,-1,1)</f>
        <v>0</v>
      </c>
      <c r="N47" s="1072"/>
      <c r="O47" s="1072" t="s">
        <v>1878</v>
      </c>
      <c r="P47" s="1072"/>
      <c r="Q47" s="1072"/>
      <c r="R47" s="1072"/>
      <c r="S47" s="1072"/>
      <c r="T47" s="679" t="b" cm="1">
        <f t="array" ref="T47">T46</f>
        <v>0</v>
      </c>
      <c r="X47" s="1485"/>
      <c r="Z47" s="1485"/>
      <c r="AB47" s="827" t="s">
        <v>1879</v>
      </c>
      <c r="AC47" s="828" t="s">
        <v>1345</v>
      </c>
      <c r="AD47" s="829" t="s">
        <v>1044</v>
      </c>
      <c r="AE47" s="73"/>
      <c r="AF47" s="73"/>
      <c r="AG47" s="73"/>
      <c r="AH47" s="253">
        <f t="shared" si="1"/>
        <v>0</v>
      </c>
      <c r="AI47" s="73"/>
      <c r="AJ47" s="509"/>
      <c r="AK47" s="509"/>
      <c r="AL47" s="253">
        <f t="shared" si="2"/>
        <v>0</v>
      </c>
      <c r="AM47" s="25"/>
      <c r="AN47" s="25"/>
      <c r="AO47" s="25"/>
      <c r="AR47" s="1019" t="s">
        <v>1346</v>
      </c>
      <c r="AS47" s="1054"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x14ac:dyDescent="0.15">
      <c r="C48" s="1084" t="s">
        <v>1824</v>
      </c>
      <c r="D48" s="1043" t="s">
        <v>1825</v>
      </c>
      <c r="E48" s="668">
        <v>35</v>
      </c>
      <c r="F48" s="769" cm="1">
        <f t="array" aca="1" ref="F48" ca="1">OFFSET(G48,-1,-1)</f>
        <v>0</v>
      </c>
      <c r="G48" s="140" t="s">
        <v>1276</v>
      </c>
      <c r="L48" s="1072"/>
      <c r="M48" s="1070" cm="1">
        <f t="array" aca="1" ref="M48" ca="1">OFFSET(L48,-1,1)</f>
        <v>0</v>
      </c>
      <c r="N48" s="1072"/>
      <c r="O48" s="1072" t="s">
        <v>1880</v>
      </c>
      <c r="P48" s="1072"/>
      <c r="Q48" s="1072"/>
      <c r="R48" s="1072"/>
      <c r="S48" s="1072"/>
      <c r="T48" s="679" t="b" cm="1">
        <f t="array" ref="T48">T47</f>
        <v>0</v>
      </c>
      <c r="X48" s="1485"/>
      <c r="Z48" s="1485"/>
      <c r="AB48" s="827" t="s">
        <v>1881</v>
      </c>
      <c r="AC48" s="828" t="s">
        <v>1882</v>
      </c>
      <c r="AD48" s="829" t="s">
        <v>1044</v>
      </c>
      <c r="AE48" s="507">
        <f ca="1">SUMIFS(Налоги!AE$26:AE$56,Налоги!$F$26:$F$56,$F48,Налоги!$G$26:$G$56,$G48)</f>
        <v>0</v>
      </c>
      <c r="AF48" s="507">
        <f ca="1">SUMIFS(Налоги!AF$26:AF$56,Налоги!$F$26:$F$56,$F48,Налоги!$G$26:$G$56,$G48)</f>
        <v>0</v>
      </c>
      <c r="AG48" s="507">
        <f ca="1">SUMIFS(Налоги!AG$26:AG$56,Налоги!$F$26:$F$56,$F48,Налоги!$G$26:$G$56,$G48)</f>
        <v>0</v>
      </c>
      <c r="AH48" s="253">
        <f t="shared" ca="1" si="1"/>
        <v>0</v>
      </c>
      <c r="AI48" s="507">
        <f ca="1">SUMIFS(Налоги!AH$26:AH$56,Налоги!$F$26:$F$56,$F48,Налоги!$G$26:$G$56,$G48)</f>
        <v>0</v>
      </c>
      <c r="AJ48" s="507">
        <f ca="1">SUMIFS(Налоги!AI$26:AI$56,Налоги!$F$26:$F$56,$F48,Налоги!$G$26:$G$56,$G48)</f>
        <v>0</v>
      </c>
      <c r="AK48" s="507">
        <f ca="1">SUMIFS(Налоги!AS$26:AS$56,Налоги!$F$26:$F$56,$F48,Налоги!$G$26:$G$56,$G48)</f>
        <v>0</v>
      </c>
      <c r="AL48" s="253">
        <f t="shared" ca="1" si="2"/>
        <v>0</v>
      </c>
      <c r="AM48" s="25"/>
      <c r="AN48" s="25"/>
      <c r="AO48" s="25"/>
      <c r="AR48" s="1019" t="s">
        <v>1883</v>
      </c>
      <c r="AS48" s="1054"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x14ac:dyDescent="0.15">
      <c r="C49" s="1084" t="s">
        <v>1824</v>
      </c>
      <c r="D49" s="1043" t="s">
        <v>1825</v>
      </c>
      <c r="E49" s="668">
        <v>35</v>
      </c>
      <c r="F49" s="769" cm="1">
        <f t="array" aca="1" ref="F49" ca="1">OFFSET(G49,-1,-1)</f>
        <v>0</v>
      </c>
      <c r="L49" s="1072" t="s">
        <v>1884</v>
      </c>
      <c r="M49" s="1070" cm="1">
        <f t="array" aca="1" ref="M49" ca="1">OFFSET(L49,-1,1)</f>
        <v>0</v>
      </c>
      <c r="N49" s="1072"/>
      <c r="O49" s="1072"/>
      <c r="P49" s="1072"/>
      <c r="Q49" s="1072"/>
      <c r="R49" s="1072"/>
      <c r="S49" s="1072"/>
      <c r="T49" s="679" t="b" cm="1">
        <f t="array" ref="T49">T48</f>
        <v>0</v>
      </c>
      <c r="X49" s="1485"/>
      <c r="Z49" s="1485"/>
      <c r="AB49" s="827" t="s">
        <v>1885</v>
      </c>
      <c r="AC49" s="828" t="s">
        <v>1886</v>
      </c>
      <c r="AD49" s="829" t="s">
        <v>1044</v>
      </c>
      <c r="AE49" s="507">
        <f ca="1">SUM(AE50:AE54)</f>
        <v>0</v>
      </c>
      <c r="AF49" s="507">
        <f ca="1">SUM(AF50:AF54)</f>
        <v>0</v>
      </c>
      <c r="AG49" s="507">
        <f ca="1">SUM(AG50:AG54)</f>
        <v>0</v>
      </c>
      <c r="AH49" s="253">
        <f t="shared" ca="1" si="1"/>
        <v>0</v>
      </c>
      <c r="AI49" s="507">
        <f ca="1">SUM(AI50:AI54)</f>
        <v>0</v>
      </c>
      <c r="AJ49" s="507">
        <f ca="1">SUM(AJ50:AJ54)</f>
        <v>0</v>
      </c>
      <c r="AK49" s="507">
        <f ca="1">SUM(AK50:AK54)</f>
        <v>0</v>
      </c>
      <c r="AL49" s="253">
        <f t="shared" ca="1" si="2"/>
        <v>0</v>
      </c>
      <c r="AM49" s="25"/>
      <c r="AN49" s="25"/>
      <c r="AO49" s="25"/>
      <c r="AR49" s="1019" t="s">
        <v>1292</v>
      </c>
      <c r="AS49" s="1054"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x14ac:dyDescent="0.15">
      <c r="C50" s="1084" t="s">
        <v>1824</v>
      </c>
      <c r="D50" s="1043" t="s">
        <v>1825</v>
      </c>
      <c r="E50" s="668">
        <v>17.100000000000001</v>
      </c>
      <c r="F50" s="769" cm="1">
        <f t="array" aca="1" ref="F50" ca="1">OFFSET(G50,-1,-1)</f>
        <v>0</v>
      </c>
      <c r="G50" s="140" t="s">
        <v>1280</v>
      </c>
      <c r="L50" s="1072" t="s">
        <v>1887</v>
      </c>
      <c r="M50" s="1070" cm="1">
        <f t="array" aca="1" ref="M50" ca="1">OFFSET(L50,-1,1)</f>
        <v>0</v>
      </c>
      <c r="N50" s="1072"/>
      <c r="O50" s="1072"/>
      <c r="P50" s="1072"/>
      <c r="Q50" s="1072"/>
      <c r="R50" s="1072"/>
      <c r="S50" s="1072"/>
      <c r="T50" s="679" t="b" cm="1">
        <f t="array" ref="T50">T49</f>
        <v>0</v>
      </c>
      <c r="X50" s="1485"/>
      <c r="Z50" s="1485"/>
      <c r="AB50" s="827" t="s">
        <v>1888</v>
      </c>
      <c r="AC50" s="828" t="s">
        <v>1889</v>
      </c>
      <c r="AD50" s="829" t="s">
        <v>1044</v>
      </c>
      <c r="AE50" s="507">
        <f ca="1">SUMIFS(Налоги!AE$26:AE$56,Налоги!$F$26:$F$56,$F50,Налоги!$H$26:$H$56,$G50)</f>
        <v>0</v>
      </c>
      <c r="AF50" s="507">
        <f ca="1">SUMIFS(Налоги!AF$26:AF$56,Налоги!$F$26:$F$56,$F50,Налоги!$H$26:$H$56,$G50)</f>
        <v>0</v>
      </c>
      <c r="AG50" s="507">
        <f ca="1">SUMIFS(Налоги!AG$26:AG$56,Налоги!$F$26:$F$56,$F50,Налоги!$H$26:$H$56,$G50)</f>
        <v>0</v>
      </c>
      <c r="AH50" s="253">
        <f t="shared" ca="1" si="1"/>
        <v>0</v>
      </c>
      <c r="AI50" s="507">
        <f ca="1">SUMIFS(Налоги!AH$26:AH$56,Налоги!$F$26:$F$56,$F50,Налоги!$H$26:$H$56,$G50)</f>
        <v>0</v>
      </c>
      <c r="AJ50" s="507">
        <f ca="1">SUMIFS(Налоги!AI$26:AI$56,Налоги!$F$26:$F$56,$F50,Налоги!$H$26:$H$56,$G50)</f>
        <v>0</v>
      </c>
      <c r="AK50" s="507">
        <f ca="1">SUMIFS(Налоги!AS$26:AS$56,Налоги!$F$26:$F$56,$F50,Налоги!$H$26:$H$56,$G50)</f>
        <v>0</v>
      </c>
      <c r="AL50" s="253">
        <f t="shared" ca="1" si="2"/>
        <v>0</v>
      </c>
      <c r="AM50" s="25"/>
      <c r="AN50" s="25"/>
      <c r="AO50" s="25"/>
      <c r="AR50" s="1019" t="s">
        <v>594</v>
      </c>
      <c r="AS50" s="1054"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x14ac:dyDescent="0.15">
      <c r="C51" s="1084" t="s">
        <v>1824</v>
      </c>
      <c r="D51" s="1043" t="s">
        <v>1825</v>
      </c>
      <c r="E51" s="668">
        <v>17.100000000000001</v>
      </c>
      <c r="F51" s="769" cm="1">
        <f t="array" aca="1" ref="F51" ca="1">OFFSET(G51,-1,-1)</f>
        <v>0</v>
      </c>
      <c r="G51" s="140" t="s">
        <v>1282</v>
      </c>
      <c r="L51" s="1072" t="s">
        <v>1890</v>
      </c>
      <c r="M51" s="1070" cm="1">
        <f t="array" aca="1" ref="M51" ca="1">OFFSET(L51,-1,1)</f>
        <v>0</v>
      </c>
      <c r="N51" s="1072"/>
      <c r="O51" s="1072"/>
      <c r="P51" s="1072"/>
      <c r="Q51" s="1072"/>
      <c r="R51" s="1072"/>
      <c r="S51" s="1072"/>
      <c r="T51" s="679" t="b" cm="1">
        <f t="array" ref="T51">T50</f>
        <v>0</v>
      </c>
      <c r="X51" s="1485"/>
      <c r="Z51" s="1485"/>
      <c r="AB51" s="827" t="s">
        <v>1891</v>
      </c>
      <c r="AC51" s="828" t="s">
        <v>1283</v>
      </c>
      <c r="AD51" s="829" t="s">
        <v>1044</v>
      </c>
      <c r="AE51" s="507">
        <f ca="1">SUMIFS(Налоги!AE$26:AE$56,Налоги!$F$26:$F$56,$F51,Налоги!$H$26:$H$56,$G51)</f>
        <v>0</v>
      </c>
      <c r="AF51" s="507">
        <f ca="1">SUMIFS(Налоги!AF$26:AF$56,Налоги!$F$26:$F$56,$F51,Налоги!$H$26:$H$56,$G51)</f>
        <v>0</v>
      </c>
      <c r="AG51" s="507">
        <f ca="1">SUMIFS(Налоги!AG$26:AG$56,Налоги!$F$26:$F$56,$F51,Налоги!$H$26:$H$56,$G51)</f>
        <v>0</v>
      </c>
      <c r="AH51" s="253">
        <f t="shared" ca="1" si="1"/>
        <v>0</v>
      </c>
      <c r="AI51" s="507">
        <f ca="1">SUMIFS(Налоги!AH$26:AH$56,Налоги!$F$26:$F$56,$F51,Налоги!$H$26:$H$56,$G51)</f>
        <v>0</v>
      </c>
      <c r="AJ51" s="507">
        <f ca="1">SUMIFS(Налоги!AI$26:AI$56,Налоги!$F$26:$F$56,$F51,Налоги!$H$26:$H$56,$G51)</f>
        <v>0</v>
      </c>
      <c r="AK51" s="507">
        <f ca="1">SUMIFS(Налоги!AS$26:AS$56,Налоги!$F$26:$F$56,$F51,Налоги!$H$26:$H$56,$G51)</f>
        <v>0</v>
      </c>
      <c r="AL51" s="253">
        <f t="shared" ca="1" si="2"/>
        <v>0</v>
      </c>
      <c r="AM51" s="25"/>
      <c r="AN51" s="25"/>
      <c r="AO51" s="25"/>
      <c r="AR51" s="1019" t="s">
        <v>1284</v>
      </c>
      <c r="AS51" s="1054"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x14ac:dyDescent="0.15">
      <c r="C52" s="1084" t="s">
        <v>1824</v>
      </c>
      <c r="D52" s="1043" t="s">
        <v>1825</v>
      </c>
      <c r="E52" s="668">
        <v>17.100000000000001</v>
      </c>
      <c r="F52" s="769" cm="1">
        <f t="array" aca="1" ref="F52" ca="1">OFFSET(G52,-1,-1)</f>
        <v>0</v>
      </c>
      <c r="G52" s="140" t="s">
        <v>1273</v>
      </c>
      <c r="L52" s="1072" t="s">
        <v>1892</v>
      </c>
      <c r="M52" s="1070" cm="1">
        <f t="array" aca="1" ref="M52" ca="1">OFFSET(L52,-1,1)</f>
        <v>0</v>
      </c>
      <c r="N52" s="1072"/>
      <c r="O52" s="1072"/>
      <c r="P52" s="1072"/>
      <c r="Q52" s="1072"/>
      <c r="R52" s="1072"/>
      <c r="S52" s="1072"/>
      <c r="T52" s="679" t="b" cm="1">
        <f t="array" ref="T52">T51</f>
        <v>0</v>
      </c>
      <c r="X52" s="1485"/>
      <c r="Z52" s="1485"/>
      <c r="AB52" s="830" t="s">
        <v>1893</v>
      </c>
      <c r="AC52" s="831" t="s">
        <v>1274</v>
      </c>
      <c r="AD52" s="832" t="s">
        <v>1044</v>
      </c>
      <c r="AE52" s="507">
        <f ca="1">SUMIFS(Налоги!AE$26:AE$56,Налоги!$F$26:$F$56,$F52,Налоги!$H$26:$H$56,$G52)</f>
        <v>0</v>
      </c>
      <c r="AF52" s="507">
        <f ca="1">SUMIFS(Налоги!AF$26:AF$56,Налоги!$F$26:$F$56,$F52,Налоги!$H$26:$H$56,$G52)</f>
        <v>0</v>
      </c>
      <c r="AG52" s="507">
        <f ca="1">SUMIFS(Налоги!AG$26:AG$56,Налоги!$F$26:$F$56,$F52,Налоги!$H$26:$H$56,$G52)</f>
        <v>0</v>
      </c>
      <c r="AH52" s="253">
        <f t="shared" ca="1" si="1"/>
        <v>0</v>
      </c>
      <c r="AI52" s="507">
        <f ca="1">SUMIFS(Налоги!AH$26:AH$56,Налоги!$F$26:$F$56,$F52,Налоги!$H$26:$H$56,$G52)</f>
        <v>0</v>
      </c>
      <c r="AJ52" s="507">
        <f ca="1">SUMIFS(Налоги!AI$26:AI$56,Налоги!$F$26:$F$56,$F52,Налоги!$H$26:$H$56,$G52)</f>
        <v>0</v>
      </c>
      <c r="AK52" s="507">
        <f ca="1">SUMIFS(Налоги!AS$26:AS$56,Налоги!$F$26:$F$56,$F52,Налоги!$H$26:$H$56,$G52)</f>
        <v>0</v>
      </c>
      <c r="AL52" s="253">
        <f t="shared" ca="1" si="2"/>
        <v>0</v>
      </c>
      <c r="AM52" s="25"/>
      <c r="AN52" s="25"/>
      <c r="AO52" s="25"/>
      <c r="AR52" s="1019" t="s">
        <v>1894</v>
      </c>
      <c r="AS52" s="1054"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x14ac:dyDescent="0.15">
      <c r="C53" s="1084" t="s">
        <v>1824</v>
      </c>
      <c r="D53" s="1043" t="s">
        <v>1825</v>
      </c>
      <c r="E53" s="668">
        <v>17.100000000000001</v>
      </c>
      <c r="F53" s="769" cm="1">
        <f t="array" aca="1" ref="F53" ca="1">OFFSET(G53,-1,-1)</f>
        <v>0</v>
      </c>
      <c r="G53" s="140" t="s">
        <v>1287</v>
      </c>
      <c r="L53" s="1072" t="s">
        <v>1895</v>
      </c>
      <c r="M53" s="1070" cm="1">
        <f t="array" aca="1" ref="M53" ca="1">OFFSET(L53,-1,1)</f>
        <v>0</v>
      </c>
      <c r="N53" s="1072"/>
      <c r="O53" s="1072"/>
      <c r="P53" s="1072"/>
      <c r="Q53" s="1072"/>
      <c r="R53" s="1072"/>
      <c r="S53" s="1072"/>
      <c r="T53" s="679" t="b" cm="1">
        <f t="array" ref="T53">T52</f>
        <v>0</v>
      </c>
      <c r="X53" s="1485"/>
      <c r="Z53" s="1485"/>
      <c r="AB53" s="724" t="s">
        <v>1896</v>
      </c>
      <c r="AC53" s="833" t="s">
        <v>1288</v>
      </c>
      <c r="AD53" s="724" t="s">
        <v>1044</v>
      </c>
      <c r="AE53" s="507">
        <f ca="1">SUMIFS(Налоги!AE$26:AE$56,Налоги!$F$26:$F$56,$F53,Налоги!$H$26:$H$56,$G53)</f>
        <v>0</v>
      </c>
      <c r="AF53" s="507">
        <f ca="1">SUMIFS(Налоги!AF$26:AF$56,Налоги!$F$26:$F$56,$F53,Налоги!$H$26:$H$56,$G53)</f>
        <v>0</v>
      </c>
      <c r="AG53" s="507">
        <f ca="1">SUMIFS(Налоги!AG$26:AG$56,Налоги!$F$26:$F$56,$F53,Налоги!$H$26:$H$56,$G53)</f>
        <v>0</v>
      </c>
      <c r="AH53" s="253">
        <f t="shared" ca="1" si="1"/>
        <v>0</v>
      </c>
      <c r="AI53" s="507">
        <f ca="1">SUMIFS(Налоги!AH$26:AH$56,Налоги!$F$26:$F$56,$F53,Налоги!$H$26:$H$56,$G53)</f>
        <v>0</v>
      </c>
      <c r="AJ53" s="507">
        <f ca="1">SUMIFS(Налоги!AI$26:AI$56,Налоги!$F$26:$F$56,$F53,Налоги!$H$26:$H$56,$G53)</f>
        <v>0</v>
      </c>
      <c r="AK53" s="507">
        <f ca="1">SUMIFS(Налоги!AS$26:AS$56,Налоги!$F$26:$F$56,$F53,Налоги!$H$26:$H$56,$G53)</f>
        <v>0</v>
      </c>
      <c r="AL53" s="253">
        <f t="shared" ca="1" si="2"/>
        <v>0</v>
      </c>
      <c r="AM53" s="25"/>
      <c r="AN53" s="25"/>
      <c r="AO53" s="25"/>
      <c r="AR53" s="1019" t="s">
        <v>1289</v>
      </c>
      <c r="AS53" s="1054"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x14ac:dyDescent="0.15">
      <c r="C54" s="1084" t="s">
        <v>1824</v>
      </c>
      <c r="D54" s="1043" t="s">
        <v>1825</v>
      </c>
      <c r="E54" s="668">
        <v>17.100000000000001</v>
      </c>
      <c r="F54" s="769" cm="1">
        <f t="array" aca="1" ref="F54" ca="1">OFFSET(G54,-1,-1)</f>
        <v>0</v>
      </c>
      <c r="G54" s="140" t="s">
        <v>1272</v>
      </c>
      <c r="L54" s="1072" t="s">
        <v>1897</v>
      </c>
      <c r="M54" s="1070" cm="1">
        <f t="array" aca="1" ref="M54" ca="1">OFFSET(L54,-1,1)</f>
        <v>0</v>
      </c>
      <c r="N54" s="1072"/>
      <c r="O54" s="1072"/>
      <c r="P54" s="1072"/>
      <c r="Q54" s="1072"/>
      <c r="R54" s="1072"/>
      <c r="S54" s="1072"/>
      <c r="T54" s="679" t="b" cm="1">
        <f t="array" ref="T54">T53</f>
        <v>0</v>
      </c>
      <c r="X54" s="1485"/>
      <c r="Z54" s="1485"/>
      <c r="AB54" s="724" t="s">
        <v>1898</v>
      </c>
      <c r="AC54" s="833" t="s">
        <v>1899</v>
      </c>
      <c r="AD54" s="724" t="s">
        <v>1044</v>
      </c>
      <c r="AE54" s="507">
        <f ca="1">SUMIFS(Налоги!AE$26:AE$56,Налоги!$F$26:$F$56,$F54,Налоги!$H$26:$H$56,$G54)</f>
        <v>0</v>
      </c>
      <c r="AF54" s="507">
        <f ca="1">SUMIFS(Налоги!AF$26:AF$56,Налоги!$F$26:$F$56,$F54,Налоги!$H$26:$H$56,$G54)</f>
        <v>0</v>
      </c>
      <c r="AG54" s="507">
        <f ca="1">SUMIFS(Налоги!AG$26:AG$56,Налоги!$F$26:$F$56,$F54,Налоги!$H$26:$H$56,$G54)</f>
        <v>0</v>
      </c>
      <c r="AH54" s="253">
        <f t="shared" ca="1" si="1"/>
        <v>0</v>
      </c>
      <c r="AI54" s="507">
        <f ca="1">SUMIFS(Налоги!AH$26:AH$56,Налоги!$F$26:$F$56,$F54,Налоги!$H$26:$H$56,$G54)</f>
        <v>0</v>
      </c>
      <c r="AJ54" s="507">
        <f ca="1">SUMIFS(Налоги!AI$26:AI$56,Налоги!$F$26:$F$56,$F54,Налоги!$H$26:$H$56,$G54)</f>
        <v>0</v>
      </c>
      <c r="AK54" s="507">
        <f ca="1">SUMIFS(Налоги!AS$26:AS$56,Налоги!$F$26:$F$56,$F54,Налоги!$H$26:$H$56,$G54)</f>
        <v>0</v>
      </c>
      <c r="AL54" s="253">
        <f t="shared" ca="1" si="2"/>
        <v>0</v>
      </c>
      <c r="AM54" s="25"/>
      <c r="AN54" s="25"/>
      <c r="AO54" s="25"/>
      <c r="AR54" s="1019" t="s">
        <v>1900</v>
      </c>
      <c r="AS54" s="1054"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x14ac:dyDescent="0.15">
      <c r="C55" s="1084" t="s">
        <v>1824</v>
      </c>
      <c r="D55" s="1043" t="s">
        <v>1825</v>
      </c>
      <c r="E55" s="668">
        <v>17.100000000000001</v>
      </c>
      <c r="F55" s="769" cm="1">
        <f t="array" aca="1" ref="F55" ca="1">OFFSET(G55,-1,-1)</f>
        <v>0</v>
      </c>
      <c r="L55" s="1072" t="s">
        <v>1901</v>
      </c>
      <c r="M55" s="1070" cm="1">
        <f t="array" aca="1" ref="M55" ca="1">OFFSET(L55,-1,1)</f>
        <v>0</v>
      </c>
      <c r="N55" s="1072"/>
      <c r="O55" s="1072"/>
      <c r="P55" s="1072"/>
      <c r="Q55" s="1072"/>
      <c r="R55" s="1072"/>
      <c r="S55" s="1072"/>
      <c r="T55" s="679" t="b" cm="1">
        <f t="array" ref="T55">T54</f>
        <v>0</v>
      </c>
      <c r="X55" s="1485"/>
      <c r="Z55" s="1485"/>
      <c r="AB55" s="742">
        <v>2</v>
      </c>
      <c r="AC55" s="834" t="s">
        <v>1902</v>
      </c>
      <c r="AD55" s="742" t="s">
        <v>1044</v>
      </c>
      <c r="AE55" s="507">
        <f>AE56+AE57+AE58+AE59</f>
        <v>0</v>
      </c>
      <c r="AF55" s="507">
        <f>AF56+AF57+AF58+AF59</f>
        <v>0</v>
      </c>
      <c r="AG55" s="507">
        <f>AG56+AG57+AG58+AG59</f>
        <v>0</v>
      </c>
      <c r="AH55" s="253">
        <f t="shared" si="1"/>
        <v>0</v>
      </c>
      <c r="AI55" s="507">
        <f>AI56+AI57+AI58+AI59</f>
        <v>0</v>
      </c>
      <c r="AJ55" s="507">
        <f>AJ56+AJ57+AJ58+AJ59</f>
        <v>0</v>
      </c>
      <c r="AK55" s="507">
        <f>AK56+AK57+AK58+AK59</f>
        <v>0</v>
      </c>
      <c r="AL55" s="253">
        <f t="shared" si="2"/>
        <v>0</v>
      </c>
      <c r="AM55" s="25"/>
      <c r="AN55" s="25"/>
      <c r="AO55" s="25"/>
      <c r="AR55" s="1019" t="s">
        <v>1903</v>
      </c>
      <c r="AS55" s="1054"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x14ac:dyDescent="0.15">
      <c r="C56" s="1084" t="s">
        <v>1824</v>
      </c>
      <c r="D56" s="1043" t="s">
        <v>1825</v>
      </c>
      <c r="E56" s="668">
        <v>45</v>
      </c>
      <c r="F56" s="769" cm="1">
        <f t="array" aca="1" ref="F56" ca="1">OFFSET(G56,-1,-1)</f>
        <v>0</v>
      </c>
      <c r="L56" s="1072"/>
      <c r="M56" s="1070" cm="1">
        <f t="array" aca="1" ref="M56" ca="1">OFFSET(L56,-1,1)</f>
        <v>0</v>
      </c>
      <c r="N56" s="1072"/>
      <c r="O56" s="1072"/>
      <c r="P56" s="1072" t="s">
        <v>1904</v>
      </c>
      <c r="Q56" s="1072"/>
      <c r="R56" s="1072"/>
      <c r="S56" s="1072"/>
      <c r="T56" s="679" t="b" cm="1">
        <f t="array" ref="T56">T55</f>
        <v>0</v>
      </c>
      <c r="X56" s="1485"/>
      <c r="Z56" s="1485"/>
      <c r="AB56" s="724" t="s">
        <v>479</v>
      </c>
      <c r="AC56" s="835" t="s">
        <v>1905</v>
      </c>
      <c r="AD56" s="724" t="s">
        <v>1044</v>
      </c>
      <c r="AE56" s="73"/>
      <c r="AF56" s="73"/>
      <c r="AG56" s="73"/>
      <c r="AH56" s="253">
        <f t="shared" si="1"/>
        <v>0</v>
      </c>
      <c r="AI56" s="73"/>
      <c r="AJ56" s="509"/>
      <c r="AK56" s="509"/>
      <c r="AL56" s="253">
        <f t="shared" si="2"/>
        <v>0</v>
      </c>
      <c r="AM56" s="25"/>
      <c r="AN56" s="25"/>
      <c r="AO56" s="25"/>
      <c r="AR56" s="1019" t="s">
        <v>1906</v>
      </c>
      <c r="AS56" s="1054"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x14ac:dyDescent="0.15">
      <c r="C57" s="1084" t="s">
        <v>1824</v>
      </c>
      <c r="D57" s="1043" t="s">
        <v>1825</v>
      </c>
      <c r="E57" s="668">
        <v>17.100000000000001</v>
      </c>
      <c r="F57" s="769" cm="1">
        <f t="array" aca="1" ref="F57" ca="1">OFFSET(G57,-1,-1)</f>
        <v>0</v>
      </c>
      <c r="L57" s="1072"/>
      <c r="M57" s="1070" cm="1">
        <f t="array" aca="1" ref="M57" ca="1">OFFSET(L57,-1,1)</f>
        <v>0</v>
      </c>
      <c r="N57" s="1072" t="s">
        <v>1907</v>
      </c>
      <c r="O57" s="1072"/>
      <c r="P57" s="1072"/>
      <c r="Q57" s="1072"/>
      <c r="R57" s="1072"/>
      <c r="S57" s="1072"/>
      <c r="T57" s="679" t="b" cm="1">
        <f t="array" ref="T57">T56</f>
        <v>0</v>
      </c>
      <c r="X57" s="1485"/>
      <c r="Z57" s="1485"/>
      <c r="AB57" s="460" t="s">
        <v>506</v>
      </c>
      <c r="AC57" s="836" t="s">
        <v>1393</v>
      </c>
      <c r="AD57" s="473" t="s">
        <v>1044</v>
      </c>
      <c r="AE57" s="73"/>
      <c r="AF57" s="73"/>
      <c r="AG57" s="73"/>
      <c r="AH57" s="253">
        <f t="shared" si="1"/>
        <v>0</v>
      </c>
      <c r="AI57" s="73"/>
      <c r="AJ57" s="509"/>
      <c r="AK57" s="509"/>
      <c r="AL57" s="253">
        <f t="shared" si="2"/>
        <v>0</v>
      </c>
      <c r="AM57" s="25"/>
      <c r="AN57" s="25"/>
      <c r="AO57" s="25"/>
      <c r="AR57" s="1019" t="s">
        <v>1908</v>
      </c>
      <c r="AS57" s="1054"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x14ac:dyDescent="0.15">
      <c r="C58" s="1084" t="s">
        <v>1824</v>
      </c>
      <c r="D58" s="1043" t="s">
        <v>1825</v>
      </c>
      <c r="E58" s="668">
        <v>35</v>
      </c>
      <c r="F58" s="769" cm="1">
        <f t="array" aca="1" ref="F58" ca="1">OFFSET(G58,-1,-1)</f>
        <v>0</v>
      </c>
      <c r="L58" s="1072" t="s">
        <v>1909</v>
      </c>
      <c r="M58" s="1070" cm="1">
        <f t="array" aca="1" ref="M58" ca="1">OFFSET(L58,-1,1)</f>
        <v>0</v>
      </c>
      <c r="N58" s="1072"/>
      <c r="O58" s="1072"/>
      <c r="P58" s="1072"/>
      <c r="Q58" s="1072"/>
      <c r="R58" s="1072"/>
      <c r="S58" s="1072"/>
      <c r="T58" s="679" t="b" cm="1">
        <f t="array" ref="T58">T57</f>
        <v>0</v>
      </c>
      <c r="X58" s="1485"/>
      <c r="Z58" s="1485"/>
      <c r="AB58" s="411" t="s">
        <v>510</v>
      </c>
      <c r="AC58" s="837" t="s">
        <v>1405</v>
      </c>
      <c r="AD58" s="474" t="s">
        <v>1044</v>
      </c>
      <c r="AE58" s="73"/>
      <c r="AF58" s="73"/>
      <c r="AG58" s="73"/>
      <c r="AH58" s="253">
        <f t="shared" si="1"/>
        <v>0</v>
      </c>
      <c r="AI58" s="73"/>
      <c r="AJ58" s="509"/>
      <c r="AK58" s="509"/>
      <c r="AL58" s="253">
        <f t="shared" si="2"/>
        <v>0</v>
      </c>
      <c r="AM58" s="25"/>
      <c r="AN58" s="25"/>
      <c r="AO58" s="25"/>
      <c r="AR58" s="1019" t="s">
        <v>1910</v>
      </c>
      <c r="AS58" s="1054"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x14ac:dyDescent="0.15">
      <c r="C59" s="1084" t="s">
        <v>1824</v>
      </c>
      <c r="D59" s="1043" t="s">
        <v>1825</v>
      </c>
      <c r="E59" s="668">
        <v>17.100000000000001</v>
      </c>
      <c r="F59" s="769" cm="1">
        <f t="array" aca="1" ref="F59" ca="1">OFFSET(G59,-1,-1)</f>
        <v>0</v>
      </c>
      <c r="L59" s="1072"/>
      <c r="M59" s="1070" cm="1">
        <f t="array" aca="1" ref="M59" ca="1">OFFSET(L59,-1,1)</f>
        <v>0</v>
      </c>
      <c r="N59" s="1062" t="s">
        <v>1911</v>
      </c>
      <c r="O59" s="1072"/>
      <c r="P59" s="1072"/>
      <c r="Q59" s="1072"/>
      <c r="R59" s="1072"/>
      <c r="S59" s="1072"/>
      <c r="T59" s="679" t="b" cm="1">
        <f t="array" ref="T59">T58</f>
        <v>0</v>
      </c>
      <c r="X59" s="1485"/>
      <c r="Z59" s="1485"/>
      <c r="AB59" s="411" t="s">
        <v>514</v>
      </c>
      <c r="AC59" s="837" t="s">
        <v>1912</v>
      </c>
      <c r="AD59" s="474" t="s">
        <v>1044</v>
      </c>
      <c r="AE59" s="507">
        <f>AE60+AE61</f>
        <v>0</v>
      </c>
      <c r="AF59" s="507">
        <f>AF60+AF61</f>
        <v>0</v>
      </c>
      <c r="AG59" s="507">
        <f>AG60+AG61</f>
        <v>0</v>
      </c>
      <c r="AH59" s="253">
        <f t="shared" si="1"/>
        <v>0</v>
      </c>
      <c r="AI59" s="507">
        <f>AI60+AI61</f>
        <v>0</v>
      </c>
      <c r="AJ59" s="507">
        <f>AJ60+AJ61</f>
        <v>0</v>
      </c>
      <c r="AK59" s="507">
        <f>AK60+AK61</f>
        <v>0</v>
      </c>
      <c r="AL59" s="253">
        <f t="shared" si="2"/>
        <v>0</v>
      </c>
      <c r="AM59" s="25"/>
      <c r="AN59" s="25"/>
      <c r="AO59" s="25"/>
      <c r="AR59" s="1019" t="s">
        <v>1913</v>
      </c>
      <c r="AS59" s="1054"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x14ac:dyDescent="0.15">
      <c r="C60" s="1084" t="s">
        <v>1824</v>
      </c>
      <c r="D60" s="1043" t="s">
        <v>1825</v>
      </c>
      <c r="E60" s="668">
        <v>17.100000000000001</v>
      </c>
      <c r="F60" s="769" cm="1">
        <f t="array" aca="1" ref="F60" ca="1">OFFSET(G60,-1,-1)</f>
        <v>0</v>
      </c>
      <c r="L60" s="1072" t="s">
        <v>1914</v>
      </c>
      <c r="M60" s="1070" cm="1">
        <f t="array" aca="1" ref="M60" ca="1">OFFSET(L60,-1,1)</f>
        <v>0</v>
      </c>
      <c r="N60" s="1072"/>
      <c r="O60" s="1072"/>
      <c r="P60" s="1072"/>
      <c r="Q60" s="1072"/>
      <c r="R60" s="1072"/>
      <c r="S60" s="1072"/>
      <c r="T60" s="679" t="b" cm="1">
        <f t="array" ref="T60">T59</f>
        <v>0</v>
      </c>
      <c r="X60" s="1485"/>
      <c r="Z60" s="1485"/>
      <c r="AB60" s="416" t="s">
        <v>1915</v>
      </c>
      <c r="AC60" s="838" t="s">
        <v>1916</v>
      </c>
      <c r="AD60" s="541" t="s">
        <v>1044</v>
      </c>
      <c r="AE60" s="73"/>
      <c r="AF60" s="73"/>
      <c r="AG60" s="73"/>
      <c r="AH60" s="253">
        <f t="shared" si="1"/>
        <v>0</v>
      </c>
      <c r="AI60" s="73"/>
      <c r="AJ60" s="509"/>
      <c r="AK60" s="509"/>
      <c r="AL60" s="253">
        <f t="shared" ref="AL60:AL84" si="3">IF(AI60=0,0,(AK60-AI60)/AI60*100)</f>
        <v>0</v>
      </c>
      <c r="AM60" s="25"/>
      <c r="AN60" s="25"/>
      <c r="AO60" s="25"/>
      <c r="AR60" s="1019" t="s">
        <v>1917</v>
      </c>
      <c r="AS60" s="1054"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x14ac:dyDescent="0.15">
      <c r="C61" s="1084" t="s">
        <v>1824</v>
      </c>
      <c r="D61" s="1043" t="s">
        <v>1825</v>
      </c>
      <c r="E61" s="668">
        <v>17.100000000000001</v>
      </c>
      <c r="F61" s="769" cm="1">
        <f t="array" aca="1" ref="F61" ca="1">OFFSET(G61,-1,-1)</f>
        <v>0</v>
      </c>
      <c r="L61" s="1072"/>
      <c r="M61" s="1070" cm="1">
        <f t="array" aca="1" ref="M61" ca="1">OFFSET(L61,-1,1)</f>
        <v>0</v>
      </c>
      <c r="N61" s="1072" t="s">
        <v>1918</v>
      </c>
      <c r="O61" s="1072"/>
      <c r="P61" s="1072"/>
      <c r="Q61" s="1072"/>
      <c r="R61" s="1072"/>
      <c r="S61" s="1072"/>
      <c r="T61" s="679" t="b" cm="1">
        <f t="array" ref="T61">T60</f>
        <v>0</v>
      </c>
      <c r="X61" s="1485"/>
      <c r="Z61" s="1485"/>
      <c r="AB61" s="724" t="s">
        <v>1919</v>
      </c>
      <c r="AC61" s="835" t="s">
        <v>1920</v>
      </c>
      <c r="AD61" s="724" t="s">
        <v>1044</v>
      </c>
      <c r="AE61" s="73"/>
      <c r="AF61" s="73"/>
      <c r="AG61" s="73"/>
      <c r="AH61" s="253">
        <f t="shared" si="1"/>
        <v>0</v>
      </c>
      <c r="AI61" s="73"/>
      <c r="AJ61" s="509"/>
      <c r="AK61" s="509"/>
      <c r="AL61" s="253">
        <f t="shared" si="3"/>
        <v>0</v>
      </c>
      <c r="AM61" s="25"/>
      <c r="AN61" s="25"/>
      <c r="AO61" s="25"/>
      <c r="AR61" s="1019" t="s">
        <v>1921</v>
      </c>
      <c r="AS61" s="1054"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x14ac:dyDescent="0.15">
      <c r="C62" s="1084" t="s">
        <v>1824</v>
      </c>
      <c r="D62" s="1043" t="s">
        <v>1825</v>
      </c>
      <c r="E62" s="668">
        <v>35</v>
      </c>
      <c r="F62" s="769" cm="1">
        <f t="array" aca="1" ref="F62" ca="1">OFFSET(G62,-1,-1)</f>
        <v>0</v>
      </c>
      <c r="L62" s="1072"/>
      <c r="M62" s="1070" cm="1">
        <f t="array" aca="1" ref="M62" ca="1">OFFSET(L62,-1,1)</f>
        <v>0</v>
      </c>
      <c r="N62" s="1072" t="s">
        <v>1922</v>
      </c>
      <c r="O62" s="1072"/>
      <c r="P62" s="1072"/>
      <c r="Q62" s="1072"/>
      <c r="R62" s="1072"/>
      <c r="S62" s="1072"/>
      <c r="T62" s="679" t="b" cm="1">
        <f t="array" ref="T62">T61</f>
        <v>0</v>
      </c>
      <c r="X62" s="1485"/>
      <c r="Z62" s="1485"/>
      <c r="AB62" s="742">
        <v>3</v>
      </c>
      <c r="AC62" s="839" t="s">
        <v>1923</v>
      </c>
      <c r="AD62" s="742" t="s">
        <v>1044</v>
      </c>
      <c r="AE62" s="507">
        <f>AE63+AE64+AE65+AE66</f>
        <v>0</v>
      </c>
      <c r="AF62" s="507">
        <f>AF63+AF64+AF65+AF66</f>
        <v>0</v>
      </c>
      <c r="AG62" s="507">
        <f>AG63+AG64+AG65+AG66</f>
        <v>0</v>
      </c>
      <c r="AH62" s="253">
        <f t="shared" si="1"/>
        <v>0</v>
      </c>
      <c r="AI62" s="507">
        <f>AI63+AI64+AI65+AI66</f>
        <v>0</v>
      </c>
      <c r="AJ62" s="507">
        <f>AJ63+AJ64+AJ65+AJ66</f>
        <v>0</v>
      </c>
      <c r="AK62" s="507">
        <f>AK63+AK64+AK65+AK66</f>
        <v>0</v>
      </c>
      <c r="AL62" s="253">
        <f t="shared" si="3"/>
        <v>0</v>
      </c>
      <c r="AM62" s="25"/>
      <c r="AN62" s="25"/>
      <c r="AO62" s="25"/>
      <c r="AR62" s="1019" t="s">
        <v>1924</v>
      </c>
      <c r="AS62" s="1054"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x14ac:dyDescent="0.15">
      <c r="C63" s="1084" t="s">
        <v>1824</v>
      </c>
      <c r="D63" s="1043" t="s">
        <v>1825</v>
      </c>
      <c r="E63" s="668">
        <v>17.100000000000001</v>
      </c>
      <c r="F63" s="769" cm="1">
        <f t="array" aca="1" ref="F63" ca="1">OFFSET(G63,-1,-1)</f>
        <v>0</v>
      </c>
      <c r="L63" s="1072"/>
      <c r="M63" s="1070" cm="1">
        <f t="array" aca="1" ref="M63" ca="1">OFFSET(L63,-1,1)</f>
        <v>0</v>
      </c>
      <c r="N63" s="1072" t="s">
        <v>1925</v>
      </c>
      <c r="O63" s="1072"/>
      <c r="P63" s="1072"/>
      <c r="Q63" s="1072"/>
      <c r="R63" s="1072"/>
      <c r="S63" s="1072"/>
      <c r="T63" s="679" t="b" cm="1">
        <f t="array" ref="T63">T62</f>
        <v>0</v>
      </c>
      <c r="X63" s="1485"/>
      <c r="Z63" s="1485"/>
      <c r="AB63" s="724" t="s">
        <v>735</v>
      </c>
      <c r="AC63" s="833" t="s">
        <v>1926</v>
      </c>
      <c r="AD63" s="724" t="s">
        <v>1044</v>
      </c>
      <c r="AE63" s="73"/>
      <c r="AF63" s="73"/>
      <c r="AG63" s="73"/>
      <c r="AH63" s="253">
        <f t="shared" si="1"/>
        <v>0</v>
      </c>
      <c r="AI63" s="73"/>
      <c r="AJ63" s="509"/>
      <c r="AK63" s="509"/>
      <c r="AL63" s="253">
        <f t="shared" si="3"/>
        <v>0</v>
      </c>
      <c r="AM63" s="25"/>
      <c r="AN63" s="25"/>
      <c r="AO63" s="25"/>
      <c r="AR63" s="1019" t="s">
        <v>1927</v>
      </c>
      <c r="AS63" s="1054"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x14ac:dyDescent="0.15">
      <c r="C64" s="1084" t="s">
        <v>1824</v>
      </c>
      <c r="D64" s="1043" t="s">
        <v>1825</v>
      </c>
      <c r="E64" s="668">
        <v>17.100000000000001</v>
      </c>
      <c r="F64" s="769" cm="1">
        <f t="array" aca="1" ref="F64" ca="1">OFFSET(G64,-1,-1)</f>
        <v>0</v>
      </c>
      <c r="L64" s="1072"/>
      <c r="M64" s="1070" cm="1">
        <f t="array" aca="1" ref="M64" ca="1">OFFSET(L64,-1,1)</f>
        <v>0</v>
      </c>
      <c r="N64" s="1072" t="s">
        <v>1928</v>
      </c>
      <c r="O64" s="1072"/>
      <c r="P64" s="1072"/>
      <c r="Q64" s="1072"/>
      <c r="R64" s="1072"/>
      <c r="S64" s="1072"/>
      <c r="T64" s="679" t="b" cm="1">
        <f t="array" ref="T64">T63</f>
        <v>0</v>
      </c>
      <c r="X64" s="1485"/>
      <c r="Z64" s="1485"/>
      <c r="AB64" s="724" t="s">
        <v>738</v>
      </c>
      <c r="AC64" s="833" t="s">
        <v>1929</v>
      </c>
      <c r="AD64" s="724" t="s">
        <v>1044</v>
      </c>
      <c r="AE64" s="73"/>
      <c r="AF64" s="73"/>
      <c r="AG64" s="73"/>
      <c r="AH64" s="253">
        <f t="shared" si="1"/>
        <v>0</v>
      </c>
      <c r="AI64" s="73"/>
      <c r="AJ64" s="509"/>
      <c r="AK64" s="509"/>
      <c r="AL64" s="253">
        <f t="shared" si="3"/>
        <v>0</v>
      </c>
      <c r="AM64" s="25"/>
      <c r="AN64" s="25"/>
      <c r="AO64" s="25"/>
      <c r="AR64" s="1019" t="s">
        <v>1930</v>
      </c>
      <c r="AS64" s="1054"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x14ac:dyDescent="0.15">
      <c r="C65" s="1084" t="s">
        <v>1824</v>
      </c>
      <c r="D65" s="1043" t="s">
        <v>1825</v>
      </c>
      <c r="E65" s="668">
        <v>17.100000000000001</v>
      </c>
      <c r="F65" s="769" cm="1">
        <f t="array" aca="1" ref="F65" ca="1">OFFSET(G65,-1,-1)</f>
        <v>0</v>
      </c>
      <c r="L65" s="1072"/>
      <c r="M65" s="1070" cm="1">
        <f t="array" aca="1" ref="M65" ca="1">OFFSET(L65,-1,1)</f>
        <v>0</v>
      </c>
      <c r="N65" s="1072"/>
      <c r="O65" s="1072"/>
      <c r="P65" s="1072"/>
      <c r="Q65" s="1072" t="s">
        <v>1931</v>
      </c>
      <c r="R65" s="1072"/>
      <c r="S65" s="1072"/>
      <c r="T65" s="679" t="b" cm="1">
        <f t="array" ref="T65">T64</f>
        <v>0</v>
      </c>
      <c r="X65" s="1485"/>
      <c r="Z65" s="1485"/>
      <c r="AB65" s="724" t="s">
        <v>1932</v>
      </c>
      <c r="AC65" s="833" t="s">
        <v>1933</v>
      </c>
      <c r="AD65" s="724" t="s">
        <v>1044</v>
      </c>
      <c r="AE65" s="73"/>
      <c r="AF65" s="73"/>
      <c r="AG65" s="73"/>
      <c r="AH65" s="253">
        <f t="shared" si="1"/>
        <v>0</v>
      </c>
      <c r="AI65" s="73"/>
      <c r="AJ65" s="509"/>
      <c r="AK65" s="509"/>
      <c r="AL65" s="253">
        <f t="shared" si="3"/>
        <v>0</v>
      </c>
      <c r="AM65" s="25"/>
      <c r="AN65" s="25"/>
      <c r="AO65" s="25"/>
      <c r="AR65" s="1019" t="s">
        <v>1934</v>
      </c>
      <c r="AS65" s="1054"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x14ac:dyDescent="0.15">
      <c r="C66" s="1084" t="s">
        <v>1824</v>
      </c>
      <c r="D66" s="1043" t="s">
        <v>1825</v>
      </c>
      <c r="E66" s="668">
        <v>17.100000000000001</v>
      </c>
      <c r="F66" s="769" cm="1">
        <f t="array" aca="1" ref="F66" ca="1">OFFSET(G66,-1,-1)</f>
        <v>0</v>
      </c>
      <c r="L66" s="1072" t="s">
        <v>1884</v>
      </c>
      <c r="M66" s="1070" cm="1">
        <f t="array" aca="1" ref="M66" ca="1">OFFSET(L66,-1,1)</f>
        <v>0</v>
      </c>
      <c r="N66" s="1072" t="s">
        <v>1911</v>
      </c>
      <c r="O66" s="1072"/>
      <c r="P66" s="1072"/>
      <c r="Q66" s="1072"/>
      <c r="R66" s="1072"/>
      <c r="S66" s="1072"/>
      <c r="T66" s="679" t="b" cm="1">
        <f t="array" ref="T66">T65</f>
        <v>0</v>
      </c>
      <c r="X66" s="1485"/>
      <c r="Z66" s="1485"/>
      <c r="AB66" s="724" t="s">
        <v>1935</v>
      </c>
      <c r="AC66" s="833" t="s">
        <v>1291</v>
      </c>
      <c r="AD66" s="724" t="s">
        <v>1044</v>
      </c>
      <c r="AE66" s="73"/>
      <c r="AF66" s="73"/>
      <c r="AG66" s="73"/>
      <c r="AH66" s="253">
        <f t="shared" si="1"/>
        <v>0</v>
      </c>
      <c r="AI66" s="73"/>
      <c r="AJ66" s="509"/>
      <c r="AK66" s="509"/>
      <c r="AL66" s="253">
        <f t="shared" si="3"/>
        <v>0</v>
      </c>
      <c r="AM66" s="25"/>
      <c r="AN66" s="25"/>
      <c r="AO66" s="25"/>
      <c r="AR66" s="1019" t="s">
        <v>1936</v>
      </c>
      <c r="AS66" s="1054"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x14ac:dyDescent="0.15">
      <c r="C67" s="1084" t="s">
        <v>1824</v>
      </c>
      <c r="D67" s="1043" t="s">
        <v>1825</v>
      </c>
      <c r="E67" s="668">
        <v>17.100000000000001</v>
      </c>
      <c r="F67" s="769" cm="1">
        <f t="array" aca="1" ref="F67" ca="1">OFFSET(G67,-1,-1)</f>
        <v>0</v>
      </c>
      <c r="G67" s="612" t="s">
        <v>1285</v>
      </c>
      <c r="L67" s="1072" t="s">
        <v>1937</v>
      </c>
      <c r="M67" s="1070" cm="1">
        <f t="array" aca="1" ref="M67" ca="1">OFFSET(L67,-1,1)</f>
        <v>0</v>
      </c>
      <c r="N67" s="1072"/>
      <c r="O67" s="1072"/>
      <c r="P67" s="1072"/>
      <c r="Q67" s="1072"/>
      <c r="R67" s="1072"/>
      <c r="S67" s="1072"/>
      <c r="T67" s="679" t="b" cm="1">
        <f t="array" ref="T67">T66</f>
        <v>0</v>
      </c>
      <c r="X67" s="1485"/>
      <c r="Z67" s="1485"/>
      <c r="AB67" s="742">
        <v>4</v>
      </c>
      <c r="AC67" s="839" t="s">
        <v>1402</v>
      </c>
      <c r="AD67" s="742" t="s">
        <v>1044</v>
      </c>
      <c r="AE67" s="507">
        <f ca="1">SUMIFS(Налоги!AE$26:AE$56,Налоги!$F$26:$F$56,$F67,Налоги!$G$26:$G$56,$G67)</f>
        <v>0</v>
      </c>
      <c r="AF67" s="507">
        <f ca="1">SUMIFS(Налоги!AF$26:AF$56,Налоги!$F$26:$F$56,$F67,Налоги!$G$26:$G$56,$G67)</f>
        <v>0</v>
      </c>
      <c r="AG67" s="507">
        <f ca="1">SUMIFS(Налоги!AG$26:AG$56,Налоги!$F$26:$F$56,$F67,Налоги!$G$26:$G$56,$G67)</f>
        <v>0</v>
      </c>
      <c r="AH67" s="253">
        <f t="shared" ca="1" si="1"/>
        <v>0</v>
      </c>
      <c r="AI67" s="507">
        <f ca="1">SUMIFS(Налоги!AH$26:AH$56,Налоги!$F$26:$F$56,$F67,Налоги!$G$26:$G$56,$G67)</f>
        <v>0</v>
      </c>
      <c r="AJ67" s="507">
        <f ca="1">SUMIFS(Налоги!AI$26:AI$56,Налоги!$F$26:$F$56,$F67,Налоги!$G$26:$G$56,$G67)</f>
        <v>0</v>
      </c>
      <c r="AK67" s="507">
        <f ca="1">SUMIFS(Налоги!AS$26:AS$56,Налоги!$F$26:$F$56,$F67,Налоги!$G$26:$G$56,$G67)</f>
        <v>0</v>
      </c>
      <c r="AL67" s="253">
        <f t="shared" ca="1" si="3"/>
        <v>0</v>
      </c>
      <c r="AM67" s="25"/>
      <c r="AN67" s="25"/>
      <c r="AO67" s="25"/>
      <c r="AR67" s="1019" t="s">
        <v>602</v>
      </c>
      <c r="AS67" s="1054"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x14ac:dyDescent="0.15">
      <c r="C68" s="1084" t="s">
        <v>1691</v>
      </c>
      <c r="D68" s="1043" t="s">
        <v>1692</v>
      </c>
      <c r="E68" s="668">
        <v>35</v>
      </c>
      <c r="F68" s="769" cm="1">
        <f t="array" aca="1" ref="F68" ca="1">OFFSET(G68,-1,-1)</f>
        <v>0</v>
      </c>
      <c r="L68" s="1072"/>
      <c r="M68" s="1070" cm="1">
        <f t="array" aca="1" ref="M68" ca="1">OFFSET(L68,-1,1)</f>
        <v>0</v>
      </c>
      <c r="N68" s="1072" t="s">
        <v>1938</v>
      </c>
      <c r="O68" s="1072"/>
      <c r="P68" s="1072"/>
      <c r="Q68" s="1072"/>
      <c r="R68" s="1072"/>
      <c r="S68" s="1072"/>
      <c r="T68" s="679" t="b" cm="1">
        <f t="array" ref="T68">T67</f>
        <v>0</v>
      </c>
      <c r="X68" s="1485"/>
      <c r="Z68" s="1485"/>
      <c r="AB68" s="742">
        <v>5</v>
      </c>
      <c r="AC68" s="839" t="s">
        <v>1939</v>
      </c>
      <c r="AD68" s="742" t="s">
        <v>1044</v>
      </c>
      <c r="AE68" s="73"/>
      <c r="AF68" s="73"/>
      <c r="AG68" s="73"/>
      <c r="AH68" s="253">
        <f t="shared" si="1"/>
        <v>0</v>
      </c>
      <c r="AI68" s="73"/>
      <c r="AJ68" s="509"/>
      <c r="AK68" s="509"/>
      <c r="AL68" s="253">
        <f t="shared" si="3"/>
        <v>0</v>
      </c>
      <c r="AM68" s="25"/>
      <c r="AN68" s="25"/>
      <c r="AO68" s="25"/>
      <c r="AR68" s="1019" t="s">
        <v>1533</v>
      </c>
      <c r="AS68" s="1054"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x14ac:dyDescent="0.15">
      <c r="C69" s="1084" t="s">
        <v>1824</v>
      </c>
      <c r="D69" s="1043" t="s">
        <v>1825</v>
      </c>
      <c r="E69" s="668">
        <v>17.100000000000001</v>
      </c>
      <c r="F69" s="769" cm="1">
        <f t="array" aca="1" ref="F69" ca="1">OFFSET(G69,-1,-1)</f>
        <v>0</v>
      </c>
      <c r="L69" s="1072"/>
      <c r="M69" s="1070" cm="1">
        <f t="array" aca="1" ref="M69" ca="1">OFFSET(L69,-1,1)</f>
        <v>0</v>
      </c>
      <c r="N69" s="1072" t="s">
        <v>1940</v>
      </c>
      <c r="O69" s="1072"/>
      <c r="P69" s="1072"/>
      <c r="Q69" s="1072"/>
      <c r="R69" s="1072"/>
      <c r="S69" s="1072"/>
      <c r="T69" s="679" t="b" cm="1">
        <f t="array" ref="T69">T68</f>
        <v>0</v>
      </c>
      <c r="X69" s="1485"/>
      <c r="Z69" s="1485"/>
      <c r="AB69" s="742">
        <v>6</v>
      </c>
      <c r="AC69" s="839" t="s">
        <v>1941</v>
      </c>
      <c r="AD69" s="742" t="s">
        <v>1044</v>
      </c>
      <c r="AE69" s="73"/>
      <c r="AF69" s="73"/>
      <c r="AG69" s="73"/>
      <c r="AH69" s="253">
        <f t="shared" si="1"/>
        <v>0</v>
      </c>
      <c r="AI69" s="73"/>
      <c r="AJ69" s="509"/>
      <c r="AK69" s="509"/>
      <c r="AL69" s="253">
        <f t="shared" si="3"/>
        <v>0</v>
      </c>
      <c r="AM69" s="25"/>
      <c r="AN69" s="25"/>
      <c r="AO69" s="25"/>
      <c r="AR69" s="1019" t="s">
        <v>1404</v>
      </c>
      <c r="AS69" s="1054"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x14ac:dyDescent="0.15">
      <c r="C70" s="1084" t="s">
        <v>1719</v>
      </c>
      <c r="D70" s="1043" t="s">
        <v>1720</v>
      </c>
      <c r="E70" s="668">
        <v>17.100000000000001</v>
      </c>
      <c r="F70" s="769" cm="1">
        <f t="array" aca="1" ref="F70" ca="1">OFFSET(G70,-1,-1)</f>
        <v>0</v>
      </c>
      <c r="L70" s="1072"/>
      <c r="M70" s="1070" cm="1">
        <f t="array" aca="1" ref="M70" ca="1">OFFSET(L70,-1,1)</f>
        <v>0</v>
      </c>
      <c r="N70" s="1072"/>
      <c r="O70" s="1072"/>
      <c r="P70" s="1072"/>
      <c r="Q70" s="1072"/>
      <c r="R70" s="1072"/>
      <c r="S70" s="1072"/>
      <c r="T70" s="679" t="b" cm="1">
        <f t="array" ref="T70">T69</f>
        <v>0</v>
      </c>
      <c r="X70" s="1485"/>
      <c r="Z70" s="1485"/>
      <c r="AB70" s="840" t="s">
        <v>449</v>
      </c>
      <c r="AC70" s="841" t="s">
        <v>1722</v>
      </c>
      <c r="AD70" s="842" t="s">
        <v>1044</v>
      </c>
      <c r="AE70" s="507">
        <f ca="1">AE28+AE55+AE62+AE67+AE68+AE69</f>
        <v>0</v>
      </c>
      <c r="AF70" s="507">
        <f ca="1">AF28+AF55+AF62+AF67+AF68+AF69</f>
        <v>0</v>
      </c>
      <c r="AG70" s="507">
        <f ca="1">AG28+AG55+AG62+AG67+AG68+AG69</f>
        <v>0</v>
      </c>
      <c r="AH70" s="253">
        <f t="shared" ca="1" si="1"/>
        <v>0</v>
      </c>
      <c r="AI70" s="507">
        <f ca="1">AI28+AI55+AI62+AI67+AI68+AI69</f>
        <v>0</v>
      </c>
      <c r="AJ70" s="507">
        <f ca="1">AJ28+AJ55+AJ62+AJ67+AJ68+AJ69</f>
        <v>0</v>
      </c>
      <c r="AK70" s="507">
        <f ca="1">AK28+AK55+AK62+AK67+AK68+AK69</f>
        <v>0</v>
      </c>
      <c r="AL70" s="253">
        <f t="shared" ca="1" si="3"/>
        <v>0</v>
      </c>
      <c r="AM70" s="25"/>
      <c r="AN70" s="25"/>
      <c r="AO70" s="25"/>
      <c r="AR70" s="1019" t="s">
        <v>1942</v>
      </c>
      <c r="AS70" s="1054"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x14ac:dyDescent="0.15">
      <c r="C71" s="1084" t="s">
        <v>1724</v>
      </c>
      <c r="D71" s="1043" t="s">
        <v>1725</v>
      </c>
      <c r="E71" s="668">
        <v>50</v>
      </c>
      <c r="F71" s="769" cm="1">
        <f t="array" aca="1" ref="F71" ca="1">OFFSET(G71,-1,-1)</f>
        <v>0</v>
      </c>
      <c r="L71" s="1072"/>
      <c r="M71" s="1070" cm="1">
        <f t="array" aca="1" ref="M71" ca="1">OFFSET(L71,-1,1)</f>
        <v>0</v>
      </c>
      <c r="N71" s="1072"/>
      <c r="O71" s="1072"/>
      <c r="P71" s="1072"/>
      <c r="Q71" s="1072"/>
      <c r="R71" s="1072"/>
      <c r="S71" s="1072"/>
      <c r="T71" s="679" t="b" cm="1">
        <f t="array" ref="T71">T70</f>
        <v>0</v>
      </c>
      <c r="X71" s="1485"/>
      <c r="Z71" s="1485"/>
      <c r="AB71" s="843" t="s">
        <v>455</v>
      </c>
      <c r="AC71" s="893" t="s">
        <v>1724</v>
      </c>
      <c r="AD71" s="724" t="s">
        <v>1044</v>
      </c>
      <c r="AE71" s="73"/>
      <c r="AF71" s="73"/>
      <c r="AG71" s="73"/>
      <c r="AH71" s="253">
        <f t="shared" si="1"/>
        <v>0</v>
      </c>
      <c r="AI71" s="73"/>
      <c r="AJ71" s="509"/>
      <c r="AK71" s="509"/>
      <c r="AL71" s="253">
        <f t="shared" si="3"/>
        <v>0</v>
      </c>
      <c r="AM71" s="25"/>
      <c r="AN71" s="25"/>
      <c r="AO71" s="25"/>
      <c r="AR71" s="1019" t="s">
        <v>1943</v>
      </c>
      <c r="AS71" s="1054"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x14ac:dyDescent="0.15">
      <c r="C72" s="1084" t="s">
        <v>1728</v>
      </c>
      <c r="D72" s="1043" t="s">
        <v>1729</v>
      </c>
      <c r="E72" s="668">
        <v>17.100000000000001</v>
      </c>
      <c r="F72" s="769" cm="1">
        <f t="array" aca="1" ref="F72" ca="1">OFFSET(G72,-1,-1)</f>
        <v>0</v>
      </c>
      <c r="L72" s="1072"/>
      <c r="M72" s="1070" cm="1">
        <f t="array" aca="1" ref="M72" ca="1">OFFSET(L72,-1,1)</f>
        <v>0</v>
      </c>
      <c r="N72" s="1072"/>
      <c r="O72" s="1072"/>
      <c r="P72" s="1072"/>
      <c r="Q72" s="1072"/>
      <c r="R72" s="1072"/>
      <c r="S72" s="1072"/>
      <c r="T72" s="679" t="b" cm="1">
        <f t="array" ref="T72">T71</f>
        <v>0</v>
      </c>
      <c r="X72" s="1485"/>
      <c r="Z72" s="1485"/>
      <c r="AB72" s="537" t="s">
        <v>689</v>
      </c>
      <c r="AC72" s="885" t="s">
        <v>1732</v>
      </c>
      <c r="AD72" s="844" t="s">
        <v>1044</v>
      </c>
      <c r="AE72" s="507">
        <f ca="1">AE70+AE71</f>
        <v>0</v>
      </c>
      <c r="AF72" s="507">
        <f ca="1">AF70+AF71</f>
        <v>0</v>
      </c>
      <c r="AG72" s="507">
        <f ca="1">AG70+AG71</f>
        <v>0</v>
      </c>
      <c r="AH72" s="253">
        <f t="shared" ca="1" si="1"/>
        <v>0</v>
      </c>
      <c r="AI72" s="507">
        <f ca="1">AI70+AI71</f>
        <v>0</v>
      </c>
      <c r="AJ72" s="507">
        <f ca="1">AJ70+AJ71</f>
        <v>0</v>
      </c>
      <c r="AK72" s="507">
        <f ca="1">AK70+AK71</f>
        <v>0</v>
      </c>
      <c r="AL72" s="253">
        <f t="shared" ca="1" si="3"/>
        <v>0</v>
      </c>
      <c r="AM72" s="25"/>
      <c r="AN72" s="25"/>
      <c r="AO72" s="25"/>
      <c r="AR72" s="1019" t="s">
        <v>1944</v>
      </c>
      <c r="AS72" s="1054"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x14ac:dyDescent="0.15">
      <c r="C73" s="1084" t="s">
        <v>1734</v>
      </c>
      <c r="D73" s="1043" t="s">
        <v>1735</v>
      </c>
      <c r="E73" s="668">
        <v>17.100000000000001</v>
      </c>
      <c r="F73" s="769" cm="1">
        <f t="array" aca="1" ref="F73" ca="1">OFFSET(G73,-1,-1)</f>
        <v>0</v>
      </c>
      <c r="H73" s="140" cm="1">
        <f t="array" ref="H73">G27</f>
        <v>0</v>
      </c>
      <c r="L73" s="1072"/>
      <c r="M73" s="1070" cm="1">
        <f t="array" aca="1" ref="M73" ca="1">OFFSET(L73,-1,1)</f>
        <v>0</v>
      </c>
      <c r="N73" s="1072"/>
      <c r="O73" s="1072"/>
      <c r="P73" s="1072"/>
      <c r="Q73" s="1072"/>
      <c r="R73" s="1072"/>
      <c r="S73" s="1072"/>
      <c r="T73" s="679" t="b">
        <f ca="1">AND(F73&gt;0,H73="двухставочный")</f>
        <v>0</v>
      </c>
      <c r="X73" s="1485"/>
      <c r="Z73" s="1485"/>
      <c r="AB73" s="545" t="str">
        <f>AB72&amp;".1"</f>
        <v>9.1</v>
      </c>
      <c r="AC73" s="511" t="s">
        <v>1737</v>
      </c>
      <c r="AD73" s="255" t="s">
        <v>830</v>
      </c>
      <c r="AE73" s="73"/>
      <c r="AF73" s="73"/>
      <c r="AG73" s="73"/>
      <c r="AH73" s="253">
        <f t="shared" si="1"/>
        <v>0</v>
      </c>
      <c r="AI73" s="73"/>
      <c r="AJ73" s="509"/>
      <c r="AK73" s="509"/>
      <c r="AL73" s="253">
        <f t="shared" si="3"/>
        <v>0</v>
      </c>
      <c r="AM73" s="25"/>
      <c r="AN73" s="25"/>
      <c r="AO73" s="25"/>
      <c r="AR73" s="1019" t="s">
        <v>1945</v>
      </c>
      <c r="AS73" s="1054"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x14ac:dyDescent="0.15">
      <c r="C74" s="1084" t="s">
        <v>1739</v>
      </c>
      <c r="D74" s="1043" t="s">
        <v>1740</v>
      </c>
      <c r="E74" s="668">
        <v>17.100000000000001</v>
      </c>
      <c r="F74" s="769" cm="1">
        <f t="array" aca="1" ref="F74" ca="1">OFFSET(G74,-1,-1)</f>
        <v>0</v>
      </c>
      <c r="H74" s="140" cm="1">
        <f t="array" ref="H74">G27</f>
        <v>0</v>
      </c>
      <c r="L74" s="1072"/>
      <c r="M74" s="1070" cm="1">
        <f t="array" aca="1" ref="M74" ca="1">OFFSET(L74,-1,1)</f>
        <v>0</v>
      </c>
      <c r="N74" s="1072"/>
      <c r="O74" s="1072"/>
      <c r="P74" s="1072"/>
      <c r="Q74" s="1072"/>
      <c r="R74" s="1072"/>
      <c r="S74" s="1072"/>
      <c r="T74" s="679" t="b">
        <f ca="1">AND(F74&gt;0,H74="двухставочный")</f>
        <v>0</v>
      </c>
      <c r="X74" s="1485"/>
      <c r="Z74" s="1485"/>
      <c r="AB74" s="545" t="str">
        <f>AB72&amp;".2"</f>
        <v>9.2</v>
      </c>
      <c r="AC74" s="511" t="s">
        <v>1739</v>
      </c>
      <c r="AD74" s="255" t="s">
        <v>830</v>
      </c>
      <c r="AE74" s="507">
        <f ca="1">AE72-AE73</f>
        <v>0</v>
      </c>
      <c r="AF74" s="507">
        <f ca="1">AF72-AF73</f>
        <v>0</v>
      </c>
      <c r="AG74" s="507">
        <f ca="1">AG72-AG73</f>
        <v>0</v>
      </c>
      <c r="AH74" s="253">
        <f t="shared" ca="1" si="1"/>
        <v>0</v>
      </c>
      <c r="AI74" s="507">
        <f ca="1">AI72-AI73</f>
        <v>0</v>
      </c>
      <c r="AJ74" s="507">
        <f ca="1">AJ72-AJ73</f>
        <v>0</v>
      </c>
      <c r="AK74" s="507">
        <f ca="1">AK72-AK73</f>
        <v>0</v>
      </c>
      <c r="AL74" s="253">
        <f t="shared" ca="1" si="3"/>
        <v>0</v>
      </c>
      <c r="AM74" s="25"/>
      <c r="AN74" s="25"/>
      <c r="AO74" s="25"/>
      <c r="AR74" s="1019" t="s">
        <v>1946</v>
      </c>
      <c r="AS74" s="1054"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x14ac:dyDescent="0.15">
      <c r="C75" s="1084" t="s">
        <v>1742</v>
      </c>
      <c r="D75" s="1043" t="s">
        <v>1743</v>
      </c>
      <c r="E75" s="668">
        <v>17.100000000000001</v>
      </c>
      <c r="F75" s="769" cm="1">
        <f t="array" aca="1" ref="F75" ca="1">OFFSET(G75,-1,-1)</f>
        <v>0</v>
      </c>
      <c r="L75" s="1072"/>
      <c r="M75" s="1070" cm="1">
        <f t="array" aca="1" ref="M75" ca="1">OFFSET(L75,-1,1)</f>
        <v>0</v>
      </c>
      <c r="N75" s="1072"/>
      <c r="O75" s="1072"/>
      <c r="P75" s="1072"/>
      <c r="Q75" s="1072"/>
      <c r="R75" s="1072"/>
      <c r="S75" s="1072"/>
      <c r="T75" s="679" t="b" cm="1">
        <f t="array" ref="T75">T72</f>
        <v>0</v>
      </c>
      <c r="X75" s="1485"/>
      <c r="Z75" s="1485"/>
      <c r="AB75" s="260" t="s">
        <v>713</v>
      </c>
      <c r="AC75" s="256" t="s">
        <v>1745</v>
      </c>
      <c r="AD75" s="261" t="s">
        <v>622</v>
      </c>
      <c r="AE75" s="253">
        <f ca="1">IF($K27="передача тепловой энергии",SUMIFS('Баланс Тр'!AE$27:AE$43,'Баланс Тр'!$F$27:$F$43,$F75,'Баланс Тр'!$AB$27:$AB$43,"3"),SUMIFS('Баланс Пр'!AE$27:AE$165,'Баланс Пр'!$F$27:$F$165,$F75,'Баланс Пр'!$AB$27:$AB$165,"9.1"))</f>
        <v>0</v>
      </c>
      <c r="AF75" s="508"/>
      <c r="AG75" s="508"/>
      <c r="AH75" s="313"/>
      <c r="AI75" s="253">
        <f ca="1">IF($K27="передача тепловой энергии",SUMIFS('Баланс Тр'!AH$27:AH$43,'Баланс Тр'!$F$27:$F$43,$F75,'Баланс Тр'!$AB$27:$AB$43,"3"),SUMIFS('Баланс Пр'!AH$27:AH$165,'Баланс Пр'!$F$27:$F$165,$F75,'Баланс Пр'!$AB$27:$AB$165,"9.1"))</f>
        <v>0</v>
      </c>
      <c r="AJ75" s="253">
        <f ca="1">IF($K27="передача тепловой энергии",SUMIFS('Баланс Тр'!AI$27:AI$43,'Баланс Тр'!$F$27:$F$43,$F75,'Баланс Тр'!$AB$27:$AB$43,"3"),SUMIFS('Баланс Пр'!AI$27:AI$165,'Баланс Пр'!$F$27:$F$165,$F75,'Баланс Пр'!$AB$27:$AB$165,"9.1"))</f>
        <v>0</v>
      </c>
      <c r="AK75" s="253">
        <f ca="1">IF($K27="передача тепловой энергии",SUMIFS('Баланс Тр'!AS$27:AS$43,'Баланс Тр'!$F$27:$F$43,$F75,'Баланс Тр'!$AB$27:$AB$43,"3"),SUMIFS('Баланс Пр'!AS$27:AS$165,'Баланс Пр'!$F$27:$F$165,$F75,'Баланс Пр'!$AB$27:$AB$165,"9.1"))</f>
        <v>0</v>
      </c>
      <c r="AL75" s="253">
        <f t="shared" ca="1" si="3"/>
        <v>0</v>
      </c>
      <c r="AM75" s="25"/>
      <c r="AN75" s="25"/>
      <c r="AO75" s="25"/>
      <c r="AR75" s="1019" t="s">
        <v>1746</v>
      </c>
      <c r="AS75" s="1054"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2" customFormat="1" ht="16.7" hidden="1" customHeight="1" x14ac:dyDescent="0.15">
      <c r="C76" s="1084" t="s">
        <v>1747</v>
      </c>
      <c r="D76" s="1043" t="s">
        <v>1748</v>
      </c>
      <c r="E76" s="668">
        <v>17.100000000000001</v>
      </c>
      <c r="F76" s="769" cm="1">
        <f t="array" aca="1" ref="F76" ca="1">OFFSET(G76,-1,-1)</f>
        <v>0</v>
      </c>
      <c r="G76" s="140" t="s">
        <v>1749</v>
      </c>
      <c r="L76" s="1080"/>
      <c r="M76" s="1070" cm="1">
        <f t="array" aca="1" ref="M76" ca="1">OFFSET(L76,-1,1)</f>
        <v>0</v>
      </c>
      <c r="N76" s="1080"/>
      <c r="O76" s="1080"/>
      <c r="P76" s="1080"/>
      <c r="Q76" s="1072"/>
      <c r="R76" s="1072"/>
      <c r="S76" s="1072" t="s">
        <v>1750</v>
      </c>
      <c r="T76" s="679" t="b" cm="1">
        <f t="array" ref="T76">T75</f>
        <v>0</v>
      </c>
      <c r="X76" s="1586"/>
      <c r="Z76" s="1586"/>
      <c r="AB76" s="545" t="str">
        <f>AB75&amp;".1"</f>
        <v>10.1</v>
      </c>
      <c r="AC76" s="233" t="s">
        <v>1751</v>
      </c>
      <c r="AD76" s="255" t="s">
        <v>622</v>
      </c>
      <c r="AE76" s="73"/>
      <c r="AF76" s="508"/>
      <c r="AG76" s="508"/>
      <c r="AH76" s="313"/>
      <c r="AI76" s="73"/>
      <c r="AJ76" s="509"/>
      <c r="AK76" s="509"/>
      <c r="AL76" s="253">
        <f t="shared" si="3"/>
        <v>0</v>
      </c>
      <c r="AM76" s="25"/>
      <c r="AN76" s="25"/>
      <c r="AO76" s="25"/>
      <c r="AR76" s="1019" t="s">
        <v>1752</v>
      </c>
      <c r="AS76" s="1054"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2" customFormat="1" ht="16.7" hidden="1" customHeight="1" x14ac:dyDescent="0.15">
      <c r="C77" s="1084" t="s">
        <v>1753</v>
      </c>
      <c r="D77" s="1043" t="s">
        <v>1754</v>
      </c>
      <c r="E77" s="668">
        <v>17.100000000000001</v>
      </c>
      <c r="F77" s="769" cm="1">
        <f t="array" aca="1" ref="F77" ca="1">OFFSET(G77,-1,-1)</f>
        <v>0</v>
      </c>
      <c r="G77" s="612" t="s">
        <v>1755</v>
      </c>
      <c r="L77" s="1080"/>
      <c r="M77" s="1070" cm="1">
        <f t="array" aca="1" ref="M77" ca="1">OFFSET(L77,-1,1)</f>
        <v>0</v>
      </c>
      <c r="N77" s="1080"/>
      <c r="O77" s="1080"/>
      <c r="P77" s="1080"/>
      <c r="Q77" s="1072"/>
      <c r="R77" s="1072"/>
      <c r="S77" s="1072" t="s">
        <v>1750</v>
      </c>
      <c r="T77" s="679" t="b" cm="1">
        <f t="array" ref="T77">T76</f>
        <v>0</v>
      </c>
      <c r="X77" s="1586"/>
      <c r="Z77" s="1586"/>
      <c r="AB77" s="545" t="str">
        <f>AB75&amp;".2"</f>
        <v>10.2</v>
      </c>
      <c r="AC77" s="233" t="s">
        <v>1756</v>
      </c>
      <c r="AD77" s="255" t="s">
        <v>920</v>
      </c>
      <c r="AE77" s="73"/>
      <c r="AF77" s="508"/>
      <c r="AG77" s="508"/>
      <c r="AH77" s="313"/>
      <c r="AI77" s="73"/>
      <c r="AJ77" s="509"/>
      <c r="AK77" s="509"/>
      <c r="AL77" s="253">
        <f t="shared" si="3"/>
        <v>0</v>
      </c>
      <c r="AM77" s="25"/>
      <c r="AN77" s="25"/>
      <c r="AO77" s="25"/>
      <c r="AR77" s="1019" t="s">
        <v>1757</v>
      </c>
      <c r="AS77" s="1054"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x14ac:dyDescent="0.15">
      <c r="C78" s="1084" t="s">
        <v>1747</v>
      </c>
      <c r="D78" s="1043" t="s">
        <v>1748</v>
      </c>
      <c r="E78" s="668">
        <v>17.100000000000001</v>
      </c>
      <c r="F78" s="769" cm="1">
        <f t="array" aca="1" ref="F78" ca="1">OFFSET(G78,-1,-1)</f>
        <v>0</v>
      </c>
      <c r="G78" s="140" t="s">
        <v>1758</v>
      </c>
      <c r="L78" s="1072"/>
      <c r="M78" s="1070" cm="1">
        <f t="array" aca="1" ref="M78" ca="1">OFFSET(L78,-1,1)</f>
        <v>0</v>
      </c>
      <c r="N78" s="1072"/>
      <c r="O78" s="1072"/>
      <c r="P78" s="1072"/>
      <c r="Q78" s="1072"/>
      <c r="R78" s="1072"/>
      <c r="S78" s="1072" t="s">
        <v>1759</v>
      </c>
      <c r="T78" s="679" t="b" cm="1">
        <f t="array" ref="T78">T77</f>
        <v>0</v>
      </c>
      <c r="X78" s="1485"/>
      <c r="Z78" s="1485"/>
      <c r="AB78" s="545" t="str">
        <f>AB75&amp;".3"</f>
        <v>10.3</v>
      </c>
      <c r="AC78" s="233" t="s">
        <v>1760</v>
      </c>
      <c r="AD78" s="255" t="s">
        <v>622</v>
      </c>
      <c r="AE78" s="850">
        <f ca="1">AE75-AE76</f>
        <v>0</v>
      </c>
      <c r="AF78" s="508"/>
      <c r="AG78" s="508"/>
      <c r="AH78" s="313"/>
      <c r="AI78" s="850">
        <f ca="1">AI75-AI76</f>
        <v>0</v>
      </c>
      <c r="AJ78" s="850">
        <f ca="1">AJ75-AJ76</f>
        <v>0</v>
      </c>
      <c r="AK78" s="850">
        <f ca="1">AK75-AK76</f>
        <v>0</v>
      </c>
      <c r="AL78" s="253">
        <f t="shared" ca="1" si="3"/>
        <v>0</v>
      </c>
      <c r="AM78" s="20"/>
      <c r="AN78" s="20"/>
      <c r="AO78" s="20"/>
      <c r="AR78" s="1019" t="s">
        <v>1761</v>
      </c>
      <c r="AS78" s="1054"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x14ac:dyDescent="0.15">
      <c r="C79" s="1084" t="s">
        <v>1753</v>
      </c>
      <c r="D79" s="1043" t="s">
        <v>1754</v>
      </c>
      <c r="E79" s="668">
        <v>17.100000000000001</v>
      </c>
      <c r="F79" s="769" cm="1">
        <f t="array" aca="1" ref="F79" ca="1">OFFSET(G79,-1,-1)</f>
        <v>0</v>
      </c>
      <c r="G79" s="612" t="s">
        <v>1762</v>
      </c>
      <c r="L79" s="1072"/>
      <c r="M79" s="1070" cm="1">
        <f t="array" aca="1" ref="M79" ca="1">OFFSET(L79,-1,1)</f>
        <v>0</v>
      </c>
      <c r="N79" s="1072"/>
      <c r="O79" s="1072"/>
      <c r="P79" s="1072"/>
      <c r="Q79" s="1072"/>
      <c r="R79" s="1072"/>
      <c r="S79" s="1072" t="s">
        <v>1759</v>
      </c>
      <c r="T79" s="679" t="b" cm="1">
        <f t="array" ref="T79">T78</f>
        <v>0</v>
      </c>
      <c r="X79" s="1485"/>
      <c r="Z79" s="1485"/>
      <c r="AB79" s="545" t="str">
        <f>AB75&amp;".4"</f>
        <v>10.4</v>
      </c>
      <c r="AC79" s="233" t="s">
        <v>1763</v>
      </c>
      <c r="AD79" s="255" t="s">
        <v>920</v>
      </c>
      <c r="AE79" s="73">
        <f ca="1">IFERROR((AE72*1000-AE76*AE77)/AE78,0)</f>
        <v>0</v>
      </c>
      <c r="AF79" s="508"/>
      <c r="AG79" s="508"/>
      <c r="AH79" s="313"/>
      <c r="AI79" s="73">
        <f ca="1">IFERROR((AI72*1000-AI76*AI77)/AI78,0)</f>
        <v>0</v>
      </c>
      <c r="AJ79" s="509">
        <f ca="1">IFERROR((AJ72*1000-AJ76*AJ77)/AJ78,0)</f>
        <v>0</v>
      </c>
      <c r="AK79" s="509">
        <f ca="1">IFERROR((AK72*1000-AK76*AK77)/AK78,0)</f>
        <v>0</v>
      </c>
      <c r="AL79" s="253">
        <f t="shared" ca="1" si="3"/>
        <v>0</v>
      </c>
      <c r="AM79" s="31"/>
      <c r="AN79" s="31"/>
      <c r="AO79" s="31"/>
      <c r="AR79" s="1019" t="s">
        <v>1764</v>
      </c>
      <c r="AS79" s="1054"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35" customFormat="1" ht="16.7" hidden="1" customHeight="1" x14ac:dyDescent="0.15">
      <c r="C80" s="1084" t="s">
        <v>1765</v>
      </c>
      <c r="D80" s="1043" t="s">
        <v>1766</v>
      </c>
      <c r="E80" s="668">
        <v>17.100000000000001</v>
      </c>
      <c r="F80" s="769" cm="1">
        <f t="array" aca="1" ref="F80" ca="1">OFFSET(G80,-1,-1)</f>
        <v>0</v>
      </c>
      <c r="L80" s="1072"/>
      <c r="M80" s="1070" cm="1">
        <f t="array" aca="1" ref="M80" ca="1">OFFSET(L80,-1,1)</f>
        <v>0</v>
      </c>
      <c r="N80" s="1072"/>
      <c r="O80" s="1072"/>
      <c r="P80" s="1072"/>
      <c r="Q80" s="1072"/>
      <c r="R80" s="1072"/>
      <c r="S80" s="1072"/>
      <c r="T80" s="679" t="b" cm="1">
        <f t="array" ref="T80">T79</f>
        <v>0</v>
      </c>
      <c r="X80" s="1596"/>
      <c r="Z80" s="1596"/>
      <c r="AB80" s="545" t="str">
        <f>AB75&amp;".5"</f>
        <v>10.5</v>
      </c>
      <c r="AC80" s="258" t="s">
        <v>1767</v>
      </c>
      <c r="AD80" s="255" t="s">
        <v>521</v>
      </c>
      <c r="AE80" s="547">
        <f ca="1">IFERROR(AE79/AE77,0)</f>
        <v>0</v>
      </c>
      <c r="AF80" s="508"/>
      <c r="AG80" s="508"/>
      <c r="AH80" s="313"/>
      <c r="AI80" s="547">
        <f ca="1">IFERROR(AI79/AI77,0)</f>
        <v>0</v>
      </c>
      <c r="AJ80" s="547">
        <f ca="1">IFERROR(AJ79/AJ77,0)</f>
        <v>0</v>
      </c>
      <c r="AK80" s="547">
        <f ca="1">IFERROR(AK79/AK77,0)</f>
        <v>0</v>
      </c>
      <c r="AL80" s="253">
        <f t="shared" ca="1" si="3"/>
        <v>0</v>
      </c>
      <c r="AM80" s="711"/>
      <c r="AN80" s="711"/>
      <c r="AO80" s="711"/>
      <c r="AR80" s="1019" t="s">
        <v>1768</v>
      </c>
      <c r="AS80" s="1054"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x14ac:dyDescent="0.15">
      <c r="C81" s="1084" t="s">
        <v>1769</v>
      </c>
      <c r="D81" s="1043" t="s">
        <v>1770</v>
      </c>
      <c r="E81" s="668">
        <v>17.100000000000001</v>
      </c>
      <c r="F81" s="769" cm="1">
        <f t="array" aca="1" ref="F81" ca="1">OFFSET(G81,-1,-1)</f>
        <v>0</v>
      </c>
      <c r="L81" s="1072"/>
      <c r="M81" s="1070" cm="1">
        <f t="array" aca="1" ref="M81" ca="1">OFFSET(L81,-1,1)</f>
        <v>0</v>
      </c>
      <c r="N81" s="1072"/>
      <c r="O81" s="1072"/>
      <c r="P81" s="1072"/>
      <c r="Q81" s="1072"/>
      <c r="R81" s="1072"/>
      <c r="S81" s="1072"/>
      <c r="T81" s="679" t="b" cm="1">
        <f t="array" ref="T81">T80</f>
        <v>0</v>
      </c>
      <c r="X81" s="1485"/>
      <c r="Z81" s="1485"/>
      <c r="AB81" s="545" t="str">
        <f>AB75&amp;".6"</f>
        <v>10.6</v>
      </c>
      <c r="AC81" s="258" t="s">
        <v>1771</v>
      </c>
      <c r="AD81" s="255" t="s">
        <v>920</v>
      </c>
      <c r="AE81" s="850">
        <f ca="1">IFERROR(AE72/AE75*1000,0)</f>
        <v>0</v>
      </c>
      <c r="AF81" s="508"/>
      <c r="AG81" s="508"/>
      <c r="AH81" s="313"/>
      <c r="AI81" s="850">
        <f ca="1">IFERROR(AI72/AI75*1000,0)</f>
        <v>0</v>
      </c>
      <c r="AJ81" s="850">
        <f ca="1">IFERROR(AJ72/AJ75*1000,0)</f>
        <v>0</v>
      </c>
      <c r="AK81" s="850">
        <f ca="1">IFERROR(AK72/AK75*1000,0)</f>
        <v>0</v>
      </c>
      <c r="AL81" s="253">
        <f t="shared" ca="1" si="3"/>
        <v>0</v>
      </c>
      <c r="AM81" s="31"/>
      <c r="AN81" s="31"/>
      <c r="AO81" s="31"/>
      <c r="AR81" s="1019" t="s">
        <v>1772</v>
      </c>
      <c r="AS81" s="1054"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35" customFormat="1" ht="16.7" hidden="1" customHeight="1" x14ac:dyDescent="0.15">
      <c r="C82" s="1084" t="s">
        <v>1773</v>
      </c>
      <c r="D82" s="1043" t="s">
        <v>1774</v>
      </c>
      <c r="E82" s="668">
        <v>17.100000000000001</v>
      </c>
      <c r="F82" s="769" cm="1">
        <f t="array" aca="1" ref="F82" ca="1">OFFSET(G82,-1,-1)</f>
        <v>0</v>
      </c>
      <c r="H82" s="140" cm="1">
        <f t="array" ref="H82">G27</f>
        <v>0</v>
      </c>
      <c r="L82" s="1072"/>
      <c r="M82" s="1070" cm="1">
        <f t="array" aca="1" ref="M82" ca="1">OFFSET(L82,-1,1)</f>
        <v>0</v>
      </c>
      <c r="N82" s="1072"/>
      <c r="O82" s="1072"/>
      <c r="P82" s="1072"/>
      <c r="Q82" s="1072"/>
      <c r="R82" s="1072"/>
      <c r="S82" s="1072"/>
      <c r="T82" s="679" t="b">
        <f t="shared" ref="T82:T92" ca="1" si="4">AND(F82&gt;0,H82="двухставочный")</f>
        <v>0</v>
      </c>
      <c r="X82" s="1596"/>
      <c r="Z82" s="1596"/>
      <c r="AB82" s="260" t="s">
        <v>721</v>
      </c>
      <c r="AC82" s="743" t="s">
        <v>1776</v>
      </c>
      <c r="AD82" s="549" t="s">
        <v>715</v>
      </c>
      <c r="AE82" s="50">
        <f ca="1">SUMIFS('Баланс Пр'!AE$27:AE$165,'Баланс Пр'!$F$27:$F$165,$F82,'Баланс Пр'!$AB$27:$AB$165,"10")</f>
        <v>0</v>
      </c>
      <c r="AF82" s="508"/>
      <c r="AG82" s="508"/>
      <c r="AH82" s="313"/>
      <c r="AI82" s="50">
        <f ca="1">SUMIFS('Баланс Пр'!AH$27:AH$165,'Баланс Пр'!$F$27:$F$165,$F82,'Баланс Пр'!$AB$27:$AB$165,"10")</f>
        <v>0</v>
      </c>
      <c r="AJ82" s="254">
        <f ca="1">SUMIFS('Баланс Пр'!AI$27:AI$165,'Баланс Пр'!$F$27:$F$165,$F82,'Баланс Пр'!$AB$27:$AB$165,"10")</f>
        <v>0</v>
      </c>
      <c r="AK82" s="254">
        <f ca="1">SUMIFS('Баланс Пр'!AS$27:AS$165,'Баланс Пр'!$F$27:$F$165,$F82,'Баланс Пр'!$AB$27:$AB$165,"10")</f>
        <v>0</v>
      </c>
      <c r="AL82" s="253">
        <f t="shared" ca="1" si="3"/>
        <v>0</v>
      </c>
      <c r="AM82" s="902"/>
      <c r="AN82" s="902"/>
      <c r="AO82" s="899"/>
      <c r="AR82" s="1019" t="s">
        <v>716</v>
      </c>
      <c r="AS82" s="1054"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x14ac:dyDescent="0.15">
      <c r="C83" s="1084" t="s">
        <v>1773</v>
      </c>
      <c r="D83" s="1043" t="s">
        <v>1774</v>
      </c>
      <c r="E83" s="668">
        <v>17.100000000000001</v>
      </c>
      <c r="F83" s="769" cm="1">
        <f t="array" aca="1" ref="F83" ca="1">OFFSET(G83,-1,-1)</f>
        <v>0</v>
      </c>
      <c r="H83" s="140" cm="1">
        <f t="array" ref="H83">G27</f>
        <v>0</v>
      </c>
      <c r="L83" s="1072"/>
      <c r="M83" s="1070" cm="1">
        <f t="array" aca="1" ref="M83" ca="1">OFFSET(L83,-1,1)</f>
        <v>0</v>
      </c>
      <c r="N83" s="1072"/>
      <c r="O83" s="1072"/>
      <c r="P83" s="1072"/>
      <c r="Q83" s="1072"/>
      <c r="R83" s="1072"/>
      <c r="S83" s="1072" t="s">
        <v>1750</v>
      </c>
      <c r="T83" s="679" t="b">
        <f t="shared" ca="1" si="4"/>
        <v>0</v>
      </c>
      <c r="X83" s="1485"/>
      <c r="Z83" s="1485"/>
      <c r="AB83" s="545" t="str">
        <f>AB82&amp;".1"</f>
        <v>11.1</v>
      </c>
      <c r="AC83" s="600" t="s">
        <v>1778</v>
      </c>
      <c r="AD83" s="515" t="s">
        <v>715</v>
      </c>
      <c r="AE83" s="81" cm="1">
        <f t="array" aca="1" ref="AE83" ca="1">AE82</f>
        <v>0</v>
      </c>
      <c r="AF83" s="508"/>
      <c r="AG83" s="508"/>
      <c r="AH83" s="313"/>
      <c r="AI83" s="81" cm="1">
        <f t="array" aca="1" ref="AI83" ca="1">AI82</f>
        <v>0</v>
      </c>
      <c r="AJ83" s="530" cm="1">
        <f t="array" aca="1" ref="AJ83" ca="1">AJ82</f>
        <v>0</v>
      </c>
      <c r="AK83" s="530" cm="1">
        <f t="array" aca="1" ref="AK83" ca="1">AK82</f>
        <v>0</v>
      </c>
      <c r="AL83" s="253">
        <f t="shared" ca="1" si="3"/>
        <v>0</v>
      </c>
      <c r="AM83" s="32"/>
      <c r="AN83" s="32"/>
      <c r="AO83" s="32"/>
      <c r="AR83" s="1019" t="s">
        <v>1779</v>
      </c>
      <c r="AS83" s="1054"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x14ac:dyDescent="0.15">
      <c r="C84" s="1084" t="s">
        <v>1773</v>
      </c>
      <c r="D84" s="1043" t="s">
        <v>1774</v>
      </c>
      <c r="E84" s="668">
        <v>17.100000000000001</v>
      </c>
      <c r="F84" s="769" cm="1">
        <f t="array" aca="1" ref="F84" ca="1">OFFSET(G84,-1,-1)</f>
        <v>0</v>
      </c>
      <c r="H84" s="140" cm="1">
        <f t="array" ref="H84">G27</f>
        <v>0</v>
      </c>
      <c r="L84" s="1072"/>
      <c r="M84" s="1070" cm="1">
        <f t="array" aca="1" ref="M84" ca="1">OFFSET(L84,-1,1)</f>
        <v>0</v>
      </c>
      <c r="N84" s="1072"/>
      <c r="O84" s="1072"/>
      <c r="P84" s="1072"/>
      <c r="Q84" s="1072"/>
      <c r="R84" s="1072"/>
      <c r="S84" s="1072" t="s">
        <v>1759</v>
      </c>
      <c r="T84" s="679" t="b">
        <f t="shared" ca="1" si="4"/>
        <v>0</v>
      </c>
      <c r="X84" s="1485"/>
      <c r="Z84" s="1485"/>
      <c r="AB84" s="545" t="str">
        <f>AB82&amp;".2"</f>
        <v>11.2</v>
      </c>
      <c r="AC84" s="600" t="s">
        <v>1781</v>
      </c>
      <c r="AD84" s="515" t="s">
        <v>715</v>
      </c>
      <c r="AE84" s="81" cm="1">
        <f t="array" aca="1" ref="AE84" ca="1">AE82</f>
        <v>0</v>
      </c>
      <c r="AF84" s="508"/>
      <c r="AG84" s="508"/>
      <c r="AH84" s="313"/>
      <c r="AI84" s="81" cm="1">
        <f t="array" aca="1" ref="AI84" ca="1">AI82</f>
        <v>0</v>
      </c>
      <c r="AJ84" s="530" cm="1">
        <f t="array" aca="1" ref="AJ84" ca="1">AJ82</f>
        <v>0</v>
      </c>
      <c r="AK84" s="530" cm="1">
        <f t="array" aca="1" ref="AK84" ca="1">AK82</f>
        <v>0</v>
      </c>
      <c r="AL84" s="253">
        <f t="shared" ca="1" si="3"/>
        <v>0</v>
      </c>
      <c r="AM84" s="32"/>
      <c r="AN84" s="32"/>
      <c r="AO84" s="32"/>
      <c r="AR84" s="1019" t="s">
        <v>1782</v>
      </c>
      <c r="AS84" s="1054"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x14ac:dyDescent="0.15">
      <c r="C85" s="1084"/>
      <c r="D85" s="1043"/>
      <c r="E85" s="668">
        <v>17.100000000000001</v>
      </c>
      <c r="F85" s="769" cm="1">
        <f t="array" aca="1" ref="F85" ca="1">OFFSET(G85,-1,-1)</f>
        <v>0</v>
      </c>
      <c r="H85" s="140" cm="1">
        <f t="array" ref="H85">G27</f>
        <v>0</v>
      </c>
      <c r="L85" s="1072"/>
      <c r="M85" s="1070" cm="1">
        <f t="array" aca="1" ref="M85" ca="1">OFFSET(L85,-1,1)</f>
        <v>0</v>
      </c>
      <c r="N85" s="1072"/>
      <c r="O85" s="1072"/>
      <c r="P85" s="1072"/>
      <c r="Q85" s="1072"/>
      <c r="R85" s="1072"/>
      <c r="S85" s="1072"/>
      <c r="T85" s="679" t="b">
        <f t="shared" ca="1" si="4"/>
        <v>0</v>
      </c>
      <c r="X85" s="1485"/>
      <c r="Z85" s="1485"/>
      <c r="AB85" s="544" t="s">
        <v>1721</v>
      </c>
      <c r="AC85" s="111" t="s">
        <v>1784</v>
      </c>
      <c r="AD85" s="590"/>
      <c r="AE85" s="611"/>
      <c r="AF85" s="508"/>
      <c r="AG85" s="508"/>
      <c r="AH85" s="313"/>
      <c r="AI85" s="611"/>
      <c r="AJ85" s="611"/>
      <c r="AK85" s="611"/>
      <c r="AL85" s="313"/>
      <c r="AM85" s="25"/>
      <c r="AN85" s="25"/>
      <c r="AO85" s="25"/>
      <c r="AR85" s="1019" t="s">
        <v>1785</v>
      </c>
      <c r="AS85" s="1122"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x14ac:dyDescent="0.15">
      <c r="C86" s="1084" t="s">
        <v>1786</v>
      </c>
      <c r="D86" s="1043" t="s">
        <v>1787</v>
      </c>
      <c r="E86" s="668">
        <v>17.100000000000001</v>
      </c>
      <c r="F86" s="769" cm="1">
        <f t="array" aca="1" ref="F86" ca="1">OFFSET(G86,-1,-1)</f>
        <v>0</v>
      </c>
      <c r="G86" s="612" t="s">
        <v>1788</v>
      </c>
      <c r="H86" s="140" cm="1">
        <f t="array" ref="H86">G27</f>
        <v>0</v>
      </c>
      <c r="L86" s="1072"/>
      <c r="M86" s="1070" cm="1">
        <f t="array" aca="1" ref="M86" ca="1">OFFSET(L86,-1,1)</f>
        <v>0</v>
      </c>
      <c r="N86" s="1072"/>
      <c r="O86" s="1072"/>
      <c r="P86" s="1072"/>
      <c r="Q86" s="1072"/>
      <c r="R86" s="1072"/>
      <c r="S86" s="1072" t="s">
        <v>1750</v>
      </c>
      <c r="T86" s="679" t="b">
        <f t="shared" ca="1" si="4"/>
        <v>0</v>
      </c>
      <c r="X86" s="1485"/>
      <c r="Z86" s="1485"/>
      <c r="AB86" s="545" t="str">
        <f>AB85&amp;".1"</f>
        <v>12.1</v>
      </c>
      <c r="AC86" s="1129" t="s">
        <v>1789</v>
      </c>
      <c r="AD86" s="435" t="s">
        <v>920</v>
      </c>
      <c r="AE86" s="81"/>
      <c r="AF86" s="508"/>
      <c r="AG86" s="508"/>
      <c r="AH86" s="313"/>
      <c r="AI86" s="81"/>
      <c r="AJ86" s="530"/>
      <c r="AK86" s="530"/>
      <c r="AL86" s="253">
        <f>IF(AI86=0,0,(AK86-AI86)/AI86*100)</f>
        <v>0</v>
      </c>
      <c r="AM86" s="25"/>
      <c r="AN86" s="25"/>
      <c r="AO86" s="25"/>
      <c r="AR86" s="1019" t="s">
        <v>1790</v>
      </c>
      <c r="AS86" s="1054"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x14ac:dyDescent="0.15">
      <c r="C87" s="1084" t="s">
        <v>1786</v>
      </c>
      <c r="D87" s="1043" t="s">
        <v>1787</v>
      </c>
      <c r="E87" s="668">
        <v>17.100000000000001</v>
      </c>
      <c r="F87" s="769" cm="1">
        <f t="array" aca="1" ref="F87" ca="1">OFFSET(G87,-1,-1)</f>
        <v>0</v>
      </c>
      <c r="G87" s="612" t="s">
        <v>1791</v>
      </c>
      <c r="H87" s="140" cm="1">
        <f t="array" ref="H87">G27</f>
        <v>0</v>
      </c>
      <c r="L87" s="1072"/>
      <c r="M87" s="1070" cm="1">
        <f t="array" aca="1" ref="M87" ca="1">OFFSET(L87,-1,1)</f>
        <v>0</v>
      </c>
      <c r="N87" s="1072"/>
      <c r="O87" s="1072"/>
      <c r="P87" s="1072"/>
      <c r="Q87" s="1072"/>
      <c r="R87" s="1072"/>
      <c r="S87" s="1072" t="s">
        <v>1759</v>
      </c>
      <c r="T87" s="679" t="b">
        <f t="shared" ca="1" si="4"/>
        <v>0</v>
      </c>
      <c r="X87" s="1485"/>
      <c r="Z87" s="1485"/>
      <c r="AB87" s="545" t="str">
        <f>AB85&amp;".2"</f>
        <v>12.2</v>
      </c>
      <c r="AC87" s="1129" t="s">
        <v>1792</v>
      </c>
      <c r="AD87" s="435" t="s">
        <v>920</v>
      </c>
      <c r="AE87" s="507">
        <f ca="1">IFERROR((AE73*1000-AE76*AE86)/AE78,0)</f>
        <v>0</v>
      </c>
      <c r="AF87" s="508"/>
      <c r="AG87" s="508"/>
      <c r="AH87" s="313"/>
      <c r="AI87" s="507">
        <f ca="1">IFERROR((AI73*1000-AI76*AI86)/AI78,0)</f>
        <v>0</v>
      </c>
      <c r="AJ87" s="507">
        <f ca="1">IFERROR((AJ73*1000-AJ76*AJ86)/AJ78,0)</f>
        <v>0</v>
      </c>
      <c r="AK87" s="507">
        <f ca="1">IFERROR((AK73*1000-AK76*AK86)/AK78,0)</f>
        <v>0</v>
      </c>
      <c r="AL87" s="253">
        <f ca="1">IF(AI87=0,0,(AK87-AI87)/AI87*100)</f>
        <v>0</v>
      </c>
      <c r="AM87" s="25"/>
      <c r="AN87" s="25"/>
      <c r="AO87" s="25"/>
      <c r="AR87" s="1019" t="s">
        <v>1793</v>
      </c>
      <c r="AS87" s="1054"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x14ac:dyDescent="0.15">
      <c r="C88" s="1084" t="s">
        <v>1794</v>
      </c>
      <c r="D88" s="1043" t="s">
        <v>1795</v>
      </c>
      <c r="E88" s="668">
        <v>17.100000000000001</v>
      </c>
      <c r="F88" s="769" cm="1">
        <f t="array" aca="1" ref="F88" ca="1">OFFSET(G88,-1,-1)</f>
        <v>0</v>
      </c>
      <c r="H88" s="140" cm="1">
        <f t="array" ref="H88">G27</f>
        <v>0</v>
      </c>
      <c r="L88" s="1072" t="s">
        <v>1947</v>
      </c>
      <c r="M88" s="1070" cm="1">
        <f t="array" aca="1" ref="M88" ca="1">OFFSET(L88,-1,1)</f>
        <v>0</v>
      </c>
      <c r="N88" s="1072"/>
      <c r="O88" s="1072"/>
      <c r="P88" s="1072"/>
      <c r="Q88" s="1072"/>
      <c r="R88" s="1072"/>
      <c r="S88" s="1072"/>
      <c r="T88" s="679" t="b">
        <f t="shared" ca="1" si="4"/>
        <v>0</v>
      </c>
      <c r="X88" s="1485"/>
      <c r="Z88" s="1485"/>
      <c r="AB88" s="545" t="str">
        <f>AB85&amp;".3"</f>
        <v>12.3</v>
      </c>
      <c r="AC88" s="258" t="s">
        <v>1797</v>
      </c>
      <c r="AD88" s="435" t="s">
        <v>521</v>
      </c>
      <c r="AE88" s="547">
        <f ca="1">IFERROR(AE87/AE86,0)</f>
        <v>0</v>
      </c>
      <c r="AF88" s="508"/>
      <c r="AG88" s="508"/>
      <c r="AH88" s="508"/>
      <c r="AI88" s="547">
        <f ca="1">IFERROR(AI87/AI86,0)</f>
        <v>0</v>
      </c>
      <c r="AJ88" s="547">
        <f ca="1">IFERROR(AJ87/AJ86,0)</f>
        <v>0</v>
      </c>
      <c r="AK88" s="547">
        <f ca="1">IFERROR(AK87/AK86,0)</f>
        <v>0</v>
      </c>
      <c r="AL88" s="313"/>
      <c r="AM88" s="25"/>
      <c r="AN88" s="25"/>
      <c r="AO88" s="25"/>
      <c r="AR88" s="1019" t="s">
        <v>1798</v>
      </c>
      <c r="AS88" s="1054"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x14ac:dyDescent="0.15">
      <c r="C89" s="1084"/>
      <c r="D89" s="1043"/>
      <c r="E89" s="668">
        <v>35</v>
      </c>
      <c r="F89" s="769" cm="1">
        <f t="array" aca="1" ref="F89" ca="1">OFFSET(G89,-1,-1)</f>
        <v>0</v>
      </c>
      <c r="H89" s="140" cm="1">
        <f t="array" ref="H89">G27</f>
        <v>0</v>
      </c>
      <c r="L89" s="1072"/>
      <c r="M89" s="1070" cm="1">
        <f t="array" aca="1" ref="M89" ca="1">OFFSET(L89,-1,1)</f>
        <v>0</v>
      </c>
      <c r="N89" s="1072"/>
      <c r="O89" s="1072"/>
      <c r="P89" s="1072"/>
      <c r="Q89" s="1072"/>
      <c r="R89" s="1072"/>
      <c r="S89" s="1072"/>
      <c r="T89" s="679" t="b">
        <f t="shared" ca="1" si="4"/>
        <v>0</v>
      </c>
      <c r="X89" s="1485"/>
      <c r="Z89" s="1485"/>
      <c r="AB89" s="230" t="s">
        <v>1726</v>
      </c>
      <c r="AC89" s="111" t="s">
        <v>1799</v>
      </c>
      <c r="AD89" s="514"/>
      <c r="AE89" s="611"/>
      <c r="AF89" s="508"/>
      <c r="AG89" s="508"/>
      <c r="AH89" s="508"/>
      <c r="AI89" s="611"/>
      <c r="AJ89" s="611"/>
      <c r="AK89" s="611"/>
      <c r="AL89" s="313"/>
      <c r="AM89" s="25"/>
      <c r="AN89" s="25"/>
      <c r="AO89" s="25"/>
      <c r="AR89" s="1019" t="s">
        <v>1800</v>
      </c>
      <c r="AS89" s="1122"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x14ac:dyDescent="0.15">
      <c r="C90" s="1084" t="s">
        <v>1801</v>
      </c>
      <c r="D90" s="1043" t="s">
        <v>1802</v>
      </c>
      <c r="E90" s="668">
        <v>17.100000000000001</v>
      </c>
      <c r="F90" s="769" cm="1">
        <f t="array" aca="1" ref="F90" ca="1">OFFSET(G90,-1,-1)</f>
        <v>0</v>
      </c>
      <c r="G90" s="612" t="s">
        <v>1803</v>
      </c>
      <c r="H90" s="140" cm="1">
        <f t="array" ref="H90">G27</f>
        <v>0</v>
      </c>
      <c r="L90" s="1072"/>
      <c r="M90" s="1070" cm="1">
        <f t="array" aca="1" ref="M90" ca="1">OFFSET(L90,-1,1)</f>
        <v>0</v>
      </c>
      <c r="N90" s="1072"/>
      <c r="O90" s="1072"/>
      <c r="P90" s="1072"/>
      <c r="Q90" s="1072"/>
      <c r="R90" s="1072"/>
      <c r="S90" s="1072"/>
      <c r="T90" s="679" t="b">
        <f t="shared" ca="1" si="4"/>
        <v>0</v>
      </c>
      <c r="X90" s="1485"/>
      <c r="Z90" s="1485"/>
      <c r="AB90" s="545" t="str">
        <f>AB89&amp;".1"</f>
        <v>13.1</v>
      </c>
      <c r="AC90" s="112" t="s">
        <v>1804</v>
      </c>
      <c r="AD90" s="435" t="s">
        <v>1805</v>
      </c>
      <c r="AE90" s="50"/>
      <c r="AF90" s="508"/>
      <c r="AG90" s="508"/>
      <c r="AH90" s="313"/>
      <c r="AI90" s="50"/>
      <c r="AJ90" s="254"/>
      <c r="AK90" s="254"/>
      <c r="AL90" s="253">
        <f>IF(AI90=0,0,(AK90-AI90)/AI90*100)</f>
        <v>0</v>
      </c>
      <c r="AM90" s="25"/>
      <c r="AN90" s="25"/>
      <c r="AO90" s="25"/>
      <c r="AR90" s="1019" t="s">
        <v>1806</v>
      </c>
      <c r="AS90" s="1054"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x14ac:dyDescent="0.15">
      <c r="C91" s="1084" t="s">
        <v>1801</v>
      </c>
      <c r="D91" s="1043" t="s">
        <v>1802</v>
      </c>
      <c r="E91" s="668">
        <v>17.100000000000001</v>
      </c>
      <c r="F91" s="769" cm="1">
        <f t="array" aca="1" ref="F91" ca="1">OFFSET(G91,-1,-1)</f>
        <v>0</v>
      </c>
      <c r="G91" s="612" t="s">
        <v>1807</v>
      </c>
      <c r="H91" s="140" cm="1">
        <f t="array" ref="H91">G27</f>
        <v>0</v>
      </c>
      <c r="L91" s="1072"/>
      <c r="M91" s="1070" cm="1">
        <f t="array" aca="1" ref="M91" ca="1">OFFSET(L91,-1,1)</f>
        <v>0</v>
      </c>
      <c r="N91" s="1072"/>
      <c r="O91" s="1072"/>
      <c r="P91" s="1072"/>
      <c r="Q91" s="1072"/>
      <c r="R91" s="1072"/>
      <c r="S91" s="1072"/>
      <c r="T91" s="679" t="b">
        <f t="shared" ca="1" si="4"/>
        <v>0</v>
      </c>
      <c r="X91" s="1485"/>
      <c r="Z91" s="1485"/>
      <c r="AB91" s="545" t="str">
        <f>AB89&amp;".2"</f>
        <v>13.2</v>
      </c>
      <c r="AC91" s="112" t="s">
        <v>1808</v>
      </c>
      <c r="AD91" s="435" t="s">
        <v>1805</v>
      </c>
      <c r="AE91" s="253">
        <f ca="1">IFERROR((AE74-AE83*6*AE90)/AE84/6,0)</f>
        <v>0</v>
      </c>
      <c r="AF91" s="508"/>
      <c r="AG91" s="508"/>
      <c r="AH91" s="313"/>
      <c r="AI91" s="253">
        <f ca="1">IFERROR((AI74-AI83*6*AI90)/AI84/6,0)</f>
        <v>0</v>
      </c>
      <c r="AJ91" s="253">
        <f ca="1">IFERROR((AJ74-AJ83*IF(god=2026,9,6)*AJ90)/AJ84/IF(god=2026,3,6),0)</f>
        <v>0</v>
      </c>
      <c r="AK91" s="253">
        <f ca="1">IFERROR((AK74-AK83*IF(god=2026,9,6)*AK90)/AK84/IF(god=2026,3,6),0)</f>
        <v>0</v>
      </c>
      <c r="AL91" s="253">
        <f ca="1">IF(AI91=0,0,(AK91-AI91)/AI91*100)</f>
        <v>0</v>
      </c>
      <c r="AM91" s="25"/>
      <c r="AN91" s="25"/>
      <c r="AO91" s="25"/>
      <c r="AR91" s="1019" t="s">
        <v>1809</v>
      </c>
      <c r="AS91" s="1054"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x14ac:dyDescent="0.15">
      <c r="C92" s="1084" t="s">
        <v>1794</v>
      </c>
      <c r="D92" s="1043" t="s">
        <v>1795</v>
      </c>
      <c r="E92" s="668">
        <v>17.100000000000001</v>
      </c>
      <c r="F92" s="769" cm="1">
        <f t="array" aca="1" ref="F92" ca="1">OFFSET(G92,-1,-1)</f>
        <v>0</v>
      </c>
      <c r="H92" s="140" cm="1">
        <f t="array" ref="H92">G27</f>
        <v>0</v>
      </c>
      <c r="L92" s="1072"/>
      <c r="M92" s="1070" cm="1">
        <f t="array" aca="1" ref="M92" ca="1">OFFSET(L92,-1,1)</f>
        <v>0</v>
      </c>
      <c r="N92" s="1072"/>
      <c r="O92" s="1072"/>
      <c r="P92" s="1072"/>
      <c r="Q92" s="1072"/>
      <c r="R92" s="1072" t="s">
        <v>1810</v>
      </c>
      <c r="S92" s="1072"/>
      <c r="T92" s="679" t="b">
        <f t="shared" ca="1" si="4"/>
        <v>0</v>
      </c>
      <c r="X92" s="1485"/>
      <c r="Z92" s="1485"/>
      <c r="AB92" s="545" t="str">
        <f>AB89&amp;".3"</f>
        <v>13.3</v>
      </c>
      <c r="AC92" s="258" t="s">
        <v>1811</v>
      </c>
      <c r="AD92" s="435" t="s">
        <v>521</v>
      </c>
      <c r="AE92" s="547">
        <f ca="1">IFERROR(AE91/AE90,0)</f>
        <v>0</v>
      </c>
      <c r="AF92" s="851"/>
      <c r="AG92" s="508"/>
      <c r="AH92" s="508"/>
      <c r="AI92" s="547">
        <f ca="1">IFERROR(AI91/AI90,0)</f>
        <v>0</v>
      </c>
      <c r="AJ92" s="547">
        <f ca="1">IFERROR(AJ91/AJ90,0)</f>
        <v>0</v>
      </c>
      <c r="AK92" s="547">
        <f ca="1">IFERROR(AK91/AK90,0)</f>
        <v>0</v>
      </c>
      <c r="AL92" s="313"/>
      <c r="AM92" s="25"/>
      <c r="AN92" s="25"/>
      <c r="AO92" s="25"/>
      <c r="AR92" s="1019" t="s">
        <v>1812</v>
      </c>
      <c r="AS92" s="1054"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x14ac:dyDescent="0.15">
      <c r="C93" s="1084" t="s">
        <v>1813</v>
      </c>
      <c r="D93" s="1043" t="s">
        <v>1814</v>
      </c>
      <c r="E93" s="668">
        <v>30</v>
      </c>
      <c r="F93" s="769" cm="1">
        <f t="array" aca="1" ref="F93" ca="1">OFFSET(G93,-1,-1)</f>
        <v>0</v>
      </c>
      <c r="L93" s="1072"/>
      <c r="M93" s="1070" cm="1">
        <f t="array" aca="1" ref="M93" ca="1">OFFSET(L93,-1,1)</f>
        <v>0</v>
      </c>
      <c r="N93" s="1072"/>
      <c r="O93" s="1072"/>
      <c r="P93" s="1072"/>
      <c r="Q93" s="1072"/>
      <c r="R93" s="1072"/>
      <c r="S93" s="1072"/>
      <c r="T93" s="679" t="b" cm="1">
        <f t="array" ref="T93">T72</f>
        <v>0</v>
      </c>
      <c r="X93" s="1485"/>
      <c r="Z93" s="1485"/>
      <c r="AB93" s="232" t="s">
        <v>1731</v>
      </c>
      <c r="AC93" s="878" t="s">
        <v>1816</v>
      </c>
      <c r="AD93" s="479" t="s">
        <v>1044</v>
      </c>
      <c r="AE93" s="50"/>
      <c r="AF93" s="73"/>
      <c r="AG93" s="73"/>
      <c r="AH93" s="253">
        <f>AG93-AF93</f>
        <v>0</v>
      </c>
      <c r="AI93" s="50"/>
      <c r="AJ93" s="254"/>
      <c r="AK93" s="254"/>
      <c r="AL93" s="253">
        <f>IF(AI93=0,0,(AK93-AI93)/AI93*100)</f>
        <v>0</v>
      </c>
      <c r="AM93" s="25"/>
      <c r="AN93" s="25"/>
      <c r="AO93" s="25"/>
      <c r="AR93" s="1019" t="s">
        <v>1817</v>
      </c>
      <c r="AS93" s="1054"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291" customFormat="1" ht="16.5" customHeight="1" x14ac:dyDescent="0.15">
      <c r="A94" s="167"/>
      <c r="B94" s="167"/>
      <c r="C94" s="1088"/>
      <c r="D94" s="1038"/>
      <c r="E94" s="668">
        <v>17.100000000000001</v>
      </c>
      <c r="F94" s="769" t="str" cm="1">
        <f t="array" ref="F94">X94</f>
        <v>1</v>
      </c>
      <c r="G94" s="612" t="str" cm="1">
        <f t="array" ref="G94">INDEX('Общие сведения'!$AK$169:$AK$202,MATCH($F94,'Общие сведения'!$Z$169:$Z$202,0))</f>
        <v>одноставочный</v>
      </c>
      <c r="H94" s="167"/>
      <c r="I94" s="160" t="str" cm="1">
        <f t="array" ref="I94">INDEX('Общие сведения'!$AE$169:$AE$202,MATCH($F94,'Общие сведения'!$Z$169:$Z$202,0))</f>
        <v>Теплоснабжение</v>
      </c>
      <c r="J94" s="167"/>
      <c r="K94" s="160" t="str" cm="1">
        <f t="array" ref="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078"/>
      <c r="M94" s="1078"/>
      <c r="N94" s="1078"/>
      <c r="O94" s="1078"/>
      <c r="P94" s="1078"/>
      <c r="Q94" s="1078"/>
      <c r="R94" s="1078"/>
      <c r="S94" s="1078"/>
      <c r="T94" s="679" t="b">
        <f>X94&gt;0</f>
        <v>1</v>
      </c>
      <c r="U94" s="167"/>
      <c r="V94" s="123" t="str" cm="1">
        <f t="array" ref="V94">'Калькуляция (5.9)'!$AB$82</f>
        <v>Тариф 1 (Теплоснабжение) - Тариф на тепловую энергию (мощность), поставляемую потребителям (Не определено)</v>
      </c>
      <c r="W94" s="167"/>
      <c r="X94" s="1597" t="s">
        <v>339</v>
      </c>
      <c r="Y94" s="167"/>
      <c r="Z94" s="1483"/>
      <c r="AA94" s="167"/>
      <c r="AB94" s="271" t="str" cm="1">
        <f t="array" ref="AB94">IF(ISBLANK('Калькуляция (5.9)'!$AB$82),"",'Калькуляция (5.9)'!$AB$82)</f>
        <v>Тариф 1 (Теплоснабжение) - Тариф на тепловую энергию (мощность), поставляемую потребителям (Не определено)</v>
      </c>
      <c r="AC94" s="272"/>
      <c r="AD94" s="272"/>
      <c r="AE94" s="272"/>
      <c r="AF94" s="272"/>
      <c r="AG94" s="272"/>
      <c r="AH94" s="272"/>
      <c r="AI94" s="272"/>
      <c r="AJ94" s="272"/>
      <c r="AK94" s="272"/>
      <c r="AL94" s="272"/>
      <c r="AM94" s="272"/>
      <c r="AN94" s="272"/>
      <c r="AO94" s="272"/>
      <c r="AP94" s="167"/>
      <c r="AQ94" s="167"/>
      <c r="AR94" s="992"/>
      <c r="AS94" s="1066"/>
    </row>
    <row r="95" spans="1:45" s="1167" customFormat="1" ht="33.75" customHeight="1" x14ac:dyDescent="0.15">
      <c r="A95" s="973"/>
      <c r="B95" s="773"/>
      <c r="C95" s="1084" t="s">
        <v>1824</v>
      </c>
      <c r="D95" s="1043" t="s">
        <v>1825</v>
      </c>
      <c r="E95" s="668">
        <v>35</v>
      </c>
      <c r="F95" s="769" t="str" cm="1">
        <f t="array" aca="1" ref="F95" ca="1">OFFSET(G95,-1,-1)</f>
        <v>1</v>
      </c>
      <c r="G95" s="177"/>
      <c r="H95" s="177"/>
      <c r="I95" s="177"/>
      <c r="J95" s="177"/>
      <c r="K95" s="177"/>
      <c r="L95" s="1072"/>
      <c r="M95" s="1072" t="str" cm="1">
        <f t="array" ref="M95">INDEX('Общие сведения'!$N$169:$N$202,MATCH($F94,'Общие сведения'!$Z$169:$Z$202,0)+1)</f>
        <v>ТЭ.42.27968109.0001</v>
      </c>
      <c r="N95" s="1072"/>
      <c r="O95" s="1072"/>
      <c r="P95" s="1072"/>
      <c r="Q95" s="1072"/>
      <c r="R95" s="1072"/>
      <c r="S95" s="1072"/>
      <c r="T95" s="679" t="b" cm="1">
        <f t="array" ref="T95">T94</f>
        <v>1</v>
      </c>
      <c r="U95" s="1152"/>
      <c r="V95" s="1152"/>
      <c r="W95" s="1152"/>
      <c r="X95" s="1485"/>
      <c r="Y95" s="1152"/>
      <c r="Z95" s="1485"/>
      <c r="AA95" s="177"/>
      <c r="AB95" s="824">
        <v>1</v>
      </c>
      <c r="AC95" s="825" t="s">
        <v>1826</v>
      </c>
      <c r="AD95" s="826" t="s">
        <v>1044</v>
      </c>
      <c r="AE95" s="507">
        <f ca="1">AE96+AE97+AE98+AE101+AE102+AE103+AE104+AE105+AE107+AE108+AE109+AE110+AE111+AE112+AE113+AE114+AE115+AE116</f>
        <v>81889.618910259989</v>
      </c>
      <c r="AF95" s="507">
        <f ca="1">AF96+AF97+AF98+AF101+AF102+AF103+AF104+AF105+AF107+AF108+AF109+AF110+AF111+AF112+AF113+AF114+AF115+AF116</f>
        <v>83448.477069999994</v>
      </c>
      <c r="AG95" s="507">
        <f ca="1">AG96+AG97+AG98+AG101+AG102+AG103+AG104+AG105+AG107+AG108+AG109+AG110+AG111+AG112+AG113+AG114+AG115+AG116</f>
        <v>80142.937160000001</v>
      </c>
      <c r="AH95" s="253">
        <f t="shared" ref="AH95:AH141" ca="1" si="5">AG95-AF95</f>
        <v>-3305.5399099999922</v>
      </c>
      <c r="AI95" s="507">
        <f ca="1">AI96+AI97+AI98+AI101+AI102+AI103+AI104+AI105+AI107+AI108+AI109+AI110+AI111+AI112+AI113+AI114+AI115+AI116</f>
        <v>87063.274178916574</v>
      </c>
      <c r="AJ95" s="507">
        <f ca="1">AJ96+AJ97+AJ98+AJ101+AJ102+AJ103+AJ104+AJ105+AJ107+AJ108+AJ109+AJ110+AJ111+AJ112+AJ113+AJ114+AJ115+AJ116</f>
        <v>112007.50252026205</v>
      </c>
      <c r="AK95" s="507">
        <f ca="1">AK96+AK97+AK98+AK101+AK102+AK103+AK104+AK105+AK107+AK108+AK109+AK110+AK111+AK112+AK113+AK114+AK115+AK116</f>
        <v>101601.67493363652</v>
      </c>
      <c r="AL95" s="253">
        <f t="shared" ref="AL95:AL126" ca="1" si="6">IF(AI95=0,0,(AK95-AI95)/AI95*100)</f>
        <v>16.698660706055314</v>
      </c>
      <c r="AM95" s="1231"/>
      <c r="AN95" s="1231"/>
      <c r="AO95" s="1231"/>
      <c r="AP95" s="177"/>
      <c r="AQ95" s="177"/>
      <c r="AR95" s="1019" t="s">
        <v>1827</v>
      </c>
      <c r="AS95" s="1054"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M10558::ТЭ.42.27968109.0001::Неопределено::Неопределено::Неопределено::Неопределено::Неопределено::Неопределено::Неопределено</v>
      </c>
    </row>
    <row r="96" spans="1:45" s="1167" customFormat="1" ht="16.5" customHeight="1" x14ac:dyDescent="0.15">
      <c r="A96" s="973"/>
      <c r="B96" s="773"/>
      <c r="C96" s="1084" t="s">
        <v>1824</v>
      </c>
      <c r="D96" s="1043" t="s">
        <v>1825</v>
      </c>
      <c r="E96" s="668">
        <v>17.100000000000001</v>
      </c>
      <c r="F96" s="769" t="str" cm="1">
        <f t="array" aca="1" ref="F96" ca="1">OFFSET(G96,-1,-1)</f>
        <v>1</v>
      </c>
      <c r="G96" s="177"/>
      <c r="H96" s="177"/>
      <c r="I96" s="177"/>
      <c r="J96" s="177"/>
      <c r="K96" s="177"/>
      <c r="L96" s="1072" t="s">
        <v>1828</v>
      </c>
      <c r="M96" s="1070" t="str" cm="1">
        <f t="array" aca="1" ref="M96" ca="1">OFFSET(L96,-1,1)</f>
        <v>ТЭ.42.27968109.0001</v>
      </c>
      <c r="N96" s="1072"/>
      <c r="O96" s="1072"/>
      <c r="P96" s="1072"/>
      <c r="Q96" s="1072"/>
      <c r="R96" s="1072"/>
      <c r="S96" s="1072"/>
      <c r="T96" s="679" t="b" cm="1">
        <f t="array" ref="T96">T95</f>
        <v>1</v>
      </c>
      <c r="U96" s="1152"/>
      <c r="V96" s="1152"/>
      <c r="W96" s="1152"/>
      <c r="X96" s="1485"/>
      <c r="Y96" s="1152"/>
      <c r="Z96" s="1485"/>
      <c r="AA96" s="177"/>
      <c r="AB96" s="827" t="s">
        <v>473</v>
      </c>
      <c r="AC96" s="828" t="s">
        <v>1829</v>
      </c>
      <c r="AD96" s="829" t="s">
        <v>1044</v>
      </c>
      <c r="AE96" s="1316"/>
      <c r="AF96" s="1316"/>
      <c r="AG96" s="1316"/>
      <c r="AH96" s="253">
        <f t="shared" si="5"/>
        <v>0</v>
      </c>
      <c r="AI96" s="1316"/>
      <c r="AJ96" s="509"/>
      <c r="AK96" s="509"/>
      <c r="AL96" s="253">
        <f t="shared" si="6"/>
        <v>0</v>
      </c>
      <c r="AM96" s="1231"/>
      <c r="AN96" s="1231"/>
      <c r="AO96" s="1231"/>
      <c r="AP96" s="177"/>
      <c r="AQ96" s="177"/>
      <c r="AR96" s="1019" t="s">
        <v>1321</v>
      </c>
      <c r="AS96" s="1054"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M10558::ТЭ.42.27968109.0001::1.0.64.::Неопределено::Неопределено::Неопределено::Неопределено::Неопределено::Неопределено</v>
      </c>
    </row>
    <row r="97" spans="1:45" s="1167" customFormat="1" ht="25.5" customHeight="1" x14ac:dyDescent="0.15">
      <c r="A97" s="973"/>
      <c r="B97" s="773"/>
      <c r="C97" s="1084" t="s">
        <v>1824</v>
      </c>
      <c r="D97" s="1043" t="s">
        <v>1825</v>
      </c>
      <c r="E97" s="668">
        <v>26.3</v>
      </c>
      <c r="F97" s="769" t="str" cm="1">
        <f t="array" aca="1" ref="F97" ca="1">OFFSET(G97,-1,-1)</f>
        <v>1</v>
      </c>
      <c r="G97" s="140" t="s">
        <v>1411</v>
      </c>
      <c r="H97" s="177"/>
      <c r="I97" s="177"/>
      <c r="J97" s="177"/>
      <c r="K97" s="177"/>
      <c r="L97" s="1072" t="s">
        <v>1830</v>
      </c>
      <c r="M97" s="1070" t="str" cm="1">
        <f t="array" aca="1" ref="M97" ca="1">OFFSET(L97,-1,1)</f>
        <v>ТЭ.42.27968109.0001</v>
      </c>
      <c r="N97" s="1072"/>
      <c r="O97" s="1072"/>
      <c r="P97" s="1072"/>
      <c r="Q97" s="1072"/>
      <c r="R97" s="1072"/>
      <c r="S97" s="1072"/>
      <c r="T97" s="679" t="b" cm="1">
        <f t="array" ref="T97">T96</f>
        <v>1</v>
      </c>
      <c r="U97" s="1152"/>
      <c r="V97" s="1152"/>
      <c r="W97" s="1152"/>
      <c r="X97" s="1485"/>
      <c r="Y97" s="1152"/>
      <c r="Z97" s="1485"/>
      <c r="AA97" s="177"/>
      <c r="AB97" s="827" t="s">
        <v>955</v>
      </c>
      <c r="AC97" s="828" t="s">
        <v>1412</v>
      </c>
      <c r="AD97" s="829" t="s">
        <v>1044</v>
      </c>
      <c r="AE97" s="253">
        <f ca="1">SUMIFS('Топливо 4.4'!AH$27:AH$275,'Топливо 4.4'!$F$27:$F$275,$F97,'Топливо 4.4'!$G$27:$G$275,$G97)</f>
        <v>42676.951000000001</v>
      </c>
      <c r="AF97" s="253">
        <f ca="1">SUMIFS('Топливо 4.4'!AI$27:AI$275,'Топливо 4.4'!$F$27:$F$275,$F97,'Топливо 4.4'!$G$27:$G$275,$G97)</f>
        <v>42513.225999999995</v>
      </c>
      <c r="AG97" s="253">
        <f ca="1">SUMIFS('Топливо 4.4'!AJ$27:AJ$275,'Топливо 4.4'!$F$27:$F$275,$F97,'Топливо 4.4'!$G$27:$G$275,$G97)</f>
        <v>42513.227999999996</v>
      </c>
      <c r="AH97" s="253">
        <f t="shared" ca="1" si="5"/>
        <v>2.0000000004074536E-3</v>
      </c>
      <c r="AI97" s="253">
        <f ca="1">SUMIFS('Топливо 4.4'!AK$27:AK$275,'Топливо 4.4'!$F$27:$F$275,$F97,'Топливо 4.4'!$G$27:$G$275,$G97)</f>
        <v>49203.479999999996</v>
      </c>
      <c r="AJ97" s="253">
        <f ca="1">SUMIFS('Топливо 4.4'!AL$27:AL$275,'Топливо 4.4'!$F$27:$F$275,$F97,'Топливо 4.4'!$G$27:$G$275,$G97)</f>
        <v>63706.505880262062</v>
      </c>
      <c r="AK97" s="253">
        <f ca="1">SUMIFS('Топливо 4.4'!BP$27:BP$275,'Топливо 4.4'!$F$27:$F$275,$F97,'Топливо 4.4'!$G$27:$G$275,$G97)</f>
        <v>59960.620675622908</v>
      </c>
      <c r="AL97" s="253">
        <f t="shared" ca="1" si="6"/>
        <v>21.862560688030424</v>
      </c>
      <c r="AM97" s="1231"/>
      <c r="AN97" s="1231"/>
      <c r="AO97" s="1231"/>
      <c r="AP97" s="177"/>
      <c r="AQ97" s="177"/>
      <c r="AR97" s="1019" t="s">
        <v>1406</v>
      </c>
      <c r="AS97" s="1054"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M10558::ТЭ.42.27968109.0001::1.0.66.::Неопределено::Неопределено::Неопределено::Неопределено::Неопределено::Неопределено</v>
      </c>
    </row>
    <row r="98" spans="1:45" s="1167" customFormat="1" ht="16.5" customHeight="1" x14ac:dyDescent="0.15">
      <c r="A98" s="973"/>
      <c r="B98" s="773"/>
      <c r="C98" s="1084" t="s">
        <v>1824</v>
      </c>
      <c r="D98" s="1043" t="s">
        <v>1825</v>
      </c>
      <c r="E98" s="668">
        <v>17.100000000000001</v>
      </c>
      <c r="F98" s="769" t="str" cm="1">
        <f t="array" aca="1" ref="F98" ca="1">OFFSET(G98,-1,-1)</f>
        <v>1</v>
      </c>
      <c r="G98" s="177"/>
      <c r="H98" s="177"/>
      <c r="I98" s="177"/>
      <c r="J98" s="177"/>
      <c r="K98" s="177"/>
      <c r="L98" s="1072" t="s">
        <v>1831</v>
      </c>
      <c r="M98" s="1070" t="str" cm="1">
        <f t="array" aca="1" ref="M98" ca="1">OFFSET(L98,-1,1)</f>
        <v>ТЭ.42.27968109.0001</v>
      </c>
      <c r="N98" s="1072"/>
      <c r="O98" s="1072"/>
      <c r="P98" s="1072"/>
      <c r="Q98" s="1072"/>
      <c r="R98" s="1072"/>
      <c r="S98" s="1072"/>
      <c r="T98" s="679" t="b" cm="1">
        <f t="array" ref="T98">T97</f>
        <v>1</v>
      </c>
      <c r="U98" s="1152"/>
      <c r="V98" s="1152"/>
      <c r="W98" s="1152"/>
      <c r="X98" s="1485"/>
      <c r="Y98" s="1152"/>
      <c r="Z98" s="1485"/>
      <c r="AA98" s="177"/>
      <c r="AB98" s="827" t="s">
        <v>957</v>
      </c>
      <c r="AC98" s="828" t="s">
        <v>39</v>
      </c>
      <c r="AD98" s="829" t="s">
        <v>1044</v>
      </c>
      <c r="AE98" s="507">
        <f ca="1">SUM(AE99:AE100)</f>
        <v>14221.181011043998</v>
      </c>
      <c r="AF98" s="507">
        <f ca="1">SUM(AF99:AF100)</f>
        <v>13493.036</v>
      </c>
      <c r="AG98" s="507">
        <f ca="1">SUM(AG99:AG100)</f>
        <v>13165.65</v>
      </c>
      <c r="AH98" s="253">
        <f t="shared" ca="1" si="5"/>
        <v>-327.38600000000042</v>
      </c>
      <c r="AI98" s="507">
        <f ca="1">SUM(AI99:AI100)</f>
        <v>15270.465071049999</v>
      </c>
      <c r="AJ98" s="507">
        <f ca="1">SUM(AJ99:AJ100)</f>
        <v>17989.060000000001</v>
      </c>
      <c r="AK98" s="507">
        <f ca="1">SUM(AK99:AK100)</f>
        <v>16686.6852702</v>
      </c>
      <c r="AL98" s="253">
        <f t="shared" ca="1" si="6"/>
        <v>9.2742440558336003</v>
      </c>
      <c r="AM98" s="1231"/>
      <c r="AN98" s="1231"/>
      <c r="AO98" s="1231"/>
      <c r="AP98" s="177"/>
      <c r="AQ98" s="177"/>
      <c r="AR98" s="1019" t="s">
        <v>1832</v>
      </c>
      <c r="AS98" s="1054"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M10558::ТЭ.42.27968109.0001::1.0.69.::Неопределено::Неопределено::Неопределено::Неопределено::Неопределено::Неопределено</v>
      </c>
    </row>
    <row r="99" spans="1:45" s="1167" customFormat="1" ht="16.5" customHeight="1" x14ac:dyDescent="0.15">
      <c r="A99" s="973"/>
      <c r="B99" s="773"/>
      <c r="C99" s="1084" t="s">
        <v>1824</v>
      </c>
      <c r="D99" s="1043" t="s">
        <v>1825</v>
      </c>
      <c r="E99" s="668">
        <v>17.100000000000001</v>
      </c>
      <c r="F99" s="769" t="str" cm="1">
        <f t="array" aca="1" ref="F99" ca="1">OFFSET(G99,-1,-1)</f>
        <v>1</v>
      </c>
      <c r="G99" s="140" t="s">
        <v>949</v>
      </c>
      <c r="H99" s="177"/>
      <c r="I99" s="177"/>
      <c r="J99" s="177"/>
      <c r="K99" s="177"/>
      <c r="L99" s="1072" t="s">
        <v>1833</v>
      </c>
      <c r="M99" s="1070" t="str" cm="1">
        <f t="array" aca="1" ref="M99" ca="1">OFFSET(L99,-1,1)</f>
        <v>ТЭ.42.27968109.0001</v>
      </c>
      <c r="N99" s="1072"/>
      <c r="O99" s="1072"/>
      <c r="P99" s="1072"/>
      <c r="Q99" s="1072"/>
      <c r="R99" s="1072"/>
      <c r="S99" s="1072"/>
      <c r="T99" s="679" t="b" cm="1">
        <f t="array" ref="T99">T98</f>
        <v>1</v>
      </c>
      <c r="U99" s="1152"/>
      <c r="V99" s="1152"/>
      <c r="W99" s="1152"/>
      <c r="X99" s="1485"/>
      <c r="Y99" s="1152"/>
      <c r="Z99" s="1485"/>
      <c r="AA99" s="177"/>
      <c r="AB99" s="827" t="s">
        <v>1190</v>
      </c>
      <c r="AC99" s="565" t="s">
        <v>1834</v>
      </c>
      <c r="AD99" s="829" t="s">
        <v>1044</v>
      </c>
      <c r="AE99" s="253">
        <f ca="1">SUMIFS(ЭнергоРесурсы!AE$26:AE$112,ЭнергоРесурсы!$F$26:$F$112,$F99,ЭнергоРесурсы!$G$26:$G$112,$G99)</f>
        <v>14221.181011043998</v>
      </c>
      <c r="AF99" s="253">
        <f ca="1">SUMIFS(ЭнергоРесурсы!AF$26:AF$112,ЭнергоРесурсы!$F$26:$F$112,$F99,ЭнергоРесурсы!$G$26:$G$112,$G99)</f>
        <v>13493.036</v>
      </c>
      <c r="AG99" s="253">
        <f ca="1">SUMIFS(ЭнергоРесурсы!AG$26:AG$112,ЭнергоРесурсы!$F$26:$F$112,$F99,ЭнергоРесурсы!$G$26:$G$112,$G99)</f>
        <v>13165.65</v>
      </c>
      <c r="AH99" s="253">
        <f t="shared" ca="1" si="5"/>
        <v>-327.38600000000042</v>
      </c>
      <c r="AI99" s="253">
        <f ca="1">SUMIFS(ЭнергоРесурсы!AH$26:AH$112,ЭнергоРесурсы!$F$26:$F$112,$F99,ЭнергоРесурсы!$G$26:$G$112,$G99)</f>
        <v>15270.465071049999</v>
      </c>
      <c r="AJ99" s="253">
        <f ca="1">SUMIFS(ЭнергоРесурсы!AI$26:AI$112,ЭнергоРесурсы!$F$26:$F$112,$F99,ЭнергоРесурсы!$G$26:$G$112,$G99)</f>
        <v>17989.060000000001</v>
      </c>
      <c r="AK99" s="253">
        <f ca="1">SUMIFS(ЭнергоРесурсы!AS$26:AS$112,ЭнергоРесурсы!$F$26:$F$112,$F99,ЭнергоРесурсы!$G$26:$G$112,$G99)</f>
        <v>16686.6852702</v>
      </c>
      <c r="AL99" s="253">
        <f t="shared" ca="1" si="6"/>
        <v>9.2742440558336003</v>
      </c>
      <c r="AM99" s="1231"/>
      <c r="AN99" s="1231"/>
      <c r="AO99" s="1231"/>
      <c r="AP99" s="177"/>
      <c r="AQ99" s="177"/>
      <c r="AR99" s="1019" t="s">
        <v>1835</v>
      </c>
      <c r="AS99" s="1054"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M10558::ТЭ.42.27968109.0001::1.0.82.::Неопределено::Неопределено::Неопределено::Неопределено::Неопределено::Неопределено</v>
      </c>
    </row>
    <row r="100" spans="1:45" s="1167" customFormat="1" ht="16.5" customHeight="1" x14ac:dyDescent="0.15">
      <c r="A100" s="973"/>
      <c r="B100" s="773"/>
      <c r="C100" s="1084" t="s">
        <v>1824</v>
      </c>
      <c r="D100" s="1043" t="s">
        <v>1825</v>
      </c>
      <c r="E100" s="668">
        <v>17.100000000000001</v>
      </c>
      <c r="F100" s="769" t="str" cm="1">
        <f t="array" aca="1" ref="F100" ca="1">OFFSET(G100,-1,-1)</f>
        <v>1</v>
      </c>
      <c r="G100" s="140" t="s">
        <v>984</v>
      </c>
      <c r="H100" s="177"/>
      <c r="I100" s="177"/>
      <c r="J100" s="177"/>
      <c r="K100" s="177"/>
      <c r="L100" s="1072" t="s">
        <v>1836</v>
      </c>
      <c r="M100" s="1070" t="str" cm="1">
        <f t="array" aca="1" ref="M100" ca="1">OFFSET(L100,-1,1)</f>
        <v>ТЭ.42.27968109.0001</v>
      </c>
      <c r="N100" s="1072"/>
      <c r="O100" s="1072"/>
      <c r="P100" s="1072"/>
      <c r="Q100" s="1072"/>
      <c r="R100" s="1072"/>
      <c r="S100" s="1072"/>
      <c r="T100" s="679" t="b" cm="1">
        <f t="array" ref="T100">T99</f>
        <v>1</v>
      </c>
      <c r="U100" s="1152"/>
      <c r="V100" s="1152"/>
      <c r="W100" s="1152"/>
      <c r="X100" s="1485"/>
      <c r="Y100" s="1152"/>
      <c r="Z100" s="1485"/>
      <c r="AA100" s="177"/>
      <c r="AB100" s="827" t="s">
        <v>1194</v>
      </c>
      <c r="AC100" s="565" t="s">
        <v>1837</v>
      </c>
      <c r="AD100" s="829" t="s">
        <v>1044</v>
      </c>
      <c r="AE100" s="253">
        <f ca="1">SUMIFS(ЭнергоРесурсы!AE$26:AE$112,ЭнергоРесурсы!$F$26:$F$112,$F100,ЭнергоРесурсы!$G$26:$G$112,$G100)</f>
        <v>0</v>
      </c>
      <c r="AF100" s="253">
        <f ca="1">SUMIFS(ЭнергоРесурсы!AF$26:AF$112,ЭнергоРесурсы!$F$26:$F$112,$F100,ЭнергоРесурсы!$G$26:$G$112,$G100)</f>
        <v>0</v>
      </c>
      <c r="AG100" s="253">
        <f ca="1">SUMIFS(ЭнергоРесурсы!AG$26:AG$112,ЭнергоРесурсы!$F$26:$F$112,$F100,ЭнергоРесурсы!$G$26:$G$112,$G100)</f>
        <v>0</v>
      </c>
      <c r="AH100" s="253">
        <f t="shared" ca="1" si="5"/>
        <v>0</v>
      </c>
      <c r="AI100" s="253">
        <f ca="1">SUMIFS(ЭнергоРесурсы!AH$26:AH$112,ЭнергоРесурсы!$F$26:$F$112,$F100,ЭнергоРесурсы!$G$26:$G$112,$G100)</f>
        <v>0</v>
      </c>
      <c r="AJ100" s="253">
        <f ca="1">SUMIFS(ЭнергоРесурсы!AI$26:AI$112,ЭнергоРесурсы!$F$26:$F$112,$F100,ЭнергоРесурсы!$G$26:$G$112,$G100)</f>
        <v>0</v>
      </c>
      <c r="AK100" s="253">
        <f ca="1">SUMIFS(ЭнергоРесурсы!AS$26:AS$112,ЭнергоРесурсы!$F$26:$F$112,$F100,ЭнергоРесурсы!$G$26:$G$112,$G100)</f>
        <v>0</v>
      </c>
      <c r="AL100" s="253">
        <f t="shared" ca="1" si="6"/>
        <v>0</v>
      </c>
      <c r="AM100" s="1231"/>
      <c r="AN100" s="1231"/>
      <c r="AO100" s="1231"/>
      <c r="AP100" s="177"/>
      <c r="AQ100" s="177"/>
      <c r="AR100" s="1019" t="s">
        <v>1838</v>
      </c>
      <c r="AS100" s="1054"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M10558::ТЭ.42.27968109.0001::1.0.80.::Неопределено::Неопределено::Неопределено::Неопределено::Неопределено::Неопределено</v>
      </c>
    </row>
    <row r="101" spans="1:45" s="1167" customFormat="1" ht="16.5" customHeight="1" x14ac:dyDescent="0.15">
      <c r="A101" s="973"/>
      <c r="B101" s="773"/>
      <c r="C101" s="1084" t="s">
        <v>1824</v>
      </c>
      <c r="D101" s="1043" t="s">
        <v>1825</v>
      </c>
      <c r="E101" s="668">
        <v>17.100000000000001</v>
      </c>
      <c r="F101" s="769" t="str" cm="1">
        <f t="array" aca="1" ref="F101" ca="1">OFFSET(G101,-1,-1)</f>
        <v>1</v>
      </c>
      <c r="G101" s="140" t="s">
        <v>1016</v>
      </c>
      <c r="H101" s="177"/>
      <c r="I101" s="177"/>
      <c r="J101" s="177"/>
      <c r="K101" s="177"/>
      <c r="L101" s="1072" t="s">
        <v>1839</v>
      </c>
      <c r="M101" s="1070" t="str" cm="1">
        <f t="array" aca="1" ref="M101" ca="1">OFFSET(L101,-1,1)</f>
        <v>ТЭ.42.27968109.0001</v>
      </c>
      <c r="N101" s="1072"/>
      <c r="O101" s="1072"/>
      <c r="P101" s="1072"/>
      <c r="Q101" s="1072"/>
      <c r="R101" s="1072"/>
      <c r="S101" s="1072"/>
      <c r="T101" s="679" t="b" cm="1">
        <f t="array" ref="T101">T100</f>
        <v>1</v>
      </c>
      <c r="U101" s="1152"/>
      <c r="V101" s="1152"/>
      <c r="W101" s="1152"/>
      <c r="X101" s="1485"/>
      <c r="Y101" s="1152"/>
      <c r="Z101" s="1485"/>
      <c r="AA101" s="177"/>
      <c r="AB101" s="827" t="s">
        <v>961</v>
      </c>
      <c r="AC101" s="828" t="s">
        <v>1017</v>
      </c>
      <c r="AD101" s="829" t="s">
        <v>1044</v>
      </c>
      <c r="AE101" s="455">
        <f ca="1">SUMIFS('ХВС, ТН'!AE$26:AE$59,'ХВС, ТН'!$F$26:$F$59,$F101,'ХВС, ТН'!$G$26:$G$59,$G101)</f>
        <v>1498.554378216</v>
      </c>
      <c r="AF101" s="455">
        <f ca="1">SUMIFS('ХВС, ТН'!AF$26:AF$59,'ХВС, ТН'!$F$26:$F$59,$F101,'ХВС, ТН'!$G$26:$G$59,$G101)</f>
        <v>875.74</v>
      </c>
      <c r="AG101" s="455">
        <f ca="1">SUMIFS('ХВС, ТН'!AG$26:AG$59,'ХВС, ТН'!$F$26:$F$59,$F101,'ХВС, ТН'!$G$26:$G$59,$G101)</f>
        <v>875.74</v>
      </c>
      <c r="AH101" s="253">
        <f t="shared" ca="1" si="5"/>
        <v>0</v>
      </c>
      <c r="AI101" s="455">
        <f ca="1">SUMIFS('ХВС, ТН'!AH$26:AH$59,'ХВС, ТН'!$F$26:$F$59,$F101,'ХВС, ТН'!$G$26:$G$59,$G101)</f>
        <v>1669.9772478666</v>
      </c>
      <c r="AJ101" s="455">
        <f ca="1">SUMIFS('ХВС, ТН'!AI$26:AI$59,'ХВС, ТН'!$F$26:$F$59,$F101,'ХВС, ТН'!$G$26:$G$59,$G101)</f>
        <v>1785.14</v>
      </c>
      <c r="AK101" s="455">
        <f ca="1">SUMIFS('ХВС, ТН'!AS$26:AS$59,'ХВС, ТН'!$F$26:$F$59,$F101,'ХВС, ТН'!$G$26:$G$59,$G101)</f>
        <v>1633.6022497535</v>
      </c>
      <c r="AL101" s="253">
        <f t="shared" ca="1" si="6"/>
        <v>-2.1781732750891751</v>
      </c>
      <c r="AM101" s="1231"/>
      <c r="AN101" s="1231"/>
      <c r="AO101" s="1231"/>
      <c r="AP101" s="177"/>
      <c r="AQ101" s="177"/>
      <c r="AR101" s="1019" t="s">
        <v>1416</v>
      </c>
      <c r="AS101" s="1054"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M10558::ТЭ.42.27968109.0001::1.0.86.::Неопределено::Неопределено::Неопределено::Неопределено::Неопределено::Неопределено</v>
      </c>
    </row>
    <row r="102" spans="1:45" s="1167" customFormat="1" ht="16.5" customHeight="1" x14ac:dyDescent="0.15">
      <c r="A102" s="973"/>
      <c r="B102" s="773"/>
      <c r="C102" s="1084" t="s">
        <v>1824</v>
      </c>
      <c r="D102" s="1043" t="s">
        <v>1825</v>
      </c>
      <c r="E102" s="668">
        <v>17.100000000000001</v>
      </c>
      <c r="F102" s="769" t="str" cm="1">
        <f t="array" aca="1" ref="F102" ca="1">OFFSET(G102,-1,-1)</f>
        <v>1</v>
      </c>
      <c r="G102" s="140" t="s">
        <v>1027</v>
      </c>
      <c r="H102" s="177"/>
      <c r="I102" s="177"/>
      <c r="J102" s="177"/>
      <c r="K102" s="177"/>
      <c r="L102" s="1072" t="s">
        <v>1840</v>
      </c>
      <c r="M102" s="1070" t="str" cm="1">
        <f t="array" aca="1" ref="M102" ca="1">OFFSET(L102,-1,1)</f>
        <v>ТЭ.42.27968109.0001</v>
      </c>
      <c r="N102" s="1072"/>
      <c r="O102" s="1072"/>
      <c r="P102" s="1072"/>
      <c r="Q102" s="1072"/>
      <c r="R102" s="1072"/>
      <c r="S102" s="1072"/>
      <c r="T102" s="679" t="b" cm="1">
        <f t="array" ref="T102">T101</f>
        <v>1</v>
      </c>
      <c r="U102" s="1152"/>
      <c r="V102" s="1152"/>
      <c r="W102" s="1152"/>
      <c r="X102" s="1485"/>
      <c r="Y102" s="1152"/>
      <c r="Z102" s="1485"/>
      <c r="AA102" s="177"/>
      <c r="AB102" s="827" t="s">
        <v>1067</v>
      </c>
      <c r="AC102" s="828" t="s">
        <v>1028</v>
      </c>
      <c r="AD102" s="829" t="s">
        <v>1044</v>
      </c>
      <c r="AE102" s="455">
        <f ca="1">SUMIFS('ХВС, ТН'!AE$26:AE$59,'ХВС, ТН'!$F$26:$F$59,$F102,'ХВС, ТН'!$G$26:$G$59,$G102)</f>
        <v>483.24572100000006</v>
      </c>
      <c r="AF102" s="455">
        <f ca="1">SUMIFS('ХВС, ТН'!AF$26:AF$59,'ХВС, ТН'!$F$26:$F$59,$F102,'ХВС, ТН'!$G$26:$G$59,$G102)</f>
        <v>0</v>
      </c>
      <c r="AG102" s="455">
        <f ca="1">SUMIFS('ХВС, ТН'!AG$26:AG$59,'ХВС, ТН'!$F$26:$F$59,$F102,'ХВС, ТН'!$G$26:$G$59,$G102)</f>
        <v>0</v>
      </c>
      <c r="AH102" s="253">
        <f t="shared" ca="1" si="5"/>
        <v>0</v>
      </c>
      <c r="AI102" s="455">
        <f ca="1">SUMIFS('ХВС, ТН'!AH$26:AH$59,'ХВС, ТН'!$F$26:$F$59,$F102,'ХВС, ТН'!$G$26:$G$59,$G102)</f>
        <v>542.02457000000004</v>
      </c>
      <c r="AJ102" s="455">
        <f ca="1">SUMIFS('ХВС, ТН'!AI$26:AI$59,'ХВС, ТН'!$F$26:$F$59,$F102,'ХВС, ТН'!$G$26:$G$59,$G102)</f>
        <v>793.56</v>
      </c>
      <c r="AK102" s="455">
        <f ca="1">SUMIFS('ХВС, ТН'!AS$26:AS$59,'ХВС, ТН'!$F$26:$F$59,$F102,'ХВС, ТН'!$G$26:$G$59,$G102)</f>
        <v>550.84435086010001</v>
      </c>
      <c r="AL102" s="253">
        <f t="shared" ca="1" si="6"/>
        <v>1.6271920773074857</v>
      </c>
      <c r="AM102" s="1231"/>
      <c r="AN102" s="1231"/>
      <c r="AO102" s="1231"/>
      <c r="AP102" s="177"/>
      <c r="AQ102" s="177"/>
      <c r="AR102" s="1019" t="s">
        <v>1417</v>
      </c>
      <c r="AS102" s="1054"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M10558::ТЭ.42.27968109.0001::1.0.88.::Неопределено::Неопределено::Неопределено::Неопределено::Неопределено::Неопределено</v>
      </c>
    </row>
    <row r="103" spans="1:45" s="1167" customFormat="1" ht="16.5" customHeight="1" x14ac:dyDescent="0.15">
      <c r="A103" s="973"/>
      <c r="B103" s="773"/>
      <c r="C103" s="1084" t="s">
        <v>1824</v>
      </c>
      <c r="D103" s="1043" t="s">
        <v>1825</v>
      </c>
      <c r="E103" s="668">
        <v>17.100000000000001</v>
      </c>
      <c r="F103" s="769" t="str" cm="1">
        <f t="array" aca="1" ref="F103" ca="1">OFFSET(G103,-1,-1)</f>
        <v>1</v>
      </c>
      <c r="G103" s="140" t="s">
        <v>1154</v>
      </c>
      <c r="H103" s="177"/>
      <c r="I103" s="177"/>
      <c r="J103" s="177"/>
      <c r="K103" s="177"/>
      <c r="L103" s="1072" t="s">
        <v>1841</v>
      </c>
      <c r="M103" s="1070" t="str" cm="1">
        <f t="array" aca="1" ref="M103" ca="1">OFFSET(L103,-1,1)</f>
        <v>ТЭ.42.27968109.0001</v>
      </c>
      <c r="N103" s="1072"/>
      <c r="O103" s="1072"/>
      <c r="P103" s="1072"/>
      <c r="Q103" s="1072"/>
      <c r="R103" s="1072"/>
      <c r="S103" s="1072"/>
      <c r="T103" s="679" t="b" cm="1">
        <f t="array" ref="T103">T102</f>
        <v>1</v>
      </c>
      <c r="U103" s="1152"/>
      <c r="V103" s="1152"/>
      <c r="W103" s="1152"/>
      <c r="X103" s="1485"/>
      <c r="Y103" s="1152"/>
      <c r="Z103" s="1485"/>
      <c r="AA103" s="177"/>
      <c r="AB103" s="827" t="s">
        <v>1070</v>
      </c>
      <c r="AC103" s="828" t="s">
        <v>1395</v>
      </c>
      <c r="AD103" s="829" t="s">
        <v>1044</v>
      </c>
      <c r="AE103" s="507">
        <f ca="1">SUMIFS(Амортизация!AE$26:AE$225,Амортизация!$F$26:$F$225,$F103,Амортизация!$G$26:$G$225,$G103)</f>
        <v>14188.39</v>
      </c>
      <c r="AF103" s="507">
        <f ca="1">SUMIFS(Амортизация!AF$26:AF$225,Амортизация!$F$26:$F$225,$F103,Амортизация!$G$26:$G$225,$G103)</f>
        <v>14188.39</v>
      </c>
      <c r="AG103" s="507">
        <f ca="1">SUMIFS(Амортизация!AG$26:AG$225,Амортизация!$F$26:$F$225,$F103,Амортизация!$G$26:$G$225,$G103)</f>
        <v>14188.39</v>
      </c>
      <c r="AH103" s="253">
        <f t="shared" ca="1" si="5"/>
        <v>0</v>
      </c>
      <c r="AI103" s="507">
        <f ca="1">SUMIFS(Амортизация!AH$26:AH$225,Амортизация!$F$26:$F$225,$F103,Амортизация!$G$26:$G$225,$G103)</f>
        <v>11135.7</v>
      </c>
      <c r="AJ103" s="507">
        <f ca="1">SUMIFS(Амортизация!AI$26:AI$225,Амортизация!$F$26:$F$225,$F103,Амортизация!$G$26:$G$225,$G103)</f>
        <v>14975.45</v>
      </c>
      <c r="AK103" s="507">
        <f ca="1">SUMIFS(Амортизация!AS$26:AS$225,Амортизация!$F$26:$F$225,$F103,Амортизация!$G$26:$G$225,$G103)</f>
        <v>11942.2</v>
      </c>
      <c r="AL103" s="253">
        <f t="shared" ca="1" si="6"/>
        <v>7.2424724085598564</v>
      </c>
      <c r="AM103" s="1231"/>
      <c r="AN103" s="1231"/>
      <c r="AO103" s="1231"/>
      <c r="AP103" s="177"/>
      <c r="AQ103" s="177"/>
      <c r="AR103" s="1019" t="s">
        <v>1396</v>
      </c>
      <c r="AS103" s="1054"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M10558::ТЭ.42.27968109.0001::1.0.2.::Неопределено::Неопределено::Неопределено::Неопределено::Неопределено::Неопределено</v>
      </c>
    </row>
    <row r="104" spans="1:45" s="1167" customFormat="1" ht="16.5" customHeight="1" x14ac:dyDescent="0.15">
      <c r="A104" s="973"/>
      <c r="B104" s="773"/>
      <c r="C104" s="1084" t="s">
        <v>1824</v>
      </c>
      <c r="D104" s="1043" t="s">
        <v>1825</v>
      </c>
      <c r="E104" s="668">
        <v>17.100000000000001</v>
      </c>
      <c r="F104" s="769" t="str" cm="1">
        <f t="array" aca="1" ref="F104" ca="1">OFFSET(G104,-1,-1)</f>
        <v>1</v>
      </c>
      <c r="G104" s="140" t="s">
        <v>48</v>
      </c>
      <c r="H104" s="177"/>
      <c r="I104" s="177"/>
      <c r="J104" s="177"/>
      <c r="K104" s="177"/>
      <c r="L104" s="1072" t="s">
        <v>1842</v>
      </c>
      <c r="M104" s="1070" t="str" cm="1">
        <f t="array" aca="1" ref="M104" ca="1">OFFSET(L104,-1,1)</f>
        <v>ТЭ.42.27968109.0001</v>
      </c>
      <c r="N104" s="1072"/>
      <c r="O104" s="1072"/>
      <c r="P104" s="1072"/>
      <c r="Q104" s="1072"/>
      <c r="R104" s="1072"/>
      <c r="S104" s="1072"/>
      <c r="T104" s="679" t="b" cm="1">
        <f t="array" ref="T104">T103</f>
        <v>1</v>
      </c>
      <c r="U104" s="1152"/>
      <c r="V104" s="1152"/>
      <c r="W104" s="1152"/>
      <c r="X104" s="1485"/>
      <c r="Y104" s="1152"/>
      <c r="Z104" s="1485"/>
      <c r="AA104" s="177"/>
      <c r="AB104" s="827" t="s">
        <v>1073</v>
      </c>
      <c r="AC104" s="828" t="s">
        <v>1843</v>
      </c>
      <c r="AD104" s="829" t="s">
        <v>1044</v>
      </c>
      <c r="AE104" s="253">
        <f ca="1">SUMIFS(ФОТ!AE$26:AE$77,ФОТ!$F$26:$F$77,$F104,ФОТ!$G$26:$G$77,$G104)</f>
        <v>0</v>
      </c>
      <c r="AF104" s="253">
        <f ca="1">SUMIFS(ФОТ!AF$26:AF$77,ФОТ!$F$26:$F$77,$F104,ФОТ!$G$26:$G$77,$G104)</f>
        <v>0</v>
      </c>
      <c r="AG104" s="253">
        <f ca="1">SUMIFS(ФОТ!AG$26:AG$77,ФОТ!$F$26:$F$77,$F104,ФОТ!$G$26:$G$77,$G104)</f>
        <v>0</v>
      </c>
      <c r="AH104" s="253">
        <f t="shared" ca="1" si="5"/>
        <v>0</v>
      </c>
      <c r="AI104" s="253">
        <f ca="1">SUMIFS(ФОТ!AH$26:AH$77,ФОТ!$F$26:$F$77,$F104,ФОТ!$G$26:$G$77,$G104)</f>
        <v>0</v>
      </c>
      <c r="AJ104" s="253">
        <f ca="1">SUMIFS(ФОТ!AI$26:AI$77,ФОТ!$F$26:$F$77,$F104,ФОТ!$G$26:$G$77,$G104)</f>
        <v>0</v>
      </c>
      <c r="AK104" s="253">
        <f ca="1">SUMIFS(ФОТ!AJ$26:AJ$77,ФОТ!$F$26:$F$77,$F104,ФОТ!$G$26:$G$77,$G104)</f>
        <v>0</v>
      </c>
      <c r="AL104" s="253">
        <f t="shared" ca="1" si="6"/>
        <v>0</v>
      </c>
      <c r="AM104" s="1231"/>
      <c r="AN104" s="1231"/>
      <c r="AO104" s="1231"/>
      <c r="AP104" s="177"/>
      <c r="AQ104" s="177"/>
      <c r="AR104" s="1019" t="s">
        <v>1324</v>
      </c>
      <c r="AS104" s="1054"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M10558::ТЭ.42.27968109.0001::1.0.15.::Неопределено::Неопределено::Неопределено::Неопределено::Неопределено::Неопределено</v>
      </c>
    </row>
    <row r="105" spans="1:45" s="1167" customFormat="1" ht="16.5" customHeight="1" x14ac:dyDescent="0.15">
      <c r="A105" s="973"/>
      <c r="B105" s="773"/>
      <c r="C105" s="1084" t="s">
        <v>1824</v>
      </c>
      <c r="D105" s="1043" t="s">
        <v>1825</v>
      </c>
      <c r="E105" s="668">
        <v>17.100000000000001</v>
      </c>
      <c r="F105" s="769" t="str" cm="1">
        <f t="array" aca="1" ref="F105" ca="1">OFFSET(G105,-1,-1)</f>
        <v>1</v>
      </c>
      <c r="G105" s="177"/>
      <c r="H105" s="177"/>
      <c r="I105" s="177"/>
      <c r="J105" s="177"/>
      <c r="K105" s="177"/>
      <c r="L105" s="1072" t="s">
        <v>1844</v>
      </c>
      <c r="M105" s="1070" t="str" cm="1">
        <f t="array" aca="1" ref="M105" ca="1">OFFSET(L105,-1,1)</f>
        <v>ТЭ.42.27968109.0001</v>
      </c>
      <c r="N105" s="1072"/>
      <c r="O105" s="1072"/>
      <c r="P105" s="1072"/>
      <c r="Q105" s="1072"/>
      <c r="R105" s="1072"/>
      <c r="S105" s="1072"/>
      <c r="T105" s="679" t="b" cm="1">
        <f t="array" ref="T105">T104</f>
        <v>1</v>
      </c>
      <c r="U105" s="1152"/>
      <c r="V105" s="1152"/>
      <c r="W105" s="1152"/>
      <c r="X105" s="1485"/>
      <c r="Y105" s="1152"/>
      <c r="Z105" s="1485"/>
      <c r="AA105" s="177"/>
      <c r="AB105" s="827" t="s">
        <v>1076</v>
      </c>
      <c r="AC105" s="828" t="s">
        <v>1388</v>
      </c>
      <c r="AD105" s="829" t="s">
        <v>1044</v>
      </c>
      <c r="AE105" s="1316"/>
      <c r="AF105" s="1316"/>
      <c r="AG105" s="1316"/>
      <c r="AH105" s="253">
        <f t="shared" si="5"/>
        <v>0</v>
      </c>
      <c r="AI105" s="1316"/>
      <c r="AJ105" s="509"/>
      <c r="AK105" s="509"/>
      <c r="AL105" s="253">
        <f t="shared" si="6"/>
        <v>0</v>
      </c>
      <c r="AM105" s="1231"/>
      <c r="AN105" s="1231"/>
      <c r="AO105" s="1231"/>
      <c r="AP105" s="177"/>
      <c r="AQ105" s="177"/>
      <c r="AR105" s="1019" t="s">
        <v>1389</v>
      </c>
      <c r="AS105" s="1054"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M10558::ТЭ.42.27968109.0001::1.0.85.::Неопределено::Неопределено::Неопределено::Неопределено::Неопределено::Неопределено</v>
      </c>
    </row>
    <row r="106" spans="1:45" s="1167" customFormat="1" ht="16.5" customHeight="1" x14ac:dyDescent="0.15">
      <c r="A106" s="973"/>
      <c r="B106" s="773"/>
      <c r="C106" s="1084" t="s">
        <v>1845</v>
      </c>
      <c r="D106" s="1043" t="s">
        <v>1846</v>
      </c>
      <c r="E106" s="668">
        <v>17.100000000000001</v>
      </c>
      <c r="F106" s="769" t="str" cm="1">
        <f t="array" aca="1" ref="F106" ca="1">OFFSET(G106,-1,-1)</f>
        <v>1</v>
      </c>
      <c r="G106" s="177"/>
      <c r="H106" s="177"/>
      <c r="I106" s="177"/>
      <c r="J106" s="177"/>
      <c r="K106" s="177"/>
      <c r="L106" s="1072" t="s">
        <v>1847</v>
      </c>
      <c r="M106" s="1070" t="str" cm="1">
        <f t="array" aca="1" ref="M106" ca="1">OFFSET(L106,-1,1)</f>
        <v>ТЭ.42.27968109.0001</v>
      </c>
      <c r="N106" s="1072"/>
      <c r="O106" s="1072"/>
      <c r="P106" s="1072"/>
      <c r="Q106" s="1072"/>
      <c r="R106" s="1072"/>
      <c r="S106" s="1072"/>
      <c r="T106" s="679" t="b" cm="1">
        <f t="array" ref="T106">T105</f>
        <v>1</v>
      </c>
      <c r="U106" s="1152"/>
      <c r="V106" s="1152"/>
      <c r="W106" s="1152"/>
      <c r="X106" s="1485"/>
      <c r="Y106" s="1152"/>
      <c r="Z106" s="1485"/>
      <c r="AA106" s="177"/>
      <c r="AB106" s="827" t="s">
        <v>1848</v>
      </c>
      <c r="AC106" s="565" t="s">
        <v>1849</v>
      </c>
      <c r="AD106" s="829" t="s">
        <v>521</v>
      </c>
      <c r="AE106" s="1316"/>
      <c r="AF106" s="1316"/>
      <c r="AG106" s="1316"/>
      <c r="AH106" s="253">
        <f t="shared" si="5"/>
        <v>0</v>
      </c>
      <c r="AI106" s="1316"/>
      <c r="AJ106" s="509"/>
      <c r="AK106" s="509"/>
      <c r="AL106" s="253">
        <f t="shared" si="6"/>
        <v>0</v>
      </c>
      <c r="AM106" s="1231"/>
      <c r="AN106" s="1231"/>
      <c r="AO106" s="1231"/>
      <c r="AP106" s="177"/>
      <c r="AQ106" s="177"/>
      <c r="AR106" s="1019" t="s">
        <v>1386</v>
      </c>
      <c r="AS106" s="1054"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M10532::ТЭ.42.27968109.0001::1.0.76.::Неопределено::Неопределено::Неопределено::Неопределено::Неопределено::Неопределено</v>
      </c>
    </row>
    <row r="107" spans="1:45" s="1167" customFormat="1" ht="16.5" customHeight="1" x14ac:dyDescent="0.15">
      <c r="A107" s="973"/>
      <c r="B107" s="773"/>
      <c r="C107" s="1084" t="s">
        <v>1850</v>
      </c>
      <c r="D107" s="1043" t="s">
        <v>1851</v>
      </c>
      <c r="E107" s="668">
        <v>17.100000000000001</v>
      </c>
      <c r="F107" s="769" t="str" cm="1">
        <f t="array" aca="1" ref="F107" ca="1">OFFSET(G107,-1,-1)</f>
        <v>1</v>
      </c>
      <c r="G107" s="177"/>
      <c r="H107" s="177"/>
      <c r="I107" s="177"/>
      <c r="J107" s="177"/>
      <c r="K107" s="177"/>
      <c r="L107" s="1072"/>
      <c r="M107" s="1070" t="str" cm="1">
        <f t="array" aca="1" ref="M107" ca="1">OFFSET(L107,-1,1)</f>
        <v>ТЭ.42.27968109.0001</v>
      </c>
      <c r="N107" s="1072" t="s">
        <v>1852</v>
      </c>
      <c r="O107" s="1072"/>
      <c r="P107" s="1072"/>
      <c r="Q107" s="1072"/>
      <c r="R107" s="1072"/>
      <c r="S107" s="1072"/>
      <c r="T107" s="679" t="b" cm="1">
        <f t="array" ref="T107">T106</f>
        <v>1</v>
      </c>
      <c r="U107" s="1152"/>
      <c r="V107" s="1152"/>
      <c r="W107" s="1152"/>
      <c r="X107" s="1485"/>
      <c r="Y107" s="1152"/>
      <c r="Z107" s="1485"/>
      <c r="AA107" s="177"/>
      <c r="AB107" s="827" t="s">
        <v>1290</v>
      </c>
      <c r="AC107" s="828" t="s">
        <v>1853</v>
      </c>
      <c r="AD107" s="829" t="s">
        <v>1044</v>
      </c>
      <c r="AE107" s="1316"/>
      <c r="AF107" s="1316"/>
      <c r="AG107" s="1316"/>
      <c r="AH107" s="253">
        <f t="shared" si="5"/>
        <v>0</v>
      </c>
      <c r="AI107" s="1316"/>
      <c r="AJ107" s="509"/>
      <c r="AK107" s="509"/>
      <c r="AL107" s="253">
        <f t="shared" si="6"/>
        <v>0</v>
      </c>
      <c r="AM107" s="1231"/>
      <c r="AN107" s="1231"/>
      <c r="AO107" s="1231"/>
      <c r="AP107" s="177"/>
      <c r="AQ107" s="177"/>
      <c r="AR107" s="1019" t="s">
        <v>1854</v>
      </c>
      <c r="AS107" s="1054"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M10699::ТЭ.42.27968109.0001::Неопределено::110.0.7.::Неопределено::Неопределено::Неопределено::Неопределено::Неопределено</v>
      </c>
    </row>
    <row r="108" spans="1:45" s="1167" customFormat="1" ht="33.75" customHeight="1" x14ac:dyDescent="0.15">
      <c r="A108" s="973"/>
      <c r="B108" s="773"/>
      <c r="C108" s="1084" t="s">
        <v>47</v>
      </c>
      <c r="D108" s="1043" t="s">
        <v>1855</v>
      </c>
      <c r="E108" s="668">
        <v>35</v>
      </c>
      <c r="F108" s="769" t="str" cm="1">
        <f t="array" aca="1" ref="F108" ca="1">OFFSET(G108,-1,-1)</f>
        <v>1</v>
      </c>
      <c r="G108" s="140" t="s">
        <v>1204</v>
      </c>
      <c r="H108" s="177"/>
      <c r="I108" s="177"/>
      <c r="J108" s="177"/>
      <c r="K108" s="177"/>
      <c r="L108" s="1072"/>
      <c r="M108" s="1070" t="str" cm="1">
        <f t="array" aca="1" ref="M108" ca="1">OFFSET(L108,-1,1)</f>
        <v>ТЭ.42.27968109.0001</v>
      </c>
      <c r="N108" s="1072" t="s">
        <v>1856</v>
      </c>
      <c r="O108" s="1072"/>
      <c r="P108" s="1072"/>
      <c r="Q108" s="1072"/>
      <c r="R108" s="1072"/>
      <c r="S108" s="1072"/>
      <c r="T108" s="679" t="b" cm="1">
        <f t="array" ref="T108">T107</f>
        <v>1</v>
      </c>
      <c r="U108" s="1152"/>
      <c r="V108" s="1152"/>
      <c r="W108" s="1152"/>
      <c r="X108" s="1485"/>
      <c r="Y108" s="1152"/>
      <c r="Z108" s="1485"/>
      <c r="AA108" s="177"/>
      <c r="AB108" s="827" t="s">
        <v>1857</v>
      </c>
      <c r="AC108" s="828" t="s">
        <v>1858</v>
      </c>
      <c r="AD108" s="829" t="s">
        <v>1044</v>
      </c>
      <c r="AE108" s="507">
        <f ca="1">SUMIFS('Покупка услуг'!AE$26:AE$68,'Покупка услуг'!$F$26:$F$68,$F108,'Покупка услуг'!$G$26:$G$68,$G108)</f>
        <v>373.81680000000006</v>
      </c>
      <c r="AF108" s="507">
        <f ca="1">SUMIFS('Покупка услуг'!AF$26:AF$68,'Покупка услуг'!$F$26:$F$68,$F108,'Покупка услуг'!$G$26:$G$68,$G108)</f>
        <v>193.92435</v>
      </c>
      <c r="AG108" s="507">
        <f ca="1">SUMIFS('Покупка услуг'!AG$26:AG$68,'Покупка услуг'!$F$26:$F$68,$F108,'Покупка услуг'!$G$26:$G$68,$G108)</f>
        <v>193.92435</v>
      </c>
      <c r="AH108" s="253">
        <f t="shared" ca="1" si="5"/>
        <v>0</v>
      </c>
      <c r="AI108" s="507">
        <f ca="1">SUMIFS('Покупка услуг'!AH$26:AH$68,'Покупка услуг'!$F$26:$F$68,$F108,'Покупка услуг'!$G$26:$G$68,$G108)</f>
        <v>207.60299999999998</v>
      </c>
      <c r="AJ108" s="507">
        <f ca="1">SUMIFS('Покупка услуг'!AI$26:AI$68,'Покупка услуг'!$F$26:$F$68,$F108,'Покупка услуг'!$G$26:$G$68,$G108)</f>
        <v>230.49487999999999</v>
      </c>
      <c r="AK108" s="507">
        <f ca="1">SUMIFS('Покупка услуг'!AS$26:AS$68,'Покупка услуг'!$F$26:$F$68,$F108,'Покупка услуг'!$G$26:$G$68,$G108)</f>
        <v>213.3623872</v>
      </c>
      <c r="AL108" s="253">
        <f t="shared" ca="1" si="6"/>
        <v>2.7742312008978778</v>
      </c>
      <c r="AM108" s="1231"/>
      <c r="AN108" s="1231"/>
      <c r="AO108" s="1231"/>
      <c r="AP108" s="177"/>
      <c r="AQ108" s="177"/>
      <c r="AR108" s="1019" t="s">
        <v>1859</v>
      </c>
      <c r="AS108" s="1054"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M10712::ТЭ.42.27968109.0001::Неопределено::110.0.13.::Неопределено::Неопределено::Неопределено::Неопределено::Неопределено</v>
      </c>
    </row>
    <row r="109" spans="1:45" s="1167" customFormat="1" ht="33.75" customHeight="1" x14ac:dyDescent="0.15">
      <c r="A109" s="973"/>
      <c r="B109" s="773"/>
      <c r="C109" s="1084" t="s">
        <v>1824</v>
      </c>
      <c r="D109" s="1043" t="s">
        <v>1825</v>
      </c>
      <c r="E109" s="668">
        <v>35</v>
      </c>
      <c r="F109" s="769" t="str" cm="1">
        <f t="array" aca="1" ref="F109" ca="1">OFFSET(G109,-1,-1)</f>
        <v>1</v>
      </c>
      <c r="G109" s="177"/>
      <c r="H109" s="177"/>
      <c r="I109" s="177"/>
      <c r="J109" s="177"/>
      <c r="K109" s="177"/>
      <c r="L109" s="1072" t="s">
        <v>1860</v>
      </c>
      <c r="M109" s="1070" t="str" cm="1">
        <f t="array" aca="1" ref="M109" ca="1">OFFSET(L109,-1,1)</f>
        <v>ТЭ.42.27968109.0001</v>
      </c>
      <c r="N109" s="1072"/>
      <c r="O109" s="1072"/>
      <c r="P109" s="1072"/>
      <c r="Q109" s="1072"/>
      <c r="R109" s="1072"/>
      <c r="S109" s="1072"/>
      <c r="T109" s="679" t="b" cm="1">
        <f t="array" ref="T109">T108</f>
        <v>1</v>
      </c>
      <c r="U109" s="1152"/>
      <c r="V109" s="1152"/>
      <c r="W109" s="1152"/>
      <c r="X109" s="1485"/>
      <c r="Y109" s="1152"/>
      <c r="Z109" s="1485"/>
      <c r="AA109" s="177"/>
      <c r="AB109" s="827" t="s">
        <v>1861</v>
      </c>
      <c r="AC109" s="828" t="s">
        <v>1862</v>
      </c>
      <c r="AD109" s="829" t="s">
        <v>1044</v>
      </c>
      <c r="AE109" s="1316"/>
      <c r="AF109" s="1316"/>
      <c r="AG109" s="1316"/>
      <c r="AH109" s="253">
        <f t="shared" si="5"/>
        <v>0</v>
      </c>
      <c r="AI109" s="1316"/>
      <c r="AJ109" s="509"/>
      <c r="AK109" s="509"/>
      <c r="AL109" s="253">
        <f t="shared" si="6"/>
        <v>0</v>
      </c>
      <c r="AM109" s="1231"/>
      <c r="AN109" s="1231"/>
      <c r="AO109" s="1231"/>
      <c r="AP109" s="177"/>
      <c r="AQ109" s="177"/>
      <c r="AR109" s="1019" t="s">
        <v>1863</v>
      </c>
      <c r="AS109" s="1054"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M10558::ТЭ.42.27968109.0001::1.0.70.::Неопределено::Неопределено::Неопределено::Неопределено::Неопределено::Неопределено</v>
      </c>
    </row>
    <row r="110" spans="1:45" s="1167" customFormat="1" ht="53.25" customHeight="1" x14ac:dyDescent="0.15">
      <c r="A110" s="973"/>
      <c r="B110" s="773"/>
      <c r="C110" s="1084" t="s">
        <v>1824</v>
      </c>
      <c r="D110" s="1043" t="s">
        <v>1825</v>
      </c>
      <c r="E110" s="668">
        <v>55</v>
      </c>
      <c r="F110" s="769" t="str" cm="1">
        <f t="array" aca="1" ref="F110" ca="1">OFFSET(G110,-1,-1)</f>
        <v>1</v>
      </c>
      <c r="G110" s="177"/>
      <c r="H110" s="177"/>
      <c r="I110" s="177"/>
      <c r="J110" s="177"/>
      <c r="K110" s="177"/>
      <c r="L110" s="1072" t="s">
        <v>1864</v>
      </c>
      <c r="M110" s="1070" t="str" cm="1">
        <f t="array" aca="1" ref="M110" ca="1">OFFSET(L110,-1,1)</f>
        <v>ТЭ.42.27968109.0001</v>
      </c>
      <c r="N110" s="1072"/>
      <c r="O110" s="1072"/>
      <c r="P110" s="1072"/>
      <c r="Q110" s="1072"/>
      <c r="R110" s="1072"/>
      <c r="S110" s="1072"/>
      <c r="T110" s="679" t="b" cm="1">
        <f t="array" ref="T110">T109</f>
        <v>1</v>
      </c>
      <c r="U110" s="1152"/>
      <c r="V110" s="1152"/>
      <c r="W110" s="1152"/>
      <c r="X110" s="1485"/>
      <c r="Y110" s="1152"/>
      <c r="Z110" s="1485"/>
      <c r="AA110" s="177"/>
      <c r="AB110" s="827" t="s">
        <v>1865</v>
      </c>
      <c r="AC110" s="828" t="s">
        <v>1866</v>
      </c>
      <c r="AD110" s="829" t="s">
        <v>1044</v>
      </c>
      <c r="AE110" s="1316"/>
      <c r="AF110" s="1316"/>
      <c r="AG110" s="1316"/>
      <c r="AH110" s="253">
        <f t="shared" si="5"/>
        <v>0</v>
      </c>
      <c r="AI110" s="1316"/>
      <c r="AJ110" s="509"/>
      <c r="AK110" s="509"/>
      <c r="AL110" s="253">
        <f t="shared" si="6"/>
        <v>0</v>
      </c>
      <c r="AM110" s="1231"/>
      <c r="AN110" s="1231"/>
      <c r="AO110" s="1231"/>
      <c r="AP110" s="177"/>
      <c r="AQ110" s="177"/>
      <c r="AR110" s="1019" t="s">
        <v>1867</v>
      </c>
      <c r="AS110" s="1054"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M10558::ТЭ.42.27968109.0001::1.0.102.::Неопределено::Неопределено::Неопределено::Неопределено::Неопределено::Неопределено</v>
      </c>
    </row>
    <row r="111" spans="1:45" s="1167" customFormat="1" ht="39" customHeight="1" x14ac:dyDescent="0.15">
      <c r="A111" s="973"/>
      <c r="B111" s="773"/>
      <c r="C111" s="1084" t="s">
        <v>1824</v>
      </c>
      <c r="D111" s="1043" t="s">
        <v>1825</v>
      </c>
      <c r="E111" s="668">
        <v>40</v>
      </c>
      <c r="F111" s="769" t="str" cm="1">
        <f t="array" aca="1" ref="F111" ca="1">OFFSET(G111,-1,-1)</f>
        <v>1</v>
      </c>
      <c r="G111" s="140" t="s">
        <v>1269</v>
      </c>
      <c r="H111" s="177"/>
      <c r="I111" s="177"/>
      <c r="J111" s="177"/>
      <c r="K111" s="177"/>
      <c r="L111" s="1072" t="s">
        <v>1868</v>
      </c>
      <c r="M111" s="1070" t="str" cm="1">
        <f t="array" aca="1" ref="M111" ca="1">OFFSET(L111,-1,1)</f>
        <v>ТЭ.42.27968109.0001</v>
      </c>
      <c r="N111" s="1072"/>
      <c r="O111" s="1072"/>
      <c r="P111" s="1072"/>
      <c r="Q111" s="1072"/>
      <c r="R111" s="1072"/>
      <c r="S111" s="1072"/>
      <c r="T111" s="679" t="b" cm="1">
        <f t="array" ref="T111">T110</f>
        <v>1</v>
      </c>
      <c r="U111" s="1152"/>
      <c r="V111" s="1152"/>
      <c r="W111" s="1152"/>
      <c r="X111" s="1485"/>
      <c r="Y111" s="1152"/>
      <c r="Z111" s="1485"/>
      <c r="AA111" s="177"/>
      <c r="AB111" s="827" t="s">
        <v>1869</v>
      </c>
      <c r="AC111" s="828" t="s">
        <v>1870</v>
      </c>
      <c r="AD111" s="829" t="s">
        <v>1044</v>
      </c>
      <c r="AE111" s="507">
        <f ca="1">SUMIFS(Налоги!AE$26:AE$56,Налоги!$F$26:$F$56,$F111,Налоги!$G$26:$G$56,$G111)</f>
        <v>22.52</v>
      </c>
      <c r="AF111" s="507">
        <f ca="1">SUMIFS(Налоги!AF$26:AF$56,Налоги!$F$26:$F$56,$F111,Налоги!$G$26:$G$56,$G111)</f>
        <v>504.12</v>
      </c>
      <c r="AG111" s="507">
        <f ca="1">SUMIFS(Налоги!AG$26:AG$56,Налоги!$F$26:$F$56,$F111,Налоги!$G$26:$G$56,$G111)</f>
        <v>203.72</v>
      </c>
      <c r="AH111" s="253">
        <f t="shared" ca="1" si="5"/>
        <v>-300.39999999999998</v>
      </c>
      <c r="AI111" s="507">
        <f ca="1">SUMIFS(Налоги!AH$26:AH$56,Налоги!$F$26:$F$56,$F111,Налоги!$G$26:$G$56,$G111)</f>
        <v>123.97</v>
      </c>
      <c r="AJ111" s="507">
        <f ca="1">SUMIFS(Налоги!AI$26:AI$56,Налоги!$F$26:$F$56,$F111,Налоги!$G$26:$G$56,$G111)</f>
        <v>134.36000000000001</v>
      </c>
      <c r="AK111" s="507">
        <f ca="1">SUMIFS(Налоги!AS$26:AS$56,Налоги!$F$26:$F$56,$F111,Налоги!$G$26:$G$56,$G111)</f>
        <v>125.98</v>
      </c>
      <c r="AL111" s="253">
        <f t="shared" ca="1" si="6"/>
        <v>1.6213600064531783</v>
      </c>
      <c r="AM111" s="1231"/>
      <c r="AN111" s="1231"/>
      <c r="AO111" s="1231"/>
      <c r="AP111" s="177"/>
      <c r="AQ111" s="177"/>
      <c r="AR111" s="1019" t="s">
        <v>1384</v>
      </c>
      <c r="AS111" s="1054"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M10558::ТЭ.42.27968109.0001::1.0.99.::Неопределено::Неопределено::Неопределено::Неопределено::Неопределено::Неопределено</v>
      </c>
    </row>
    <row r="112" spans="1:45" s="1167" customFormat="1" ht="16.5" customHeight="1" x14ac:dyDescent="0.15">
      <c r="A112" s="973"/>
      <c r="B112" s="773"/>
      <c r="C112" s="1084" t="s">
        <v>1824</v>
      </c>
      <c r="D112" s="1043" t="s">
        <v>1825</v>
      </c>
      <c r="E112" s="668">
        <v>17.100000000000001</v>
      </c>
      <c r="F112" s="769" t="str" cm="1">
        <f t="array" aca="1" ref="F112" ca="1">OFFSET(G112,-1,-1)</f>
        <v>1</v>
      </c>
      <c r="G112" s="140" t="s">
        <v>1172</v>
      </c>
      <c r="H112" s="177"/>
      <c r="I112" s="177"/>
      <c r="J112" s="177"/>
      <c r="K112" s="177"/>
      <c r="L112" s="1072"/>
      <c r="M112" s="1070" t="str" cm="1">
        <f t="array" aca="1" ref="M112" ca="1">OFFSET(L112,-1,1)</f>
        <v>ТЭ.42.27968109.0001</v>
      </c>
      <c r="N112" s="1072" t="s">
        <v>1871</v>
      </c>
      <c r="O112" s="1072"/>
      <c r="P112" s="1072"/>
      <c r="Q112" s="1072"/>
      <c r="R112" s="1072"/>
      <c r="S112" s="1072"/>
      <c r="T112" s="679" t="b" cm="1">
        <f t="array" ref="T112">T111</f>
        <v>1</v>
      </c>
      <c r="U112" s="1152"/>
      <c r="V112" s="1152"/>
      <c r="W112" s="1152"/>
      <c r="X112" s="1485"/>
      <c r="Y112" s="1152"/>
      <c r="Z112" s="1485"/>
      <c r="AA112" s="177"/>
      <c r="AB112" s="827" t="s">
        <v>1872</v>
      </c>
      <c r="AC112" s="828" t="s">
        <v>1873</v>
      </c>
      <c r="AD112" s="829" t="s">
        <v>1044</v>
      </c>
      <c r="AE112" s="253">
        <f ca="1">SUMIFS(Аренда!AE$26:AE$51,Аренда!$F$26:$F$51,$F112,Аренда!$G$26:$G$51,$G112)</f>
        <v>5442.29</v>
      </c>
      <c r="AF112" s="253">
        <f ca="1">SUMIFS(Аренда!AF$26:AF$51,Аренда!$F$26:$F$51,$F112,Аренда!$G$26:$G$51,$G112)</f>
        <v>8102.7707199999995</v>
      </c>
      <c r="AG112" s="253">
        <f ca="1">SUMIFS(Аренда!AG$26:AG$51,Аренда!$F$26:$F$51,$F112,Аренда!$G$26:$G$51,$G112)</f>
        <v>5441.86481</v>
      </c>
      <c r="AH112" s="253">
        <f t="shared" ca="1" si="5"/>
        <v>-2660.9059099999995</v>
      </c>
      <c r="AI112" s="253">
        <f ca="1">SUMIFS(Аренда!AH$26:AH$51,Аренда!$F$26:$F$51,$F112,Аренда!$G$26:$G$51,$G112)</f>
        <v>6004.6742899999999</v>
      </c>
      <c r="AJ112" s="253">
        <f ca="1">SUMIFS(Аренда!AI$26:AI$51,Аренда!$F$26:$F$51,$F112,Аренда!$G$26:$G$51,$G112)</f>
        <v>8080.0317599999998</v>
      </c>
      <c r="AK112" s="253">
        <f ca="1">SUMIFS(Аренда!AS$26:AS$51,Аренда!$F$26:$F$51,$F112,Аренда!$G$26:$G$51,$G112)</f>
        <v>6256.71</v>
      </c>
      <c r="AL112" s="253">
        <f t="shared" ca="1" si="6"/>
        <v>4.1973252474282017</v>
      </c>
      <c r="AM112" s="1231"/>
      <c r="AN112" s="1231"/>
      <c r="AO112" s="1231"/>
      <c r="AP112" s="177"/>
      <c r="AQ112" s="177"/>
      <c r="AR112" s="1019" t="s">
        <v>1874</v>
      </c>
      <c r="AS112" s="1054"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M10558::ТЭ.42.27968109.0001::Неопределено::110.0.26.::Неопределено::Неопределено::Неопределено::Неопределено::Неопределено</v>
      </c>
    </row>
    <row r="113" spans="1:45" s="1167" customFormat="1" ht="16.5" customHeight="1" x14ac:dyDescent="0.15">
      <c r="A113" s="973"/>
      <c r="B113" s="773"/>
      <c r="C113" s="1084" t="s">
        <v>1824</v>
      </c>
      <c r="D113" s="1043" t="s">
        <v>1825</v>
      </c>
      <c r="E113" s="668">
        <v>17.100000000000001</v>
      </c>
      <c r="F113" s="769" t="str" cm="1">
        <f t="array" aca="1" ref="F113" ca="1">OFFSET(G113,-1,-1)</f>
        <v>1</v>
      </c>
      <c r="G113" s="177"/>
      <c r="H113" s="177"/>
      <c r="I113" s="177"/>
      <c r="J113" s="177"/>
      <c r="K113" s="177"/>
      <c r="L113" s="1072"/>
      <c r="M113" s="1070" t="str" cm="1">
        <f t="array" aca="1" ref="M113" ca="1">OFFSET(L113,-1,1)</f>
        <v>ТЭ.42.27968109.0001</v>
      </c>
      <c r="N113" s="1072"/>
      <c r="O113" s="1072" t="s">
        <v>1875</v>
      </c>
      <c r="P113" s="1072"/>
      <c r="Q113" s="1072"/>
      <c r="R113" s="1072"/>
      <c r="S113" s="1072"/>
      <c r="T113" s="679" t="b" cm="1">
        <f t="array" ref="T113">T112</f>
        <v>1</v>
      </c>
      <c r="U113" s="1152"/>
      <c r="V113" s="1152"/>
      <c r="W113" s="1152"/>
      <c r="X113" s="1485"/>
      <c r="Y113" s="1152"/>
      <c r="Z113" s="1485"/>
      <c r="AA113" s="177"/>
      <c r="AB113" s="827" t="s">
        <v>1876</v>
      </c>
      <c r="AC113" s="828" t="s">
        <v>1343</v>
      </c>
      <c r="AD113" s="829" t="s">
        <v>1044</v>
      </c>
      <c r="AE113" s="1316"/>
      <c r="AF113" s="1316"/>
      <c r="AG113" s="1316"/>
      <c r="AH113" s="253">
        <f t="shared" si="5"/>
        <v>0</v>
      </c>
      <c r="AI113" s="1316"/>
      <c r="AJ113" s="509"/>
      <c r="AK113" s="509"/>
      <c r="AL113" s="253">
        <f t="shared" si="6"/>
        <v>0</v>
      </c>
      <c r="AM113" s="1231"/>
      <c r="AN113" s="1231"/>
      <c r="AO113" s="1231"/>
      <c r="AP113" s="177"/>
      <c r="AQ113" s="177"/>
      <c r="AR113" s="1019" t="s">
        <v>1877</v>
      </c>
      <c r="AS113" s="1054"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M10558::ТЭ.42.27968109.0001::Неопределено::Неопределено::122.0.4.::Неопределено::Неопределено::Неопределено::Неопределено</v>
      </c>
    </row>
    <row r="114" spans="1:45" s="1167" customFormat="1" ht="16.5" customHeight="1" x14ac:dyDescent="0.15">
      <c r="A114" s="973"/>
      <c r="B114" s="773"/>
      <c r="C114" s="1084" t="s">
        <v>1824</v>
      </c>
      <c r="D114" s="1043" t="s">
        <v>1825</v>
      </c>
      <c r="E114" s="668">
        <v>17.100000000000001</v>
      </c>
      <c r="F114" s="769" t="str" cm="1">
        <f t="array" aca="1" ref="F114" ca="1">OFFSET(G114,-1,-1)</f>
        <v>1</v>
      </c>
      <c r="G114" s="177"/>
      <c r="H114" s="177"/>
      <c r="I114" s="177"/>
      <c r="J114" s="177"/>
      <c r="K114" s="177"/>
      <c r="L114" s="1072"/>
      <c r="M114" s="1070" t="str" cm="1">
        <f t="array" aca="1" ref="M114" ca="1">OFFSET(L114,-1,1)</f>
        <v>ТЭ.42.27968109.0001</v>
      </c>
      <c r="N114" s="1072"/>
      <c r="O114" s="1072" t="s">
        <v>1878</v>
      </c>
      <c r="P114" s="1072"/>
      <c r="Q114" s="1072"/>
      <c r="R114" s="1072"/>
      <c r="S114" s="1072"/>
      <c r="T114" s="679" t="b" cm="1">
        <f t="array" ref="T114">T113</f>
        <v>1</v>
      </c>
      <c r="U114" s="1152"/>
      <c r="V114" s="1152"/>
      <c r="W114" s="1152"/>
      <c r="X114" s="1485"/>
      <c r="Y114" s="1152"/>
      <c r="Z114" s="1485"/>
      <c r="AA114" s="177"/>
      <c r="AB114" s="827" t="s">
        <v>1879</v>
      </c>
      <c r="AC114" s="828" t="s">
        <v>1345</v>
      </c>
      <c r="AD114" s="829" t="s">
        <v>1044</v>
      </c>
      <c r="AE114" s="1316"/>
      <c r="AF114" s="1316"/>
      <c r="AG114" s="1316"/>
      <c r="AH114" s="253">
        <f t="shared" si="5"/>
        <v>0</v>
      </c>
      <c r="AI114" s="1316"/>
      <c r="AJ114" s="509"/>
      <c r="AK114" s="509"/>
      <c r="AL114" s="253">
        <f t="shared" si="6"/>
        <v>0</v>
      </c>
      <c r="AM114" s="1231"/>
      <c r="AN114" s="1231"/>
      <c r="AO114" s="1231"/>
      <c r="AP114" s="177"/>
      <c r="AQ114" s="177"/>
      <c r="AR114" s="1019" t="s">
        <v>1346</v>
      </c>
      <c r="AS114" s="1054"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M10558::ТЭ.42.27968109.0001::Неопределено::Неопределено::122.0.5.::Неопределено::Неопределено::Неопределено::Неопределено</v>
      </c>
    </row>
    <row r="115" spans="1:45" s="1167" customFormat="1" ht="33.75" customHeight="1" x14ac:dyDescent="0.15">
      <c r="A115" s="973"/>
      <c r="B115" s="773"/>
      <c r="C115" s="1084" t="s">
        <v>1824</v>
      </c>
      <c r="D115" s="1043" t="s">
        <v>1825</v>
      </c>
      <c r="E115" s="668">
        <v>35</v>
      </c>
      <c r="F115" s="769" t="str" cm="1">
        <f t="array" aca="1" ref="F115" ca="1">OFFSET(G115,-1,-1)</f>
        <v>1</v>
      </c>
      <c r="G115" s="140" t="s">
        <v>1276</v>
      </c>
      <c r="H115" s="177"/>
      <c r="I115" s="177"/>
      <c r="J115" s="177"/>
      <c r="K115" s="177"/>
      <c r="L115" s="1072"/>
      <c r="M115" s="1070" t="str" cm="1">
        <f t="array" aca="1" ref="M115" ca="1">OFFSET(L115,-1,1)</f>
        <v>ТЭ.42.27968109.0001</v>
      </c>
      <c r="N115" s="1072"/>
      <c r="O115" s="1072" t="s">
        <v>1880</v>
      </c>
      <c r="P115" s="1072"/>
      <c r="Q115" s="1072"/>
      <c r="R115" s="1072"/>
      <c r="S115" s="1072"/>
      <c r="T115" s="679" t="b" cm="1">
        <f t="array" ref="T115">T114</f>
        <v>1</v>
      </c>
      <c r="U115" s="1152"/>
      <c r="V115" s="1152"/>
      <c r="W115" s="1152"/>
      <c r="X115" s="1485"/>
      <c r="Y115" s="1152"/>
      <c r="Z115" s="1485"/>
      <c r="AA115" s="177"/>
      <c r="AB115" s="827" t="s">
        <v>1881</v>
      </c>
      <c r="AC115" s="828" t="s">
        <v>1882</v>
      </c>
      <c r="AD115" s="829" t="s">
        <v>1044</v>
      </c>
      <c r="AE115" s="507">
        <f ca="1">SUMIFS(Налоги!AE$26:AE$56,Налоги!$F$26:$F$56,$F115,Налоги!$G$26:$G$56,$G115)</f>
        <v>26.72</v>
      </c>
      <c r="AF115" s="507">
        <f ca="1">SUMIFS(Налоги!AF$26:AF$56,Налоги!$F$26:$F$56,$F115,Налоги!$G$26:$G$56,$G115)</f>
        <v>33.14</v>
      </c>
      <c r="AG115" s="507">
        <f ca="1">SUMIFS(Налоги!AG$26:AG$56,Налоги!$F$26:$F$56,$F115,Налоги!$G$26:$G$56,$G115)</f>
        <v>25.09</v>
      </c>
      <c r="AH115" s="253">
        <f t="shared" ca="1" si="5"/>
        <v>-8.0500000000000007</v>
      </c>
      <c r="AI115" s="507">
        <f ca="1">SUMIFS(Налоги!AH$26:AH$56,Налоги!$F$26:$F$56,$F115,Налоги!$G$26:$G$56,$G115)</f>
        <v>28.48</v>
      </c>
      <c r="AJ115" s="507">
        <f ca="1">SUMIFS(Налоги!AI$26:AI$56,Налоги!$F$26:$F$56,$F115,Налоги!$G$26:$G$56,$G115)</f>
        <v>86.45</v>
      </c>
      <c r="AK115" s="507">
        <f ca="1">SUMIFS(Налоги!AS$26:AS$56,Налоги!$F$26:$F$56,$F115,Налоги!$G$26:$G$56,$G115)</f>
        <v>25.09</v>
      </c>
      <c r="AL115" s="253">
        <f t="shared" ca="1" si="6"/>
        <v>-11.903089887640451</v>
      </c>
      <c r="AM115" s="1231"/>
      <c r="AN115" s="1231"/>
      <c r="AO115" s="1231"/>
      <c r="AP115" s="177"/>
      <c r="AQ115" s="177"/>
      <c r="AR115" s="1019" t="s">
        <v>1883</v>
      </c>
      <c r="AS115" s="1054"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M10558::ТЭ.42.27968109.0001::Неопределено::Неопределено::122.0.6.::Неопределено::Неопределено::Неопределено::Неопределено</v>
      </c>
    </row>
    <row r="116" spans="1:45" s="1167" customFormat="1" ht="33.75" customHeight="1" x14ac:dyDescent="0.15">
      <c r="A116" s="973"/>
      <c r="B116" s="773"/>
      <c r="C116" s="1084" t="s">
        <v>1824</v>
      </c>
      <c r="D116" s="1043" t="s">
        <v>1825</v>
      </c>
      <c r="E116" s="668">
        <v>35</v>
      </c>
      <c r="F116" s="769" t="str" cm="1">
        <f t="array" aca="1" ref="F116" ca="1">OFFSET(G116,-1,-1)</f>
        <v>1</v>
      </c>
      <c r="G116" s="177"/>
      <c r="H116" s="177"/>
      <c r="I116" s="177"/>
      <c r="J116" s="177"/>
      <c r="K116" s="177"/>
      <c r="L116" s="1072" t="s">
        <v>1884</v>
      </c>
      <c r="M116" s="1070" t="str" cm="1">
        <f t="array" aca="1" ref="M116" ca="1">OFFSET(L116,-1,1)</f>
        <v>ТЭ.42.27968109.0001</v>
      </c>
      <c r="N116" s="1072"/>
      <c r="O116" s="1072"/>
      <c r="P116" s="1072"/>
      <c r="Q116" s="1072"/>
      <c r="R116" s="1072"/>
      <c r="S116" s="1072"/>
      <c r="T116" s="679" t="b" cm="1">
        <f t="array" ref="T116">T115</f>
        <v>1</v>
      </c>
      <c r="U116" s="1152"/>
      <c r="V116" s="1152"/>
      <c r="W116" s="1152"/>
      <c r="X116" s="1485"/>
      <c r="Y116" s="1152"/>
      <c r="Z116" s="1485"/>
      <c r="AA116" s="177"/>
      <c r="AB116" s="827" t="s">
        <v>1885</v>
      </c>
      <c r="AC116" s="828" t="s">
        <v>1886</v>
      </c>
      <c r="AD116" s="829" t="s">
        <v>1044</v>
      </c>
      <c r="AE116" s="507">
        <f ca="1">SUM(AE117:AE121)</f>
        <v>2955.95</v>
      </c>
      <c r="AF116" s="507">
        <f ca="1">SUM(AF117:AF121)</f>
        <v>3544.13</v>
      </c>
      <c r="AG116" s="507">
        <f ca="1">SUM(AG117:AG121)</f>
        <v>3535.33</v>
      </c>
      <c r="AH116" s="253">
        <f t="shared" ca="1" si="5"/>
        <v>-8.8000000000001819</v>
      </c>
      <c r="AI116" s="507">
        <f ca="1">SUM(AI117:AI121)</f>
        <v>2876.9</v>
      </c>
      <c r="AJ116" s="507">
        <f ca="1">SUM(AJ117:AJ121)</f>
        <v>4226.4500000000007</v>
      </c>
      <c r="AK116" s="507">
        <f ca="1">SUM(AK117:AK121)</f>
        <v>4206.5800000000008</v>
      </c>
      <c r="AL116" s="253">
        <f t="shared" ca="1" si="6"/>
        <v>46.219194271611826</v>
      </c>
      <c r="AM116" s="1231"/>
      <c r="AN116" s="1231"/>
      <c r="AO116" s="1231"/>
      <c r="AP116" s="177"/>
      <c r="AQ116" s="177"/>
      <c r="AR116" s="1019" t="s">
        <v>1292</v>
      </c>
      <c r="AS116" s="1054"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M10558::ТЭ.42.27968109.0001::1.0.49.::Неопределено::Неопределено::Неопределено::Неопределено::Неопределено::Неопределено</v>
      </c>
    </row>
    <row r="117" spans="1:45" s="1167" customFormat="1" ht="16.5" customHeight="1" x14ac:dyDescent="0.15">
      <c r="A117" s="973"/>
      <c r="B117" s="773"/>
      <c r="C117" s="1084" t="s">
        <v>1824</v>
      </c>
      <c r="D117" s="1043" t="s">
        <v>1825</v>
      </c>
      <c r="E117" s="668">
        <v>17.100000000000001</v>
      </c>
      <c r="F117" s="769" t="str" cm="1">
        <f t="array" aca="1" ref="F117" ca="1">OFFSET(G117,-1,-1)</f>
        <v>1</v>
      </c>
      <c r="G117" s="140" t="s">
        <v>1280</v>
      </c>
      <c r="H117" s="177"/>
      <c r="I117" s="177"/>
      <c r="J117" s="177"/>
      <c r="K117" s="177"/>
      <c r="L117" s="1072" t="s">
        <v>1887</v>
      </c>
      <c r="M117" s="1070" t="str" cm="1">
        <f t="array" aca="1" ref="M117" ca="1">OFFSET(L117,-1,1)</f>
        <v>ТЭ.42.27968109.0001</v>
      </c>
      <c r="N117" s="1072"/>
      <c r="O117" s="1072"/>
      <c r="P117" s="1072"/>
      <c r="Q117" s="1072"/>
      <c r="R117" s="1072"/>
      <c r="S117" s="1072"/>
      <c r="T117" s="679" t="b" cm="1">
        <f t="array" ref="T117">T116</f>
        <v>1</v>
      </c>
      <c r="U117" s="1152"/>
      <c r="V117" s="1152"/>
      <c r="W117" s="1152"/>
      <c r="X117" s="1485"/>
      <c r="Y117" s="1152"/>
      <c r="Z117" s="1485"/>
      <c r="AA117" s="177"/>
      <c r="AB117" s="827" t="s">
        <v>1888</v>
      </c>
      <c r="AC117" s="828" t="s">
        <v>1889</v>
      </c>
      <c r="AD117" s="829" t="s">
        <v>1044</v>
      </c>
      <c r="AE117" s="507">
        <f ca="1">SUMIFS(Налоги!AE$26:AE$56,Налоги!$F$26:$F$56,$F117,Налоги!$H$26:$H$56,$G117)</f>
        <v>2909.16</v>
      </c>
      <c r="AF117" s="507">
        <f ca="1">SUMIFS(Налоги!AF$26:AF$56,Налоги!$F$26:$F$56,$F117,Налоги!$H$26:$H$56,$G117)</f>
        <v>3490.52</v>
      </c>
      <c r="AG117" s="507">
        <f ca="1">SUMIFS(Налоги!AG$26:AG$56,Налоги!$F$26:$F$56,$F117,Налоги!$H$26:$H$56,$G117)</f>
        <v>3490.52</v>
      </c>
      <c r="AH117" s="253">
        <f t="shared" ca="1" si="5"/>
        <v>0</v>
      </c>
      <c r="AI117" s="507">
        <f ca="1">SUMIFS(Налоги!AH$26:AH$56,Налоги!$F$26:$F$56,$F117,Налоги!$H$26:$H$56,$G117)</f>
        <v>2829.4</v>
      </c>
      <c r="AJ117" s="507">
        <f ca="1">SUMIFS(Налоги!AI$26:AI$56,Налоги!$F$26:$F$56,$F117,Налоги!$H$26:$H$56,$G117)</f>
        <v>4161.7700000000004</v>
      </c>
      <c r="AK117" s="507">
        <f ca="1">SUMIFS(Налоги!AS$26:AS$56,Налоги!$F$26:$F$56,$F117,Налоги!$H$26:$H$56,$G117)</f>
        <v>4161.7700000000004</v>
      </c>
      <c r="AL117" s="253">
        <f t="shared" ca="1" si="6"/>
        <v>47.090195801229953</v>
      </c>
      <c r="AM117" s="1231"/>
      <c r="AN117" s="1231"/>
      <c r="AO117" s="1231"/>
      <c r="AP117" s="177"/>
      <c r="AQ117" s="177"/>
      <c r="AR117" s="1019" t="s">
        <v>594</v>
      </c>
      <c r="AS117" s="1054"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M10558::ТЭ.42.27968109.0001::1.0.25.::Неопределено::Неопределено::Неопределено::Неопределено::Неопределено::Неопределено</v>
      </c>
    </row>
    <row r="118" spans="1:45" s="1167" customFormat="1" ht="16.5" customHeight="1" x14ac:dyDescent="0.15">
      <c r="A118" s="973"/>
      <c r="B118" s="773"/>
      <c r="C118" s="1084" t="s">
        <v>1824</v>
      </c>
      <c r="D118" s="1043" t="s">
        <v>1825</v>
      </c>
      <c r="E118" s="668">
        <v>17.100000000000001</v>
      </c>
      <c r="F118" s="769" t="str" cm="1">
        <f t="array" aca="1" ref="F118" ca="1">OFFSET(G118,-1,-1)</f>
        <v>1</v>
      </c>
      <c r="G118" s="140" t="s">
        <v>1282</v>
      </c>
      <c r="H118" s="177"/>
      <c r="I118" s="177"/>
      <c r="J118" s="177"/>
      <c r="K118" s="177"/>
      <c r="L118" s="1072" t="s">
        <v>1890</v>
      </c>
      <c r="M118" s="1070" t="str" cm="1">
        <f t="array" aca="1" ref="M118" ca="1">OFFSET(L118,-1,1)</f>
        <v>ТЭ.42.27968109.0001</v>
      </c>
      <c r="N118" s="1072"/>
      <c r="O118" s="1072"/>
      <c r="P118" s="1072"/>
      <c r="Q118" s="1072"/>
      <c r="R118" s="1072"/>
      <c r="S118" s="1072"/>
      <c r="T118" s="679" t="b" cm="1">
        <f t="array" ref="T118">T117</f>
        <v>1</v>
      </c>
      <c r="U118" s="1152"/>
      <c r="V118" s="1152"/>
      <c r="W118" s="1152"/>
      <c r="X118" s="1485"/>
      <c r="Y118" s="1152"/>
      <c r="Z118" s="1485"/>
      <c r="AA118" s="177"/>
      <c r="AB118" s="827" t="s">
        <v>1891</v>
      </c>
      <c r="AC118" s="828" t="s">
        <v>1283</v>
      </c>
      <c r="AD118" s="829" t="s">
        <v>1044</v>
      </c>
      <c r="AE118" s="507">
        <f ca="1">SUMIFS(Налоги!AE$26:AE$56,Налоги!$F$26:$F$56,$F118,Налоги!$H$26:$H$56,$G118)</f>
        <v>0</v>
      </c>
      <c r="AF118" s="507">
        <f ca="1">SUMIFS(Налоги!AF$26:AF$56,Налоги!$F$26:$F$56,$F118,Налоги!$H$26:$H$56,$G118)</f>
        <v>0</v>
      </c>
      <c r="AG118" s="507">
        <f ca="1">SUMIFS(Налоги!AG$26:AG$56,Налоги!$F$26:$F$56,$F118,Налоги!$H$26:$H$56,$G118)</f>
        <v>0</v>
      </c>
      <c r="AH118" s="253">
        <f t="shared" ca="1" si="5"/>
        <v>0</v>
      </c>
      <c r="AI118" s="507">
        <f ca="1">SUMIFS(Налоги!AH$26:AH$56,Налоги!$F$26:$F$56,$F118,Налоги!$H$26:$H$56,$G118)</f>
        <v>0</v>
      </c>
      <c r="AJ118" s="507">
        <f ca="1">SUMIFS(Налоги!AI$26:AI$56,Налоги!$F$26:$F$56,$F118,Налоги!$H$26:$H$56,$G118)</f>
        <v>0</v>
      </c>
      <c r="AK118" s="507">
        <f ca="1">SUMIFS(Налоги!AS$26:AS$56,Налоги!$F$26:$F$56,$F118,Налоги!$H$26:$H$56,$G118)</f>
        <v>0</v>
      </c>
      <c r="AL118" s="253">
        <f t="shared" ca="1" si="6"/>
        <v>0</v>
      </c>
      <c r="AM118" s="1231"/>
      <c r="AN118" s="1231"/>
      <c r="AO118" s="1231"/>
      <c r="AP118" s="177"/>
      <c r="AQ118" s="177"/>
      <c r="AR118" s="1019" t="s">
        <v>1284</v>
      </c>
      <c r="AS118" s="1054"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M10558::ТЭ.42.27968109.0001::1.0.17.::Неопределено::Неопределено::Неопределено::Неопределено::Неопределено::Неопределено</v>
      </c>
    </row>
    <row r="119" spans="1:45" s="1167" customFormat="1" ht="16.5" customHeight="1" x14ac:dyDescent="0.15">
      <c r="A119" s="973"/>
      <c r="B119" s="773"/>
      <c r="C119" s="1084" t="s">
        <v>1824</v>
      </c>
      <c r="D119" s="1043" t="s">
        <v>1825</v>
      </c>
      <c r="E119" s="668">
        <v>17.100000000000001</v>
      </c>
      <c r="F119" s="769" t="str" cm="1">
        <f t="array" aca="1" ref="F119" ca="1">OFFSET(G119,-1,-1)</f>
        <v>1</v>
      </c>
      <c r="G119" s="140" t="s">
        <v>1273</v>
      </c>
      <c r="H119" s="177"/>
      <c r="I119" s="177"/>
      <c r="J119" s="177"/>
      <c r="K119" s="177"/>
      <c r="L119" s="1072" t="s">
        <v>1892</v>
      </c>
      <c r="M119" s="1070" t="str" cm="1">
        <f t="array" aca="1" ref="M119" ca="1">OFFSET(L119,-1,1)</f>
        <v>ТЭ.42.27968109.0001</v>
      </c>
      <c r="N119" s="1072"/>
      <c r="O119" s="1072"/>
      <c r="P119" s="1072"/>
      <c r="Q119" s="1072"/>
      <c r="R119" s="1072"/>
      <c r="S119" s="1072"/>
      <c r="T119" s="679" t="b" cm="1">
        <f t="array" ref="T119">T118</f>
        <v>1</v>
      </c>
      <c r="U119" s="1152"/>
      <c r="V119" s="1152"/>
      <c r="W119" s="1152"/>
      <c r="X119" s="1485"/>
      <c r="Y119" s="1152"/>
      <c r="Z119" s="1485"/>
      <c r="AA119" s="177"/>
      <c r="AB119" s="830" t="s">
        <v>1893</v>
      </c>
      <c r="AC119" s="831" t="s">
        <v>1274</v>
      </c>
      <c r="AD119" s="832" t="s">
        <v>1044</v>
      </c>
      <c r="AE119" s="507">
        <f ca="1">SUMIFS(Налоги!AE$26:AE$56,Налоги!$F$26:$F$56,$F119,Налоги!$H$26:$H$56,$G119)</f>
        <v>46.79</v>
      </c>
      <c r="AF119" s="507">
        <f ca="1">SUMIFS(Налоги!AF$26:AF$56,Налоги!$F$26:$F$56,$F119,Налоги!$H$26:$H$56,$G119)</f>
        <v>44.81</v>
      </c>
      <c r="AG119" s="507">
        <f ca="1">SUMIFS(Налоги!AG$26:AG$56,Налоги!$F$26:$F$56,$F119,Налоги!$H$26:$H$56,$G119)</f>
        <v>44.81</v>
      </c>
      <c r="AH119" s="253">
        <f t="shared" ca="1" si="5"/>
        <v>0</v>
      </c>
      <c r="AI119" s="507">
        <f ca="1">SUMIFS(Налоги!AH$26:AH$56,Налоги!$F$26:$F$56,$F119,Налоги!$H$26:$H$56,$G119)</f>
        <v>47.5</v>
      </c>
      <c r="AJ119" s="507">
        <f ca="1">SUMIFS(Налоги!AI$26:AI$56,Налоги!$F$26:$F$56,$F119,Налоги!$H$26:$H$56,$G119)</f>
        <v>52.68</v>
      </c>
      <c r="AK119" s="507">
        <f ca="1">SUMIFS(Налоги!AS$26:AS$56,Налоги!$F$26:$F$56,$F119,Налоги!$H$26:$H$56,$G119)</f>
        <v>44.81</v>
      </c>
      <c r="AL119" s="253">
        <f t="shared" ca="1" si="6"/>
        <v>-5.6631578947368375</v>
      </c>
      <c r="AM119" s="1231"/>
      <c r="AN119" s="1231"/>
      <c r="AO119" s="1231"/>
      <c r="AP119" s="177"/>
      <c r="AQ119" s="177"/>
      <c r="AR119" s="1019" t="s">
        <v>1894</v>
      </c>
      <c r="AS119" s="1054"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M10558::ТЭ.42.27968109.0001::1.0.93.::Неопределено::Неопределено::Неопределено::Неопределено::Неопределено::Неопределено</v>
      </c>
    </row>
    <row r="120" spans="1:45" s="1167" customFormat="1" ht="16.5" customHeight="1" x14ac:dyDescent="0.15">
      <c r="A120" s="973"/>
      <c r="B120" s="773"/>
      <c r="C120" s="1084" t="s">
        <v>1824</v>
      </c>
      <c r="D120" s="1043" t="s">
        <v>1825</v>
      </c>
      <c r="E120" s="668">
        <v>17.100000000000001</v>
      </c>
      <c r="F120" s="769" t="str" cm="1">
        <f t="array" aca="1" ref="F120" ca="1">OFFSET(G120,-1,-1)</f>
        <v>1</v>
      </c>
      <c r="G120" s="140" t="s">
        <v>1287</v>
      </c>
      <c r="H120" s="177"/>
      <c r="I120" s="177"/>
      <c r="J120" s="177"/>
      <c r="K120" s="177"/>
      <c r="L120" s="1072" t="s">
        <v>1895</v>
      </c>
      <c r="M120" s="1070" t="str" cm="1">
        <f t="array" aca="1" ref="M120" ca="1">OFFSET(L120,-1,1)</f>
        <v>ТЭ.42.27968109.0001</v>
      </c>
      <c r="N120" s="1072"/>
      <c r="O120" s="1072"/>
      <c r="P120" s="1072"/>
      <c r="Q120" s="1072"/>
      <c r="R120" s="1072"/>
      <c r="S120" s="1072"/>
      <c r="T120" s="679" t="b" cm="1">
        <f t="array" ref="T120">T119</f>
        <v>1</v>
      </c>
      <c r="U120" s="1152"/>
      <c r="V120" s="1152"/>
      <c r="W120" s="1152"/>
      <c r="X120" s="1485"/>
      <c r="Y120" s="1152"/>
      <c r="Z120" s="1485"/>
      <c r="AA120" s="177"/>
      <c r="AB120" s="724" t="s">
        <v>1896</v>
      </c>
      <c r="AC120" s="833" t="s">
        <v>1288</v>
      </c>
      <c r="AD120" s="724" t="s">
        <v>1044</v>
      </c>
      <c r="AE120" s="507">
        <f ca="1">SUMIFS(Налоги!AE$26:AE$56,Налоги!$F$26:$F$56,$F120,Налоги!$H$26:$H$56,$G120)</f>
        <v>0</v>
      </c>
      <c r="AF120" s="507">
        <f ca="1">SUMIFS(Налоги!AF$26:AF$56,Налоги!$F$26:$F$56,$F120,Налоги!$H$26:$H$56,$G120)</f>
        <v>0</v>
      </c>
      <c r="AG120" s="507">
        <f ca="1">SUMIFS(Налоги!AG$26:AG$56,Налоги!$F$26:$F$56,$F120,Налоги!$H$26:$H$56,$G120)</f>
        <v>0</v>
      </c>
      <c r="AH120" s="253">
        <f t="shared" ca="1" si="5"/>
        <v>0</v>
      </c>
      <c r="AI120" s="507">
        <f ca="1">SUMIFS(Налоги!AH$26:AH$56,Налоги!$F$26:$F$56,$F120,Налоги!$H$26:$H$56,$G120)</f>
        <v>0</v>
      </c>
      <c r="AJ120" s="507">
        <f ca="1">SUMIFS(Налоги!AI$26:AI$56,Налоги!$F$26:$F$56,$F120,Налоги!$H$26:$H$56,$G120)</f>
        <v>0</v>
      </c>
      <c r="AK120" s="507">
        <f ca="1">SUMIFS(Налоги!AS$26:AS$56,Налоги!$F$26:$F$56,$F120,Налоги!$H$26:$H$56,$G120)</f>
        <v>0</v>
      </c>
      <c r="AL120" s="253">
        <f t="shared" ca="1" si="6"/>
        <v>0</v>
      </c>
      <c r="AM120" s="1231"/>
      <c r="AN120" s="1231"/>
      <c r="AO120" s="1231"/>
      <c r="AP120" s="177"/>
      <c r="AQ120" s="177"/>
      <c r="AR120" s="1019" t="s">
        <v>1289</v>
      </c>
      <c r="AS120" s="1054"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M10558::ТЭ.42.27968109.0001::1.0.6.::Неопределено::Неопределено::Неопределено::Неопределено::Неопределено::Неопределено</v>
      </c>
    </row>
    <row r="121" spans="1:45" s="1167" customFormat="1" ht="16.5" customHeight="1" x14ac:dyDescent="0.15">
      <c r="A121" s="973"/>
      <c r="B121" s="773"/>
      <c r="C121" s="1084" t="s">
        <v>1824</v>
      </c>
      <c r="D121" s="1043" t="s">
        <v>1825</v>
      </c>
      <c r="E121" s="668">
        <v>17.100000000000001</v>
      </c>
      <c r="F121" s="769" t="str" cm="1">
        <f t="array" aca="1" ref="F121" ca="1">OFFSET(G121,-1,-1)</f>
        <v>1</v>
      </c>
      <c r="G121" s="140" t="s">
        <v>1272</v>
      </c>
      <c r="H121" s="177"/>
      <c r="I121" s="177"/>
      <c r="J121" s="177"/>
      <c r="K121" s="177"/>
      <c r="L121" s="1072" t="s">
        <v>1897</v>
      </c>
      <c r="M121" s="1070" t="str" cm="1">
        <f t="array" aca="1" ref="M121" ca="1">OFFSET(L121,-1,1)</f>
        <v>ТЭ.42.27968109.0001</v>
      </c>
      <c r="N121" s="1072"/>
      <c r="O121" s="1072"/>
      <c r="P121" s="1072"/>
      <c r="Q121" s="1072"/>
      <c r="R121" s="1072"/>
      <c r="S121" s="1072"/>
      <c r="T121" s="679" t="b" cm="1">
        <f t="array" ref="T121">T120</f>
        <v>1</v>
      </c>
      <c r="U121" s="1152"/>
      <c r="V121" s="1152"/>
      <c r="W121" s="1152"/>
      <c r="X121" s="1485"/>
      <c r="Y121" s="1152"/>
      <c r="Z121" s="1485"/>
      <c r="AA121" s="177"/>
      <c r="AB121" s="724" t="s">
        <v>1898</v>
      </c>
      <c r="AC121" s="833" t="s">
        <v>1899</v>
      </c>
      <c r="AD121" s="724" t="s">
        <v>1044</v>
      </c>
      <c r="AE121" s="507">
        <f ca="1">SUMIFS(Налоги!AE$26:AE$56,Налоги!$F$26:$F$56,$F121,Налоги!$H$26:$H$56,$G121)</f>
        <v>0</v>
      </c>
      <c r="AF121" s="507">
        <f ca="1">SUMIFS(Налоги!AF$26:AF$56,Налоги!$F$26:$F$56,$F121,Налоги!$H$26:$H$56,$G121)</f>
        <v>8.8000000000000007</v>
      </c>
      <c r="AG121" s="507">
        <f ca="1">SUMIFS(Налоги!AG$26:AG$56,Налоги!$F$26:$F$56,$F121,Налоги!$H$26:$H$56,$G121)</f>
        <v>0</v>
      </c>
      <c r="AH121" s="253">
        <f t="shared" ca="1" si="5"/>
        <v>-8.8000000000000007</v>
      </c>
      <c r="AI121" s="507">
        <f ca="1">SUMIFS(Налоги!AH$26:AH$56,Налоги!$F$26:$F$56,$F121,Налоги!$H$26:$H$56,$G121)</f>
        <v>0</v>
      </c>
      <c r="AJ121" s="507">
        <f ca="1">SUMIFS(Налоги!AI$26:AI$56,Налоги!$F$26:$F$56,$F121,Налоги!$H$26:$H$56,$G121)</f>
        <v>12</v>
      </c>
      <c r="AK121" s="507">
        <f ca="1">SUMIFS(Налоги!AS$26:AS$56,Налоги!$F$26:$F$56,$F121,Налоги!$H$26:$H$56,$G121)</f>
        <v>0</v>
      </c>
      <c r="AL121" s="253">
        <f t="shared" ca="1" si="6"/>
        <v>0</v>
      </c>
      <c r="AM121" s="1231"/>
      <c r="AN121" s="1231"/>
      <c r="AO121" s="1231"/>
      <c r="AP121" s="177"/>
      <c r="AQ121" s="177"/>
      <c r="AR121" s="1019" t="s">
        <v>1900</v>
      </c>
      <c r="AS121" s="1054"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M10558::ТЭ.42.27968109.0001::1.0.52.::Неопределено::Неопределено::Неопределено::Неопределено::Неопределено::Неопределено</v>
      </c>
    </row>
    <row r="122" spans="1:45" s="1167" customFormat="1" ht="16.5" customHeight="1" x14ac:dyDescent="0.15">
      <c r="A122" s="973"/>
      <c r="B122" s="773"/>
      <c r="C122" s="1084" t="s">
        <v>1824</v>
      </c>
      <c r="D122" s="1043" t="s">
        <v>1825</v>
      </c>
      <c r="E122" s="668">
        <v>17.100000000000001</v>
      </c>
      <c r="F122" s="769" t="str" cm="1">
        <f t="array" aca="1" ref="F122" ca="1">OFFSET(G122,-1,-1)</f>
        <v>1</v>
      </c>
      <c r="G122" s="177"/>
      <c r="H122" s="177"/>
      <c r="I122" s="177"/>
      <c r="J122" s="177"/>
      <c r="K122" s="177"/>
      <c r="L122" s="1072" t="s">
        <v>1901</v>
      </c>
      <c r="M122" s="1070" t="str" cm="1">
        <f t="array" aca="1" ref="M122" ca="1">OFFSET(L122,-1,1)</f>
        <v>ТЭ.42.27968109.0001</v>
      </c>
      <c r="N122" s="1072"/>
      <c r="O122" s="1072"/>
      <c r="P122" s="1072"/>
      <c r="Q122" s="1072"/>
      <c r="R122" s="1072"/>
      <c r="S122" s="1072"/>
      <c r="T122" s="679" t="b" cm="1">
        <f t="array" ref="T122">T121</f>
        <v>1</v>
      </c>
      <c r="U122" s="1152"/>
      <c r="V122" s="1152"/>
      <c r="W122" s="1152"/>
      <c r="X122" s="1485"/>
      <c r="Y122" s="1152"/>
      <c r="Z122" s="1485"/>
      <c r="AA122" s="177"/>
      <c r="AB122" s="742">
        <v>2</v>
      </c>
      <c r="AC122" s="834" t="s">
        <v>1902</v>
      </c>
      <c r="AD122" s="742" t="s">
        <v>1044</v>
      </c>
      <c r="AE122" s="507">
        <f>AE123+AE124+AE125+AE126</f>
        <v>0</v>
      </c>
      <c r="AF122" s="507">
        <f>AF123+AF124+AF125+AF126</f>
        <v>0</v>
      </c>
      <c r="AG122" s="507">
        <f>AG123+AG124+AG125+AG126</f>
        <v>0</v>
      </c>
      <c r="AH122" s="253">
        <f t="shared" si="5"/>
        <v>0</v>
      </c>
      <c r="AI122" s="507">
        <f>AI123+AI124+AI125+AI126</f>
        <v>0</v>
      </c>
      <c r="AJ122" s="507">
        <f>AJ123+AJ124+AJ125+AJ126</f>
        <v>0</v>
      </c>
      <c r="AK122" s="507">
        <f>AK123+AK124+AK125+AK126</f>
        <v>0</v>
      </c>
      <c r="AL122" s="253">
        <f t="shared" si="6"/>
        <v>0</v>
      </c>
      <c r="AM122" s="1231"/>
      <c r="AN122" s="1231"/>
      <c r="AO122" s="1231"/>
      <c r="AP122" s="177"/>
      <c r="AQ122" s="177"/>
      <c r="AR122" s="1019" t="s">
        <v>1903</v>
      </c>
      <c r="AS122" s="1054"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M10558::ТЭ.42.27968109.0001::1.0.50.::Неопределено::Неопределено::Неопределено::Неопределено::Неопределено::Неопределено</v>
      </c>
    </row>
    <row r="123" spans="1:45" s="1167" customFormat="1" ht="43.5" customHeight="1" x14ac:dyDescent="0.15">
      <c r="A123" s="973"/>
      <c r="B123" s="773"/>
      <c r="C123" s="1084" t="s">
        <v>1824</v>
      </c>
      <c r="D123" s="1043" t="s">
        <v>1825</v>
      </c>
      <c r="E123" s="668">
        <v>45</v>
      </c>
      <c r="F123" s="769" t="str" cm="1">
        <f t="array" aca="1" ref="F123" ca="1">OFFSET(G123,-1,-1)</f>
        <v>1</v>
      </c>
      <c r="G123" s="177"/>
      <c r="H123" s="177"/>
      <c r="I123" s="177"/>
      <c r="J123" s="177"/>
      <c r="K123" s="177"/>
      <c r="L123" s="1072"/>
      <c r="M123" s="1070" t="str" cm="1">
        <f t="array" aca="1" ref="M123" ca="1">OFFSET(L123,-1,1)</f>
        <v>ТЭ.42.27968109.0001</v>
      </c>
      <c r="N123" s="1072"/>
      <c r="O123" s="1072"/>
      <c r="P123" s="1072" t="s">
        <v>1904</v>
      </c>
      <c r="Q123" s="1072"/>
      <c r="R123" s="1072"/>
      <c r="S123" s="1072"/>
      <c r="T123" s="679" t="b" cm="1">
        <f t="array" ref="T123">T122</f>
        <v>1</v>
      </c>
      <c r="U123" s="1152"/>
      <c r="V123" s="1152"/>
      <c r="W123" s="1152"/>
      <c r="X123" s="1485"/>
      <c r="Y123" s="1152"/>
      <c r="Z123" s="1485"/>
      <c r="AA123" s="177"/>
      <c r="AB123" s="724" t="s">
        <v>479</v>
      </c>
      <c r="AC123" s="835" t="s">
        <v>1905</v>
      </c>
      <c r="AD123" s="724" t="s">
        <v>1044</v>
      </c>
      <c r="AE123" s="1316"/>
      <c r="AF123" s="1316"/>
      <c r="AG123" s="1316"/>
      <c r="AH123" s="253">
        <f t="shared" si="5"/>
        <v>0</v>
      </c>
      <c r="AI123" s="1316"/>
      <c r="AJ123" s="509"/>
      <c r="AK123" s="509"/>
      <c r="AL123" s="253">
        <f t="shared" si="6"/>
        <v>0</v>
      </c>
      <c r="AM123" s="1231"/>
      <c r="AN123" s="1231"/>
      <c r="AO123" s="1231"/>
      <c r="AP123" s="177"/>
      <c r="AQ123" s="177"/>
      <c r="AR123" s="1019" t="s">
        <v>1906</v>
      </c>
      <c r="AS123" s="1054"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M10558::ТЭ.42.27968109.0001::Неопределено::Неопределено::Неопределено::306.0.3.::Неопределено::Неопределено::Неопределено</v>
      </c>
    </row>
    <row r="124" spans="1:45" s="1167" customFormat="1" ht="16.5" customHeight="1" x14ac:dyDescent="0.15">
      <c r="A124" s="973"/>
      <c r="B124" s="773"/>
      <c r="C124" s="1084" t="s">
        <v>1824</v>
      </c>
      <c r="D124" s="1043" t="s">
        <v>1825</v>
      </c>
      <c r="E124" s="668">
        <v>17.100000000000001</v>
      </c>
      <c r="F124" s="769" t="str" cm="1">
        <f t="array" aca="1" ref="F124" ca="1">OFFSET(G124,-1,-1)</f>
        <v>1</v>
      </c>
      <c r="G124" s="177"/>
      <c r="H124" s="177"/>
      <c r="I124" s="177"/>
      <c r="J124" s="177"/>
      <c r="K124" s="177"/>
      <c r="L124" s="1072"/>
      <c r="M124" s="1070" t="str" cm="1">
        <f t="array" aca="1" ref="M124" ca="1">OFFSET(L124,-1,1)</f>
        <v>ТЭ.42.27968109.0001</v>
      </c>
      <c r="N124" s="1072" t="s">
        <v>1907</v>
      </c>
      <c r="O124" s="1072"/>
      <c r="P124" s="1072"/>
      <c r="Q124" s="1072"/>
      <c r="R124" s="1072"/>
      <c r="S124" s="1072"/>
      <c r="T124" s="679" t="b" cm="1">
        <f t="array" ref="T124">T123</f>
        <v>1</v>
      </c>
      <c r="U124" s="1152"/>
      <c r="V124" s="1152"/>
      <c r="W124" s="1152"/>
      <c r="X124" s="1485"/>
      <c r="Y124" s="1152"/>
      <c r="Z124" s="1485"/>
      <c r="AA124" s="177"/>
      <c r="AB124" s="460" t="s">
        <v>506</v>
      </c>
      <c r="AC124" s="836" t="s">
        <v>1393</v>
      </c>
      <c r="AD124" s="473" t="s">
        <v>1044</v>
      </c>
      <c r="AE124" s="1316"/>
      <c r="AF124" s="1316"/>
      <c r="AG124" s="1316"/>
      <c r="AH124" s="253">
        <f t="shared" si="5"/>
        <v>0</v>
      </c>
      <c r="AI124" s="1316"/>
      <c r="AJ124" s="509"/>
      <c r="AK124" s="509"/>
      <c r="AL124" s="253">
        <f t="shared" si="6"/>
        <v>0</v>
      </c>
      <c r="AM124" s="1231"/>
      <c r="AN124" s="1231"/>
      <c r="AO124" s="1231"/>
      <c r="AP124" s="177"/>
      <c r="AQ124" s="177"/>
      <c r="AR124" s="1019" t="s">
        <v>1908</v>
      </c>
      <c r="AS124" s="1054"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M10558::ТЭ.42.27968109.0001::Неопределено::110.0.37.::Неопределено::Неопределено::Неопределено::Неопределено::Неопределено</v>
      </c>
    </row>
    <row r="125" spans="1:45" s="1167" customFormat="1" ht="33.75" customHeight="1" x14ac:dyDescent="0.15">
      <c r="A125" s="973"/>
      <c r="B125" s="773"/>
      <c r="C125" s="1084" t="s">
        <v>1824</v>
      </c>
      <c r="D125" s="1043" t="s">
        <v>1825</v>
      </c>
      <c r="E125" s="668">
        <v>35</v>
      </c>
      <c r="F125" s="769" t="str" cm="1">
        <f t="array" aca="1" ref="F125" ca="1">OFFSET(G125,-1,-1)</f>
        <v>1</v>
      </c>
      <c r="G125" s="177"/>
      <c r="H125" s="177"/>
      <c r="I125" s="177"/>
      <c r="J125" s="177"/>
      <c r="K125" s="177"/>
      <c r="L125" s="1072" t="s">
        <v>1909</v>
      </c>
      <c r="M125" s="1070" t="str" cm="1">
        <f t="array" aca="1" ref="M125" ca="1">OFFSET(L125,-1,1)</f>
        <v>ТЭ.42.27968109.0001</v>
      </c>
      <c r="N125" s="1072"/>
      <c r="O125" s="1072"/>
      <c r="P125" s="1072"/>
      <c r="Q125" s="1072"/>
      <c r="R125" s="1072"/>
      <c r="S125" s="1072"/>
      <c r="T125" s="679" t="b" cm="1">
        <f t="array" ref="T125">T124</f>
        <v>1</v>
      </c>
      <c r="U125" s="1152"/>
      <c r="V125" s="1152"/>
      <c r="W125" s="1152"/>
      <c r="X125" s="1485"/>
      <c r="Y125" s="1152"/>
      <c r="Z125" s="1485"/>
      <c r="AA125" s="177"/>
      <c r="AB125" s="411" t="s">
        <v>510</v>
      </c>
      <c r="AC125" s="837" t="s">
        <v>1405</v>
      </c>
      <c r="AD125" s="474" t="s">
        <v>1044</v>
      </c>
      <c r="AE125" s="1316"/>
      <c r="AF125" s="1316"/>
      <c r="AG125" s="1316"/>
      <c r="AH125" s="253">
        <f t="shared" si="5"/>
        <v>0</v>
      </c>
      <c r="AI125" s="1316"/>
      <c r="AJ125" s="509"/>
      <c r="AK125" s="509"/>
      <c r="AL125" s="253">
        <f t="shared" si="6"/>
        <v>0</v>
      </c>
      <c r="AM125" s="1231"/>
      <c r="AN125" s="1231"/>
      <c r="AO125" s="1231"/>
      <c r="AP125" s="177"/>
      <c r="AQ125" s="177"/>
      <c r="AR125" s="1019" t="s">
        <v>1910</v>
      </c>
      <c r="AS125" s="1054"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M10558::ТЭ.42.27968109.0001::1.0.89.::Неопределено::Неопределено::Неопределено::Неопределено::Неопределено::Неопределено</v>
      </c>
    </row>
    <row r="126" spans="1:45" s="1167" customFormat="1" ht="16.5" customHeight="1" x14ac:dyDescent="0.15">
      <c r="A126" s="973"/>
      <c r="B126" s="773"/>
      <c r="C126" s="1084" t="s">
        <v>1824</v>
      </c>
      <c r="D126" s="1043" t="s">
        <v>1825</v>
      </c>
      <c r="E126" s="668">
        <v>17.100000000000001</v>
      </c>
      <c r="F126" s="769" t="str" cm="1">
        <f t="array" aca="1" ref="F126" ca="1">OFFSET(G126,-1,-1)</f>
        <v>1</v>
      </c>
      <c r="G126" s="177"/>
      <c r="H126" s="177"/>
      <c r="I126" s="177"/>
      <c r="J126" s="177"/>
      <c r="K126" s="177"/>
      <c r="L126" s="1072"/>
      <c r="M126" s="1070" t="str" cm="1">
        <f t="array" aca="1" ref="M126" ca="1">OFFSET(L126,-1,1)</f>
        <v>ТЭ.42.27968109.0001</v>
      </c>
      <c r="N126" s="1062" t="s">
        <v>1911</v>
      </c>
      <c r="O126" s="1072"/>
      <c r="P126" s="1072"/>
      <c r="Q126" s="1072"/>
      <c r="R126" s="1072"/>
      <c r="S126" s="1072"/>
      <c r="T126" s="679" t="b" cm="1">
        <f t="array" ref="T126">T125</f>
        <v>1</v>
      </c>
      <c r="U126" s="1152"/>
      <c r="V126" s="1152"/>
      <c r="W126" s="1152"/>
      <c r="X126" s="1485"/>
      <c r="Y126" s="1152"/>
      <c r="Z126" s="1485"/>
      <c r="AA126" s="177"/>
      <c r="AB126" s="411" t="s">
        <v>514</v>
      </c>
      <c r="AC126" s="837" t="s">
        <v>1912</v>
      </c>
      <c r="AD126" s="474" t="s">
        <v>1044</v>
      </c>
      <c r="AE126" s="507">
        <f>AE127+AE128</f>
        <v>0</v>
      </c>
      <c r="AF126" s="507">
        <f>AF127+AF128</f>
        <v>0</v>
      </c>
      <c r="AG126" s="507">
        <f>AG127+AG128</f>
        <v>0</v>
      </c>
      <c r="AH126" s="253">
        <f t="shared" si="5"/>
        <v>0</v>
      </c>
      <c r="AI126" s="507">
        <f>AI127+AI128</f>
        <v>0</v>
      </c>
      <c r="AJ126" s="507">
        <f>AJ127+AJ128</f>
        <v>0</v>
      </c>
      <c r="AK126" s="507">
        <f>AK127+AK128</f>
        <v>0</v>
      </c>
      <c r="AL126" s="253">
        <f t="shared" si="6"/>
        <v>0</v>
      </c>
      <c r="AM126" s="1231"/>
      <c r="AN126" s="1231"/>
      <c r="AO126" s="1231"/>
      <c r="AP126" s="177"/>
      <c r="AQ126" s="177"/>
      <c r="AR126" s="1019" t="s">
        <v>1913</v>
      </c>
      <c r="AS126" s="1054"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M10558::ТЭ.42.27968109.0001::Неопределено::110.0.32.::Неопределено::Неопределено::Неопределено::Неопределено::Неопределено</v>
      </c>
    </row>
    <row r="127" spans="1:45" s="1167" customFormat="1" ht="16.5" customHeight="1" x14ac:dyDescent="0.15">
      <c r="A127" s="973"/>
      <c r="B127" s="773"/>
      <c r="C127" s="1084" t="s">
        <v>1824</v>
      </c>
      <c r="D127" s="1043" t="s">
        <v>1825</v>
      </c>
      <c r="E127" s="668">
        <v>17.100000000000001</v>
      </c>
      <c r="F127" s="769" t="str" cm="1">
        <f t="array" aca="1" ref="F127" ca="1">OFFSET(G127,-1,-1)</f>
        <v>1</v>
      </c>
      <c r="G127" s="177"/>
      <c r="H127" s="177"/>
      <c r="I127" s="177"/>
      <c r="J127" s="177"/>
      <c r="K127" s="177"/>
      <c r="L127" s="1072" t="s">
        <v>1914</v>
      </c>
      <c r="M127" s="1070" t="str" cm="1">
        <f t="array" aca="1" ref="M127" ca="1">OFFSET(L127,-1,1)</f>
        <v>ТЭ.42.27968109.0001</v>
      </c>
      <c r="N127" s="1072"/>
      <c r="O127" s="1072"/>
      <c r="P127" s="1072"/>
      <c r="Q127" s="1072"/>
      <c r="R127" s="1072"/>
      <c r="S127" s="1072"/>
      <c r="T127" s="679" t="b" cm="1">
        <f t="array" ref="T127">T126</f>
        <v>1</v>
      </c>
      <c r="U127" s="1152"/>
      <c r="V127" s="1152"/>
      <c r="W127" s="1152"/>
      <c r="X127" s="1485"/>
      <c r="Y127" s="1152"/>
      <c r="Z127" s="1485"/>
      <c r="AA127" s="177"/>
      <c r="AB127" s="416" t="s">
        <v>1915</v>
      </c>
      <c r="AC127" s="838" t="s">
        <v>1916</v>
      </c>
      <c r="AD127" s="541" t="s">
        <v>1044</v>
      </c>
      <c r="AE127" s="1316"/>
      <c r="AF127" s="1316"/>
      <c r="AG127" s="1316"/>
      <c r="AH127" s="253">
        <f t="shared" si="5"/>
        <v>0</v>
      </c>
      <c r="AI127" s="1316"/>
      <c r="AJ127" s="509"/>
      <c r="AK127" s="509"/>
      <c r="AL127" s="253">
        <f t="shared" ref="AL127:AL151" si="7">IF(AI127=0,0,(AK127-AI127)/AI127*100)</f>
        <v>0</v>
      </c>
      <c r="AM127" s="1231"/>
      <c r="AN127" s="1231"/>
      <c r="AO127" s="1231"/>
      <c r="AP127" s="177"/>
      <c r="AQ127" s="177"/>
      <c r="AR127" s="1019" t="s">
        <v>1917</v>
      </c>
      <c r="AS127" s="1054"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M10558::ТЭ.42.27968109.0001::1.0.96.::Неопределено::Неопределено::Неопределено::Неопределено::Неопределено::Неопределено</v>
      </c>
    </row>
    <row r="128" spans="1:45" s="1167" customFormat="1" ht="16.5" customHeight="1" x14ac:dyDescent="0.15">
      <c r="A128" s="973"/>
      <c r="B128" s="773"/>
      <c r="C128" s="1084" t="s">
        <v>1824</v>
      </c>
      <c r="D128" s="1043" t="s">
        <v>1825</v>
      </c>
      <c r="E128" s="668">
        <v>17.100000000000001</v>
      </c>
      <c r="F128" s="769" t="str" cm="1">
        <f t="array" aca="1" ref="F128" ca="1">OFFSET(G128,-1,-1)</f>
        <v>1</v>
      </c>
      <c r="G128" s="177"/>
      <c r="H128" s="177"/>
      <c r="I128" s="177"/>
      <c r="J128" s="177"/>
      <c r="K128" s="177"/>
      <c r="L128" s="1072"/>
      <c r="M128" s="1070" t="str" cm="1">
        <f t="array" aca="1" ref="M128" ca="1">OFFSET(L128,-1,1)</f>
        <v>ТЭ.42.27968109.0001</v>
      </c>
      <c r="N128" s="1072" t="s">
        <v>1918</v>
      </c>
      <c r="O128" s="1072"/>
      <c r="P128" s="1072"/>
      <c r="Q128" s="1072"/>
      <c r="R128" s="1072"/>
      <c r="S128" s="1072"/>
      <c r="T128" s="679" t="b" cm="1">
        <f t="array" ref="T128">T127</f>
        <v>1</v>
      </c>
      <c r="U128" s="1152"/>
      <c r="V128" s="1152"/>
      <c r="W128" s="1152"/>
      <c r="X128" s="1485"/>
      <c r="Y128" s="1152"/>
      <c r="Z128" s="1485"/>
      <c r="AA128" s="177"/>
      <c r="AB128" s="724" t="s">
        <v>1919</v>
      </c>
      <c r="AC128" s="835" t="s">
        <v>1920</v>
      </c>
      <c r="AD128" s="724" t="s">
        <v>1044</v>
      </c>
      <c r="AE128" s="1316"/>
      <c r="AF128" s="1316"/>
      <c r="AG128" s="1316"/>
      <c r="AH128" s="253">
        <f t="shared" si="5"/>
        <v>0</v>
      </c>
      <c r="AI128" s="1316"/>
      <c r="AJ128" s="509"/>
      <c r="AK128" s="509"/>
      <c r="AL128" s="253">
        <f t="shared" si="7"/>
        <v>0</v>
      </c>
      <c r="AM128" s="1231"/>
      <c r="AN128" s="1231"/>
      <c r="AO128" s="1231"/>
      <c r="AP128" s="177"/>
      <c r="AQ128" s="177"/>
      <c r="AR128" s="1019" t="s">
        <v>1921</v>
      </c>
      <c r="AS128" s="1054"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M10558::ТЭ.42.27968109.0001::Неопределено::110.0.39.::Неопределено::Неопределено::Неопределено::Неопределено::Неопределено</v>
      </c>
    </row>
    <row r="129" spans="1:45" s="1167" customFormat="1" ht="33.75" customHeight="1" x14ac:dyDescent="0.15">
      <c r="A129" s="973"/>
      <c r="B129" s="773"/>
      <c r="C129" s="1084" t="s">
        <v>1824</v>
      </c>
      <c r="D129" s="1043" t="s">
        <v>1825</v>
      </c>
      <c r="E129" s="668">
        <v>35</v>
      </c>
      <c r="F129" s="769" t="str" cm="1">
        <f t="array" aca="1" ref="F129" ca="1">OFFSET(G129,-1,-1)</f>
        <v>1</v>
      </c>
      <c r="G129" s="177"/>
      <c r="H129" s="177"/>
      <c r="I129" s="177"/>
      <c r="J129" s="177"/>
      <c r="K129" s="177"/>
      <c r="L129" s="1072"/>
      <c r="M129" s="1070" t="str" cm="1">
        <f t="array" aca="1" ref="M129" ca="1">OFFSET(L129,-1,1)</f>
        <v>ТЭ.42.27968109.0001</v>
      </c>
      <c r="N129" s="1072" t="s">
        <v>1922</v>
      </c>
      <c r="O129" s="1072"/>
      <c r="P129" s="1072"/>
      <c r="Q129" s="1072"/>
      <c r="R129" s="1072"/>
      <c r="S129" s="1072"/>
      <c r="T129" s="679" t="b" cm="1">
        <f t="array" ref="T129">T128</f>
        <v>1</v>
      </c>
      <c r="U129" s="1152"/>
      <c r="V129" s="1152"/>
      <c r="W129" s="1152"/>
      <c r="X129" s="1485"/>
      <c r="Y129" s="1152"/>
      <c r="Z129" s="1485"/>
      <c r="AA129" s="177"/>
      <c r="AB129" s="742">
        <v>3</v>
      </c>
      <c r="AC129" s="839" t="s">
        <v>1923</v>
      </c>
      <c r="AD129" s="742" t="s">
        <v>1044</v>
      </c>
      <c r="AE129" s="507">
        <f>AE130+AE131+AE132+AE133</f>
        <v>0</v>
      </c>
      <c r="AF129" s="507">
        <f>AF130+AF131+AF132+AF133</f>
        <v>0</v>
      </c>
      <c r="AG129" s="507">
        <f>AG130+AG131+AG132+AG133</f>
        <v>0</v>
      </c>
      <c r="AH129" s="253">
        <f t="shared" si="5"/>
        <v>0</v>
      </c>
      <c r="AI129" s="507">
        <f>AI130+AI131+AI132+AI133</f>
        <v>0</v>
      </c>
      <c r="AJ129" s="507">
        <f>AJ130+AJ131+AJ132+AJ133</f>
        <v>0</v>
      </c>
      <c r="AK129" s="507">
        <f>AK130+AK131+AK132+AK133</f>
        <v>0</v>
      </c>
      <c r="AL129" s="253">
        <f t="shared" si="7"/>
        <v>0</v>
      </c>
      <c r="AM129" s="1231"/>
      <c r="AN129" s="1231"/>
      <c r="AO129" s="1231"/>
      <c r="AP129" s="177"/>
      <c r="AQ129" s="177"/>
      <c r="AR129" s="1019" t="s">
        <v>1924</v>
      </c>
      <c r="AS129" s="1054"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M10558::ТЭ.42.27968109.0001::Неопределено::110.0.46.::Неопределено::Неопределено::Неопределено::Неопределено::Неопределено</v>
      </c>
    </row>
    <row r="130" spans="1:45" s="1167" customFormat="1" ht="16.5" customHeight="1" x14ac:dyDescent="0.15">
      <c r="A130" s="973"/>
      <c r="B130" s="773"/>
      <c r="C130" s="1084" t="s">
        <v>1824</v>
      </c>
      <c r="D130" s="1043" t="s">
        <v>1825</v>
      </c>
      <c r="E130" s="668">
        <v>17.100000000000001</v>
      </c>
      <c r="F130" s="769" t="str" cm="1">
        <f t="array" aca="1" ref="F130" ca="1">OFFSET(G130,-1,-1)</f>
        <v>1</v>
      </c>
      <c r="G130" s="177"/>
      <c r="H130" s="177"/>
      <c r="I130" s="177"/>
      <c r="J130" s="177"/>
      <c r="K130" s="177"/>
      <c r="L130" s="1072"/>
      <c r="M130" s="1070" t="str" cm="1">
        <f t="array" aca="1" ref="M130" ca="1">OFFSET(L130,-1,1)</f>
        <v>ТЭ.42.27968109.0001</v>
      </c>
      <c r="N130" s="1072" t="s">
        <v>1925</v>
      </c>
      <c r="O130" s="1072"/>
      <c r="P130" s="1072"/>
      <c r="Q130" s="1072"/>
      <c r="R130" s="1072"/>
      <c r="S130" s="1072"/>
      <c r="T130" s="679" t="b" cm="1">
        <f t="array" ref="T130">T129</f>
        <v>1</v>
      </c>
      <c r="U130" s="1152"/>
      <c r="V130" s="1152"/>
      <c r="W130" s="1152"/>
      <c r="X130" s="1485"/>
      <c r="Y130" s="1152"/>
      <c r="Z130" s="1485"/>
      <c r="AA130" s="177"/>
      <c r="AB130" s="724" t="s">
        <v>735</v>
      </c>
      <c r="AC130" s="833" t="s">
        <v>1926</v>
      </c>
      <c r="AD130" s="724" t="s">
        <v>1044</v>
      </c>
      <c r="AE130" s="1316"/>
      <c r="AF130" s="1316"/>
      <c r="AG130" s="1316"/>
      <c r="AH130" s="253">
        <f t="shared" si="5"/>
        <v>0</v>
      </c>
      <c r="AI130" s="1316"/>
      <c r="AJ130" s="509"/>
      <c r="AK130" s="509"/>
      <c r="AL130" s="253">
        <f t="shared" si="7"/>
        <v>0</v>
      </c>
      <c r="AM130" s="1231"/>
      <c r="AN130" s="1231"/>
      <c r="AO130" s="1231"/>
      <c r="AP130" s="177"/>
      <c r="AQ130" s="177"/>
      <c r="AR130" s="1019" t="s">
        <v>1927</v>
      </c>
      <c r="AS130" s="1054"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M10558::ТЭ.42.27968109.0001::Неопределено::110.0.21.::Неопределено::Неопределено::Неопределено::Неопределено::Неопределено</v>
      </c>
    </row>
    <row r="131" spans="1:45" s="1167" customFormat="1" ht="16.5" customHeight="1" x14ac:dyDescent="0.15">
      <c r="A131" s="973"/>
      <c r="B131" s="773"/>
      <c r="C131" s="1084" t="s">
        <v>1824</v>
      </c>
      <c r="D131" s="1043" t="s">
        <v>1825</v>
      </c>
      <c r="E131" s="668">
        <v>17.100000000000001</v>
      </c>
      <c r="F131" s="769" t="str" cm="1">
        <f t="array" aca="1" ref="F131" ca="1">OFFSET(G131,-1,-1)</f>
        <v>1</v>
      </c>
      <c r="G131" s="177"/>
      <c r="H131" s="177"/>
      <c r="I131" s="177"/>
      <c r="J131" s="177"/>
      <c r="K131" s="177"/>
      <c r="L131" s="1072"/>
      <c r="M131" s="1070" t="str" cm="1">
        <f t="array" aca="1" ref="M131" ca="1">OFFSET(L131,-1,1)</f>
        <v>ТЭ.42.27968109.0001</v>
      </c>
      <c r="N131" s="1072" t="s">
        <v>1928</v>
      </c>
      <c r="O131" s="1072"/>
      <c r="P131" s="1072"/>
      <c r="Q131" s="1072"/>
      <c r="R131" s="1072"/>
      <c r="S131" s="1072"/>
      <c r="T131" s="679" t="b" cm="1">
        <f t="array" ref="T131">T130</f>
        <v>1</v>
      </c>
      <c r="U131" s="1152"/>
      <c r="V131" s="1152"/>
      <c r="W131" s="1152"/>
      <c r="X131" s="1485"/>
      <c r="Y131" s="1152"/>
      <c r="Z131" s="1485"/>
      <c r="AA131" s="177"/>
      <c r="AB131" s="724" t="s">
        <v>738</v>
      </c>
      <c r="AC131" s="833" t="s">
        <v>1929</v>
      </c>
      <c r="AD131" s="724" t="s">
        <v>1044</v>
      </c>
      <c r="AE131" s="1316"/>
      <c r="AF131" s="1316"/>
      <c r="AG131" s="1316"/>
      <c r="AH131" s="253">
        <f t="shared" si="5"/>
        <v>0</v>
      </c>
      <c r="AI131" s="1316"/>
      <c r="AJ131" s="509"/>
      <c r="AK131" s="509"/>
      <c r="AL131" s="253">
        <f t="shared" si="7"/>
        <v>0</v>
      </c>
      <c r="AM131" s="1231"/>
      <c r="AN131" s="1231"/>
      <c r="AO131" s="1231"/>
      <c r="AP131" s="177"/>
      <c r="AQ131" s="177"/>
      <c r="AR131" s="1019" t="s">
        <v>1930</v>
      </c>
      <c r="AS131" s="1054"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M10558::ТЭ.42.27968109.0001::Неопределено::110.0.42.::Неопределено::Неопределено::Неопределено::Неопределено::Неопределено</v>
      </c>
    </row>
    <row r="132" spans="1:45" s="1167" customFormat="1" ht="16.5" customHeight="1" x14ac:dyDescent="0.15">
      <c r="A132" s="973"/>
      <c r="B132" s="773"/>
      <c r="C132" s="1084" t="s">
        <v>1824</v>
      </c>
      <c r="D132" s="1043" t="s">
        <v>1825</v>
      </c>
      <c r="E132" s="668">
        <v>17.100000000000001</v>
      </c>
      <c r="F132" s="769" t="str" cm="1">
        <f t="array" aca="1" ref="F132" ca="1">OFFSET(G132,-1,-1)</f>
        <v>1</v>
      </c>
      <c r="G132" s="177"/>
      <c r="H132" s="177"/>
      <c r="I132" s="177"/>
      <c r="J132" s="177"/>
      <c r="K132" s="177"/>
      <c r="L132" s="1072"/>
      <c r="M132" s="1070" t="str" cm="1">
        <f t="array" aca="1" ref="M132" ca="1">OFFSET(L132,-1,1)</f>
        <v>ТЭ.42.27968109.0001</v>
      </c>
      <c r="N132" s="1072"/>
      <c r="O132" s="1072"/>
      <c r="P132" s="1072"/>
      <c r="Q132" s="1072" t="s">
        <v>1931</v>
      </c>
      <c r="R132" s="1072"/>
      <c r="S132" s="1072"/>
      <c r="T132" s="679" t="b" cm="1">
        <f t="array" ref="T132">T131</f>
        <v>1</v>
      </c>
      <c r="U132" s="1152"/>
      <c r="V132" s="1152"/>
      <c r="W132" s="1152"/>
      <c r="X132" s="1485"/>
      <c r="Y132" s="1152"/>
      <c r="Z132" s="1485"/>
      <c r="AA132" s="177"/>
      <c r="AB132" s="724" t="s">
        <v>1932</v>
      </c>
      <c r="AC132" s="833" t="s">
        <v>1933</v>
      </c>
      <c r="AD132" s="724" t="s">
        <v>1044</v>
      </c>
      <c r="AE132" s="1316"/>
      <c r="AF132" s="1316"/>
      <c r="AG132" s="1316"/>
      <c r="AH132" s="253">
        <f t="shared" si="5"/>
        <v>0</v>
      </c>
      <c r="AI132" s="1316"/>
      <c r="AJ132" s="509"/>
      <c r="AK132" s="509"/>
      <c r="AL132" s="253">
        <f t="shared" si="7"/>
        <v>0</v>
      </c>
      <c r="AM132" s="1231"/>
      <c r="AN132" s="1231"/>
      <c r="AO132" s="1231"/>
      <c r="AP132" s="177"/>
      <c r="AQ132" s="177"/>
      <c r="AR132" s="1019" t="s">
        <v>1934</v>
      </c>
      <c r="AS132" s="1054"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M10558::ТЭ.42.27968109.0001::Неопределено::Неопределено::Неопределено::Неопределено::2.0.48.::Неопределено::Неопределено</v>
      </c>
    </row>
    <row r="133" spans="1:45" s="1167" customFormat="1" ht="16.5" customHeight="1" x14ac:dyDescent="0.15">
      <c r="A133" s="973"/>
      <c r="B133" s="773"/>
      <c r="C133" s="1084" t="s">
        <v>1824</v>
      </c>
      <c r="D133" s="1043" t="s">
        <v>1825</v>
      </c>
      <c r="E133" s="668">
        <v>17.100000000000001</v>
      </c>
      <c r="F133" s="769" t="str" cm="1">
        <f t="array" aca="1" ref="F133" ca="1">OFFSET(G133,-1,-1)</f>
        <v>1</v>
      </c>
      <c r="G133" s="177"/>
      <c r="H133" s="177"/>
      <c r="I133" s="177"/>
      <c r="J133" s="177"/>
      <c r="K133" s="177"/>
      <c r="L133" s="1072" t="s">
        <v>1884</v>
      </c>
      <c r="M133" s="1070" t="str" cm="1">
        <f t="array" aca="1" ref="M133" ca="1">OFFSET(L133,-1,1)</f>
        <v>ТЭ.42.27968109.0001</v>
      </c>
      <c r="N133" s="1072" t="s">
        <v>1911</v>
      </c>
      <c r="O133" s="1072"/>
      <c r="P133" s="1072"/>
      <c r="Q133" s="1072"/>
      <c r="R133" s="1072"/>
      <c r="S133" s="1072"/>
      <c r="T133" s="679" t="b" cm="1">
        <f t="array" ref="T133">T132</f>
        <v>1</v>
      </c>
      <c r="U133" s="1152"/>
      <c r="V133" s="1152"/>
      <c r="W133" s="1152"/>
      <c r="X133" s="1485"/>
      <c r="Y133" s="1152"/>
      <c r="Z133" s="1485"/>
      <c r="AA133" s="177"/>
      <c r="AB133" s="724" t="s">
        <v>1935</v>
      </c>
      <c r="AC133" s="833" t="s">
        <v>1291</v>
      </c>
      <c r="AD133" s="724" t="s">
        <v>1044</v>
      </c>
      <c r="AE133" s="1316"/>
      <c r="AF133" s="1316"/>
      <c r="AG133" s="1316"/>
      <c r="AH133" s="253">
        <f t="shared" si="5"/>
        <v>0</v>
      </c>
      <c r="AI133" s="1316"/>
      <c r="AJ133" s="509"/>
      <c r="AK133" s="509"/>
      <c r="AL133" s="253">
        <f t="shared" si="7"/>
        <v>0</v>
      </c>
      <c r="AM133" s="1231"/>
      <c r="AN133" s="1231"/>
      <c r="AO133" s="1231"/>
      <c r="AP133" s="177"/>
      <c r="AQ133" s="177"/>
      <c r="AR133" s="1019" t="s">
        <v>1936</v>
      </c>
      <c r="AS133" s="1054"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M10558::ТЭ.42.27968109.0001::1.0.49.::110.0.32.::Неопределено::Неопределено::Неопределено::Неопределено::Неопределено</v>
      </c>
    </row>
    <row r="134" spans="1:45" s="1167" customFormat="1" ht="16.5" customHeight="1" x14ac:dyDescent="0.15">
      <c r="A134" s="973"/>
      <c r="B134" s="773"/>
      <c r="C134" s="1084" t="s">
        <v>1824</v>
      </c>
      <c r="D134" s="1043" t="s">
        <v>1825</v>
      </c>
      <c r="E134" s="668">
        <v>17.100000000000001</v>
      </c>
      <c r="F134" s="769" t="str" cm="1">
        <f t="array" aca="1" ref="F134" ca="1">OFFSET(G134,-1,-1)</f>
        <v>1</v>
      </c>
      <c r="G134" s="612" t="s">
        <v>1285</v>
      </c>
      <c r="H134" s="177"/>
      <c r="I134" s="177"/>
      <c r="J134" s="177"/>
      <c r="K134" s="177"/>
      <c r="L134" s="1072" t="s">
        <v>1937</v>
      </c>
      <c r="M134" s="1070" t="str" cm="1">
        <f t="array" aca="1" ref="M134" ca="1">OFFSET(L134,-1,1)</f>
        <v>ТЭ.42.27968109.0001</v>
      </c>
      <c r="N134" s="1072"/>
      <c r="O134" s="1072"/>
      <c r="P134" s="1072"/>
      <c r="Q134" s="1072"/>
      <c r="R134" s="1072"/>
      <c r="S134" s="1072"/>
      <c r="T134" s="679" t="b" cm="1">
        <f t="array" ref="T134">T133</f>
        <v>1</v>
      </c>
      <c r="U134" s="1152"/>
      <c r="V134" s="1152"/>
      <c r="W134" s="1152"/>
      <c r="X134" s="1485"/>
      <c r="Y134" s="1152"/>
      <c r="Z134" s="1485"/>
      <c r="AA134" s="177"/>
      <c r="AB134" s="742">
        <v>4</v>
      </c>
      <c r="AC134" s="839" t="s">
        <v>1402</v>
      </c>
      <c r="AD134" s="742" t="s">
        <v>1044</v>
      </c>
      <c r="AE134" s="507">
        <f ca="1">SUMIFS(Налоги!AE$26:AE$56,Налоги!$F$26:$F$56,$F134,Налоги!$G$26:$G$56,$G134)</f>
        <v>468.23</v>
      </c>
      <c r="AF134" s="507">
        <f ca="1">SUMIFS(Налоги!AF$26:AF$56,Налоги!$F$26:$F$56,$F134,Налоги!$G$26:$G$56,$G134)</f>
        <v>1626.57</v>
      </c>
      <c r="AG134" s="507">
        <f ca="1">SUMIFS(Налоги!AG$26:AG$56,Налоги!$F$26:$F$56,$F134,Налоги!$G$26:$G$56,$G134)</f>
        <v>468.23</v>
      </c>
      <c r="AH134" s="253">
        <f t="shared" ca="1" si="5"/>
        <v>-1158.3399999999999</v>
      </c>
      <c r="AI134" s="507">
        <f ca="1">SUMIFS(Налоги!AH$26:AH$56,Налоги!$F$26:$F$56,$F134,Налоги!$G$26:$G$56,$G134)</f>
        <v>0</v>
      </c>
      <c r="AJ134" s="507">
        <f ca="1">SUMIFS(Налоги!AI$26:AI$56,Налоги!$F$26:$F$56,$F134,Налоги!$G$26:$G$56,$G134)</f>
        <v>1225.8499999999999</v>
      </c>
      <c r="AK134" s="507">
        <f ca="1">SUMIFS(Налоги!AS$26:AS$56,Налоги!$F$26:$F$56,$F134,Налоги!$G$26:$G$56,$G134)</f>
        <v>0</v>
      </c>
      <c r="AL134" s="253">
        <f t="shared" ca="1" si="7"/>
        <v>0</v>
      </c>
      <c r="AM134" s="1231"/>
      <c r="AN134" s="1231"/>
      <c r="AO134" s="1231"/>
      <c r="AP134" s="177"/>
      <c r="AQ134" s="177"/>
      <c r="AR134" s="1019" t="s">
        <v>602</v>
      </c>
      <c r="AS134" s="1054"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M10558::ТЭ.42.27968109.0001::1.0.91.::Неопределено::Неопределено::Неопределено::Неопределено::Неопределено::Неопределено</v>
      </c>
    </row>
    <row r="135" spans="1:45" s="1167" customFormat="1" ht="33.75" customHeight="1" x14ac:dyDescent="0.15">
      <c r="A135" s="973"/>
      <c r="B135" s="773"/>
      <c r="C135" s="1084" t="s">
        <v>1691</v>
      </c>
      <c r="D135" s="1043" t="s">
        <v>1692</v>
      </c>
      <c r="E135" s="668">
        <v>35</v>
      </c>
      <c r="F135" s="769" t="str" cm="1">
        <f t="array" aca="1" ref="F135" ca="1">OFFSET(G135,-1,-1)</f>
        <v>1</v>
      </c>
      <c r="G135" s="177"/>
      <c r="H135" s="177"/>
      <c r="I135" s="177"/>
      <c r="J135" s="177"/>
      <c r="K135" s="177"/>
      <c r="L135" s="1072"/>
      <c r="M135" s="1070" t="str" cm="1">
        <f t="array" aca="1" ref="M135" ca="1">OFFSET(L135,-1,1)</f>
        <v>ТЭ.42.27968109.0001</v>
      </c>
      <c r="N135" s="1072" t="s">
        <v>1938</v>
      </c>
      <c r="O135" s="1072"/>
      <c r="P135" s="1072"/>
      <c r="Q135" s="1072"/>
      <c r="R135" s="1072"/>
      <c r="S135" s="1072"/>
      <c r="T135" s="679" t="b" cm="1">
        <f t="array" ref="T135">T134</f>
        <v>1</v>
      </c>
      <c r="U135" s="1152"/>
      <c r="V135" s="1152"/>
      <c r="W135" s="1152"/>
      <c r="X135" s="1485"/>
      <c r="Y135" s="1152"/>
      <c r="Z135" s="1485"/>
      <c r="AA135" s="177"/>
      <c r="AB135" s="742">
        <v>5</v>
      </c>
      <c r="AC135" s="839" t="s">
        <v>1939</v>
      </c>
      <c r="AD135" s="742" t="s">
        <v>1044</v>
      </c>
      <c r="AE135" s="1316"/>
      <c r="AF135" s="1316"/>
      <c r="AG135" s="1316"/>
      <c r="AH135" s="253">
        <f t="shared" si="5"/>
        <v>0</v>
      </c>
      <c r="AI135" s="1316"/>
      <c r="AJ135" s="509"/>
      <c r="AK135" s="509"/>
      <c r="AL135" s="253">
        <f t="shared" si="7"/>
        <v>0</v>
      </c>
      <c r="AM135" s="1231"/>
      <c r="AN135" s="1231"/>
      <c r="AO135" s="1231"/>
      <c r="AP135" s="177"/>
      <c r="AQ135" s="177"/>
      <c r="AR135" s="1019" t="s">
        <v>1533</v>
      </c>
      <c r="AS135" s="1054"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M11281::ТЭ.42.27968109.0001::Неопределено::110.0.5.::Неопределено::Неопределено::Неопределено::Неопределено::Неопределено</v>
      </c>
    </row>
    <row r="136" spans="1:45" s="1167" customFormat="1" ht="16.5" customHeight="1" x14ac:dyDescent="0.15">
      <c r="A136" s="973"/>
      <c r="B136" s="773"/>
      <c r="C136" s="1084" t="s">
        <v>1824</v>
      </c>
      <c r="D136" s="1043" t="s">
        <v>1825</v>
      </c>
      <c r="E136" s="668">
        <v>17.100000000000001</v>
      </c>
      <c r="F136" s="769" t="str" cm="1">
        <f t="array" aca="1" ref="F136" ca="1">OFFSET(G136,-1,-1)</f>
        <v>1</v>
      </c>
      <c r="G136" s="177"/>
      <c r="H136" s="177"/>
      <c r="I136" s="177"/>
      <c r="J136" s="177"/>
      <c r="K136" s="177"/>
      <c r="L136" s="1072"/>
      <c r="M136" s="1070" t="str" cm="1">
        <f t="array" aca="1" ref="M136" ca="1">OFFSET(L136,-1,1)</f>
        <v>ТЭ.42.27968109.0001</v>
      </c>
      <c r="N136" s="1072" t="s">
        <v>1940</v>
      </c>
      <c r="O136" s="1072"/>
      <c r="P136" s="1072"/>
      <c r="Q136" s="1072"/>
      <c r="R136" s="1072"/>
      <c r="S136" s="1072"/>
      <c r="T136" s="679" t="b" cm="1">
        <f t="array" ref="T136">T135</f>
        <v>1</v>
      </c>
      <c r="U136" s="1152"/>
      <c r="V136" s="1152"/>
      <c r="W136" s="1152"/>
      <c r="X136" s="1485"/>
      <c r="Y136" s="1152"/>
      <c r="Z136" s="1485"/>
      <c r="AA136" s="177"/>
      <c r="AB136" s="742">
        <v>6</v>
      </c>
      <c r="AC136" s="839" t="s">
        <v>1941</v>
      </c>
      <c r="AD136" s="742" t="s">
        <v>1044</v>
      </c>
      <c r="AE136" s="1316"/>
      <c r="AF136" s="1316"/>
      <c r="AG136" s="1316"/>
      <c r="AH136" s="253">
        <f t="shared" si="5"/>
        <v>0</v>
      </c>
      <c r="AI136" s="1316"/>
      <c r="AJ136" s="509"/>
      <c r="AK136" s="509"/>
      <c r="AL136" s="253">
        <f t="shared" si="7"/>
        <v>0</v>
      </c>
      <c r="AM136" s="1231"/>
      <c r="AN136" s="1231"/>
      <c r="AO136" s="1231"/>
      <c r="AP136" s="177"/>
      <c r="AQ136" s="177"/>
      <c r="AR136" s="1019" t="s">
        <v>1404</v>
      </c>
      <c r="AS136" s="1054"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M10558::ТЭ.42.27968109.0001::Неопределено::110.0.22.::Неопределено::Неопределено::Неопределено::Неопределено::Неопределено</v>
      </c>
    </row>
    <row r="137" spans="1:45" s="1167" customFormat="1" ht="16.5" customHeight="1" x14ac:dyDescent="0.15">
      <c r="A137" s="973"/>
      <c r="B137" s="773"/>
      <c r="C137" s="1084" t="s">
        <v>1719</v>
      </c>
      <c r="D137" s="1043" t="s">
        <v>1720</v>
      </c>
      <c r="E137" s="668">
        <v>17.100000000000001</v>
      </c>
      <c r="F137" s="769" t="str" cm="1">
        <f t="array" aca="1" ref="F137" ca="1">OFFSET(G137,-1,-1)</f>
        <v>1</v>
      </c>
      <c r="G137" s="177"/>
      <c r="H137" s="177"/>
      <c r="I137" s="177"/>
      <c r="J137" s="177"/>
      <c r="K137" s="177"/>
      <c r="L137" s="1072"/>
      <c r="M137" s="1070" t="str" cm="1">
        <f t="array" aca="1" ref="M137" ca="1">OFFSET(L137,-1,1)</f>
        <v>ТЭ.42.27968109.0001</v>
      </c>
      <c r="N137" s="1072"/>
      <c r="O137" s="1072"/>
      <c r="P137" s="1072"/>
      <c r="Q137" s="1072"/>
      <c r="R137" s="1072"/>
      <c r="S137" s="1072"/>
      <c r="T137" s="679" t="b" cm="1">
        <f t="array" ref="T137">T136</f>
        <v>1</v>
      </c>
      <c r="U137" s="1152"/>
      <c r="V137" s="1152"/>
      <c r="W137" s="1152"/>
      <c r="X137" s="1485"/>
      <c r="Y137" s="1152"/>
      <c r="Z137" s="1485"/>
      <c r="AA137" s="177"/>
      <c r="AB137" s="840" t="s">
        <v>449</v>
      </c>
      <c r="AC137" s="841" t="s">
        <v>1722</v>
      </c>
      <c r="AD137" s="842" t="s">
        <v>1044</v>
      </c>
      <c r="AE137" s="507">
        <f ca="1">AE95+AE122+AE129+AE134+AE135+AE136</f>
        <v>82357.848910259985</v>
      </c>
      <c r="AF137" s="507">
        <f ca="1">AF95+AF122+AF129+AF134+AF135+AF136</f>
        <v>85075.047070000001</v>
      </c>
      <c r="AG137" s="507">
        <f ca="1">AG95+AG122+AG129+AG134+AG135+AG136</f>
        <v>80611.167159999997</v>
      </c>
      <c r="AH137" s="253">
        <f t="shared" ca="1" si="5"/>
        <v>-4463.8799100000033</v>
      </c>
      <c r="AI137" s="507">
        <f ca="1">AI95+AI122+AI129+AI134+AI135+AI136</f>
        <v>87063.274178916574</v>
      </c>
      <c r="AJ137" s="507">
        <f ca="1">AJ95+AJ122+AJ129+AJ134+AJ135+AJ136</f>
        <v>113233.35252026205</v>
      </c>
      <c r="AK137" s="507">
        <f ca="1">AK95+AK122+AK129+AK134+AK135+AK136</f>
        <v>101601.67493363652</v>
      </c>
      <c r="AL137" s="253">
        <f t="shared" ca="1" si="7"/>
        <v>16.698660706055314</v>
      </c>
      <c r="AM137" s="1231"/>
      <c r="AN137" s="1231"/>
      <c r="AO137" s="1231"/>
      <c r="AP137" s="177"/>
      <c r="AQ137" s="177"/>
      <c r="AR137" s="1019" t="s">
        <v>1942</v>
      </c>
      <c r="AS137" s="1054"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M10655::ТЭ.42.27968109.0001::Неопределено::Неопределено::Неопределено::Неопределено::Неопределено::Неопределено::Неопределено</v>
      </c>
    </row>
    <row r="138" spans="1:45" s="1167" customFormat="1" ht="48.75" customHeight="1" x14ac:dyDescent="0.15">
      <c r="A138" s="973"/>
      <c r="B138" s="773"/>
      <c r="C138" s="1084" t="s">
        <v>1724</v>
      </c>
      <c r="D138" s="1043" t="s">
        <v>1725</v>
      </c>
      <c r="E138" s="668">
        <v>50</v>
      </c>
      <c r="F138" s="769" t="str" cm="1">
        <f t="array" aca="1" ref="F138" ca="1">OFFSET(G138,-1,-1)</f>
        <v>1</v>
      </c>
      <c r="G138" s="177"/>
      <c r="H138" s="177"/>
      <c r="I138" s="177"/>
      <c r="J138" s="177"/>
      <c r="K138" s="177"/>
      <c r="L138" s="1072"/>
      <c r="M138" s="1070" t="str" cm="1">
        <f t="array" aca="1" ref="M138" ca="1">OFFSET(L138,-1,1)</f>
        <v>ТЭ.42.27968109.0001</v>
      </c>
      <c r="N138" s="1072"/>
      <c r="O138" s="1072"/>
      <c r="P138" s="1072"/>
      <c r="Q138" s="1072"/>
      <c r="R138" s="1072"/>
      <c r="S138" s="1072"/>
      <c r="T138" s="679" t="b" cm="1">
        <f t="array" ref="T138">T137</f>
        <v>1</v>
      </c>
      <c r="U138" s="1152"/>
      <c r="V138" s="1152"/>
      <c r="W138" s="1152"/>
      <c r="X138" s="1485"/>
      <c r="Y138" s="1152"/>
      <c r="Z138" s="1485"/>
      <c r="AA138" s="177"/>
      <c r="AB138" s="843" t="s">
        <v>455</v>
      </c>
      <c r="AC138" s="893" t="s">
        <v>1724</v>
      </c>
      <c r="AD138" s="724" t="s">
        <v>1044</v>
      </c>
      <c r="AE138" s="1316"/>
      <c r="AF138" s="1316"/>
      <c r="AG138" s="1316"/>
      <c r="AH138" s="253">
        <f t="shared" si="5"/>
        <v>0</v>
      </c>
      <c r="AI138" s="1316"/>
      <c r="AJ138" s="509"/>
      <c r="AK138" s="509"/>
      <c r="AL138" s="253">
        <f t="shared" si="7"/>
        <v>0</v>
      </c>
      <c r="AM138" s="1231"/>
      <c r="AN138" s="1231"/>
      <c r="AO138" s="1231"/>
      <c r="AP138" s="177"/>
      <c r="AQ138" s="177"/>
      <c r="AR138" s="1019" t="s">
        <v>1943</v>
      </c>
      <c r="AS138" s="1054"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M11579::ТЭ.42.27968109.0001::Неопределено::Неопределено::Неопределено::Неопределено::Неопределено::Неопределено::Неопределено</v>
      </c>
    </row>
    <row r="139" spans="1:45" s="1167" customFormat="1" ht="16.5" customHeight="1" x14ac:dyDescent="0.15">
      <c r="A139" s="973"/>
      <c r="B139" s="773"/>
      <c r="C139" s="1084" t="s">
        <v>1728</v>
      </c>
      <c r="D139" s="1043" t="s">
        <v>1729</v>
      </c>
      <c r="E139" s="668">
        <v>17.100000000000001</v>
      </c>
      <c r="F139" s="769" t="str" cm="1">
        <f t="array" aca="1" ref="F139" ca="1">OFFSET(G139,-1,-1)</f>
        <v>1</v>
      </c>
      <c r="G139" s="177"/>
      <c r="H139" s="177"/>
      <c r="I139" s="177"/>
      <c r="J139" s="177"/>
      <c r="K139" s="177"/>
      <c r="L139" s="1072"/>
      <c r="M139" s="1070" t="str" cm="1">
        <f t="array" aca="1" ref="M139" ca="1">OFFSET(L139,-1,1)</f>
        <v>ТЭ.42.27968109.0001</v>
      </c>
      <c r="N139" s="1072"/>
      <c r="O139" s="1072"/>
      <c r="P139" s="1072"/>
      <c r="Q139" s="1072"/>
      <c r="R139" s="1072"/>
      <c r="S139" s="1072"/>
      <c r="T139" s="679" t="b" cm="1">
        <f t="array" ref="T139">T138</f>
        <v>1</v>
      </c>
      <c r="U139" s="1152"/>
      <c r="V139" s="1152"/>
      <c r="W139" s="1152"/>
      <c r="X139" s="1485"/>
      <c r="Y139" s="1152"/>
      <c r="Z139" s="1485"/>
      <c r="AA139" s="177"/>
      <c r="AB139" s="537" t="s">
        <v>689</v>
      </c>
      <c r="AC139" s="885" t="s">
        <v>1732</v>
      </c>
      <c r="AD139" s="844" t="s">
        <v>1044</v>
      </c>
      <c r="AE139" s="507">
        <f ca="1">AE137+AE138</f>
        <v>82357.848910259985</v>
      </c>
      <c r="AF139" s="507">
        <f ca="1">AF137+AF138</f>
        <v>85075.047070000001</v>
      </c>
      <c r="AG139" s="507">
        <f ca="1">AG137+AG138</f>
        <v>80611.167159999997</v>
      </c>
      <c r="AH139" s="253">
        <f t="shared" ca="1" si="5"/>
        <v>-4463.8799100000033</v>
      </c>
      <c r="AI139" s="507">
        <f ca="1">AI137+AI138</f>
        <v>87063.274178916574</v>
      </c>
      <c r="AJ139" s="507">
        <f ca="1">AJ137+AJ138</f>
        <v>113233.35252026205</v>
      </c>
      <c r="AK139" s="507">
        <f ca="1">AK137+AK138</f>
        <v>101601.67493363652</v>
      </c>
      <c r="AL139" s="253">
        <f t="shared" ca="1" si="7"/>
        <v>16.698660706055314</v>
      </c>
      <c r="AM139" s="1231"/>
      <c r="AN139" s="1231"/>
      <c r="AO139" s="1231"/>
      <c r="AP139" s="177"/>
      <c r="AQ139" s="177"/>
      <c r="AR139" s="1019" t="s">
        <v>1944</v>
      </c>
      <c r="AS139" s="1054"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M11580::ТЭ.42.27968109.0001::Неопределено::Неопределено::Неопределено::Неопределено::Неопределено::Неопределено::Неопределено</v>
      </c>
    </row>
    <row r="140" spans="1:45" s="1167" customFormat="1" ht="16.5" hidden="1" customHeight="1" x14ac:dyDescent="0.15">
      <c r="A140" s="973"/>
      <c r="B140" s="773"/>
      <c r="C140" s="1084" t="s">
        <v>1734</v>
      </c>
      <c r="D140" s="1043" t="s">
        <v>1735</v>
      </c>
      <c r="E140" s="668">
        <v>17.100000000000001</v>
      </c>
      <c r="F140" s="769" t="str" cm="1">
        <f t="array" aca="1" ref="F140" ca="1">OFFSET(G140,-1,-1)</f>
        <v>1</v>
      </c>
      <c r="G140" s="177"/>
      <c r="H140" s="140" t="str" cm="1">
        <f t="array" ref="H140">G94</f>
        <v>одноставочный</v>
      </c>
      <c r="I140" s="177"/>
      <c r="J140" s="177"/>
      <c r="K140" s="177"/>
      <c r="L140" s="1072"/>
      <c r="M140" s="1070" t="str" cm="1">
        <f t="array" aca="1" ref="M140" ca="1">OFFSET(L140,-1,1)</f>
        <v>ТЭ.42.27968109.0001</v>
      </c>
      <c r="N140" s="1072"/>
      <c r="O140" s="1072"/>
      <c r="P140" s="1072"/>
      <c r="Q140" s="1072"/>
      <c r="R140" s="1072"/>
      <c r="S140" s="1072"/>
      <c r="T140" s="679" t="b">
        <f ca="1">AND(F140&gt;0,H140="двухставочный")</f>
        <v>0</v>
      </c>
      <c r="U140" s="1152"/>
      <c r="V140" s="1152"/>
      <c r="W140" s="1152"/>
      <c r="X140" s="1485"/>
      <c r="Y140" s="1152"/>
      <c r="Z140" s="1485"/>
      <c r="AA140" s="177"/>
      <c r="AB140" s="545" t="str">
        <f>AB139&amp;".1"</f>
        <v>9.1</v>
      </c>
      <c r="AC140" s="511" t="s">
        <v>1737</v>
      </c>
      <c r="AD140" s="255" t="s">
        <v>830</v>
      </c>
      <c r="AE140" s="73"/>
      <c r="AF140" s="73"/>
      <c r="AG140" s="73"/>
      <c r="AH140" s="253">
        <f t="shared" si="5"/>
        <v>0</v>
      </c>
      <c r="AI140" s="73"/>
      <c r="AJ140" s="509"/>
      <c r="AK140" s="509"/>
      <c r="AL140" s="253">
        <f t="shared" si="7"/>
        <v>0</v>
      </c>
      <c r="AM140" s="25"/>
      <c r="AN140" s="25"/>
      <c r="AO140" s="25"/>
      <c r="AP140" s="177"/>
      <c r="AQ140" s="177"/>
      <c r="AR140" s="1019" t="s">
        <v>1945</v>
      </c>
      <c r="AS140" s="1054"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M11581::ТЭ.42.27968109.0001::Неопределено::Неопределено::Неопределено::Неопределено::Неопределено::Неопределено::Неопределено</v>
      </c>
    </row>
    <row r="141" spans="1:45" s="1167" customFormat="1" ht="16.5" hidden="1" customHeight="1" x14ac:dyDescent="0.15">
      <c r="A141" s="973"/>
      <c r="B141" s="773"/>
      <c r="C141" s="1084" t="s">
        <v>1739</v>
      </c>
      <c r="D141" s="1043" t="s">
        <v>1740</v>
      </c>
      <c r="E141" s="668">
        <v>17.100000000000001</v>
      </c>
      <c r="F141" s="769" t="str" cm="1">
        <f t="array" aca="1" ref="F141" ca="1">OFFSET(G141,-1,-1)</f>
        <v>1</v>
      </c>
      <c r="G141" s="177"/>
      <c r="H141" s="140" t="str" cm="1">
        <f t="array" ref="H141">G94</f>
        <v>одноставочный</v>
      </c>
      <c r="I141" s="177"/>
      <c r="J141" s="177"/>
      <c r="K141" s="177"/>
      <c r="L141" s="1072"/>
      <c r="M141" s="1070" t="str" cm="1">
        <f t="array" aca="1" ref="M141" ca="1">OFFSET(L141,-1,1)</f>
        <v>ТЭ.42.27968109.0001</v>
      </c>
      <c r="N141" s="1072"/>
      <c r="O141" s="1072"/>
      <c r="P141" s="1072"/>
      <c r="Q141" s="1072"/>
      <c r="R141" s="1072"/>
      <c r="S141" s="1072"/>
      <c r="T141" s="679" t="b">
        <f ca="1">AND(F141&gt;0,H141="двухставочный")</f>
        <v>0</v>
      </c>
      <c r="U141" s="1152"/>
      <c r="V141" s="1152"/>
      <c r="W141" s="1152"/>
      <c r="X141" s="1485"/>
      <c r="Y141" s="1152"/>
      <c r="Z141" s="1485"/>
      <c r="AA141" s="177"/>
      <c r="AB141" s="545" t="str">
        <f>AB139&amp;".2"</f>
        <v>9.2</v>
      </c>
      <c r="AC141" s="511" t="s">
        <v>1739</v>
      </c>
      <c r="AD141" s="255" t="s">
        <v>830</v>
      </c>
      <c r="AE141" s="507">
        <f ca="1">AE139-AE140</f>
        <v>82357.848910259985</v>
      </c>
      <c r="AF141" s="507">
        <f ca="1">AF139-AF140</f>
        <v>85075.047070000001</v>
      </c>
      <c r="AG141" s="507">
        <f ca="1">AG139-AG140</f>
        <v>80611.167159999997</v>
      </c>
      <c r="AH141" s="253">
        <f t="shared" ca="1" si="5"/>
        <v>-4463.8799100000033</v>
      </c>
      <c r="AI141" s="507">
        <f ca="1">AI139-AI140</f>
        <v>87063.274178916574</v>
      </c>
      <c r="AJ141" s="507">
        <f ca="1">AJ139-AJ140</f>
        <v>113233.35252026205</v>
      </c>
      <c r="AK141" s="507">
        <f ca="1">AK139-AK140</f>
        <v>101601.67493363652</v>
      </c>
      <c r="AL141" s="253">
        <f t="shared" ca="1" si="7"/>
        <v>16.698660706055314</v>
      </c>
      <c r="AM141" s="25"/>
      <c r="AN141" s="25"/>
      <c r="AO141" s="25"/>
      <c r="AP141" s="177"/>
      <c r="AQ141" s="177"/>
      <c r="AR141" s="1019" t="s">
        <v>1946</v>
      </c>
      <c r="AS141" s="1054"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M11582::ТЭ.42.27968109.0001::Неопределено::Неопределено::Неопределено::Неопределено::Неопределено::Неопределено::Неопределено</v>
      </c>
    </row>
    <row r="142" spans="1:45" s="1167" customFormat="1" ht="16.5" customHeight="1" x14ac:dyDescent="0.15">
      <c r="A142" s="973"/>
      <c r="B142" s="773"/>
      <c r="C142" s="1084" t="s">
        <v>1742</v>
      </c>
      <c r="D142" s="1043" t="s">
        <v>1743</v>
      </c>
      <c r="E142" s="668">
        <v>17.100000000000001</v>
      </c>
      <c r="F142" s="769" t="str" cm="1">
        <f t="array" aca="1" ref="F142" ca="1">OFFSET(G142,-1,-1)</f>
        <v>1</v>
      </c>
      <c r="G142" s="177"/>
      <c r="H142" s="177"/>
      <c r="I142" s="177"/>
      <c r="J142" s="177"/>
      <c r="K142" s="177"/>
      <c r="L142" s="1072"/>
      <c r="M142" s="1070" t="str" cm="1">
        <f t="array" aca="1" ref="M142" ca="1">OFFSET(L142,-1,1)</f>
        <v>ТЭ.42.27968109.0001</v>
      </c>
      <c r="N142" s="1072"/>
      <c r="O142" s="1072"/>
      <c r="P142" s="1072"/>
      <c r="Q142" s="1072"/>
      <c r="R142" s="1072"/>
      <c r="S142" s="1072"/>
      <c r="T142" s="679" t="b" cm="1">
        <f t="array" ref="T142">T139</f>
        <v>1</v>
      </c>
      <c r="U142" s="1152"/>
      <c r="V142" s="1152"/>
      <c r="W142" s="1152"/>
      <c r="X142" s="1485"/>
      <c r="Y142" s="1152"/>
      <c r="Z142" s="1485"/>
      <c r="AA142" s="177"/>
      <c r="AB142" s="260" t="s">
        <v>713</v>
      </c>
      <c r="AC142" s="256" t="s">
        <v>1745</v>
      </c>
      <c r="AD142" s="261" t="s">
        <v>622</v>
      </c>
      <c r="AE142" s="253">
        <f ca="1">IF($K94="передача тепловой энергии",SUMIFS('Баланс Тр'!AE$27:AE$43,'Баланс Тр'!$F$27:$F$43,$F142,'Баланс Тр'!$AB$27:$AB$43,"3"),SUMIFS('Баланс Пр'!AE$27:AE$165,'Баланс Пр'!$F$27:$F$165,$F142,'Баланс Пр'!$AB$27:$AB$165,"9.1"))</f>
        <v>67402</v>
      </c>
      <c r="AF142" s="508"/>
      <c r="AG142" s="508"/>
      <c r="AH142" s="313"/>
      <c r="AI142" s="253">
        <f ca="1">IF($K94="передача тепловой энергии",SUMIFS('Баланс Тр'!AH$27:AH$43,'Баланс Тр'!$F$27:$F$43,$F142,'Баланс Тр'!$AB$27:$AB$43,"3"),SUMIFS('Баланс Пр'!AH$27:AH$165,'Баланс Пр'!$F$27:$F$165,$F142,'Баланс Пр'!$AB$27:$AB$165,"9.1"))</f>
        <v>68975</v>
      </c>
      <c r="AJ142" s="253">
        <f ca="1">IF($K94="передача тепловой энергии",SUMIFS('Баланс Тр'!AI$27:AI$43,'Баланс Тр'!$F$27:$F$43,$F142,'Баланс Тр'!$AB$27:$AB$43,"3"),SUMIFS('Баланс Пр'!AI$27:AI$165,'Баланс Пр'!$F$27:$F$165,$F142,'Баланс Пр'!$AB$27:$AB$165,"9.1"))</f>
        <v>65109.039999999994</v>
      </c>
      <c r="AK142" s="253">
        <f ca="1">IF($K94="передача тепловой энергии",SUMIFS('Баланс Тр'!AS$27:AS$43,'Баланс Тр'!$F$27:$F$43,$F142,'Баланс Тр'!$AB$27:$AB$43,"3"),SUMIFS('Баланс Пр'!AS$27:AS$165,'Баланс Пр'!$F$27:$F$165,$F142,'Баланс Пр'!$AB$27:$AB$165,"9.1"))</f>
        <v>65109</v>
      </c>
      <c r="AL142" s="253">
        <f t="shared" ca="1" si="7"/>
        <v>-5.6049293222181955</v>
      </c>
      <c r="AM142" s="1231"/>
      <c r="AN142" s="1231"/>
      <c r="AO142" s="1231"/>
      <c r="AP142" s="177"/>
      <c r="AQ142" s="177"/>
      <c r="AR142" s="1019" t="s">
        <v>1746</v>
      </c>
      <c r="AS142" s="1054"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M10502::ТЭ.42.27968109.0001::Неопределено::Неопределено::Неопределено::Неопределено::Неопределено::Неопределено::Неопределено</v>
      </c>
    </row>
    <row r="143" spans="1:45" s="1336" customFormat="1" ht="16.5" customHeight="1" x14ac:dyDescent="0.15">
      <c r="A143" s="182"/>
      <c r="B143" s="182"/>
      <c r="C143" s="1084" t="s">
        <v>1747</v>
      </c>
      <c r="D143" s="1043" t="s">
        <v>1748</v>
      </c>
      <c r="E143" s="668">
        <v>17.100000000000001</v>
      </c>
      <c r="F143" s="769" t="str" cm="1">
        <f t="array" aca="1" ref="F143" ca="1">OFFSET(G143,-1,-1)</f>
        <v>1</v>
      </c>
      <c r="G143" s="140" t="s">
        <v>1749</v>
      </c>
      <c r="H143" s="182"/>
      <c r="I143" s="182"/>
      <c r="J143" s="182"/>
      <c r="K143" s="182"/>
      <c r="L143" s="1080"/>
      <c r="M143" s="1070" t="str" cm="1">
        <f t="array" aca="1" ref="M143" ca="1">OFFSET(L143,-1,1)</f>
        <v>ТЭ.42.27968109.0001</v>
      </c>
      <c r="N143" s="1080"/>
      <c r="O143" s="1080"/>
      <c r="P143" s="1080"/>
      <c r="Q143" s="1072"/>
      <c r="R143" s="1072"/>
      <c r="S143" s="1072" t="s">
        <v>1750</v>
      </c>
      <c r="T143" s="679" t="b" cm="1">
        <f t="array" ref="T143">T142</f>
        <v>1</v>
      </c>
      <c r="U143" s="182"/>
      <c r="V143" s="182"/>
      <c r="W143" s="182"/>
      <c r="X143" s="1586"/>
      <c r="Y143" s="182"/>
      <c r="Z143" s="1586"/>
      <c r="AA143" s="182"/>
      <c r="AB143" s="545" t="str">
        <f>AB142&amp;".1"</f>
        <v>10.1</v>
      </c>
      <c r="AC143" s="233" t="s">
        <v>1751</v>
      </c>
      <c r="AD143" s="255" t="s">
        <v>622</v>
      </c>
      <c r="AE143" s="1316"/>
      <c r="AF143" s="508"/>
      <c r="AG143" s="508"/>
      <c r="AH143" s="313"/>
      <c r="AI143" s="1316"/>
      <c r="AJ143" s="509"/>
      <c r="AK143" s="509"/>
      <c r="AL143" s="253">
        <f t="shared" si="7"/>
        <v>0</v>
      </c>
      <c r="AM143" s="1231"/>
      <c r="AN143" s="1231"/>
      <c r="AO143" s="1231"/>
      <c r="AP143" s="182"/>
      <c r="AQ143" s="182"/>
      <c r="AR143" s="1019" t="s">
        <v>1752</v>
      </c>
      <c r="AS143" s="1054"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M10670::ТЭ.42.27968109.0001::Неопределено::Неопределено::Неопределено::Неопределено::Неопределено::Неопределено::8.0.3.</v>
      </c>
    </row>
    <row r="144" spans="1:45" s="1337" customFormat="1" ht="16.5" customHeight="1" x14ac:dyDescent="0.15">
      <c r="A144" s="182"/>
      <c r="B144" s="182"/>
      <c r="C144" s="1084" t="s">
        <v>1753</v>
      </c>
      <c r="D144" s="1043" t="s">
        <v>1754</v>
      </c>
      <c r="E144" s="668">
        <v>17.100000000000001</v>
      </c>
      <c r="F144" s="769" t="str" cm="1">
        <f t="array" aca="1" ref="F144" ca="1">OFFSET(G144,-1,-1)</f>
        <v>1</v>
      </c>
      <c r="G144" s="612" t="s">
        <v>1755</v>
      </c>
      <c r="H144" s="182"/>
      <c r="I144" s="182"/>
      <c r="J144" s="182"/>
      <c r="K144" s="182"/>
      <c r="L144" s="1080"/>
      <c r="M144" s="1070" t="str" cm="1">
        <f t="array" aca="1" ref="M144" ca="1">OFFSET(L144,-1,1)</f>
        <v>ТЭ.42.27968109.0001</v>
      </c>
      <c r="N144" s="1080"/>
      <c r="O144" s="1080"/>
      <c r="P144" s="1080"/>
      <c r="Q144" s="1072"/>
      <c r="R144" s="1072"/>
      <c r="S144" s="1072" t="s">
        <v>1750</v>
      </c>
      <c r="T144" s="679" t="b" cm="1">
        <f t="array" ref="T144">T143</f>
        <v>1</v>
      </c>
      <c r="U144" s="182"/>
      <c r="V144" s="182"/>
      <c r="W144" s="182"/>
      <c r="X144" s="1586"/>
      <c r="Y144" s="182"/>
      <c r="Z144" s="1586"/>
      <c r="AA144" s="182"/>
      <c r="AB144" s="545" t="str">
        <f>AB142&amp;".2"</f>
        <v>10.2</v>
      </c>
      <c r="AC144" s="233" t="s">
        <v>1756</v>
      </c>
      <c r="AD144" s="255" t="s">
        <v>920</v>
      </c>
      <c r="AE144" s="1316"/>
      <c r="AF144" s="508"/>
      <c r="AG144" s="508"/>
      <c r="AH144" s="313"/>
      <c r="AI144" s="1316"/>
      <c r="AJ144" s="509"/>
      <c r="AK144" s="509"/>
      <c r="AL144" s="253">
        <f t="shared" si="7"/>
        <v>0</v>
      </c>
      <c r="AM144" s="1231"/>
      <c r="AN144" s="1231"/>
      <c r="AO144" s="1231"/>
      <c r="AP144" s="182"/>
      <c r="AQ144" s="182"/>
      <c r="AR144" s="1019" t="s">
        <v>1757</v>
      </c>
      <c r="AS144" s="1054"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M10546::ТЭ.42.27968109.0001::Неопределено::Неопределено::Неопределено::Неопределено::Неопределено::Неопределено::8.0.3.</v>
      </c>
    </row>
    <row r="145" spans="1:45" s="1167" customFormat="1" ht="16.5" customHeight="1" x14ac:dyDescent="0.15">
      <c r="A145" s="973"/>
      <c r="B145" s="773"/>
      <c r="C145" s="1084" t="s">
        <v>1747</v>
      </c>
      <c r="D145" s="1043" t="s">
        <v>1748</v>
      </c>
      <c r="E145" s="668">
        <v>17.100000000000001</v>
      </c>
      <c r="F145" s="769" t="str" cm="1">
        <f t="array" aca="1" ref="F145" ca="1">OFFSET(G145,-1,-1)</f>
        <v>1</v>
      </c>
      <c r="G145" s="140" t="s">
        <v>1758</v>
      </c>
      <c r="H145" s="177"/>
      <c r="I145" s="177"/>
      <c r="J145" s="177"/>
      <c r="K145" s="177"/>
      <c r="L145" s="1072"/>
      <c r="M145" s="1070" t="str" cm="1">
        <f t="array" aca="1" ref="M145" ca="1">OFFSET(L145,-1,1)</f>
        <v>ТЭ.42.27968109.0001</v>
      </c>
      <c r="N145" s="1072"/>
      <c r="O145" s="1072"/>
      <c r="P145" s="1072"/>
      <c r="Q145" s="1072"/>
      <c r="R145" s="1072"/>
      <c r="S145" s="1072" t="s">
        <v>1759</v>
      </c>
      <c r="T145" s="679" t="b" cm="1">
        <f t="array" ref="T145">T144</f>
        <v>1</v>
      </c>
      <c r="U145" s="1152"/>
      <c r="V145" s="1152"/>
      <c r="W145" s="1152"/>
      <c r="X145" s="1485"/>
      <c r="Y145" s="1152"/>
      <c r="Z145" s="1485"/>
      <c r="AA145" s="177"/>
      <c r="AB145" s="545" t="str">
        <f>AB142&amp;".3"</f>
        <v>10.3</v>
      </c>
      <c r="AC145" s="233" t="s">
        <v>1760</v>
      </c>
      <c r="AD145" s="255" t="s">
        <v>622</v>
      </c>
      <c r="AE145" s="850">
        <f ca="1">AE142-AE143</f>
        <v>67402</v>
      </c>
      <c r="AF145" s="508"/>
      <c r="AG145" s="508"/>
      <c r="AH145" s="313"/>
      <c r="AI145" s="850">
        <f ca="1">AI142-AI143</f>
        <v>68975</v>
      </c>
      <c r="AJ145" s="850">
        <f ca="1">AJ142-AJ143</f>
        <v>65109.039999999994</v>
      </c>
      <c r="AK145" s="850">
        <f ca="1">AK142-AK143</f>
        <v>65109</v>
      </c>
      <c r="AL145" s="253">
        <f t="shared" ca="1" si="7"/>
        <v>-5.6049293222181955</v>
      </c>
      <c r="AM145" s="1237"/>
      <c r="AN145" s="1237"/>
      <c r="AO145" s="1237"/>
      <c r="AP145" s="177"/>
      <c r="AQ145" s="177"/>
      <c r="AR145" s="1019" t="s">
        <v>1761</v>
      </c>
      <c r="AS145" s="1054"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M10670::ТЭ.42.27968109.0001::Неопределено::Неопределено::Неопределено::Неопределено::Неопределено::Неопределено::8.0.5.</v>
      </c>
    </row>
    <row r="146" spans="1:45" s="1167" customFormat="1" ht="16.5" customHeight="1" x14ac:dyDescent="0.15">
      <c r="A146" s="973"/>
      <c r="B146" s="773"/>
      <c r="C146" s="1084" t="s">
        <v>1753</v>
      </c>
      <c r="D146" s="1043" t="s">
        <v>1754</v>
      </c>
      <c r="E146" s="668">
        <v>17.100000000000001</v>
      </c>
      <c r="F146" s="769" t="str" cm="1">
        <f t="array" aca="1" ref="F146" ca="1">OFFSET(G146,-1,-1)</f>
        <v>1</v>
      </c>
      <c r="G146" s="612" t="s">
        <v>1762</v>
      </c>
      <c r="H146" s="177"/>
      <c r="I146" s="177"/>
      <c r="J146" s="177"/>
      <c r="K146" s="177"/>
      <c r="L146" s="1072"/>
      <c r="M146" s="1070" t="str" cm="1">
        <f t="array" aca="1" ref="M146" ca="1">OFFSET(L146,-1,1)</f>
        <v>ТЭ.42.27968109.0001</v>
      </c>
      <c r="N146" s="1072"/>
      <c r="O146" s="1072"/>
      <c r="P146" s="1072"/>
      <c r="Q146" s="1072"/>
      <c r="R146" s="1072"/>
      <c r="S146" s="1072" t="s">
        <v>1759</v>
      </c>
      <c r="T146" s="679" t="b" cm="1">
        <f t="array" ref="T146">T145</f>
        <v>1</v>
      </c>
      <c r="U146" s="1152"/>
      <c r="V146" s="1152"/>
      <c r="W146" s="1152"/>
      <c r="X146" s="1485"/>
      <c r="Y146" s="1152"/>
      <c r="Z146" s="1485"/>
      <c r="AA146" s="177"/>
      <c r="AB146" s="545" t="str">
        <f>AB142&amp;".4"</f>
        <v>10.4</v>
      </c>
      <c r="AC146" s="233" t="s">
        <v>1763</v>
      </c>
      <c r="AD146" s="255" t="s">
        <v>920</v>
      </c>
      <c r="AE146" s="1316">
        <f ca="1">IFERROR((AE139*1000-AE143*AE144)/AE145,0)</f>
        <v>1221.8902838233287</v>
      </c>
      <c r="AF146" s="508"/>
      <c r="AG146" s="508"/>
      <c r="AH146" s="313"/>
      <c r="AI146" s="1316">
        <f ca="1">IFERROR((AI139*1000-AI143*AI144)/AI145,0)</f>
        <v>1262.2439170556952</v>
      </c>
      <c r="AJ146" s="509">
        <f ca="1">IFERROR((AJ139*1000-AJ143*AJ144)/AJ145,0)</f>
        <v>1739.1341128706867</v>
      </c>
      <c r="AK146" s="509">
        <f ca="1">IFERROR((AK139*1000-AK143*AK144)/AK145,0)</f>
        <v>1560.4858765091849</v>
      </c>
      <c r="AL146" s="253">
        <f t="shared" ca="1" si="7"/>
        <v>23.627918140351799</v>
      </c>
      <c r="AM146" s="1238"/>
      <c r="AN146" s="1238"/>
      <c r="AO146" s="1238"/>
      <c r="AP146" s="177"/>
      <c r="AQ146" s="177"/>
      <c r="AR146" s="1019" t="s">
        <v>1764</v>
      </c>
      <c r="AS146" s="1054"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M10546::ТЭ.42.27968109.0001::Неопределено::Неопределено::Неопределено::Неопределено::Неопределено::Неопределено::8.0.5.</v>
      </c>
    </row>
    <row r="147" spans="1:45" s="1338" customFormat="1" ht="16.5" customHeight="1" x14ac:dyDescent="0.15">
      <c r="A147" s="535"/>
      <c r="B147" s="535"/>
      <c r="C147" s="1084" t="s">
        <v>1765</v>
      </c>
      <c r="D147" s="1043" t="s">
        <v>1766</v>
      </c>
      <c r="E147" s="668">
        <v>17.100000000000001</v>
      </c>
      <c r="F147" s="769" t="str" cm="1">
        <f t="array" aca="1" ref="F147" ca="1">OFFSET(G147,-1,-1)</f>
        <v>1</v>
      </c>
      <c r="G147" s="535"/>
      <c r="H147" s="535"/>
      <c r="I147" s="535"/>
      <c r="J147" s="535"/>
      <c r="K147" s="535"/>
      <c r="L147" s="1072"/>
      <c r="M147" s="1070" t="str" cm="1">
        <f t="array" aca="1" ref="M147" ca="1">OFFSET(L147,-1,1)</f>
        <v>ТЭ.42.27968109.0001</v>
      </c>
      <c r="N147" s="1072"/>
      <c r="O147" s="1072"/>
      <c r="P147" s="1072"/>
      <c r="Q147" s="1072"/>
      <c r="R147" s="1072"/>
      <c r="S147" s="1072"/>
      <c r="T147" s="679" t="b" cm="1">
        <f t="array" ref="T147">T146</f>
        <v>1</v>
      </c>
      <c r="U147" s="535"/>
      <c r="V147" s="535"/>
      <c r="W147" s="535"/>
      <c r="X147" s="1596"/>
      <c r="Y147" s="535"/>
      <c r="Z147" s="1596"/>
      <c r="AA147" s="535"/>
      <c r="AB147" s="545" t="str">
        <f>AB142&amp;".5"</f>
        <v>10.5</v>
      </c>
      <c r="AC147" s="258" t="s">
        <v>1767</v>
      </c>
      <c r="AD147" s="255" t="s">
        <v>521</v>
      </c>
      <c r="AE147" s="547">
        <f ca="1">IFERROR(AE146/AE144,0)</f>
        <v>0</v>
      </c>
      <c r="AF147" s="508"/>
      <c r="AG147" s="508"/>
      <c r="AH147" s="313"/>
      <c r="AI147" s="547">
        <f ca="1">IFERROR(AI146/AI144,0)</f>
        <v>0</v>
      </c>
      <c r="AJ147" s="547">
        <f ca="1">IFERROR(AJ146/AJ144,0)</f>
        <v>0</v>
      </c>
      <c r="AK147" s="547">
        <f ca="1">IFERROR(AK146/AK144,0)</f>
        <v>0</v>
      </c>
      <c r="AL147" s="253">
        <f t="shared" ca="1" si="7"/>
        <v>0</v>
      </c>
      <c r="AM147" s="711"/>
      <c r="AN147" s="711"/>
      <c r="AO147" s="711"/>
      <c r="AP147" s="535"/>
      <c r="AQ147" s="535"/>
      <c r="AR147" s="1019" t="s">
        <v>1768</v>
      </c>
      <c r="AS147" s="1054"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M11244::ТЭ.42.27968109.0001::Неопределено::Неопределено::Неопределено::Неопределено::Неопределено::Неопределено::Неопределено</v>
      </c>
    </row>
    <row r="148" spans="1:45" s="1167" customFormat="1" ht="16.5" customHeight="1" x14ac:dyDescent="0.15">
      <c r="A148" s="973"/>
      <c r="B148" s="773"/>
      <c r="C148" s="1084" t="s">
        <v>1769</v>
      </c>
      <c r="D148" s="1043" t="s">
        <v>1770</v>
      </c>
      <c r="E148" s="668">
        <v>17.100000000000001</v>
      </c>
      <c r="F148" s="769" t="str" cm="1">
        <f t="array" aca="1" ref="F148" ca="1">OFFSET(G148,-1,-1)</f>
        <v>1</v>
      </c>
      <c r="G148" s="177"/>
      <c r="H148" s="177"/>
      <c r="I148" s="177"/>
      <c r="J148" s="177"/>
      <c r="K148" s="177"/>
      <c r="L148" s="1072"/>
      <c r="M148" s="1070" t="str" cm="1">
        <f t="array" aca="1" ref="M148" ca="1">OFFSET(L148,-1,1)</f>
        <v>ТЭ.42.27968109.0001</v>
      </c>
      <c r="N148" s="1072"/>
      <c r="O148" s="1072"/>
      <c r="P148" s="1072"/>
      <c r="Q148" s="1072"/>
      <c r="R148" s="1072"/>
      <c r="S148" s="1072"/>
      <c r="T148" s="679" t="b" cm="1">
        <f t="array" ref="T148">T147</f>
        <v>1</v>
      </c>
      <c r="U148" s="1152"/>
      <c r="V148" s="1152"/>
      <c r="W148" s="1152"/>
      <c r="X148" s="1485"/>
      <c r="Y148" s="1152"/>
      <c r="Z148" s="1485"/>
      <c r="AA148" s="177"/>
      <c r="AB148" s="545" t="str">
        <f>AB142&amp;".6"</f>
        <v>10.6</v>
      </c>
      <c r="AC148" s="258" t="s">
        <v>1771</v>
      </c>
      <c r="AD148" s="255" t="s">
        <v>920</v>
      </c>
      <c r="AE148" s="850">
        <f ca="1">IFERROR(AE139/AE142*1000,0)</f>
        <v>1221.8902838233284</v>
      </c>
      <c r="AF148" s="508"/>
      <c r="AG148" s="508"/>
      <c r="AH148" s="313"/>
      <c r="AI148" s="850">
        <f ca="1">IFERROR(AI139/AI142*1000,0)</f>
        <v>1262.2439170556952</v>
      </c>
      <c r="AJ148" s="850">
        <f ca="1">IFERROR(AJ139/AJ142*1000,0)</f>
        <v>1739.1341128706867</v>
      </c>
      <c r="AK148" s="850">
        <f ca="1">IFERROR(AK139/AK142*1000,0)</f>
        <v>1560.4858765091849</v>
      </c>
      <c r="AL148" s="253">
        <f t="shared" ca="1" si="7"/>
        <v>23.627918140351799</v>
      </c>
      <c r="AM148" s="1238"/>
      <c r="AN148" s="1238"/>
      <c r="AO148" s="1238"/>
      <c r="AP148" s="177"/>
      <c r="AQ148" s="177"/>
      <c r="AR148" s="1019" t="s">
        <v>1772</v>
      </c>
      <c r="AS148" s="1054"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M10552::ТЭ.42.27968109.0001::Неопределено::Неопределено::Неопределено::Неопределено::Неопределено::Неопределено::Неопределено</v>
      </c>
    </row>
    <row r="149" spans="1:45" s="1339" customFormat="1" ht="16.5" hidden="1" customHeight="1" x14ac:dyDescent="0.15">
      <c r="A149" s="535"/>
      <c r="B149" s="535"/>
      <c r="C149" s="1084" t="s">
        <v>1773</v>
      </c>
      <c r="D149" s="1043" t="s">
        <v>1774</v>
      </c>
      <c r="E149" s="668">
        <v>17.100000000000001</v>
      </c>
      <c r="F149" s="769" t="str" cm="1">
        <f t="array" aca="1" ref="F149" ca="1">OFFSET(G149,-1,-1)</f>
        <v>1</v>
      </c>
      <c r="G149" s="535"/>
      <c r="H149" s="140" t="str" cm="1">
        <f t="array" ref="H149">G94</f>
        <v>одноставочный</v>
      </c>
      <c r="I149" s="535"/>
      <c r="J149" s="535"/>
      <c r="K149" s="535"/>
      <c r="L149" s="1072"/>
      <c r="M149" s="1070" t="str" cm="1">
        <f t="array" aca="1" ref="M149" ca="1">OFFSET(L149,-1,1)</f>
        <v>ТЭ.42.27968109.0001</v>
      </c>
      <c r="N149" s="1072"/>
      <c r="O149" s="1072"/>
      <c r="P149" s="1072"/>
      <c r="Q149" s="1072"/>
      <c r="R149" s="1072"/>
      <c r="S149" s="1072"/>
      <c r="T149" s="679" t="b">
        <f t="shared" ref="T149:T159" ca="1" si="8">AND(F149&gt;0,H149="двухставочный")</f>
        <v>0</v>
      </c>
      <c r="U149" s="535"/>
      <c r="V149" s="535"/>
      <c r="W149" s="535"/>
      <c r="X149" s="1596"/>
      <c r="Y149" s="535"/>
      <c r="Z149" s="1596"/>
      <c r="AA149" s="535"/>
      <c r="AB149" s="260" t="s">
        <v>721</v>
      </c>
      <c r="AC149" s="743" t="s">
        <v>1776</v>
      </c>
      <c r="AD149" s="549" t="s">
        <v>715</v>
      </c>
      <c r="AE149" s="50">
        <f ca="1">SUMIFS('Баланс Пр'!AE$27:AE$165,'Баланс Пр'!$F$27:$F$165,$F149,'Баланс Пр'!$AB$27:$AB$165,"10")</f>
        <v>0</v>
      </c>
      <c r="AF149" s="508"/>
      <c r="AG149" s="508"/>
      <c r="AH149" s="313"/>
      <c r="AI149" s="50">
        <f ca="1">SUMIFS('Баланс Пр'!AH$27:AH$165,'Баланс Пр'!$F$27:$F$165,$F149,'Баланс Пр'!$AB$27:$AB$165,"10")</f>
        <v>0</v>
      </c>
      <c r="AJ149" s="254">
        <f ca="1">SUMIFS('Баланс Пр'!AI$27:AI$165,'Баланс Пр'!$F$27:$F$165,$F149,'Баланс Пр'!$AB$27:$AB$165,"10")</f>
        <v>0</v>
      </c>
      <c r="AK149" s="254">
        <f ca="1">SUMIFS('Баланс Пр'!AS$27:AS$165,'Баланс Пр'!$F$27:$F$165,$F149,'Баланс Пр'!$AB$27:$AB$165,"10")</f>
        <v>0</v>
      </c>
      <c r="AL149" s="253">
        <f t="shared" ca="1" si="7"/>
        <v>0</v>
      </c>
      <c r="AM149" s="902"/>
      <c r="AN149" s="902"/>
      <c r="AO149" s="899"/>
      <c r="AP149" s="535"/>
      <c r="AQ149" s="535"/>
      <c r="AR149" s="1019" t="s">
        <v>716</v>
      </c>
      <c r="AS149" s="1054"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M10476::ТЭ.42.27968109.0001::Неопределено::Неопределено::Неопределено::Неопределено::Неопределено::Неопределено::Неопределено</v>
      </c>
    </row>
    <row r="150" spans="1:45" s="1167" customFormat="1" ht="16.5" hidden="1" customHeight="1" x14ac:dyDescent="0.15">
      <c r="A150" s="973"/>
      <c r="B150" s="773"/>
      <c r="C150" s="1084" t="s">
        <v>1773</v>
      </c>
      <c r="D150" s="1043" t="s">
        <v>1774</v>
      </c>
      <c r="E150" s="668">
        <v>17.100000000000001</v>
      </c>
      <c r="F150" s="769" t="str" cm="1">
        <f t="array" aca="1" ref="F150" ca="1">OFFSET(G150,-1,-1)</f>
        <v>1</v>
      </c>
      <c r="G150" s="177"/>
      <c r="H150" s="140" t="str" cm="1">
        <f t="array" ref="H150">G94</f>
        <v>одноставочный</v>
      </c>
      <c r="I150" s="177"/>
      <c r="J150" s="177"/>
      <c r="K150" s="177"/>
      <c r="L150" s="1072"/>
      <c r="M150" s="1070" t="str" cm="1">
        <f t="array" aca="1" ref="M150" ca="1">OFFSET(L150,-1,1)</f>
        <v>ТЭ.42.27968109.0001</v>
      </c>
      <c r="N150" s="1072"/>
      <c r="O150" s="1072"/>
      <c r="P150" s="1072"/>
      <c r="Q150" s="1072"/>
      <c r="R150" s="1072"/>
      <c r="S150" s="1072" t="s">
        <v>1750</v>
      </c>
      <c r="T150" s="679" t="b">
        <f t="shared" ca="1" si="8"/>
        <v>0</v>
      </c>
      <c r="U150" s="1152"/>
      <c r="V150" s="1152"/>
      <c r="W150" s="1152"/>
      <c r="X150" s="1485"/>
      <c r="Y150" s="1152"/>
      <c r="Z150" s="1485"/>
      <c r="AA150" s="177"/>
      <c r="AB150" s="545" t="str">
        <f>AB149&amp;".1"</f>
        <v>11.1</v>
      </c>
      <c r="AC150" s="600" t="s">
        <v>1778</v>
      </c>
      <c r="AD150" s="515" t="s">
        <v>715</v>
      </c>
      <c r="AE150" s="81" cm="1">
        <f t="array" aca="1" ref="AE150" ca="1">AE149</f>
        <v>0</v>
      </c>
      <c r="AF150" s="508"/>
      <c r="AG150" s="508"/>
      <c r="AH150" s="313"/>
      <c r="AI150" s="81" cm="1">
        <f t="array" aca="1" ref="AI150" ca="1">AI149</f>
        <v>0</v>
      </c>
      <c r="AJ150" s="530" cm="1">
        <f t="array" aca="1" ref="AJ150" ca="1">AJ149</f>
        <v>0</v>
      </c>
      <c r="AK150" s="530" cm="1">
        <f t="array" aca="1" ref="AK150" ca="1">AK149</f>
        <v>0</v>
      </c>
      <c r="AL150" s="253">
        <f t="shared" ca="1" si="7"/>
        <v>0</v>
      </c>
      <c r="AM150" s="32"/>
      <c r="AN150" s="32"/>
      <c r="AO150" s="32"/>
      <c r="AP150" s="177"/>
      <c r="AQ150" s="177"/>
      <c r="AR150" s="1019" t="s">
        <v>1779</v>
      </c>
      <c r="AS150" s="1054"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M10476::ТЭ.42.27968109.0001::Неопределено::Неопределено::Неопределено::Неопределено::Неопределено::Неопределено::8.0.3.</v>
      </c>
    </row>
    <row r="151" spans="1:45" s="1167" customFormat="1" ht="16.5" hidden="1" customHeight="1" x14ac:dyDescent="0.15">
      <c r="A151" s="973"/>
      <c r="B151" s="773"/>
      <c r="C151" s="1084" t="s">
        <v>1773</v>
      </c>
      <c r="D151" s="1043" t="s">
        <v>1774</v>
      </c>
      <c r="E151" s="668">
        <v>17.100000000000001</v>
      </c>
      <c r="F151" s="769" t="str" cm="1">
        <f t="array" aca="1" ref="F151" ca="1">OFFSET(G151,-1,-1)</f>
        <v>1</v>
      </c>
      <c r="G151" s="177"/>
      <c r="H151" s="140" t="str" cm="1">
        <f t="array" ref="H151">G94</f>
        <v>одноставочный</v>
      </c>
      <c r="I151" s="177"/>
      <c r="J151" s="177"/>
      <c r="K151" s="177"/>
      <c r="L151" s="1072"/>
      <c r="M151" s="1070" t="str" cm="1">
        <f t="array" aca="1" ref="M151" ca="1">OFFSET(L151,-1,1)</f>
        <v>ТЭ.42.27968109.0001</v>
      </c>
      <c r="N151" s="1072"/>
      <c r="O151" s="1072"/>
      <c r="P151" s="1072"/>
      <c r="Q151" s="1072"/>
      <c r="R151" s="1072"/>
      <c r="S151" s="1072" t="s">
        <v>1759</v>
      </c>
      <c r="T151" s="679" t="b">
        <f t="shared" ca="1" si="8"/>
        <v>0</v>
      </c>
      <c r="U151" s="1152"/>
      <c r="V151" s="1152"/>
      <c r="W151" s="1152"/>
      <c r="X151" s="1485"/>
      <c r="Y151" s="1152"/>
      <c r="Z151" s="1485"/>
      <c r="AA151" s="177"/>
      <c r="AB151" s="545" t="str">
        <f>AB149&amp;".2"</f>
        <v>11.2</v>
      </c>
      <c r="AC151" s="600" t="s">
        <v>1781</v>
      </c>
      <c r="AD151" s="515" t="s">
        <v>715</v>
      </c>
      <c r="AE151" s="81" cm="1">
        <f t="array" aca="1" ref="AE151" ca="1">AE149</f>
        <v>0</v>
      </c>
      <c r="AF151" s="508"/>
      <c r="AG151" s="508"/>
      <c r="AH151" s="313"/>
      <c r="AI151" s="81" cm="1">
        <f t="array" aca="1" ref="AI151" ca="1">AI149</f>
        <v>0</v>
      </c>
      <c r="AJ151" s="530" cm="1">
        <f t="array" aca="1" ref="AJ151" ca="1">AJ149</f>
        <v>0</v>
      </c>
      <c r="AK151" s="530" cm="1">
        <f t="array" aca="1" ref="AK151" ca="1">AK149</f>
        <v>0</v>
      </c>
      <c r="AL151" s="253">
        <f t="shared" ca="1" si="7"/>
        <v>0</v>
      </c>
      <c r="AM151" s="32"/>
      <c r="AN151" s="32"/>
      <c r="AO151" s="32"/>
      <c r="AP151" s="177"/>
      <c r="AQ151" s="177"/>
      <c r="AR151" s="1019" t="s">
        <v>1782</v>
      </c>
      <c r="AS151" s="1054"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M10476::ТЭ.42.27968109.0001::Неопределено::Неопределено::Неопределено::Неопределено::Неопределено::Неопределено::8.0.5.</v>
      </c>
    </row>
    <row r="152" spans="1:45" s="1167" customFormat="1" ht="16.5" hidden="1" customHeight="1" x14ac:dyDescent="0.15">
      <c r="A152" s="973"/>
      <c r="B152" s="773"/>
      <c r="C152" s="1084"/>
      <c r="D152" s="1043"/>
      <c r="E152" s="668">
        <v>17.100000000000001</v>
      </c>
      <c r="F152" s="769" t="str" cm="1">
        <f t="array" aca="1" ref="F152" ca="1">OFFSET(G152,-1,-1)</f>
        <v>1</v>
      </c>
      <c r="G152" s="177"/>
      <c r="H152" s="140" t="str" cm="1">
        <f t="array" ref="H152">G94</f>
        <v>одноставочный</v>
      </c>
      <c r="I152" s="177"/>
      <c r="J152" s="177"/>
      <c r="K152" s="177"/>
      <c r="L152" s="1072"/>
      <c r="M152" s="1070" t="str" cm="1">
        <f t="array" aca="1" ref="M152" ca="1">OFFSET(L152,-1,1)</f>
        <v>ТЭ.42.27968109.0001</v>
      </c>
      <c r="N152" s="1072"/>
      <c r="O152" s="1072"/>
      <c r="P152" s="1072"/>
      <c r="Q152" s="1072"/>
      <c r="R152" s="1072"/>
      <c r="S152" s="1072"/>
      <c r="T152" s="679" t="b">
        <f t="shared" ca="1" si="8"/>
        <v>0</v>
      </c>
      <c r="U152" s="1152"/>
      <c r="V152" s="1152"/>
      <c r="W152" s="1152"/>
      <c r="X152" s="1485"/>
      <c r="Y152" s="1152"/>
      <c r="Z152" s="1485"/>
      <c r="AA152" s="177"/>
      <c r="AB152" s="544" t="s">
        <v>1721</v>
      </c>
      <c r="AC152" s="111" t="s">
        <v>1784</v>
      </c>
      <c r="AD152" s="590"/>
      <c r="AE152" s="611"/>
      <c r="AF152" s="508"/>
      <c r="AG152" s="508"/>
      <c r="AH152" s="313"/>
      <c r="AI152" s="611"/>
      <c r="AJ152" s="611"/>
      <c r="AK152" s="611"/>
      <c r="AL152" s="313"/>
      <c r="AM152" s="25"/>
      <c r="AN152" s="25"/>
      <c r="AO152" s="25"/>
      <c r="AP152" s="177"/>
      <c r="AQ152" s="177"/>
      <c r="AR152" s="1019" t="s">
        <v>1785</v>
      </c>
      <c r="AS152" s="1122"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M11407::ТЭ.42.27968109.0001::Неопределено::Неопределено::Неопределено::Неопределено::Неопределено::Неопределено::Неопределено</v>
      </c>
    </row>
    <row r="153" spans="1:45" s="1167" customFormat="1" ht="16.5" hidden="1" customHeight="1" x14ac:dyDescent="0.15">
      <c r="A153" s="973"/>
      <c r="B153" s="773"/>
      <c r="C153" s="1084" t="s">
        <v>1786</v>
      </c>
      <c r="D153" s="1043" t="s">
        <v>1787</v>
      </c>
      <c r="E153" s="668">
        <v>17.100000000000001</v>
      </c>
      <c r="F153" s="769" t="str" cm="1">
        <f t="array" aca="1" ref="F153" ca="1">OFFSET(G153,-1,-1)</f>
        <v>1</v>
      </c>
      <c r="G153" s="612" t="s">
        <v>1788</v>
      </c>
      <c r="H153" s="140" t="str" cm="1">
        <f t="array" ref="H153">G94</f>
        <v>одноставочный</v>
      </c>
      <c r="I153" s="177"/>
      <c r="J153" s="177"/>
      <c r="K153" s="177"/>
      <c r="L153" s="1072"/>
      <c r="M153" s="1070" t="str" cm="1">
        <f t="array" aca="1" ref="M153" ca="1">OFFSET(L153,-1,1)</f>
        <v>ТЭ.42.27968109.0001</v>
      </c>
      <c r="N153" s="1072"/>
      <c r="O153" s="1072"/>
      <c r="P153" s="1072"/>
      <c r="Q153" s="1072"/>
      <c r="R153" s="1072"/>
      <c r="S153" s="1072" t="s">
        <v>1750</v>
      </c>
      <c r="T153" s="679" t="b">
        <f t="shared" ca="1" si="8"/>
        <v>0</v>
      </c>
      <c r="U153" s="1152"/>
      <c r="V153" s="1152"/>
      <c r="W153" s="1152"/>
      <c r="X153" s="1485"/>
      <c r="Y153" s="1152"/>
      <c r="Z153" s="1485"/>
      <c r="AA153" s="177"/>
      <c r="AB153" s="545" t="str">
        <f>AB152&amp;".1"</f>
        <v>12.1</v>
      </c>
      <c r="AC153" s="1129" t="s">
        <v>1789</v>
      </c>
      <c r="AD153" s="435" t="s">
        <v>920</v>
      </c>
      <c r="AE153" s="81"/>
      <c r="AF153" s="508"/>
      <c r="AG153" s="508"/>
      <c r="AH153" s="313"/>
      <c r="AI153" s="81"/>
      <c r="AJ153" s="530"/>
      <c r="AK153" s="530"/>
      <c r="AL153" s="253">
        <f>IF(AI153=0,0,(AK153-AI153)/AI153*100)</f>
        <v>0</v>
      </c>
      <c r="AM153" s="25"/>
      <c r="AN153" s="25"/>
      <c r="AO153" s="25"/>
      <c r="AP153" s="177"/>
      <c r="AQ153" s="177"/>
      <c r="AR153" s="1019" t="s">
        <v>1790</v>
      </c>
      <c r="AS153" s="1054"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M11407::ТЭ.42.27968109.0001::Неопределено::Неопределено::Неопределено::Неопределено::Неопределено::Неопределено::8.0.3.</v>
      </c>
    </row>
    <row r="154" spans="1:45" s="1167" customFormat="1" ht="16.5" hidden="1" customHeight="1" x14ac:dyDescent="0.15">
      <c r="A154" s="973"/>
      <c r="B154" s="773"/>
      <c r="C154" s="1084" t="s">
        <v>1786</v>
      </c>
      <c r="D154" s="1043" t="s">
        <v>1787</v>
      </c>
      <c r="E154" s="668">
        <v>17.100000000000001</v>
      </c>
      <c r="F154" s="769" t="str" cm="1">
        <f t="array" aca="1" ref="F154" ca="1">OFFSET(G154,-1,-1)</f>
        <v>1</v>
      </c>
      <c r="G154" s="612" t="s">
        <v>1791</v>
      </c>
      <c r="H154" s="140" t="str" cm="1">
        <f t="array" ref="H154">G94</f>
        <v>одноставочный</v>
      </c>
      <c r="I154" s="177"/>
      <c r="J154" s="177"/>
      <c r="K154" s="177"/>
      <c r="L154" s="1072"/>
      <c r="M154" s="1070" t="str" cm="1">
        <f t="array" aca="1" ref="M154" ca="1">OFFSET(L154,-1,1)</f>
        <v>ТЭ.42.27968109.0001</v>
      </c>
      <c r="N154" s="1072"/>
      <c r="O154" s="1072"/>
      <c r="P154" s="1072"/>
      <c r="Q154" s="1072"/>
      <c r="R154" s="1072"/>
      <c r="S154" s="1072" t="s">
        <v>1759</v>
      </c>
      <c r="T154" s="679" t="b">
        <f t="shared" ca="1" si="8"/>
        <v>0</v>
      </c>
      <c r="U154" s="1152"/>
      <c r="V154" s="1152"/>
      <c r="W154" s="1152"/>
      <c r="X154" s="1485"/>
      <c r="Y154" s="1152"/>
      <c r="Z154" s="1485"/>
      <c r="AA154" s="177"/>
      <c r="AB154" s="545" t="str">
        <f>AB152&amp;".2"</f>
        <v>12.2</v>
      </c>
      <c r="AC154" s="1129" t="s">
        <v>1792</v>
      </c>
      <c r="AD154" s="435" t="s">
        <v>920</v>
      </c>
      <c r="AE154" s="507">
        <f ca="1">IFERROR((AE140*1000-AE143*AE153)/AE145,0)</f>
        <v>0</v>
      </c>
      <c r="AF154" s="508"/>
      <c r="AG154" s="508"/>
      <c r="AH154" s="313"/>
      <c r="AI154" s="507">
        <f ca="1">IFERROR((AI140*1000-AI143*AI153)/AI145,0)</f>
        <v>0</v>
      </c>
      <c r="AJ154" s="507">
        <f ca="1">IFERROR((AJ140*1000-AJ143*AJ153)/AJ145,0)</f>
        <v>0</v>
      </c>
      <c r="AK154" s="507">
        <f ca="1">IFERROR((AK140*1000-AK143*AK153)/AK145,0)</f>
        <v>0</v>
      </c>
      <c r="AL154" s="253">
        <f ca="1">IF(AI154=0,0,(AK154-AI154)/AI154*100)</f>
        <v>0</v>
      </c>
      <c r="AM154" s="25"/>
      <c r="AN154" s="25"/>
      <c r="AO154" s="25"/>
      <c r="AP154" s="177"/>
      <c r="AQ154" s="177"/>
      <c r="AR154" s="1019" t="s">
        <v>1793</v>
      </c>
      <c r="AS154" s="1054"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M11407::ТЭ.42.27968109.0001::Неопределено::Неопределено::Неопределено::Неопределено::Неопределено::Неопределено::8.0.5.</v>
      </c>
    </row>
    <row r="155" spans="1:45" s="1167" customFormat="1" ht="16.5" hidden="1" customHeight="1" x14ac:dyDescent="0.15">
      <c r="A155" s="973"/>
      <c r="B155" s="773"/>
      <c r="C155" s="1084" t="s">
        <v>1794</v>
      </c>
      <c r="D155" s="1043" t="s">
        <v>1795</v>
      </c>
      <c r="E155" s="668">
        <v>17.100000000000001</v>
      </c>
      <c r="F155" s="769" t="str" cm="1">
        <f t="array" aca="1" ref="F155" ca="1">OFFSET(G155,-1,-1)</f>
        <v>1</v>
      </c>
      <c r="G155" s="177"/>
      <c r="H155" s="140" t="str" cm="1">
        <f t="array" ref="H155">G94</f>
        <v>одноставочный</v>
      </c>
      <c r="I155" s="177"/>
      <c r="J155" s="177"/>
      <c r="K155" s="177"/>
      <c r="L155" s="1072" t="s">
        <v>1947</v>
      </c>
      <c r="M155" s="1070" t="str" cm="1">
        <f t="array" aca="1" ref="M155" ca="1">OFFSET(L155,-1,1)</f>
        <v>ТЭ.42.27968109.0001</v>
      </c>
      <c r="N155" s="1072"/>
      <c r="O155" s="1072"/>
      <c r="P155" s="1072"/>
      <c r="Q155" s="1072"/>
      <c r="R155" s="1072"/>
      <c r="S155" s="1072"/>
      <c r="T155" s="679" t="b">
        <f t="shared" ca="1" si="8"/>
        <v>0</v>
      </c>
      <c r="U155" s="1152"/>
      <c r="V155" s="1152"/>
      <c r="W155" s="1152"/>
      <c r="X155" s="1485"/>
      <c r="Y155" s="1152"/>
      <c r="Z155" s="1485"/>
      <c r="AA155" s="177"/>
      <c r="AB155" s="545" t="str">
        <f>AB152&amp;".3"</f>
        <v>12.3</v>
      </c>
      <c r="AC155" s="258" t="s">
        <v>1797</v>
      </c>
      <c r="AD155" s="435" t="s">
        <v>521</v>
      </c>
      <c r="AE155" s="547">
        <f ca="1">IFERROR(AE154/AE153,0)</f>
        <v>0</v>
      </c>
      <c r="AF155" s="508"/>
      <c r="AG155" s="508"/>
      <c r="AH155" s="508"/>
      <c r="AI155" s="547">
        <f ca="1">IFERROR(AI154/AI153,0)</f>
        <v>0</v>
      </c>
      <c r="AJ155" s="547">
        <f ca="1">IFERROR(AJ154/AJ153,0)</f>
        <v>0</v>
      </c>
      <c r="AK155" s="547">
        <f ca="1">IFERROR(AK154/AK153,0)</f>
        <v>0</v>
      </c>
      <c r="AL155" s="313"/>
      <c r="AM155" s="25"/>
      <c r="AN155" s="25"/>
      <c r="AO155" s="25"/>
      <c r="AP155" s="177"/>
      <c r="AQ155" s="177"/>
      <c r="AR155" s="1019" t="s">
        <v>1798</v>
      </c>
      <c r="AS155" s="1054"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M10444::ТЭ.42.27968109.0001::1.0.84.::Неопределено::Неопределено::Неопределено::Неопределено::Неопределено::Неопределено</v>
      </c>
    </row>
    <row r="156" spans="1:45" s="1167" customFormat="1" ht="33.75" hidden="1" customHeight="1" x14ac:dyDescent="0.15">
      <c r="A156" s="973"/>
      <c r="B156" s="773"/>
      <c r="C156" s="1084"/>
      <c r="D156" s="1043"/>
      <c r="E156" s="668">
        <v>35</v>
      </c>
      <c r="F156" s="769" t="str" cm="1">
        <f t="array" aca="1" ref="F156" ca="1">OFFSET(G156,-1,-1)</f>
        <v>1</v>
      </c>
      <c r="G156" s="177"/>
      <c r="H156" s="140" t="str" cm="1">
        <f t="array" ref="H156">G94</f>
        <v>одноставочный</v>
      </c>
      <c r="I156" s="177"/>
      <c r="J156" s="177"/>
      <c r="K156" s="177"/>
      <c r="L156" s="1072"/>
      <c r="M156" s="1070" t="str" cm="1">
        <f t="array" aca="1" ref="M156" ca="1">OFFSET(L156,-1,1)</f>
        <v>ТЭ.42.27968109.0001</v>
      </c>
      <c r="N156" s="1072"/>
      <c r="O156" s="1072"/>
      <c r="P156" s="1072"/>
      <c r="Q156" s="1072"/>
      <c r="R156" s="1072"/>
      <c r="S156" s="1072"/>
      <c r="T156" s="679" t="b">
        <f t="shared" ca="1" si="8"/>
        <v>0</v>
      </c>
      <c r="U156" s="1152"/>
      <c r="V156" s="1152"/>
      <c r="W156" s="1152"/>
      <c r="X156" s="1485"/>
      <c r="Y156" s="1152"/>
      <c r="Z156" s="1485"/>
      <c r="AA156" s="177"/>
      <c r="AB156" s="230" t="s">
        <v>1726</v>
      </c>
      <c r="AC156" s="111" t="s">
        <v>1799</v>
      </c>
      <c r="AD156" s="514"/>
      <c r="AE156" s="611"/>
      <c r="AF156" s="508"/>
      <c r="AG156" s="508"/>
      <c r="AH156" s="508"/>
      <c r="AI156" s="611"/>
      <c r="AJ156" s="611"/>
      <c r="AK156" s="611"/>
      <c r="AL156" s="313"/>
      <c r="AM156" s="25"/>
      <c r="AN156" s="25"/>
      <c r="AO156" s="25"/>
      <c r="AP156" s="177"/>
      <c r="AQ156" s="177"/>
      <c r="AR156" s="1019" t="s">
        <v>1800</v>
      </c>
      <c r="AS156" s="1122"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M11397::ТЭ.42.27968109.0001::Неопределено::Неопределено::Неопределено::Неопределено::Неопределено::Неопределено::Неопределено</v>
      </c>
    </row>
    <row r="157" spans="1:45" s="1167" customFormat="1" ht="16.5" hidden="1" customHeight="1" x14ac:dyDescent="0.15">
      <c r="A157" s="973"/>
      <c r="B157" s="773"/>
      <c r="C157" s="1084" t="s">
        <v>1801</v>
      </c>
      <c r="D157" s="1043" t="s">
        <v>1802</v>
      </c>
      <c r="E157" s="668">
        <v>17.100000000000001</v>
      </c>
      <c r="F157" s="769" t="str" cm="1">
        <f t="array" aca="1" ref="F157" ca="1">OFFSET(G157,-1,-1)</f>
        <v>1</v>
      </c>
      <c r="G157" s="612" t="s">
        <v>1803</v>
      </c>
      <c r="H157" s="140" t="str" cm="1">
        <f t="array" ref="H157">G94</f>
        <v>одноставочный</v>
      </c>
      <c r="I157" s="177"/>
      <c r="J157" s="177"/>
      <c r="K157" s="177"/>
      <c r="L157" s="1072"/>
      <c r="M157" s="1070" t="str" cm="1">
        <f t="array" aca="1" ref="M157" ca="1">OFFSET(L157,-1,1)</f>
        <v>ТЭ.42.27968109.0001</v>
      </c>
      <c r="N157" s="1072"/>
      <c r="O157" s="1072"/>
      <c r="P157" s="1072"/>
      <c r="Q157" s="1072"/>
      <c r="R157" s="1072"/>
      <c r="S157" s="1072"/>
      <c r="T157" s="679" t="b">
        <f t="shared" ca="1" si="8"/>
        <v>0</v>
      </c>
      <c r="U157" s="1152"/>
      <c r="V157" s="1152"/>
      <c r="W157" s="1152"/>
      <c r="X157" s="1485"/>
      <c r="Y157" s="1152"/>
      <c r="Z157" s="1485"/>
      <c r="AA157" s="177"/>
      <c r="AB157" s="545" t="str">
        <f>AB156&amp;".1"</f>
        <v>13.1</v>
      </c>
      <c r="AC157" s="112" t="s">
        <v>1804</v>
      </c>
      <c r="AD157" s="435" t="s">
        <v>1805</v>
      </c>
      <c r="AE157" s="50"/>
      <c r="AF157" s="508"/>
      <c r="AG157" s="508"/>
      <c r="AH157" s="313"/>
      <c r="AI157" s="50"/>
      <c r="AJ157" s="254"/>
      <c r="AK157" s="254"/>
      <c r="AL157" s="253">
        <f>IF(AI157=0,0,(AK157-AI157)/AI157*100)</f>
        <v>0</v>
      </c>
      <c r="AM157" s="25"/>
      <c r="AN157" s="25"/>
      <c r="AO157" s="25"/>
      <c r="AP157" s="177"/>
      <c r="AQ157" s="177"/>
      <c r="AR157" s="1019" t="s">
        <v>1806</v>
      </c>
      <c r="AS157" s="1054"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M11397::ТЭ.42.27968109.0001::Неопределено::Неопределено::Неопределено::Неопределено::Неопределено::Неопределено::Неопределено</v>
      </c>
    </row>
    <row r="158" spans="1:45" s="1167" customFormat="1" ht="16.5" hidden="1" customHeight="1" x14ac:dyDescent="0.15">
      <c r="A158" s="973"/>
      <c r="B158" s="773"/>
      <c r="C158" s="1084" t="s">
        <v>1801</v>
      </c>
      <c r="D158" s="1043" t="s">
        <v>1802</v>
      </c>
      <c r="E158" s="668">
        <v>17.100000000000001</v>
      </c>
      <c r="F158" s="769" t="str" cm="1">
        <f t="array" aca="1" ref="F158" ca="1">OFFSET(G158,-1,-1)</f>
        <v>1</v>
      </c>
      <c r="G158" s="612" t="s">
        <v>1807</v>
      </c>
      <c r="H158" s="140" t="str" cm="1">
        <f t="array" ref="H158">G94</f>
        <v>одноставочный</v>
      </c>
      <c r="I158" s="177"/>
      <c r="J158" s="177"/>
      <c r="K158" s="177"/>
      <c r="L158" s="1072"/>
      <c r="M158" s="1070" t="str" cm="1">
        <f t="array" aca="1" ref="M158" ca="1">OFFSET(L158,-1,1)</f>
        <v>ТЭ.42.27968109.0001</v>
      </c>
      <c r="N158" s="1072"/>
      <c r="O158" s="1072"/>
      <c r="P158" s="1072"/>
      <c r="Q158" s="1072"/>
      <c r="R158" s="1072"/>
      <c r="S158" s="1072"/>
      <c r="T158" s="679" t="b">
        <f t="shared" ca="1" si="8"/>
        <v>0</v>
      </c>
      <c r="U158" s="1152"/>
      <c r="V158" s="1152"/>
      <c r="W158" s="1152"/>
      <c r="X158" s="1485"/>
      <c r="Y158" s="1152"/>
      <c r="Z158" s="1485"/>
      <c r="AA158" s="177"/>
      <c r="AB158" s="545" t="str">
        <f>AB156&amp;".2"</f>
        <v>13.2</v>
      </c>
      <c r="AC158" s="112" t="s">
        <v>1808</v>
      </c>
      <c r="AD158" s="435" t="s">
        <v>1805</v>
      </c>
      <c r="AE158" s="253">
        <f ca="1">IFERROR((AE141-AE150*6*AE157)/AE151/6,0)</f>
        <v>0</v>
      </c>
      <c r="AF158" s="508"/>
      <c r="AG158" s="508"/>
      <c r="AH158" s="313"/>
      <c r="AI158" s="253">
        <f ca="1">IFERROR((AI141-AI150*6*AI157)/AI151/6,0)</f>
        <v>0</v>
      </c>
      <c r="AJ158" s="253">
        <f ca="1">IFERROR((AJ141-AJ150*IF(god=2026,9,6)*AJ157)/AJ151/IF(god=2026,3,6),0)</f>
        <v>0</v>
      </c>
      <c r="AK158" s="253">
        <f ca="1">IFERROR((AK141-AK150*IF(god=2026,9,6)*AK157)/AK151/IF(god=2026,3,6),0)</f>
        <v>0</v>
      </c>
      <c r="AL158" s="253">
        <f ca="1">IF(AI158=0,0,(AK158-AI158)/AI158*100)</f>
        <v>0</v>
      </c>
      <c r="AM158" s="25"/>
      <c r="AN158" s="25"/>
      <c r="AO158" s="25"/>
      <c r="AP158" s="177"/>
      <c r="AQ158" s="177"/>
      <c r="AR158" s="1019" t="s">
        <v>1809</v>
      </c>
      <c r="AS158" s="1054"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M11397::ТЭ.42.27968109.0001::Неопределено::Неопределено::Неопределено::Неопределено::Неопределено::Неопределено::Неопределено</v>
      </c>
    </row>
    <row r="159" spans="1:45" s="1167" customFormat="1" ht="16.5" hidden="1" customHeight="1" x14ac:dyDescent="0.15">
      <c r="A159" s="973"/>
      <c r="B159" s="773"/>
      <c r="C159" s="1084" t="s">
        <v>1794</v>
      </c>
      <c r="D159" s="1043" t="s">
        <v>1795</v>
      </c>
      <c r="E159" s="668">
        <v>17.100000000000001</v>
      </c>
      <c r="F159" s="769" t="str" cm="1">
        <f t="array" aca="1" ref="F159" ca="1">OFFSET(G159,-1,-1)</f>
        <v>1</v>
      </c>
      <c r="G159" s="177"/>
      <c r="H159" s="140" t="str" cm="1">
        <f t="array" ref="H159">G94</f>
        <v>одноставочный</v>
      </c>
      <c r="I159" s="177"/>
      <c r="J159" s="177"/>
      <c r="K159" s="177"/>
      <c r="L159" s="1072"/>
      <c r="M159" s="1070" t="str" cm="1">
        <f t="array" aca="1" ref="M159" ca="1">OFFSET(L159,-1,1)</f>
        <v>ТЭ.42.27968109.0001</v>
      </c>
      <c r="N159" s="1072"/>
      <c r="O159" s="1072"/>
      <c r="P159" s="1072"/>
      <c r="Q159" s="1072"/>
      <c r="R159" s="1072" t="s">
        <v>1810</v>
      </c>
      <c r="S159" s="1072"/>
      <c r="T159" s="679" t="b">
        <f t="shared" ca="1" si="8"/>
        <v>0</v>
      </c>
      <c r="U159" s="1152"/>
      <c r="V159" s="1152"/>
      <c r="W159" s="1152"/>
      <c r="X159" s="1485"/>
      <c r="Y159" s="1152"/>
      <c r="Z159" s="1485"/>
      <c r="AA159" s="177"/>
      <c r="AB159" s="545" t="str">
        <f>AB156&amp;".3"</f>
        <v>13.3</v>
      </c>
      <c r="AC159" s="258" t="s">
        <v>1811</v>
      </c>
      <c r="AD159" s="435" t="s">
        <v>521</v>
      </c>
      <c r="AE159" s="547">
        <f ca="1">IFERROR(AE158/AE157,0)</f>
        <v>0</v>
      </c>
      <c r="AF159" s="851"/>
      <c r="AG159" s="508"/>
      <c r="AH159" s="508"/>
      <c r="AI159" s="547">
        <f ca="1">IFERROR(AI158/AI157,0)</f>
        <v>0</v>
      </c>
      <c r="AJ159" s="547">
        <f ca="1">IFERROR(AJ158/AJ157,0)</f>
        <v>0</v>
      </c>
      <c r="AK159" s="547">
        <f ca="1">IFERROR(AK158/AK157,0)</f>
        <v>0</v>
      </c>
      <c r="AL159" s="313"/>
      <c r="AM159" s="25"/>
      <c r="AN159" s="25"/>
      <c r="AO159" s="25"/>
      <c r="AP159" s="177"/>
      <c r="AQ159" s="177"/>
      <c r="AR159" s="1019" t="s">
        <v>1812</v>
      </c>
      <c r="AS159" s="1054"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M10444::ТЭ.42.27968109.0001::Неопределено::Неопределено::Неопределено::Неопределено::Неопределено::225.0.1.::Неопределено</v>
      </c>
    </row>
    <row r="160" spans="1:45" s="1167" customFormat="1" ht="29.25" customHeight="1" x14ac:dyDescent="0.15">
      <c r="A160" s="973"/>
      <c r="B160" s="773"/>
      <c r="C160" s="1084" t="s">
        <v>1813</v>
      </c>
      <c r="D160" s="1043" t="s">
        <v>1814</v>
      </c>
      <c r="E160" s="668">
        <v>30</v>
      </c>
      <c r="F160" s="769" t="str" cm="1">
        <f t="array" aca="1" ref="F160" ca="1">OFFSET(G160,-1,-1)</f>
        <v>1</v>
      </c>
      <c r="G160" s="177"/>
      <c r="H160" s="177"/>
      <c r="I160" s="177"/>
      <c r="J160" s="177"/>
      <c r="K160" s="177"/>
      <c r="L160" s="1072"/>
      <c r="M160" s="1070" t="str" cm="1">
        <f t="array" aca="1" ref="M160" ca="1">OFFSET(L160,-1,1)</f>
        <v>ТЭ.42.27968109.0001</v>
      </c>
      <c r="N160" s="1072"/>
      <c r="O160" s="1072"/>
      <c r="P160" s="1072"/>
      <c r="Q160" s="1072"/>
      <c r="R160" s="1072"/>
      <c r="S160" s="1072"/>
      <c r="T160" s="679" t="b" cm="1">
        <f t="array" ref="T160">T139</f>
        <v>1</v>
      </c>
      <c r="U160" s="1152"/>
      <c r="V160" s="1152"/>
      <c r="W160" s="1152"/>
      <c r="X160" s="1485"/>
      <c r="Y160" s="1152"/>
      <c r="Z160" s="1485"/>
      <c r="AA160" s="177"/>
      <c r="AB160" s="232" t="s">
        <v>1731</v>
      </c>
      <c r="AC160" s="878" t="s">
        <v>1816</v>
      </c>
      <c r="AD160" s="479" t="s">
        <v>1044</v>
      </c>
      <c r="AE160" s="1266"/>
      <c r="AF160" s="1316"/>
      <c r="AG160" s="1316"/>
      <c r="AH160" s="253">
        <f>AG160-AF160</f>
        <v>0</v>
      </c>
      <c r="AI160" s="1266"/>
      <c r="AJ160" s="254"/>
      <c r="AK160" s="254"/>
      <c r="AL160" s="253">
        <f>IF(AI160=0,0,(AK160-AI160)/AI160*100)</f>
        <v>0</v>
      </c>
      <c r="AM160" s="1231"/>
      <c r="AN160" s="1231"/>
      <c r="AO160" s="1231"/>
      <c r="AP160" s="177"/>
      <c r="AQ160" s="177"/>
      <c r="AR160" s="1019" t="s">
        <v>1817</v>
      </c>
      <c r="AS160" s="1054"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M10591::ТЭ.42.27968109.0001::Неопределено::Неопределено::Неопределено::Неопределено::Неопределено::Неопределено::Неопределено</v>
      </c>
    </row>
    <row r="161" spans="5:41" ht="9.9499999999999993" customHeight="1" x14ac:dyDescent="0.15">
      <c r="E161" s="668">
        <v>10.199999999999999</v>
      </c>
      <c r="U161" s="126" t="s">
        <v>239</v>
      </c>
      <c r="V161" s="119" t="s">
        <v>1948</v>
      </c>
    </row>
    <row r="162" spans="5:41" ht="11.25" hidden="1" customHeight="1" x14ac:dyDescent="0.15">
      <c r="E162" s="668">
        <v>0</v>
      </c>
    </row>
    <row r="163" spans="5:41" ht="14.65" customHeight="1" x14ac:dyDescent="0.15">
      <c r="E163" s="668">
        <v>15</v>
      </c>
      <c r="AB163" s="1558" t="s">
        <v>725</v>
      </c>
      <c r="AC163" s="1558"/>
      <c r="AD163" s="1558"/>
      <c r="AE163" s="1558"/>
      <c r="AF163" s="1558"/>
      <c r="AG163" s="1558"/>
      <c r="AH163" s="1558"/>
      <c r="AI163" s="1558"/>
      <c r="AJ163" s="1558"/>
      <c r="AK163" s="1558"/>
      <c r="AL163" s="1558"/>
      <c r="AM163" s="1558"/>
      <c r="AN163" s="1558"/>
      <c r="AO163" s="1558"/>
    </row>
    <row r="164" spans="5:41" ht="14.65" customHeight="1" x14ac:dyDescent="0.15">
      <c r="E164" s="668">
        <v>15</v>
      </c>
      <c r="AA164" s="768"/>
      <c r="AB164" s="1579"/>
      <c r="AC164" s="1576"/>
      <c r="AD164" s="1576"/>
      <c r="AE164" s="1576"/>
      <c r="AF164" s="1576"/>
      <c r="AG164" s="1576"/>
      <c r="AH164" s="1576"/>
      <c r="AI164" s="1576"/>
      <c r="AJ164" s="1576"/>
      <c r="AK164" s="1576"/>
      <c r="AL164" s="1576"/>
      <c r="AM164" s="1576"/>
      <c r="AN164" s="1576"/>
      <c r="AO164" s="1576"/>
    </row>
    <row r="165" spans="5:41" ht="14.65" hidden="1" customHeight="1" x14ac:dyDescent="0.15">
      <c r="E165" s="668">
        <v>15</v>
      </c>
      <c r="T165" s="679" t="b">
        <f>ROW(W165)&gt;ROW(W$165)</f>
        <v>0</v>
      </c>
      <c r="W165" s="123" t="s">
        <v>237</v>
      </c>
      <c r="AA165" s="847" t="s">
        <v>218</v>
      </c>
      <c r="AB165" s="1575"/>
      <c r="AC165" s="1576"/>
      <c r="AD165" s="1576"/>
      <c r="AE165" s="1576"/>
      <c r="AF165" s="1576"/>
      <c r="AG165" s="1576"/>
      <c r="AH165" s="1576"/>
      <c r="AI165" s="1576"/>
      <c r="AJ165" s="1576"/>
      <c r="AK165" s="1576"/>
      <c r="AL165" s="1576"/>
      <c r="AM165" s="1576"/>
      <c r="AN165" s="1576"/>
      <c r="AO165" s="1576"/>
    </row>
    <row r="166" spans="5:41" ht="14.65" customHeight="1" x14ac:dyDescent="0.15">
      <c r="E166" s="668">
        <v>15</v>
      </c>
      <c r="W166" s="119" t="s">
        <v>238</v>
      </c>
      <c r="AA166" s="160"/>
      <c r="AB166" s="1500" t="s">
        <v>726</v>
      </c>
      <c r="AC166" s="1501"/>
      <c r="AD166" s="317"/>
      <c r="AE166" s="317"/>
      <c r="AF166" s="317"/>
      <c r="AG166" s="317"/>
      <c r="AH166" s="317"/>
      <c r="AI166" s="317"/>
      <c r="AJ166" s="317"/>
      <c r="AK166" s="317"/>
      <c r="AL166" s="317"/>
      <c r="AM166" s="317"/>
      <c r="AN166" s="317"/>
      <c r="AO166" s="290"/>
    </row>
  </sheetData>
  <sheetProtection formatColumns="0" formatRows="0" insertRows="0" deleteColumns="0" deleteRows="0" sort="0" autoFilter="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0E763-7368-FFD2-95F8-6F879C290918}">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3" hidden="1" customWidth="1"/>
    <col min="2" max="2" width="8.5703125" style="773" hidden="1" customWidth="1"/>
    <col min="3" max="4" width="3.5703125" style="175" hidden="1" customWidth="1"/>
    <col min="5" max="5" width="8.42578125" style="772" hidden="1" customWidth="1"/>
    <col min="6" max="6" width="6.42578125" style="175" hidden="1" customWidth="1"/>
    <col min="7" max="10" width="3.5703125" style="177" hidden="1" customWidth="1"/>
    <col min="11" max="11" width="7.140625" style="177" hidden="1" customWidth="1"/>
    <col min="12" max="16" width="3.5703125" style="177" hidden="1" customWidth="1"/>
    <col min="17" max="17" width="3.5703125" style="140" hidden="1" customWidth="1"/>
    <col min="18" max="18" width="22.85546875" style="140" hidden="1" customWidth="1"/>
    <col min="19" max="19" width="3.5703125" style="177"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7" customWidth="1"/>
    <col min="28" max="28" width="8.140625" style="175" customWidth="1"/>
    <col min="29" max="29" width="70.140625" style="176" customWidth="1"/>
    <col min="30" max="30" width="14.42578125" style="175" customWidth="1"/>
    <col min="31" max="32" width="15" style="177" customWidth="1"/>
    <col min="33" max="33" width="19" style="177" customWidth="1"/>
    <col min="34" max="34" width="17.28515625" style="177" customWidth="1"/>
    <col min="35" max="35" width="31.28515625" style="177" customWidth="1"/>
    <col min="36" max="36" width="3" style="177" customWidth="1"/>
    <col min="37" max="37" width="9.140625" style="177" hidden="1"/>
    <col min="38" max="38" width="9.140625" style="1021" hidden="1"/>
  </cols>
  <sheetData>
    <row r="1" spans="1:38" s="175" customFormat="1" ht="12" hidden="1" customHeight="1" x14ac:dyDescent="0.15">
      <c r="A1" s="973"/>
      <c r="B1" s="659"/>
      <c r="E1" s="659"/>
      <c r="F1" s="690" t="s">
        <v>83</v>
      </c>
      <c r="G1" s="177"/>
      <c r="H1" s="177"/>
      <c r="I1" s="177"/>
      <c r="J1" s="177"/>
      <c r="K1" s="177"/>
      <c r="L1" s="177"/>
      <c r="M1" s="177"/>
      <c r="N1" s="177"/>
      <c r="O1" s="177"/>
      <c r="P1" s="177"/>
      <c r="Q1" s="140"/>
      <c r="R1" s="140"/>
      <c r="S1" s="177"/>
      <c r="T1" s="679" t="s">
        <v>86</v>
      </c>
      <c r="U1" s="679" t="s">
        <v>91</v>
      </c>
      <c r="V1" s="679" t="s">
        <v>87</v>
      </c>
      <c r="W1" s="679" t="s">
        <v>88</v>
      </c>
      <c r="X1" s="679" t="s">
        <v>89</v>
      </c>
      <c r="Y1" s="690" t="s">
        <v>374</v>
      </c>
      <c r="Z1" s="679" t="s">
        <v>93</v>
      </c>
      <c r="AA1" s="690" t="s">
        <v>90</v>
      </c>
      <c r="AB1" s="690" t="s">
        <v>92</v>
      </c>
      <c r="AL1" s="1021" t="s">
        <v>375</v>
      </c>
    </row>
    <row r="2" spans="1:38" s="773" customFormat="1" ht="12" hidden="1" customHeight="1" x14ac:dyDescent="0.15">
      <c r="A2" s="981"/>
      <c r="B2" s="758" t="s">
        <v>15</v>
      </c>
      <c r="G2" s="776"/>
      <c r="H2" s="776"/>
      <c r="I2" s="776"/>
      <c r="J2" s="776"/>
      <c r="K2" s="776"/>
      <c r="L2" s="776"/>
      <c r="M2" s="776"/>
      <c r="N2" s="776"/>
      <c r="O2" s="776"/>
      <c r="P2" s="776"/>
      <c r="Q2" s="776"/>
      <c r="R2" s="776"/>
      <c r="S2" s="776"/>
      <c r="AC2" s="663"/>
      <c r="AL2" s="963"/>
    </row>
    <row r="3" spans="1:38" s="175" customFormat="1" ht="12" hidden="1" customHeight="1" x14ac:dyDescent="0.15">
      <c r="A3" s="973"/>
      <c r="B3" s="659"/>
      <c r="E3" s="659"/>
      <c r="G3" s="177"/>
      <c r="H3" s="177"/>
      <c r="I3" s="177"/>
      <c r="J3" s="177"/>
      <c r="K3" s="177"/>
      <c r="L3" s="177"/>
      <c r="M3" s="177"/>
      <c r="N3" s="177"/>
      <c r="O3" s="177"/>
      <c r="P3" s="177"/>
      <c r="Q3" s="140"/>
      <c r="R3" s="140"/>
      <c r="S3" s="177"/>
      <c r="T3" s="123"/>
      <c r="U3" s="123"/>
      <c r="V3" s="123"/>
      <c r="W3" s="123"/>
      <c r="X3" s="123"/>
      <c r="Y3" s="123"/>
      <c r="Z3" s="123"/>
      <c r="AC3" s="179"/>
      <c r="AL3" s="1021"/>
    </row>
    <row r="4" spans="1:38" s="175" customFormat="1" ht="12" hidden="1" customHeight="1" x14ac:dyDescent="0.15">
      <c r="A4" s="973"/>
      <c r="B4" s="659"/>
      <c r="E4" s="659"/>
      <c r="G4" s="177"/>
      <c r="H4" s="177"/>
      <c r="I4" s="177"/>
      <c r="J4" s="177"/>
      <c r="K4" s="177"/>
      <c r="L4" s="177"/>
      <c r="M4" s="177"/>
      <c r="N4" s="177"/>
      <c r="O4" s="177"/>
      <c r="P4" s="177"/>
      <c r="Q4" s="140"/>
      <c r="R4" s="140"/>
      <c r="S4" s="177"/>
      <c r="T4" s="123"/>
      <c r="U4" s="123"/>
      <c r="V4" s="123"/>
      <c r="W4" s="123"/>
      <c r="X4" s="123"/>
      <c r="Y4" s="123"/>
      <c r="Z4" s="123"/>
      <c r="AC4" s="179"/>
      <c r="AL4" s="1021"/>
    </row>
    <row r="5" spans="1:38" s="772" customFormat="1" ht="12" hidden="1" customHeight="1" x14ac:dyDescent="0.15">
      <c r="A5" s="981"/>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15</v>
      </c>
      <c r="AF5" s="668">
        <v>15</v>
      </c>
      <c r="AG5" s="668">
        <v>19</v>
      </c>
      <c r="AH5" s="668">
        <v>17.25</v>
      </c>
      <c r="AI5" s="668">
        <v>31.25</v>
      </c>
      <c r="AJ5" s="668">
        <v>3</v>
      </c>
      <c r="AL5" s="963"/>
    </row>
    <row r="6" spans="1:38" s="175" customFormat="1" ht="12" hidden="1" customHeight="1" x14ac:dyDescent="0.15">
      <c r="A6" s="973"/>
      <c r="B6" s="659"/>
      <c r="E6" s="668"/>
      <c r="G6" s="177"/>
      <c r="H6" s="177"/>
      <c r="I6" s="177"/>
      <c r="J6" s="177"/>
      <c r="K6" s="177"/>
      <c r="L6" s="177"/>
      <c r="M6" s="177"/>
      <c r="N6" s="177"/>
      <c r="O6" s="177"/>
      <c r="P6" s="177"/>
      <c r="Q6" s="140"/>
      <c r="R6" s="140"/>
      <c r="S6" s="177"/>
      <c r="T6" s="123"/>
      <c r="U6" s="123"/>
      <c r="V6" s="123"/>
      <c r="W6" s="123"/>
      <c r="X6" s="123"/>
      <c r="Y6" s="123"/>
      <c r="Z6" s="123"/>
      <c r="AC6" s="179"/>
      <c r="AE6" s="175">
        <f>god-2</f>
        <v>2024</v>
      </c>
      <c r="AF6" s="175" cm="1">
        <f t="array" ref="AF6">god</f>
        <v>2026</v>
      </c>
      <c r="AL6" s="1021"/>
    </row>
    <row r="7" spans="1:38" ht="12" hidden="1" customHeight="1" x14ac:dyDescent="0.15">
      <c r="F7" s="177"/>
      <c r="T7" s="160"/>
      <c r="U7" s="160"/>
      <c r="V7" s="160"/>
      <c r="W7" s="160"/>
      <c r="X7" s="160"/>
      <c r="Y7" s="160"/>
      <c r="Z7" s="160"/>
      <c r="AB7" s="177"/>
      <c r="AD7" s="177"/>
      <c r="AE7" s="160" t="str" cm="1">
        <f t="array" ref="AE7">AE25</f>
        <v>Предложение организации</v>
      </c>
      <c r="AF7" s="160" t="str" cm="1">
        <f t="array" ref="AF7">AF25</f>
        <v>Версия органа регулирования</v>
      </c>
    </row>
    <row r="8" spans="1:38" ht="12" hidden="1" customHeight="1" x14ac:dyDescent="0.15">
      <c r="F8" s="177"/>
      <c r="T8" s="160"/>
      <c r="U8" s="160"/>
      <c r="V8" s="160"/>
      <c r="W8" s="160"/>
      <c r="X8" s="160"/>
      <c r="Y8" s="160"/>
      <c r="Z8" s="160"/>
      <c r="AB8" s="177"/>
      <c r="AD8" s="177"/>
      <c r="AE8" s="160" t="str">
        <f>AE6&amp;AE7</f>
        <v>2024Предложение организации</v>
      </c>
      <c r="AF8" s="160" t="str">
        <f>AF6&amp;AF7</f>
        <v>2026Версия органа регулирования</v>
      </c>
    </row>
    <row r="9" spans="1:38" s="1020" customFormat="1" ht="12" hidden="1" customHeight="1" x14ac:dyDescent="0.15">
      <c r="A9" s="948" t="s">
        <v>461</v>
      </c>
      <c r="B9" s="941"/>
      <c r="E9" s="941"/>
      <c r="Q9" s="998"/>
      <c r="R9" s="998"/>
      <c r="T9" s="949"/>
      <c r="U9" s="949"/>
      <c r="V9" s="949"/>
      <c r="W9" s="949"/>
      <c r="X9" s="949"/>
      <c r="Y9" s="949"/>
      <c r="Z9" s="949"/>
      <c r="AE9" s="1020">
        <f>god-2</f>
        <v>2024</v>
      </c>
      <c r="AF9" s="1020" cm="1">
        <f t="array" ref="AF9">god</f>
        <v>2026</v>
      </c>
      <c r="AL9" s="1021"/>
    </row>
    <row r="10" spans="1:38" s="1020" customFormat="1" ht="12" hidden="1" customHeight="1" x14ac:dyDescent="0.15">
      <c r="A10" s="948" t="s">
        <v>462</v>
      </c>
      <c r="B10" s="941"/>
      <c r="E10" s="941"/>
      <c r="Q10" s="998"/>
      <c r="R10" s="998"/>
      <c r="T10" s="949"/>
      <c r="U10" s="949"/>
      <c r="V10" s="949"/>
      <c r="W10" s="949"/>
      <c r="X10" s="949"/>
      <c r="Y10" s="949"/>
      <c r="Z10" s="949"/>
      <c r="AE10" s="1020" t="str" cm="1">
        <f t="array" ref="AE10">AE25</f>
        <v>Предложение организации</v>
      </c>
      <c r="AF10" s="1020" t="str" cm="1">
        <f t="array" ref="AF10">AF25</f>
        <v>Версия органа регулирования</v>
      </c>
      <c r="AL10" s="1021"/>
    </row>
    <row r="11" spans="1:38" s="1020" customFormat="1" ht="12" hidden="1" customHeight="1" x14ac:dyDescent="0.15">
      <c r="A11" s="948" t="s">
        <v>463</v>
      </c>
      <c r="B11" s="941"/>
      <c r="E11" s="941"/>
      <c r="G11" s="1023"/>
      <c r="H11" s="1023"/>
      <c r="I11" s="1023"/>
      <c r="J11" s="1023"/>
      <c r="K11" s="1023"/>
      <c r="L11" s="1023"/>
      <c r="M11" s="1023"/>
      <c r="N11" s="1023"/>
      <c r="O11" s="1023"/>
      <c r="P11" s="1023"/>
      <c r="Q11" s="1000"/>
      <c r="R11" s="1000"/>
      <c r="S11" s="1023"/>
      <c r="T11" s="949"/>
      <c r="U11" s="949"/>
      <c r="V11" s="949"/>
      <c r="W11" s="949"/>
      <c r="X11" s="949"/>
      <c r="Y11" s="949"/>
      <c r="Z11" s="949"/>
      <c r="AC11" s="1024"/>
      <c r="AG11" s="1020" t="str" cm="1">
        <f t="array" ref="AG11">AG24</f>
        <v>Указание на подтверждающие документы / URL-ссылка на копии подтверждающих документов</v>
      </c>
      <c r="AH11" s="1020" t="str" cm="1">
        <f t="array" ref="AH11">AH24</f>
        <v>Ссылка на правовую норму (основание для принятия показателя в расчет тарифа)</v>
      </c>
      <c r="AI11" s="1020"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1"/>
    </row>
    <row r="12" spans="1:38" s="175" customFormat="1" ht="12" hidden="1" customHeight="1" x14ac:dyDescent="0.15">
      <c r="A12" s="973"/>
      <c r="B12" s="659"/>
      <c r="E12" s="668"/>
      <c r="G12" s="177"/>
      <c r="H12" s="177"/>
      <c r="I12" s="177"/>
      <c r="J12" s="177"/>
      <c r="K12" s="177"/>
      <c r="L12" s="177"/>
      <c r="M12" s="177"/>
      <c r="N12" s="177"/>
      <c r="O12" s="177"/>
      <c r="P12" s="177"/>
      <c r="Q12" s="140"/>
      <c r="R12" s="140"/>
      <c r="S12" s="177"/>
      <c r="T12" s="123"/>
      <c r="U12" s="123"/>
      <c r="V12" s="123"/>
      <c r="W12" s="123"/>
      <c r="X12" s="123"/>
      <c r="Y12" s="123"/>
      <c r="Z12" s="123"/>
      <c r="AC12" s="179"/>
      <c r="AL12" s="1021"/>
    </row>
    <row r="13" spans="1:38" s="175" customFormat="1" ht="12" hidden="1" customHeight="1" x14ac:dyDescent="0.15">
      <c r="A13" s="973"/>
      <c r="B13" s="659"/>
      <c r="E13" s="668"/>
      <c r="G13" s="177"/>
      <c r="H13" s="177"/>
      <c r="I13" s="177"/>
      <c r="J13" s="177"/>
      <c r="K13" s="177"/>
      <c r="L13" s="177"/>
      <c r="M13" s="177"/>
      <c r="N13" s="177"/>
      <c r="O13" s="177"/>
      <c r="P13" s="177"/>
      <c r="Q13" s="140"/>
      <c r="R13" s="140"/>
      <c r="S13" s="177"/>
      <c r="T13" s="123"/>
      <c r="U13" s="123"/>
      <c r="V13" s="123"/>
      <c r="W13" s="123"/>
      <c r="X13" s="123"/>
      <c r="Y13" s="123"/>
      <c r="Z13" s="123"/>
      <c r="AC13" s="179"/>
      <c r="AL13" s="1021"/>
    </row>
    <row r="14" spans="1:38" s="175" customFormat="1" ht="12" hidden="1" customHeight="1" x14ac:dyDescent="0.15">
      <c r="A14" s="973"/>
      <c r="B14" s="659"/>
      <c r="E14" s="668"/>
      <c r="G14" s="177"/>
      <c r="H14" s="177"/>
      <c r="I14" s="177"/>
      <c r="J14" s="177"/>
      <c r="K14" s="177"/>
      <c r="L14" s="177"/>
      <c r="M14" s="177"/>
      <c r="N14" s="177"/>
      <c r="O14" s="177"/>
      <c r="P14" s="177"/>
      <c r="Q14" s="140"/>
      <c r="R14" s="140"/>
      <c r="S14" s="177"/>
      <c r="T14" s="123"/>
      <c r="U14" s="123"/>
      <c r="V14" s="123"/>
      <c r="W14" s="123"/>
      <c r="X14" s="123"/>
      <c r="Y14" s="123"/>
      <c r="Z14" s="123"/>
      <c r="AC14" s="179"/>
      <c r="AL14" s="1021"/>
    </row>
    <row r="15" spans="1:38" s="175" customFormat="1" ht="12" hidden="1" customHeight="1" x14ac:dyDescent="0.15">
      <c r="A15" s="973"/>
      <c r="B15" s="659"/>
      <c r="E15" s="668"/>
      <c r="G15" s="177"/>
      <c r="H15" s="177"/>
      <c r="I15" s="177"/>
      <c r="J15" s="177"/>
      <c r="K15" s="177"/>
      <c r="L15" s="177"/>
      <c r="M15" s="177"/>
      <c r="N15" s="177"/>
      <c r="O15" s="177"/>
      <c r="P15" s="177"/>
      <c r="Q15" s="140"/>
      <c r="R15" s="140"/>
      <c r="S15" s="177"/>
      <c r="T15" s="123"/>
      <c r="U15" s="123"/>
      <c r="V15" s="123"/>
      <c r="W15" s="123"/>
      <c r="X15" s="123"/>
      <c r="Y15" s="123"/>
      <c r="Z15" s="123"/>
      <c r="AC15" s="179"/>
      <c r="AL15" s="1021"/>
    </row>
    <row r="16" spans="1:38" s="175" customFormat="1" ht="12" hidden="1" customHeight="1" x14ac:dyDescent="0.15">
      <c r="A16" s="973"/>
      <c r="B16" s="659"/>
      <c r="E16" s="668"/>
      <c r="G16" s="177"/>
      <c r="H16" s="177"/>
      <c r="I16" s="177"/>
      <c r="J16" s="177"/>
      <c r="K16" s="177"/>
      <c r="L16" s="177"/>
      <c r="M16" s="177"/>
      <c r="N16" s="177"/>
      <c r="O16" s="177"/>
      <c r="P16" s="177"/>
      <c r="Q16" s="140"/>
      <c r="R16" s="140"/>
      <c r="S16" s="177"/>
      <c r="T16" s="123"/>
      <c r="U16" s="123"/>
      <c r="V16" s="123"/>
      <c r="W16" s="123"/>
      <c r="X16" s="123"/>
      <c r="Y16" s="123"/>
      <c r="Z16" s="123"/>
      <c r="AC16" s="179"/>
      <c r="AL16" s="1021"/>
    </row>
    <row r="17" spans="1:38" s="175" customFormat="1" ht="12" hidden="1" customHeight="1" x14ac:dyDescent="0.15">
      <c r="A17" s="973"/>
      <c r="B17" s="659"/>
      <c r="E17" s="668"/>
      <c r="G17" s="177"/>
      <c r="H17" s="177"/>
      <c r="I17" s="177"/>
      <c r="J17" s="177"/>
      <c r="K17" s="177"/>
      <c r="L17" s="177"/>
      <c r="M17" s="177"/>
      <c r="N17" s="177"/>
      <c r="O17" s="177"/>
      <c r="P17" s="177"/>
      <c r="Q17" s="140"/>
      <c r="R17" s="140"/>
      <c r="S17" s="177"/>
      <c r="T17" s="123"/>
      <c r="U17" s="123"/>
      <c r="V17" s="123"/>
      <c r="W17" s="123"/>
      <c r="X17" s="123"/>
      <c r="Y17" s="123"/>
      <c r="Z17" s="123"/>
      <c r="AC17" s="179"/>
      <c r="AL17" s="1021"/>
    </row>
    <row r="18" spans="1:38" s="175" customFormat="1" ht="12" hidden="1" customHeight="1" x14ac:dyDescent="0.15">
      <c r="A18" s="973"/>
      <c r="B18" s="659"/>
      <c r="E18" s="668"/>
      <c r="G18" s="177"/>
      <c r="H18" s="177"/>
      <c r="I18" s="177"/>
      <c r="J18" s="177"/>
      <c r="K18" s="177"/>
      <c r="L18" s="177"/>
      <c r="M18" s="177"/>
      <c r="N18" s="177"/>
      <c r="O18" s="177"/>
      <c r="P18" s="177"/>
      <c r="Q18" s="140"/>
      <c r="R18" s="140"/>
      <c r="S18" s="177"/>
      <c r="T18" s="123"/>
      <c r="U18" s="123"/>
      <c r="V18" s="123"/>
      <c r="W18" s="123"/>
      <c r="X18" s="123"/>
      <c r="Y18" s="123"/>
      <c r="Z18" s="123"/>
      <c r="AC18" s="179"/>
      <c r="AL18" s="1021"/>
    </row>
    <row r="19" spans="1:38" s="175" customFormat="1" ht="12" hidden="1" customHeight="1" x14ac:dyDescent="0.15">
      <c r="A19" s="973"/>
      <c r="B19" s="659"/>
      <c r="E19" s="668"/>
      <c r="G19" s="177"/>
      <c r="H19" s="177"/>
      <c r="I19" s="177"/>
      <c r="J19" s="177"/>
      <c r="K19" s="177"/>
      <c r="L19" s="177"/>
      <c r="M19" s="177"/>
      <c r="N19" s="177"/>
      <c r="O19" s="177"/>
      <c r="P19" s="177"/>
      <c r="Q19" s="140"/>
      <c r="R19" s="140"/>
      <c r="S19" s="177"/>
      <c r="T19" s="123"/>
      <c r="U19" s="123"/>
      <c r="V19" s="123"/>
      <c r="W19" s="123"/>
      <c r="X19" s="123"/>
      <c r="Y19" s="123"/>
      <c r="Z19" s="123"/>
      <c r="AC19" s="179"/>
      <c r="AL19" s="1021"/>
    </row>
    <row r="20" spans="1:38" s="175" customFormat="1" ht="12" hidden="1" customHeight="1" x14ac:dyDescent="0.15">
      <c r="A20" s="973"/>
      <c r="B20" s="659"/>
      <c r="E20" s="668"/>
      <c r="G20" s="177"/>
      <c r="H20" s="177"/>
      <c r="I20" s="177"/>
      <c r="J20" s="177"/>
      <c r="K20" s="177"/>
      <c r="L20" s="177"/>
      <c r="M20" s="177"/>
      <c r="N20" s="177"/>
      <c r="O20" s="177"/>
      <c r="P20" s="177"/>
      <c r="Q20" s="140"/>
      <c r="R20" s="140"/>
      <c r="S20" s="177"/>
      <c r="T20" s="123"/>
      <c r="U20" s="123"/>
      <c r="V20" s="123"/>
      <c r="W20" s="123"/>
      <c r="X20" s="123"/>
      <c r="Y20" s="123"/>
      <c r="Z20" s="123"/>
      <c r="AC20" s="179"/>
      <c r="AL20" s="1021"/>
    </row>
    <row r="21" spans="1:38" ht="14.65" customHeight="1" x14ac:dyDescent="0.15">
      <c r="E21" s="668">
        <v>15</v>
      </c>
      <c r="AA21" s="691"/>
      <c r="AB21" s="177"/>
      <c r="AC21" s="335" t="str" cm="1">
        <f t="array" ref="AC21">tpl_title</f>
        <v>Кемеровская область / 2026 / ООО ХК "СДС - Энерго" (ИНН:4250003450, КПП:420501001) / ДПР: 2024-2028</v>
      </c>
      <c r="AD21" s="177"/>
    </row>
    <row r="22" spans="1:38" s="1153" customFormat="1" ht="33.200000000000003" customHeight="1" x14ac:dyDescent="0.15">
      <c r="A22" s="823"/>
      <c r="B22" s="659"/>
      <c r="C22" s="130"/>
      <c r="D22" s="130"/>
      <c r="E22" s="668">
        <v>34</v>
      </c>
      <c r="F22" s="130"/>
      <c r="Q22" s="140"/>
      <c r="R22" s="140"/>
      <c r="T22" s="126"/>
      <c r="U22" s="126"/>
      <c r="V22" s="126"/>
      <c r="W22" s="126"/>
      <c r="X22" s="126"/>
      <c r="Y22" s="126"/>
      <c r="Z22" s="126"/>
      <c r="AB22" s="1598" t="s">
        <v>1949</v>
      </c>
      <c r="AC22" s="1598"/>
      <c r="AD22" s="1598"/>
      <c r="AE22" s="1598"/>
      <c r="AF22" s="1598"/>
      <c r="AG22" s="1598"/>
      <c r="AH22" s="1598"/>
      <c r="AI22" s="1598"/>
      <c r="AL22" s="979"/>
    </row>
    <row r="23" spans="1:38" s="1153" customFormat="1" ht="9.9499999999999993" customHeight="1" x14ac:dyDescent="0.15">
      <c r="A23" s="823"/>
      <c r="B23" s="659"/>
      <c r="C23" s="130"/>
      <c r="D23" s="130"/>
      <c r="E23" s="668">
        <v>10.199999999999999</v>
      </c>
      <c r="F23" s="130"/>
      <c r="Q23" s="140"/>
      <c r="R23" s="140"/>
      <c r="T23" s="126"/>
      <c r="U23" s="126"/>
      <c r="V23" s="126"/>
      <c r="W23" s="126"/>
      <c r="X23" s="126"/>
      <c r="Y23" s="126"/>
      <c r="Z23" s="126"/>
      <c r="AB23" s="178"/>
      <c r="AC23" s="178"/>
      <c r="AD23" s="178"/>
      <c r="AE23" s="178"/>
      <c r="AF23" s="178"/>
      <c r="AG23" s="178"/>
      <c r="AH23" s="178"/>
      <c r="AI23" s="178"/>
      <c r="AL23" s="979"/>
    </row>
    <row r="24" spans="1:38" s="176" customFormat="1" ht="24.2" customHeight="1" x14ac:dyDescent="0.15">
      <c r="A24" s="273"/>
      <c r="B24" s="663"/>
      <c r="C24" s="179"/>
      <c r="D24" s="179"/>
      <c r="E24" s="674">
        <v>24.8</v>
      </c>
      <c r="F24" s="179"/>
      <c r="Q24" s="778"/>
      <c r="R24" s="778"/>
      <c r="T24" s="119"/>
      <c r="U24" s="119"/>
      <c r="V24" s="119"/>
      <c r="W24" s="119"/>
      <c r="X24" s="119"/>
      <c r="Y24" s="119"/>
      <c r="Z24" s="119"/>
      <c r="AB24" s="1599" t="s">
        <v>388</v>
      </c>
      <c r="AC24" s="1581" t="s">
        <v>464</v>
      </c>
      <c r="AD24" s="1581" t="s">
        <v>465</v>
      </c>
      <c r="AE24" s="1139" t="str">
        <f>god-2&amp;" год"</f>
        <v>2024 год</v>
      </c>
      <c r="AF24" s="105" t="str">
        <f>god-2&amp;" год"</f>
        <v>2024 год</v>
      </c>
      <c r="AG24" s="1580" t="s">
        <v>1313</v>
      </c>
      <c r="AH24" s="1580" t="s">
        <v>618</v>
      </c>
      <c r="AI24" s="1580" t="s">
        <v>1314</v>
      </c>
      <c r="AL24" s="1021"/>
    </row>
    <row r="25" spans="1:38" s="176" customFormat="1" ht="44.65" customHeight="1" x14ac:dyDescent="0.15">
      <c r="A25" s="273"/>
      <c r="B25" s="663"/>
      <c r="C25" s="179"/>
      <c r="D25" s="179"/>
      <c r="E25" s="674">
        <v>45.8</v>
      </c>
      <c r="F25" s="179"/>
      <c r="Q25" s="778"/>
      <c r="R25" s="778"/>
      <c r="T25" s="119"/>
      <c r="U25" s="119"/>
      <c r="V25" s="119"/>
      <c r="W25" s="119"/>
      <c r="X25" s="119"/>
      <c r="Y25" s="119"/>
      <c r="Z25" s="119"/>
      <c r="AB25" s="1600"/>
      <c r="AC25" s="1581"/>
      <c r="AD25" s="1581"/>
      <c r="AE25" s="1141" t="s">
        <v>405</v>
      </c>
      <c r="AF25" s="105" t="s">
        <v>1578</v>
      </c>
      <c r="AG25" s="1580"/>
      <c r="AH25" s="1580"/>
      <c r="AI25" s="1580"/>
      <c r="AL25" s="1021"/>
    </row>
    <row r="26" spans="1:38" s="176" customFormat="1" ht="14.25" hidden="1" customHeight="1" x14ac:dyDescent="0.15">
      <c r="A26" s="273"/>
      <c r="B26" s="663"/>
      <c r="C26" s="179"/>
      <c r="D26" s="179"/>
      <c r="E26" s="674">
        <v>0</v>
      </c>
      <c r="F26" s="179"/>
      <c r="Q26" s="778"/>
      <c r="R26" s="778"/>
      <c r="T26" s="119"/>
      <c r="U26" s="119"/>
      <c r="V26" s="119"/>
      <c r="W26" s="119"/>
      <c r="X26" s="119"/>
      <c r="Y26" s="119"/>
      <c r="Z26" s="119"/>
      <c r="AB26" s="589"/>
      <c r="AC26" s="589"/>
      <c r="AD26" s="589"/>
      <c r="AE26" s="119"/>
      <c r="AF26" s="119"/>
      <c r="AG26" s="179"/>
      <c r="AH26" s="179"/>
      <c r="AI26" s="179"/>
      <c r="AL26" s="1021"/>
    </row>
    <row r="27" spans="1:38" s="167" customFormat="1" ht="16.7" hidden="1" customHeight="1" x14ac:dyDescent="0.15">
      <c r="E27" s="668">
        <v>17.100000000000001</v>
      </c>
      <c r="F27" s="769" cm="1">
        <f t="array" ref="F27">X27</f>
        <v>0</v>
      </c>
      <c r="G27" s="612"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T27" s="679" t="b">
        <f>X27&gt;0</f>
        <v>0</v>
      </c>
      <c r="V27" s="123" t="s">
        <v>313</v>
      </c>
      <c r="X27" s="1597">
        <v>0</v>
      </c>
      <c r="Z27" s="1483"/>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L27" s="971"/>
    </row>
    <row r="28" spans="1:38" s="167" customFormat="1" ht="16.7" hidden="1" customHeight="1" x14ac:dyDescent="0.15">
      <c r="E28" s="668">
        <v>17.100000000000001</v>
      </c>
      <c r="F28" s="769" cm="1">
        <f t="array" aca="1" ref="F28" ca="1">OFFSET(G28,-1,-1)</f>
        <v>0</v>
      </c>
      <c r="T28" s="679" t="b" cm="1">
        <f t="array" ref="T28">T27</f>
        <v>0</v>
      </c>
      <c r="X28" s="1483"/>
      <c r="Z28" s="1483"/>
      <c r="AB28" s="502">
        <v>1</v>
      </c>
      <c r="AC28" s="854" t="s">
        <v>1950</v>
      </c>
      <c r="AD28" s="855"/>
      <c r="AE28" s="855"/>
      <c r="AF28" s="855"/>
      <c r="AG28" s="855"/>
      <c r="AH28" s="855"/>
      <c r="AI28" s="855"/>
      <c r="AL28" s="971"/>
    </row>
    <row r="29" spans="1:38" s="167" customFormat="1" ht="43.9" hidden="1" customHeight="1" x14ac:dyDescent="0.15">
      <c r="E29" s="668">
        <v>45</v>
      </c>
      <c r="F29" s="769" cm="1">
        <f t="array" aca="1" ref="F29" ca="1">OFFSET(G29,-1,-1)</f>
        <v>0</v>
      </c>
      <c r="T29" s="679" t="b" cm="1">
        <f t="array" ref="T29">T28</f>
        <v>0</v>
      </c>
      <c r="X29" s="1483"/>
      <c r="Z29" s="1483"/>
      <c r="AB29" s="502" t="s">
        <v>1951</v>
      </c>
      <c r="AC29" s="233" t="s">
        <v>1952</v>
      </c>
      <c r="AD29" s="102" t="s">
        <v>1426</v>
      </c>
      <c r="AE29" s="13"/>
      <c r="AF29" s="13"/>
      <c r="AG29" s="89"/>
      <c r="AH29" s="89"/>
      <c r="AI29" s="11"/>
      <c r="AL29" s="971" t="s">
        <v>1953</v>
      </c>
    </row>
    <row r="30" spans="1:38" s="167" customFormat="1" ht="43.9" hidden="1" customHeight="1" x14ac:dyDescent="0.15">
      <c r="E30" s="668">
        <v>45</v>
      </c>
      <c r="F30" s="769" cm="1">
        <f t="array" aca="1" ref="F30" ca="1">OFFSET(G30,-1,-1)</f>
        <v>0</v>
      </c>
      <c r="T30" s="679" t="b" cm="1">
        <f t="array" ref="T30">T29</f>
        <v>0</v>
      </c>
      <c r="X30" s="1483"/>
      <c r="Z30" s="1483"/>
      <c r="AB30" s="502" t="s">
        <v>1954</v>
      </c>
      <c r="AC30" s="233" t="s">
        <v>1955</v>
      </c>
      <c r="AD30" s="102" t="s">
        <v>489</v>
      </c>
      <c r="AE30" s="13"/>
      <c r="AF30" s="13"/>
      <c r="AG30" s="89"/>
      <c r="AH30" s="89"/>
      <c r="AI30" s="11"/>
      <c r="AL30" s="971" t="s">
        <v>1956</v>
      </c>
    </row>
    <row r="31" spans="1:38" s="167" customFormat="1" ht="39" hidden="1" customHeight="1" x14ac:dyDescent="0.15">
      <c r="E31" s="668">
        <v>40</v>
      </c>
      <c r="F31" s="769" cm="1">
        <f t="array" aca="1" ref="F31" ca="1">OFFSET(G31,-1,-1)</f>
        <v>0</v>
      </c>
      <c r="T31" s="679" t="b" cm="1">
        <f t="array" ref="T31">T30</f>
        <v>0</v>
      </c>
      <c r="X31" s="1483"/>
      <c r="Z31" s="1483"/>
      <c r="AB31" s="502" t="s">
        <v>1957</v>
      </c>
      <c r="AC31" s="233" t="s">
        <v>1958</v>
      </c>
      <c r="AD31" s="102" t="s">
        <v>1959</v>
      </c>
      <c r="AE31" s="13">
        <f>IFERROR(AE29/AE30,0)</f>
        <v>0</v>
      </c>
      <c r="AF31" s="13">
        <f>IFERROR(AF29/AF30,0)</f>
        <v>0</v>
      </c>
      <c r="AG31" s="89"/>
      <c r="AH31" s="89"/>
      <c r="AI31" s="11"/>
      <c r="AL31" s="971" t="s">
        <v>1960</v>
      </c>
    </row>
    <row r="32" spans="1:38" s="167" customFormat="1" ht="16.7" hidden="1" customHeight="1" x14ac:dyDescent="0.15">
      <c r="E32" s="668">
        <v>17.100000000000001</v>
      </c>
      <c r="F32" s="769" cm="1">
        <f t="array" aca="1" ref="F32" ca="1">OFFSET(G32,-1,-1)</f>
        <v>0</v>
      </c>
      <c r="T32" s="679" t="b" cm="1">
        <f t="array" ref="T32">T31</f>
        <v>0</v>
      </c>
      <c r="X32" s="1483"/>
      <c r="Z32" s="1483"/>
      <c r="AB32" s="502" t="s">
        <v>1961</v>
      </c>
      <c r="AC32" s="233" t="s">
        <v>1962</v>
      </c>
      <c r="AD32" s="102" t="s">
        <v>521</v>
      </c>
      <c r="AE32" s="90"/>
      <c r="AF32" s="90"/>
      <c r="AG32" s="89"/>
      <c r="AH32" s="89"/>
      <c r="AI32" s="11"/>
      <c r="AL32" s="971" t="s">
        <v>1963</v>
      </c>
    </row>
    <row r="33" spans="1:38" s="167" customFormat="1" ht="39" hidden="1" customHeight="1" x14ac:dyDescent="0.15">
      <c r="E33" s="668">
        <v>40</v>
      </c>
      <c r="F33" s="769" cm="1">
        <f t="array" aca="1" ref="F33" ca="1">OFFSET(G33,-1,-1)</f>
        <v>0</v>
      </c>
      <c r="T33" s="679" t="b" cm="1">
        <f t="array" ref="T33">T32</f>
        <v>0</v>
      </c>
      <c r="X33" s="1483"/>
      <c r="Z33" s="1483"/>
      <c r="AB33" s="858" t="s">
        <v>1964</v>
      </c>
      <c r="AC33" s="856" t="s">
        <v>1965</v>
      </c>
      <c r="AD33" s="857" t="s">
        <v>1959</v>
      </c>
      <c r="AE33" s="14"/>
      <c r="AF33" s="14"/>
      <c r="AG33" s="91"/>
      <c r="AH33" s="91"/>
      <c r="AI33" s="92"/>
      <c r="AL33" s="971" t="s">
        <v>1966</v>
      </c>
    </row>
    <row r="34" spans="1:38" s="167" customFormat="1" ht="16.7" hidden="1" customHeight="1" x14ac:dyDescent="0.15">
      <c r="E34" s="668">
        <v>17.100000000000001</v>
      </c>
      <c r="F34" s="769" cm="1">
        <f t="array" aca="1" ref="F34" ca="1">OFFSET(G34,-1,-1)</f>
        <v>0</v>
      </c>
      <c r="T34" s="679" t="b" cm="1">
        <f t="array" ref="T34">T33</f>
        <v>0</v>
      </c>
      <c r="X34" s="1483"/>
      <c r="Z34" s="1483"/>
      <c r="AB34" s="102">
        <v>2</v>
      </c>
      <c r="AC34" s="854" t="s">
        <v>1967</v>
      </c>
      <c r="AD34" s="855"/>
      <c r="AE34" s="868"/>
      <c r="AF34" s="868"/>
      <c r="AG34" s="855"/>
      <c r="AH34" s="855"/>
      <c r="AI34" s="855"/>
      <c r="AL34" s="971"/>
    </row>
    <row r="35" spans="1:38" s="167" customFormat="1" ht="43.9" hidden="1" customHeight="1" x14ac:dyDescent="0.15">
      <c r="E35" s="668">
        <v>45</v>
      </c>
      <c r="F35" s="769" cm="1">
        <f t="array" aca="1" ref="F35" ca="1">OFFSET(G35,-1,-1)</f>
        <v>0</v>
      </c>
      <c r="T35" s="679" t="b" cm="1">
        <f t="array" ref="T35">T34</f>
        <v>0</v>
      </c>
      <c r="X35" s="1483"/>
      <c r="Z35" s="1483"/>
      <c r="AB35" s="102" t="s">
        <v>1968</v>
      </c>
      <c r="AC35" s="233" t="s">
        <v>1969</v>
      </c>
      <c r="AD35" s="102" t="s">
        <v>1426</v>
      </c>
      <c r="AE35" s="14"/>
      <c r="AF35" s="14"/>
      <c r="AG35" s="91"/>
      <c r="AH35" s="91"/>
      <c r="AI35" s="92"/>
      <c r="AL35" s="971" t="s">
        <v>1970</v>
      </c>
    </row>
    <row r="36" spans="1:38" s="167" customFormat="1" ht="39" hidden="1" customHeight="1" x14ac:dyDescent="0.15">
      <c r="E36" s="668">
        <v>40</v>
      </c>
      <c r="F36" s="769" cm="1">
        <f t="array" aca="1" ref="F36" ca="1">OFFSET(G36,-1,-1)</f>
        <v>0</v>
      </c>
      <c r="T36" s="679" t="b" cm="1">
        <f t="array" ref="T36">T35</f>
        <v>0</v>
      </c>
      <c r="X36" s="1483"/>
      <c r="Z36" s="1483"/>
      <c r="AB36" s="102" t="s">
        <v>1971</v>
      </c>
      <c r="AC36" s="233" t="s">
        <v>1972</v>
      </c>
      <c r="AD36" s="102" t="s">
        <v>1973</v>
      </c>
      <c r="AE36" s="14"/>
      <c r="AF36" s="14"/>
      <c r="AG36" s="91"/>
      <c r="AH36" s="91"/>
      <c r="AI36" s="92"/>
      <c r="AL36" s="971" t="s">
        <v>1974</v>
      </c>
    </row>
    <row r="37" spans="1:38" s="167" customFormat="1" ht="39" hidden="1" customHeight="1" x14ac:dyDescent="0.15">
      <c r="E37" s="668">
        <v>40</v>
      </c>
      <c r="F37" s="769" cm="1">
        <f t="array" aca="1" ref="F37" ca="1">OFFSET(G37,-1,-1)</f>
        <v>0</v>
      </c>
      <c r="T37" s="679" t="b" cm="1">
        <f t="array" ref="T37">T36</f>
        <v>0</v>
      </c>
      <c r="X37" s="1483"/>
      <c r="Z37" s="1483"/>
      <c r="AB37" s="102" t="s">
        <v>1975</v>
      </c>
      <c r="AC37" s="233" t="s">
        <v>1976</v>
      </c>
      <c r="AD37" s="102" t="s">
        <v>920</v>
      </c>
      <c r="AE37" s="13">
        <f>IFERROR(AE35/AE36,0)</f>
        <v>0</v>
      </c>
      <c r="AF37" s="13">
        <f>IFERROR(AF35/AF36,0)</f>
        <v>0</v>
      </c>
      <c r="AG37" s="91"/>
      <c r="AH37" s="91"/>
      <c r="AI37" s="92"/>
      <c r="AL37" s="971" t="s">
        <v>1960</v>
      </c>
    </row>
    <row r="38" spans="1:38" s="167" customFormat="1" ht="16.7" hidden="1" customHeight="1" x14ac:dyDescent="0.15">
      <c r="E38" s="668">
        <v>17.100000000000001</v>
      </c>
      <c r="F38" s="769" cm="1">
        <f t="array" aca="1" ref="F38" ca="1">OFFSET(G38,-1,-1)</f>
        <v>0</v>
      </c>
      <c r="T38" s="679" t="b" cm="1">
        <f t="array" ref="T38">T37</f>
        <v>0</v>
      </c>
      <c r="X38" s="1483"/>
      <c r="Z38" s="1483"/>
      <c r="AB38" s="102" t="s">
        <v>1977</v>
      </c>
      <c r="AC38" s="233" t="s">
        <v>1962</v>
      </c>
      <c r="AD38" s="102" t="s">
        <v>521</v>
      </c>
      <c r="AE38" s="14"/>
      <c r="AF38" s="14"/>
      <c r="AG38" s="91"/>
      <c r="AH38" s="91"/>
      <c r="AI38" s="92"/>
      <c r="AL38" s="971" t="s">
        <v>1978</v>
      </c>
    </row>
    <row r="39" spans="1:38" s="167" customFormat="1" ht="39" hidden="1" customHeight="1" x14ac:dyDescent="0.15">
      <c r="E39" s="668">
        <v>40</v>
      </c>
      <c r="F39" s="769" cm="1">
        <f t="array" aca="1" ref="F39" ca="1">OFFSET(G39,-1,-1)</f>
        <v>0</v>
      </c>
      <c r="T39" s="679" t="b" cm="1">
        <f t="array" ref="T39">T38</f>
        <v>0</v>
      </c>
      <c r="X39" s="1483"/>
      <c r="Z39" s="1483"/>
      <c r="AB39" s="102" t="s">
        <v>1979</v>
      </c>
      <c r="AC39" s="233" t="s">
        <v>1980</v>
      </c>
      <c r="AD39" s="502" t="s">
        <v>920</v>
      </c>
      <c r="AE39" s="13"/>
      <c r="AF39" s="13"/>
      <c r="AG39" s="89"/>
      <c r="AH39" s="89"/>
      <c r="AI39" s="11"/>
      <c r="AL39" s="971" t="s">
        <v>1966</v>
      </c>
    </row>
    <row r="40" spans="1:38" ht="17.25" hidden="1" customHeight="1" x14ac:dyDescent="0.15">
      <c r="E40" s="668">
        <v>0</v>
      </c>
      <c r="F40" s="769" cm="1">
        <f t="array" aca="1" ref="F40" ca="1">OFFSET(G40,-1,-1)</f>
        <v>0</v>
      </c>
      <c r="T40" s="679" t="b" cm="1">
        <f t="array" ref="T40">T39</f>
        <v>0</v>
      </c>
      <c r="X40" s="1485"/>
      <c r="Z40" s="1485"/>
    </row>
    <row r="41" spans="1:38" s="1291" customFormat="1" ht="16.5" customHeight="1" x14ac:dyDescent="0.15">
      <c r="A41" s="167"/>
      <c r="B41" s="167"/>
      <c r="C41" s="167"/>
      <c r="D41" s="167"/>
      <c r="E41" s="668">
        <v>17.100000000000001</v>
      </c>
      <c r="F41" s="769" t="str" cm="1">
        <f t="array" ref="F41">X41</f>
        <v>1</v>
      </c>
      <c r="G41" s="612" t="str" cm="1">
        <f t="array" ref="G41">INDEX('Общие сведения'!$AK$169:$AK$202,MATCH($F41,'Общие сведения'!$Z$169:$Z$202,0))</f>
        <v>одноставочный</v>
      </c>
      <c r="H41" s="167"/>
      <c r="I41" s="160" t="str" cm="1">
        <f t="array" ref="I41">INDEX('Общие сведения'!$AE$169:$AE$202,MATCH($F41,'Общие сведения'!$Z$169:$Z$202,0))</f>
        <v>Теплоснабжение</v>
      </c>
      <c r="J41" s="167"/>
      <c r="K41" s="160" t="str" cm="1">
        <f t="array" ref="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167"/>
      <c r="M41" s="167"/>
      <c r="N41" s="167"/>
      <c r="O41" s="167"/>
      <c r="P41" s="167"/>
      <c r="Q41" s="167"/>
      <c r="R41" s="167"/>
      <c r="S41" s="167"/>
      <c r="T41" s="679" t="b">
        <f>X41&gt;0</f>
        <v>1</v>
      </c>
      <c r="U41" s="167"/>
      <c r="V41" s="123" t="str" cm="1">
        <f t="array" ref="V41">'Калькуляция (4.6)'!$AB$94</f>
        <v>Тариф 1 (Теплоснабжение) - Тариф на тепловую энергию (мощность), поставляемую потребителям (Не определено)</v>
      </c>
      <c r="W41" s="167"/>
      <c r="X41" s="1597" t="s">
        <v>339</v>
      </c>
      <c r="Y41" s="167"/>
      <c r="Z41" s="1483"/>
      <c r="AA41" s="167"/>
      <c r="AB41" s="271" t="str" cm="1">
        <f t="array" ref="AB41">IF(ISBLANK('Калькуляция (4.6)'!$AB$94),"",'Калькуляция (4.6)'!$AB$94)</f>
        <v>Тариф 1 (Теплоснабжение) - Тариф на тепловую энергию (мощность), поставляемую потребителям (Не определено)</v>
      </c>
      <c r="AC41" s="272"/>
      <c r="AD41" s="272"/>
      <c r="AE41" s="272"/>
      <c r="AF41" s="272"/>
      <c r="AG41" s="272"/>
      <c r="AH41" s="272"/>
      <c r="AI41" s="272"/>
      <c r="AJ41" s="167"/>
      <c r="AK41" s="167"/>
      <c r="AL41" s="971"/>
    </row>
    <row r="42" spans="1:38" s="1291" customFormat="1" ht="16.5" customHeight="1" x14ac:dyDescent="0.15">
      <c r="A42" s="167"/>
      <c r="B42" s="167"/>
      <c r="C42" s="167"/>
      <c r="D42" s="167"/>
      <c r="E42" s="668">
        <v>17.100000000000001</v>
      </c>
      <c r="F42" s="769" t="str" cm="1">
        <f t="array" aca="1" ref="F42" ca="1">OFFSET(G42,-1,-1)</f>
        <v>1</v>
      </c>
      <c r="G42" s="167"/>
      <c r="H42" s="167"/>
      <c r="I42" s="167"/>
      <c r="J42" s="167"/>
      <c r="K42" s="167"/>
      <c r="L42" s="167"/>
      <c r="M42" s="167"/>
      <c r="N42" s="167"/>
      <c r="O42" s="167"/>
      <c r="P42" s="167"/>
      <c r="Q42" s="167"/>
      <c r="R42" s="167"/>
      <c r="S42" s="167"/>
      <c r="T42" s="679" t="b" cm="1">
        <f t="array" ref="T42">T41</f>
        <v>1</v>
      </c>
      <c r="U42" s="167"/>
      <c r="V42" s="167"/>
      <c r="W42" s="167"/>
      <c r="X42" s="1483"/>
      <c r="Y42" s="167"/>
      <c r="Z42" s="1483"/>
      <c r="AA42" s="167"/>
      <c r="AB42" s="502">
        <v>1</v>
      </c>
      <c r="AC42" s="854" t="s">
        <v>1950</v>
      </c>
      <c r="AD42" s="855"/>
      <c r="AE42" s="855"/>
      <c r="AF42" s="855"/>
      <c r="AG42" s="855"/>
      <c r="AH42" s="855"/>
      <c r="AI42" s="855"/>
      <c r="AJ42" s="167"/>
      <c r="AK42" s="167"/>
      <c r="AL42" s="971"/>
    </row>
    <row r="43" spans="1:38" s="1291" customFormat="1" ht="43.5" customHeight="1" x14ac:dyDescent="0.15">
      <c r="A43" s="167"/>
      <c r="B43" s="167"/>
      <c r="C43" s="167"/>
      <c r="D43" s="167"/>
      <c r="E43" s="668">
        <v>45</v>
      </c>
      <c r="F43" s="769" t="str" cm="1">
        <f t="array" aca="1" ref="F43" ca="1">OFFSET(G43,-1,-1)</f>
        <v>1</v>
      </c>
      <c r="G43" s="167"/>
      <c r="H43" s="167"/>
      <c r="I43" s="167"/>
      <c r="J43" s="167"/>
      <c r="K43" s="167"/>
      <c r="L43" s="167"/>
      <c r="M43" s="167"/>
      <c r="N43" s="167"/>
      <c r="O43" s="167"/>
      <c r="P43" s="167"/>
      <c r="Q43" s="167"/>
      <c r="R43" s="167"/>
      <c r="S43" s="167"/>
      <c r="T43" s="679" t="b" cm="1">
        <f t="array" ref="T43">T42</f>
        <v>1</v>
      </c>
      <c r="U43" s="167"/>
      <c r="V43" s="167"/>
      <c r="W43" s="167"/>
      <c r="X43" s="1483"/>
      <c r="Y43" s="167"/>
      <c r="Z43" s="1483"/>
      <c r="AA43" s="167"/>
      <c r="AB43" s="502" t="s">
        <v>1951</v>
      </c>
      <c r="AC43" s="233" t="s">
        <v>1952</v>
      </c>
      <c r="AD43" s="102" t="s">
        <v>1426</v>
      </c>
      <c r="AE43" s="1197"/>
      <c r="AF43" s="1197"/>
      <c r="AG43" s="1340"/>
      <c r="AH43" s="1340"/>
      <c r="AI43" s="1189"/>
      <c r="AJ43" s="167"/>
      <c r="AK43" s="167"/>
      <c r="AL43" s="971" t="s">
        <v>1953</v>
      </c>
    </row>
    <row r="44" spans="1:38" s="1291" customFormat="1" ht="43.5" customHeight="1" x14ac:dyDescent="0.15">
      <c r="A44" s="167"/>
      <c r="B44" s="167"/>
      <c r="C44" s="167"/>
      <c r="D44" s="167"/>
      <c r="E44" s="668">
        <v>45</v>
      </c>
      <c r="F44" s="769" t="str" cm="1">
        <f t="array" aca="1" ref="F44" ca="1">OFFSET(G44,-1,-1)</f>
        <v>1</v>
      </c>
      <c r="G44" s="167"/>
      <c r="H44" s="167"/>
      <c r="I44" s="167"/>
      <c r="J44" s="167"/>
      <c r="K44" s="167"/>
      <c r="L44" s="167"/>
      <c r="M44" s="167"/>
      <c r="N44" s="167"/>
      <c r="O44" s="167"/>
      <c r="P44" s="167"/>
      <c r="Q44" s="167"/>
      <c r="R44" s="167"/>
      <c r="S44" s="167"/>
      <c r="T44" s="679" t="b" cm="1">
        <f t="array" ref="T44">T43</f>
        <v>1</v>
      </c>
      <c r="U44" s="167"/>
      <c r="V44" s="167"/>
      <c r="W44" s="167"/>
      <c r="X44" s="1483"/>
      <c r="Y44" s="167"/>
      <c r="Z44" s="1483"/>
      <c r="AA44" s="167"/>
      <c r="AB44" s="502" t="s">
        <v>1954</v>
      </c>
      <c r="AC44" s="233" t="s">
        <v>1955</v>
      </c>
      <c r="AD44" s="102" t="s">
        <v>489</v>
      </c>
      <c r="AE44" s="1197"/>
      <c r="AF44" s="1197"/>
      <c r="AG44" s="1340"/>
      <c r="AH44" s="1340"/>
      <c r="AI44" s="1189"/>
      <c r="AJ44" s="167"/>
      <c r="AK44" s="167"/>
      <c r="AL44" s="971" t="s">
        <v>1956</v>
      </c>
    </row>
    <row r="45" spans="1:38" s="1291" customFormat="1" ht="39" customHeight="1" x14ac:dyDescent="0.15">
      <c r="A45" s="167"/>
      <c r="B45" s="167"/>
      <c r="C45" s="167"/>
      <c r="D45" s="167"/>
      <c r="E45" s="668">
        <v>40</v>
      </c>
      <c r="F45" s="769" t="str" cm="1">
        <f t="array" aca="1" ref="F45" ca="1">OFFSET(G45,-1,-1)</f>
        <v>1</v>
      </c>
      <c r="G45" s="167"/>
      <c r="H45" s="167"/>
      <c r="I45" s="167"/>
      <c r="J45" s="167"/>
      <c r="K45" s="167"/>
      <c r="L45" s="167"/>
      <c r="M45" s="167"/>
      <c r="N45" s="167"/>
      <c r="O45" s="167"/>
      <c r="P45" s="167"/>
      <c r="Q45" s="167"/>
      <c r="R45" s="167"/>
      <c r="S45" s="167"/>
      <c r="T45" s="679" t="b" cm="1">
        <f t="array" ref="T45">T44</f>
        <v>1</v>
      </c>
      <c r="U45" s="167"/>
      <c r="V45" s="167"/>
      <c r="W45" s="167"/>
      <c r="X45" s="1483"/>
      <c r="Y45" s="167"/>
      <c r="Z45" s="1483"/>
      <c r="AA45" s="167"/>
      <c r="AB45" s="502" t="s">
        <v>1957</v>
      </c>
      <c r="AC45" s="233" t="s">
        <v>1958</v>
      </c>
      <c r="AD45" s="102" t="s">
        <v>1959</v>
      </c>
      <c r="AE45" s="1197">
        <f>IFERROR(AE43/AE44,0)</f>
        <v>0</v>
      </c>
      <c r="AF45" s="1197">
        <f>IFERROR(AF43/AF44,0)</f>
        <v>0</v>
      </c>
      <c r="AG45" s="1340"/>
      <c r="AH45" s="1340"/>
      <c r="AI45" s="1189"/>
      <c r="AJ45" s="167"/>
      <c r="AK45" s="167"/>
      <c r="AL45" s="971" t="s">
        <v>1960</v>
      </c>
    </row>
    <row r="46" spans="1:38" s="1291" customFormat="1" ht="16.5" customHeight="1" x14ac:dyDescent="0.15">
      <c r="A46" s="167"/>
      <c r="B46" s="167"/>
      <c r="C46" s="167"/>
      <c r="D46" s="167"/>
      <c r="E46" s="668">
        <v>17.100000000000001</v>
      </c>
      <c r="F46" s="769" t="str" cm="1">
        <f t="array" aca="1" ref="F46" ca="1">OFFSET(G46,-1,-1)</f>
        <v>1</v>
      </c>
      <c r="G46" s="167"/>
      <c r="H46" s="167"/>
      <c r="I46" s="167"/>
      <c r="J46" s="167"/>
      <c r="K46" s="167"/>
      <c r="L46" s="167"/>
      <c r="M46" s="167"/>
      <c r="N46" s="167"/>
      <c r="O46" s="167"/>
      <c r="P46" s="167"/>
      <c r="Q46" s="167"/>
      <c r="R46" s="167"/>
      <c r="S46" s="167"/>
      <c r="T46" s="679" t="b" cm="1">
        <f t="array" ref="T46">T45</f>
        <v>1</v>
      </c>
      <c r="U46" s="167"/>
      <c r="V46" s="167"/>
      <c r="W46" s="167"/>
      <c r="X46" s="1483"/>
      <c r="Y46" s="167"/>
      <c r="Z46" s="1483"/>
      <c r="AA46" s="167"/>
      <c r="AB46" s="502" t="s">
        <v>1961</v>
      </c>
      <c r="AC46" s="233" t="s">
        <v>1962</v>
      </c>
      <c r="AD46" s="102" t="s">
        <v>521</v>
      </c>
      <c r="AE46" s="1341"/>
      <c r="AF46" s="1341"/>
      <c r="AG46" s="1340"/>
      <c r="AH46" s="1340"/>
      <c r="AI46" s="1189"/>
      <c r="AJ46" s="167"/>
      <c r="AK46" s="167"/>
      <c r="AL46" s="971" t="s">
        <v>1963</v>
      </c>
    </row>
    <row r="47" spans="1:38" s="1291" customFormat="1" ht="39" customHeight="1" x14ac:dyDescent="0.15">
      <c r="A47" s="167"/>
      <c r="B47" s="167"/>
      <c r="C47" s="167"/>
      <c r="D47" s="167"/>
      <c r="E47" s="668">
        <v>40</v>
      </c>
      <c r="F47" s="769" t="str" cm="1">
        <f t="array" aca="1" ref="F47" ca="1">OFFSET(G47,-1,-1)</f>
        <v>1</v>
      </c>
      <c r="G47" s="167"/>
      <c r="H47" s="167"/>
      <c r="I47" s="167"/>
      <c r="J47" s="167"/>
      <c r="K47" s="167"/>
      <c r="L47" s="167"/>
      <c r="M47" s="167"/>
      <c r="N47" s="167"/>
      <c r="O47" s="167"/>
      <c r="P47" s="167"/>
      <c r="Q47" s="167"/>
      <c r="R47" s="167"/>
      <c r="S47" s="167"/>
      <c r="T47" s="679" t="b" cm="1">
        <f t="array" ref="T47">T46</f>
        <v>1</v>
      </c>
      <c r="U47" s="167"/>
      <c r="V47" s="167"/>
      <c r="W47" s="167"/>
      <c r="X47" s="1483"/>
      <c r="Y47" s="167"/>
      <c r="Z47" s="1483"/>
      <c r="AA47" s="167"/>
      <c r="AB47" s="858" t="s">
        <v>1964</v>
      </c>
      <c r="AC47" s="856" t="s">
        <v>1965</v>
      </c>
      <c r="AD47" s="857" t="s">
        <v>1959</v>
      </c>
      <c r="AE47" s="1200"/>
      <c r="AF47" s="1200"/>
      <c r="AG47" s="1342"/>
      <c r="AH47" s="1342"/>
      <c r="AI47" s="1343"/>
      <c r="AJ47" s="167"/>
      <c r="AK47" s="167"/>
      <c r="AL47" s="971" t="s">
        <v>1966</v>
      </c>
    </row>
    <row r="48" spans="1:38" s="1291" customFormat="1" ht="16.5" customHeight="1" x14ac:dyDescent="0.15">
      <c r="A48" s="167"/>
      <c r="B48" s="167"/>
      <c r="C48" s="167"/>
      <c r="D48" s="167"/>
      <c r="E48" s="668">
        <v>17.100000000000001</v>
      </c>
      <c r="F48" s="769" t="str" cm="1">
        <f t="array" aca="1" ref="F48" ca="1">OFFSET(G48,-1,-1)</f>
        <v>1</v>
      </c>
      <c r="G48" s="167"/>
      <c r="H48" s="167"/>
      <c r="I48" s="167"/>
      <c r="J48" s="167"/>
      <c r="K48" s="167"/>
      <c r="L48" s="167"/>
      <c r="M48" s="167"/>
      <c r="N48" s="167"/>
      <c r="O48" s="167"/>
      <c r="P48" s="167"/>
      <c r="Q48" s="167"/>
      <c r="R48" s="167"/>
      <c r="S48" s="167"/>
      <c r="T48" s="679" t="b" cm="1">
        <f t="array" ref="T48">T47</f>
        <v>1</v>
      </c>
      <c r="U48" s="167"/>
      <c r="V48" s="167"/>
      <c r="W48" s="167"/>
      <c r="X48" s="1483"/>
      <c r="Y48" s="167"/>
      <c r="Z48" s="1483"/>
      <c r="AA48" s="167"/>
      <c r="AB48" s="102">
        <v>2</v>
      </c>
      <c r="AC48" s="854" t="s">
        <v>1967</v>
      </c>
      <c r="AD48" s="855"/>
      <c r="AE48" s="868"/>
      <c r="AF48" s="868"/>
      <c r="AG48" s="855"/>
      <c r="AH48" s="855"/>
      <c r="AI48" s="855"/>
      <c r="AJ48" s="167"/>
      <c r="AK48" s="167"/>
      <c r="AL48" s="971"/>
    </row>
    <row r="49" spans="1:38" s="1291" customFormat="1" ht="43.5" customHeight="1" x14ac:dyDescent="0.15">
      <c r="A49" s="167"/>
      <c r="B49" s="167"/>
      <c r="C49" s="167"/>
      <c r="D49" s="167"/>
      <c r="E49" s="668">
        <v>45</v>
      </c>
      <c r="F49" s="769" t="str" cm="1">
        <f t="array" aca="1" ref="F49" ca="1">OFFSET(G49,-1,-1)</f>
        <v>1</v>
      </c>
      <c r="G49" s="167"/>
      <c r="H49" s="167"/>
      <c r="I49" s="167"/>
      <c r="J49" s="167"/>
      <c r="K49" s="167"/>
      <c r="L49" s="167"/>
      <c r="M49" s="167"/>
      <c r="N49" s="167"/>
      <c r="O49" s="167"/>
      <c r="P49" s="167"/>
      <c r="Q49" s="167"/>
      <c r="R49" s="167"/>
      <c r="S49" s="167"/>
      <c r="T49" s="679" t="b" cm="1">
        <f t="array" ref="T49">T48</f>
        <v>1</v>
      </c>
      <c r="U49" s="167"/>
      <c r="V49" s="167"/>
      <c r="W49" s="167"/>
      <c r="X49" s="1483"/>
      <c r="Y49" s="167"/>
      <c r="Z49" s="1483"/>
      <c r="AA49" s="167"/>
      <c r="AB49" s="102" t="s">
        <v>1968</v>
      </c>
      <c r="AC49" s="233" t="s">
        <v>1969</v>
      </c>
      <c r="AD49" s="102" t="s">
        <v>1426</v>
      </c>
      <c r="AE49" s="1200"/>
      <c r="AF49" s="1200"/>
      <c r="AG49" s="1342"/>
      <c r="AH49" s="1342"/>
      <c r="AI49" s="1343"/>
      <c r="AJ49" s="167"/>
      <c r="AK49" s="167"/>
      <c r="AL49" s="971" t="s">
        <v>1970</v>
      </c>
    </row>
    <row r="50" spans="1:38" s="1291" customFormat="1" ht="39" customHeight="1" x14ac:dyDescent="0.15">
      <c r="A50" s="167"/>
      <c r="B50" s="167"/>
      <c r="C50" s="167"/>
      <c r="D50" s="167"/>
      <c r="E50" s="668">
        <v>40</v>
      </c>
      <c r="F50" s="769" t="str" cm="1">
        <f t="array" aca="1" ref="F50" ca="1">OFFSET(G50,-1,-1)</f>
        <v>1</v>
      </c>
      <c r="G50" s="167"/>
      <c r="H50" s="167"/>
      <c r="I50" s="167"/>
      <c r="J50" s="167"/>
      <c r="K50" s="167"/>
      <c r="L50" s="167"/>
      <c r="M50" s="167"/>
      <c r="N50" s="167"/>
      <c r="O50" s="167"/>
      <c r="P50" s="167"/>
      <c r="Q50" s="167"/>
      <c r="R50" s="167"/>
      <c r="S50" s="167"/>
      <c r="T50" s="679" t="b" cm="1">
        <f t="array" ref="T50">T49</f>
        <v>1</v>
      </c>
      <c r="U50" s="167"/>
      <c r="V50" s="167"/>
      <c r="W50" s="167"/>
      <c r="X50" s="1483"/>
      <c r="Y50" s="167"/>
      <c r="Z50" s="1483"/>
      <c r="AA50" s="167"/>
      <c r="AB50" s="102" t="s">
        <v>1971</v>
      </c>
      <c r="AC50" s="233" t="s">
        <v>1972</v>
      </c>
      <c r="AD50" s="102" t="s">
        <v>1973</v>
      </c>
      <c r="AE50" s="1200"/>
      <c r="AF50" s="1200"/>
      <c r="AG50" s="1342"/>
      <c r="AH50" s="1342"/>
      <c r="AI50" s="1343"/>
      <c r="AJ50" s="167"/>
      <c r="AK50" s="167"/>
      <c r="AL50" s="971" t="s">
        <v>1974</v>
      </c>
    </row>
    <row r="51" spans="1:38" s="1291" customFormat="1" ht="39" customHeight="1" x14ac:dyDescent="0.15">
      <c r="A51" s="167"/>
      <c r="B51" s="167"/>
      <c r="C51" s="167"/>
      <c r="D51" s="167"/>
      <c r="E51" s="668">
        <v>40</v>
      </c>
      <c r="F51" s="769" t="str" cm="1">
        <f t="array" aca="1" ref="F51" ca="1">OFFSET(G51,-1,-1)</f>
        <v>1</v>
      </c>
      <c r="G51" s="167"/>
      <c r="H51" s="167"/>
      <c r="I51" s="167"/>
      <c r="J51" s="167"/>
      <c r="K51" s="167"/>
      <c r="L51" s="167"/>
      <c r="M51" s="167"/>
      <c r="N51" s="167"/>
      <c r="O51" s="167"/>
      <c r="P51" s="167"/>
      <c r="Q51" s="167"/>
      <c r="R51" s="167"/>
      <c r="S51" s="167"/>
      <c r="T51" s="679" t="b" cm="1">
        <f t="array" ref="T51">T50</f>
        <v>1</v>
      </c>
      <c r="U51" s="167"/>
      <c r="V51" s="167"/>
      <c r="W51" s="167"/>
      <c r="X51" s="1483"/>
      <c r="Y51" s="167"/>
      <c r="Z51" s="1483"/>
      <c r="AA51" s="167"/>
      <c r="AB51" s="102" t="s">
        <v>1975</v>
      </c>
      <c r="AC51" s="233" t="s">
        <v>1976</v>
      </c>
      <c r="AD51" s="102" t="s">
        <v>920</v>
      </c>
      <c r="AE51" s="1197">
        <f>IFERROR(AE49/AE50,0)</f>
        <v>0</v>
      </c>
      <c r="AF51" s="1197">
        <f>IFERROR(AF49/AF50,0)</f>
        <v>0</v>
      </c>
      <c r="AG51" s="1342"/>
      <c r="AH51" s="1342"/>
      <c r="AI51" s="1343"/>
      <c r="AJ51" s="167"/>
      <c r="AK51" s="167"/>
      <c r="AL51" s="971" t="s">
        <v>1960</v>
      </c>
    </row>
    <row r="52" spans="1:38" s="1291" customFormat="1" ht="16.5" customHeight="1" x14ac:dyDescent="0.15">
      <c r="A52" s="167"/>
      <c r="B52" s="167"/>
      <c r="C52" s="167"/>
      <c r="D52" s="167"/>
      <c r="E52" s="668">
        <v>17.100000000000001</v>
      </c>
      <c r="F52" s="769" t="str" cm="1">
        <f t="array" aca="1" ref="F52" ca="1">OFFSET(G52,-1,-1)</f>
        <v>1</v>
      </c>
      <c r="G52" s="167"/>
      <c r="H52" s="167"/>
      <c r="I52" s="167"/>
      <c r="J52" s="167"/>
      <c r="K52" s="167"/>
      <c r="L52" s="167"/>
      <c r="M52" s="167"/>
      <c r="N52" s="167"/>
      <c r="O52" s="167"/>
      <c r="P52" s="167"/>
      <c r="Q52" s="167"/>
      <c r="R52" s="167"/>
      <c r="S52" s="167"/>
      <c r="T52" s="679" t="b" cm="1">
        <f t="array" ref="T52">T51</f>
        <v>1</v>
      </c>
      <c r="U52" s="167"/>
      <c r="V52" s="167"/>
      <c r="W52" s="167"/>
      <c r="X52" s="1483"/>
      <c r="Y52" s="167"/>
      <c r="Z52" s="1483"/>
      <c r="AA52" s="167"/>
      <c r="AB52" s="102" t="s">
        <v>1977</v>
      </c>
      <c r="AC52" s="233" t="s">
        <v>1962</v>
      </c>
      <c r="AD52" s="102" t="s">
        <v>521</v>
      </c>
      <c r="AE52" s="1200"/>
      <c r="AF52" s="1200"/>
      <c r="AG52" s="1342"/>
      <c r="AH52" s="1342"/>
      <c r="AI52" s="1343"/>
      <c r="AJ52" s="167"/>
      <c r="AK52" s="167"/>
      <c r="AL52" s="971" t="s">
        <v>1978</v>
      </c>
    </row>
    <row r="53" spans="1:38" s="1291" customFormat="1" ht="39" customHeight="1" x14ac:dyDescent="0.15">
      <c r="A53" s="167"/>
      <c r="B53" s="167"/>
      <c r="C53" s="167"/>
      <c r="D53" s="167"/>
      <c r="E53" s="668">
        <v>40</v>
      </c>
      <c r="F53" s="769" t="str" cm="1">
        <f t="array" aca="1" ref="F53" ca="1">OFFSET(G53,-1,-1)</f>
        <v>1</v>
      </c>
      <c r="G53" s="167"/>
      <c r="H53" s="167"/>
      <c r="I53" s="167"/>
      <c r="J53" s="167"/>
      <c r="K53" s="167"/>
      <c r="L53" s="167"/>
      <c r="M53" s="167"/>
      <c r="N53" s="167"/>
      <c r="O53" s="167"/>
      <c r="P53" s="167"/>
      <c r="Q53" s="167"/>
      <c r="R53" s="167"/>
      <c r="S53" s="167"/>
      <c r="T53" s="679" t="b" cm="1">
        <f t="array" ref="T53">T52</f>
        <v>1</v>
      </c>
      <c r="U53" s="167"/>
      <c r="V53" s="167"/>
      <c r="W53" s="167"/>
      <c r="X53" s="1483"/>
      <c r="Y53" s="167"/>
      <c r="Z53" s="1483"/>
      <c r="AA53" s="167"/>
      <c r="AB53" s="102" t="s">
        <v>1979</v>
      </c>
      <c r="AC53" s="233" t="s">
        <v>1980</v>
      </c>
      <c r="AD53" s="502" t="s">
        <v>920</v>
      </c>
      <c r="AE53" s="1197"/>
      <c r="AF53" s="1197"/>
      <c r="AG53" s="1340"/>
      <c r="AH53" s="1340"/>
      <c r="AI53" s="1189"/>
      <c r="AJ53" s="167"/>
      <c r="AK53" s="167"/>
      <c r="AL53" s="971" t="s">
        <v>1966</v>
      </c>
    </row>
    <row r="54" spans="1:38" s="1167" customFormat="1" ht="17.25" hidden="1" customHeight="1" x14ac:dyDescent="0.15">
      <c r="A54" s="973"/>
      <c r="B54" s="773"/>
      <c r="C54" s="175"/>
      <c r="D54" s="175"/>
      <c r="E54" s="668">
        <v>0</v>
      </c>
      <c r="F54" s="769" t="str" cm="1">
        <f t="array" aca="1" ref="F54" ca="1">OFFSET(G54,-1,-1)</f>
        <v>1</v>
      </c>
      <c r="G54" s="177"/>
      <c r="H54" s="177"/>
      <c r="I54" s="177"/>
      <c r="J54" s="177"/>
      <c r="K54" s="177"/>
      <c r="L54" s="177"/>
      <c r="M54" s="177"/>
      <c r="N54" s="177"/>
      <c r="O54" s="177"/>
      <c r="P54" s="177"/>
      <c r="Q54" s="140"/>
      <c r="R54" s="140"/>
      <c r="S54" s="177"/>
      <c r="T54" s="679" t="b" cm="1">
        <f t="array" ref="T54">T53</f>
        <v>1</v>
      </c>
      <c r="U54" s="1152"/>
      <c r="V54" s="1152"/>
      <c r="W54" s="1152"/>
      <c r="X54" s="1485"/>
      <c r="Y54" s="1152"/>
      <c r="Z54" s="1485"/>
      <c r="AA54" s="177"/>
      <c r="AB54" s="175"/>
      <c r="AC54" s="176"/>
      <c r="AD54" s="175"/>
      <c r="AE54" s="177"/>
      <c r="AF54" s="177"/>
      <c r="AG54" s="177"/>
      <c r="AH54" s="177"/>
      <c r="AI54" s="177"/>
      <c r="AJ54" s="177"/>
      <c r="AK54" s="177"/>
      <c r="AL54" s="1021"/>
    </row>
    <row r="55" spans="1:38" ht="9.9499999999999993" customHeight="1" x14ac:dyDescent="0.15">
      <c r="E55" s="668">
        <v>10.199999999999999</v>
      </c>
      <c r="U55" s="126" t="s">
        <v>239</v>
      </c>
      <c r="V55" s="119" t="s">
        <v>1981</v>
      </c>
    </row>
    <row r="56" spans="1:38" ht="11.25" hidden="1" customHeight="1" x14ac:dyDescent="0.15">
      <c r="E56" s="668">
        <v>0</v>
      </c>
    </row>
    <row r="57" spans="1:38" ht="14.65" customHeight="1" x14ac:dyDescent="0.15">
      <c r="E57" s="668">
        <v>15</v>
      </c>
      <c r="AB57" s="1601" t="s">
        <v>725</v>
      </c>
      <c r="AC57" s="1602"/>
      <c r="AD57" s="1602"/>
      <c r="AE57" s="1602"/>
      <c r="AF57" s="1602"/>
      <c r="AG57" s="1602"/>
      <c r="AH57" s="1602"/>
      <c r="AI57" s="1603"/>
    </row>
    <row r="58" spans="1:38" ht="14.65" customHeight="1" x14ac:dyDescent="0.15">
      <c r="E58" s="668">
        <v>15</v>
      </c>
      <c r="AA58" s="768"/>
      <c r="AB58" s="1604"/>
      <c r="AC58" s="1605"/>
      <c r="AD58" s="1605"/>
      <c r="AE58" s="1605"/>
      <c r="AF58" s="1605"/>
      <c r="AG58" s="1605"/>
      <c r="AH58" s="1605"/>
      <c r="AI58" s="1606"/>
    </row>
    <row r="59" spans="1:38" ht="14.65" hidden="1" customHeight="1" x14ac:dyDescent="0.15">
      <c r="E59" s="668">
        <v>15</v>
      </c>
      <c r="T59" s="679" t="b">
        <f>ROW(W59)&gt;ROW(W$59)</f>
        <v>0</v>
      </c>
      <c r="W59" s="123" t="s">
        <v>237</v>
      </c>
      <c r="AA59" s="764" t="s">
        <v>218</v>
      </c>
      <c r="AB59" s="1607"/>
      <c r="AC59" s="1608"/>
      <c r="AD59" s="1608"/>
      <c r="AE59" s="1608"/>
      <c r="AF59" s="1608"/>
      <c r="AG59" s="1608"/>
      <c r="AH59" s="1608"/>
      <c r="AI59" s="1609"/>
    </row>
    <row r="60" spans="1:38" ht="14.65" customHeight="1" x14ac:dyDescent="0.15">
      <c r="E60" s="668">
        <v>15</v>
      </c>
      <c r="W60" s="119" t="s">
        <v>1982</v>
      </c>
      <c r="AA60" s="160"/>
      <c r="AB60" s="1500" t="s">
        <v>726</v>
      </c>
      <c r="AC60" s="1501"/>
      <c r="AD60" s="822"/>
      <c r="AE60" s="317"/>
      <c r="AF60" s="317"/>
      <c r="AG60" s="317"/>
      <c r="AH60" s="317"/>
      <c r="AI60" s="290"/>
    </row>
  </sheetData>
  <sheetProtection formatColumns="0" formatRows="0" insertRows="0" deleteColumns="0" deleteRows="0" sort="0" autoFilter="0"/>
  <mergeCells count="15">
    <mergeCell ref="AB60:AC60"/>
    <mergeCell ref="X27:X40"/>
    <mergeCell ref="Z27:Z40"/>
    <mergeCell ref="AB57:AI57"/>
    <mergeCell ref="AB58:AI58"/>
    <mergeCell ref="AB59:AI59"/>
    <mergeCell ref="X41:X54"/>
    <mergeCell ref="Z41:Z54"/>
    <mergeCell ref="AB22:AI22"/>
    <mergeCell ref="AH24:AH25"/>
    <mergeCell ref="AI24:AI25"/>
    <mergeCell ref="AB24:AB25"/>
    <mergeCell ref="AC24:AC25"/>
    <mergeCell ref="AD24:AD25"/>
    <mergeCell ref="AG24:AG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AD4D8-6138-B38C-464A-8E64C59D2398}">
  <sheetPr>
    <tabColor theme="3" tint="0.59999389629810485"/>
  </sheetPr>
  <dimension ref="A1:C2"/>
  <sheetViews>
    <sheetView workbookViewId="0"/>
  </sheetViews>
  <sheetFormatPr defaultRowHeight="11.25" customHeight="1" x14ac:dyDescent="0.15"/>
  <cols>
    <col min="1" max="1" width="37.140625" customWidth="1"/>
    <col min="2" max="2" width="25.7109375" customWidth="1"/>
    <col min="3" max="3" width="64.5703125" customWidth="1"/>
  </cols>
  <sheetData>
    <row r="1" spans="1:3" ht="11.25" customHeight="1" x14ac:dyDescent="0.15">
      <c r="A1" s="933" t="s">
        <v>80</v>
      </c>
      <c r="B1" s="933" t="s">
        <v>81</v>
      </c>
      <c r="C1" s="933" t="s">
        <v>82</v>
      </c>
    </row>
    <row r="2" spans="1:3" ht="11.25" customHeight="1" x14ac:dyDescent="0.15">
      <c r="A2" s="934"/>
      <c r="B2" s="934"/>
      <c r="C2" s="93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0866B-3FF8-8D03-B09B-EA1CB9B23D68}">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3" hidden="1" customWidth="1"/>
    <col min="2" max="2" width="8.5703125" style="773" hidden="1" customWidth="1"/>
    <col min="3" max="4" width="3.5703125" style="175" hidden="1" customWidth="1"/>
    <col min="5" max="5" width="8.42578125" style="772" hidden="1" customWidth="1"/>
    <col min="6" max="6" width="6.42578125" style="175" hidden="1" customWidth="1"/>
    <col min="7" max="10" width="3.5703125" style="177" hidden="1" customWidth="1"/>
    <col min="11" max="11" width="7.140625" style="177" hidden="1" customWidth="1"/>
    <col min="12" max="16" width="3.5703125" style="177" hidden="1" customWidth="1"/>
    <col min="17" max="17" width="3.5703125" style="140" hidden="1" customWidth="1"/>
    <col min="18" max="18" width="22.85546875" style="140" hidden="1" customWidth="1"/>
    <col min="19" max="19" width="3.5703125" style="177"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7" customWidth="1"/>
    <col min="28" max="28" width="8.140625" style="175" customWidth="1"/>
    <col min="29" max="29" width="70.140625" style="176" customWidth="1"/>
    <col min="30" max="30" width="14.42578125" style="175" customWidth="1"/>
    <col min="31" max="32" width="15" style="177" customWidth="1"/>
    <col min="33" max="33" width="19" style="177" customWidth="1"/>
    <col min="34" max="34" width="17.28515625" style="177" customWidth="1"/>
    <col min="35" max="35" width="31.28515625" style="177" customWidth="1"/>
    <col min="36" max="36" width="3" style="177" customWidth="1"/>
    <col min="37" max="37" width="9.140625" style="177" hidden="1"/>
    <col min="38" max="40" width="9.140625" style="1021" hidden="1"/>
    <col min="41" max="42" width="9.140625" style="1022" hidden="1"/>
  </cols>
  <sheetData>
    <row r="1" spans="1:42" s="175" customFormat="1" ht="12" hidden="1" customHeight="1" x14ac:dyDescent="0.15">
      <c r="A1" s="973"/>
      <c r="B1" s="659"/>
      <c r="E1" s="659"/>
      <c r="F1" s="690" t="s">
        <v>83</v>
      </c>
      <c r="G1" s="177"/>
      <c r="H1" s="177"/>
      <c r="I1" s="177"/>
      <c r="J1" s="177"/>
      <c r="K1" s="177"/>
      <c r="L1" s="177"/>
      <c r="M1" s="177"/>
      <c r="N1" s="177"/>
      <c r="O1" s="177"/>
      <c r="P1" s="177"/>
      <c r="Q1" s="140"/>
      <c r="R1" s="140"/>
      <c r="S1" s="177"/>
      <c r="T1" s="679" t="s">
        <v>86</v>
      </c>
      <c r="U1" s="679" t="s">
        <v>91</v>
      </c>
      <c r="V1" s="679" t="s">
        <v>87</v>
      </c>
      <c r="W1" s="679" t="s">
        <v>88</v>
      </c>
      <c r="X1" s="679" t="s">
        <v>89</v>
      </c>
      <c r="Y1" s="690" t="s">
        <v>374</v>
      </c>
      <c r="Z1" s="679" t="s">
        <v>93</v>
      </c>
      <c r="AA1" s="690" t="s">
        <v>90</v>
      </c>
      <c r="AB1" s="690" t="s">
        <v>92</v>
      </c>
      <c r="AC1" s="690" t="s">
        <v>92</v>
      </c>
      <c r="AL1" s="1021" t="s">
        <v>375</v>
      </c>
      <c r="AM1" s="1021" t="s">
        <v>376</v>
      </c>
      <c r="AN1" s="1021" t="s">
        <v>377</v>
      </c>
      <c r="AO1" s="1022" t="s">
        <v>380</v>
      </c>
      <c r="AP1" s="1022" t="s">
        <v>381</v>
      </c>
    </row>
    <row r="2" spans="1:42" s="773" customFormat="1" ht="12" hidden="1" customHeight="1" x14ac:dyDescent="0.15">
      <c r="A2" s="981"/>
      <c r="B2" s="758" t="s">
        <v>15</v>
      </c>
      <c r="G2" s="776"/>
      <c r="H2" s="776"/>
      <c r="I2" s="776"/>
      <c r="J2" s="776"/>
      <c r="K2" s="776"/>
      <c r="L2" s="776"/>
      <c r="M2" s="776"/>
      <c r="N2" s="776"/>
      <c r="O2" s="776"/>
      <c r="P2" s="776"/>
      <c r="Q2" s="776"/>
      <c r="R2" s="776"/>
      <c r="S2" s="776"/>
      <c r="AC2" s="663"/>
      <c r="AL2" s="963"/>
      <c r="AM2" s="963"/>
      <c r="AN2" s="963"/>
      <c r="AO2" s="975"/>
      <c r="AP2" s="975"/>
    </row>
    <row r="3" spans="1:42" s="175" customFormat="1" ht="12" hidden="1" customHeight="1" x14ac:dyDescent="0.15">
      <c r="A3" s="973"/>
      <c r="B3" s="659"/>
      <c r="E3" s="659"/>
      <c r="G3" s="177"/>
      <c r="H3" s="177"/>
      <c r="I3" s="177"/>
      <c r="J3" s="177"/>
      <c r="K3" s="177"/>
      <c r="L3" s="177"/>
      <c r="M3" s="177"/>
      <c r="N3" s="177"/>
      <c r="O3" s="177"/>
      <c r="P3" s="177"/>
      <c r="Q3" s="140"/>
      <c r="R3" s="140"/>
      <c r="S3" s="177"/>
      <c r="T3" s="123"/>
      <c r="U3" s="123"/>
      <c r="V3" s="123"/>
      <c r="W3" s="123"/>
      <c r="X3" s="123"/>
      <c r="Y3" s="123"/>
      <c r="Z3" s="123"/>
      <c r="AC3" s="179"/>
      <c r="AL3" s="1021"/>
      <c r="AM3" s="1021"/>
      <c r="AN3" s="1021"/>
      <c r="AO3" s="1022"/>
      <c r="AP3" s="1022"/>
    </row>
    <row r="4" spans="1:42" s="175" customFormat="1" ht="12" hidden="1" customHeight="1" x14ac:dyDescent="0.15">
      <c r="A4" s="973"/>
      <c r="B4" s="659"/>
      <c r="E4" s="659"/>
      <c r="G4" s="177"/>
      <c r="H4" s="177"/>
      <c r="I4" s="177"/>
      <c r="J4" s="177"/>
      <c r="K4" s="177"/>
      <c r="L4" s="177"/>
      <c r="M4" s="177"/>
      <c r="N4" s="177"/>
      <c r="O4" s="177"/>
      <c r="P4" s="177"/>
      <c r="Q4" s="140"/>
      <c r="R4" s="140"/>
      <c r="S4" s="177"/>
      <c r="T4" s="123"/>
      <c r="U4" s="123"/>
      <c r="V4" s="123"/>
      <c r="W4" s="123"/>
      <c r="X4" s="123"/>
      <c r="Y4" s="123"/>
      <c r="Z4" s="123"/>
      <c r="AC4" s="179"/>
      <c r="AL4" s="1021"/>
      <c r="AM4" s="1021"/>
      <c r="AN4" s="1021"/>
      <c r="AO4" s="1022"/>
      <c r="AP4" s="1022"/>
    </row>
    <row r="5" spans="1:42" s="772" customFormat="1" ht="12" hidden="1" customHeight="1" x14ac:dyDescent="0.15">
      <c r="A5" s="981"/>
      <c r="B5" s="659"/>
      <c r="C5" s="659"/>
      <c r="D5" s="659"/>
      <c r="E5" s="668" t="s">
        <v>16</v>
      </c>
      <c r="G5" s="777"/>
      <c r="H5" s="777"/>
      <c r="I5" s="777"/>
      <c r="J5" s="777"/>
      <c r="K5" s="777"/>
      <c r="L5" s="777"/>
      <c r="M5" s="777"/>
      <c r="N5" s="777"/>
      <c r="O5" s="777"/>
      <c r="P5" s="777"/>
      <c r="Q5" s="777"/>
      <c r="R5" s="777"/>
      <c r="S5" s="777"/>
      <c r="AA5" s="668">
        <v>3</v>
      </c>
      <c r="AB5" s="668">
        <v>8.1300000000000008</v>
      </c>
      <c r="AC5" s="674">
        <v>70.13</v>
      </c>
      <c r="AD5" s="668">
        <v>14.38</v>
      </c>
      <c r="AE5" s="668">
        <v>15</v>
      </c>
      <c r="AF5" s="668">
        <v>15</v>
      </c>
      <c r="AG5" s="668">
        <v>19</v>
      </c>
      <c r="AH5" s="668">
        <v>17.25</v>
      </c>
      <c r="AI5" s="668">
        <v>31.25</v>
      </c>
      <c r="AJ5" s="668">
        <v>3</v>
      </c>
      <c r="AL5" s="963"/>
      <c r="AM5" s="963"/>
      <c r="AN5" s="963"/>
      <c r="AO5" s="975"/>
      <c r="AP5" s="975"/>
    </row>
    <row r="6" spans="1:42" s="175" customFormat="1" ht="12" hidden="1" customHeight="1" x14ac:dyDescent="0.15">
      <c r="A6" s="973"/>
      <c r="B6" s="659"/>
      <c r="E6" s="668"/>
      <c r="G6" s="177"/>
      <c r="H6" s="177"/>
      <c r="I6" s="177"/>
      <c r="J6" s="177"/>
      <c r="K6" s="177"/>
      <c r="L6" s="177"/>
      <c r="M6" s="177"/>
      <c r="N6" s="177"/>
      <c r="O6" s="177"/>
      <c r="P6" s="177"/>
      <c r="Q6" s="140"/>
      <c r="R6" s="140"/>
      <c r="S6" s="177"/>
      <c r="T6" s="123"/>
      <c r="U6" s="123"/>
      <c r="V6" s="123"/>
      <c r="W6" s="123"/>
      <c r="X6" s="123"/>
      <c r="Y6" s="123"/>
      <c r="Z6" s="123"/>
      <c r="AC6" s="179"/>
      <c r="AE6" s="175">
        <f>god-2</f>
        <v>2024</v>
      </c>
      <c r="AF6" s="175" cm="1">
        <f t="array" ref="AF6">god</f>
        <v>2026</v>
      </c>
      <c r="AL6" s="1021"/>
      <c r="AM6" s="1021"/>
      <c r="AN6" s="1021"/>
      <c r="AO6" s="1022"/>
      <c r="AP6" s="1022"/>
    </row>
    <row r="7" spans="1:42" ht="12" hidden="1" customHeight="1" x14ac:dyDescent="0.15">
      <c r="F7" s="177"/>
      <c r="T7" s="160"/>
      <c r="U7" s="160"/>
      <c r="V7" s="160"/>
      <c r="W7" s="160"/>
      <c r="X7" s="160"/>
      <c r="Y7" s="160"/>
      <c r="Z7" s="160"/>
      <c r="AB7" s="177"/>
      <c r="AD7" s="177"/>
      <c r="AE7" s="160" t="str" cm="1">
        <f t="array" ref="AE7">AE25</f>
        <v>Предложение организации</v>
      </c>
      <c r="AF7" s="160" t="str" cm="1">
        <f t="array" ref="AF7">AF25</f>
        <v>Версия органа регулирования</v>
      </c>
    </row>
    <row r="8" spans="1:42" ht="12" hidden="1" customHeight="1" x14ac:dyDescent="0.15">
      <c r="F8" s="177"/>
      <c r="T8" s="160"/>
      <c r="U8" s="160"/>
      <c r="V8" s="160"/>
      <c r="W8" s="160"/>
      <c r="X8" s="160"/>
      <c r="Y8" s="160"/>
      <c r="Z8" s="160"/>
      <c r="AB8" s="177"/>
      <c r="AD8" s="177"/>
      <c r="AE8" s="160" t="str">
        <f>AE6&amp;AE7</f>
        <v>2024Предложение организации</v>
      </c>
      <c r="AF8" s="160" t="str">
        <f>AF6&amp;AF7</f>
        <v>2026Версия органа регулирования</v>
      </c>
    </row>
    <row r="9" spans="1:42" s="1020" customFormat="1" ht="12" hidden="1" customHeight="1" x14ac:dyDescent="0.15">
      <c r="A9" s="948" t="s">
        <v>461</v>
      </c>
      <c r="B9" s="941"/>
      <c r="E9" s="941"/>
      <c r="Q9" s="998"/>
      <c r="R9" s="998"/>
      <c r="T9" s="949"/>
      <c r="U9" s="949"/>
      <c r="V9" s="949"/>
      <c r="W9" s="949"/>
      <c r="X9" s="949"/>
      <c r="Y9" s="949"/>
      <c r="Z9" s="949"/>
      <c r="AE9" s="1020">
        <f>god-2</f>
        <v>2024</v>
      </c>
      <c r="AF9" s="1020" cm="1">
        <f t="array" ref="AF9">god</f>
        <v>2026</v>
      </c>
      <c r="AL9" s="1021"/>
      <c r="AM9" s="1021"/>
      <c r="AN9" s="1021"/>
      <c r="AO9" s="1022"/>
      <c r="AP9" s="1022"/>
    </row>
    <row r="10" spans="1:42" s="1020" customFormat="1" ht="12" hidden="1" customHeight="1" x14ac:dyDescent="0.15">
      <c r="A10" s="948" t="s">
        <v>462</v>
      </c>
      <c r="B10" s="941"/>
      <c r="E10" s="941"/>
      <c r="Q10" s="998"/>
      <c r="R10" s="998"/>
      <c r="T10" s="949"/>
      <c r="U10" s="949"/>
      <c r="V10" s="949"/>
      <c r="W10" s="949"/>
      <c r="X10" s="949"/>
      <c r="Y10" s="949"/>
      <c r="Z10" s="949"/>
      <c r="AE10" s="1020" t="str" cm="1">
        <f t="array" ref="AE10">AE25</f>
        <v>Предложение организации</v>
      </c>
      <c r="AF10" s="1020" t="str" cm="1">
        <f t="array" ref="AF10">AF25</f>
        <v>Версия органа регулирования</v>
      </c>
      <c r="AL10" s="1021"/>
      <c r="AM10" s="1021"/>
      <c r="AN10" s="1021"/>
      <c r="AO10" s="1022"/>
      <c r="AP10" s="1022"/>
    </row>
    <row r="11" spans="1:42" s="1020" customFormat="1" ht="12" hidden="1" customHeight="1" x14ac:dyDescent="0.15">
      <c r="A11" s="948" t="s">
        <v>463</v>
      </c>
      <c r="B11" s="941"/>
      <c r="E11" s="941"/>
      <c r="G11" s="1023"/>
      <c r="H11" s="1023"/>
      <c r="I11" s="1023"/>
      <c r="J11" s="1023"/>
      <c r="K11" s="1023"/>
      <c r="L11" s="1023"/>
      <c r="M11" s="1023"/>
      <c r="N11" s="1023"/>
      <c r="O11" s="1023"/>
      <c r="P11" s="1023"/>
      <c r="Q11" s="1000"/>
      <c r="R11" s="1000"/>
      <c r="S11" s="1023"/>
      <c r="T11" s="949"/>
      <c r="U11" s="949"/>
      <c r="V11" s="949"/>
      <c r="W11" s="949"/>
      <c r="X11" s="949"/>
      <c r="Y11" s="949"/>
      <c r="Z11" s="949"/>
      <c r="AC11" s="1024"/>
      <c r="AG11" s="1020" t="str" cm="1">
        <f t="array" ref="AG11">AG24</f>
        <v>Указание на подтверждающие документы / URL-ссылка на копии подтверждающих документов</v>
      </c>
      <c r="AH11" s="1020" t="str" cm="1">
        <f t="array" ref="AH11">AH24</f>
        <v>Ссылка на правовую норму (основание для принятия показателя в расчет тарифа)</v>
      </c>
      <c r="AI11" s="1020"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1"/>
      <c r="AM11" s="1021"/>
      <c r="AN11" s="1021"/>
      <c r="AO11" s="1022"/>
      <c r="AP11" s="1022"/>
    </row>
    <row r="12" spans="1:42" s="1020" customFormat="1" ht="12" hidden="1" customHeight="1" x14ac:dyDescent="0.15">
      <c r="A12" s="948" t="s">
        <v>1983</v>
      </c>
      <c r="B12" s="941"/>
      <c r="E12" s="941"/>
      <c r="G12" s="1023"/>
      <c r="H12" s="1023"/>
      <c r="I12" s="1023"/>
      <c r="J12" s="1023"/>
      <c r="K12" s="1023"/>
      <c r="L12" s="1023"/>
      <c r="M12" s="1023"/>
      <c r="N12" s="1023"/>
      <c r="O12" s="1023"/>
      <c r="P12" s="1023"/>
      <c r="Q12" s="1000"/>
      <c r="R12" s="1000"/>
      <c r="S12" s="1023"/>
      <c r="T12" s="949"/>
      <c r="U12" s="949"/>
      <c r="V12" s="949"/>
      <c r="W12" s="949"/>
      <c r="X12" s="949"/>
      <c r="Y12" s="949"/>
      <c r="Z12" s="949"/>
      <c r="AC12" s="1024" t="s">
        <v>377</v>
      </c>
      <c r="AL12" s="1021"/>
      <c r="AM12" s="1021"/>
      <c r="AN12" s="1021"/>
      <c r="AO12" s="1022"/>
      <c r="AP12" s="1022"/>
    </row>
    <row r="13" spans="1:42" s="175" customFormat="1" ht="12" hidden="1" customHeight="1" x14ac:dyDescent="0.15">
      <c r="A13" s="973"/>
      <c r="B13" s="659"/>
      <c r="E13" s="668"/>
      <c r="G13" s="177"/>
      <c r="H13" s="177"/>
      <c r="I13" s="177"/>
      <c r="J13" s="177"/>
      <c r="K13" s="177"/>
      <c r="L13" s="177"/>
      <c r="M13" s="177"/>
      <c r="N13" s="177"/>
      <c r="O13" s="177"/>
      <c r="P13" s="177"/>
      <c r="Q13" s="140"/>
      <c r="R13" s="140"/>
      <c r="S13" s="177"/>
      <c r="T13" s="123"/>
      <c r="U13" s="123"/>
      <c r="V13" s="123"/>
      <c r="W13" s="123"/>
      <c r="X13" s="123"/>
      <c r="Y13" s="123"/>
      <c r="Z13" s="123"/>
      <c r="AC13" s="179"/>
      <c r="AL13" s="1021"/>
      <c r="AM13" s="1021"/>
      <c r="AN13" s="1021"/>
      <c r="AO13" s="1022"/>
      <c r="AP13" s="1022"/>
    </row>
    <row r="14" spans="1:42" s="175" customFormat="1" ht="12" hidden="1" customHeight="1" x14ac:dyDescent="0.15">
      <c r="A14" s="973"/>
      <c r="B14" s="659"/>
      <c r="E14" s="668"/>
      <c r="G14" s="177"/>
      <c r="H14" s="177"/>
      <c r="I14" s="177"/>
      <c r="J14" s="177"/>
      <c r="K14" s="177"/>
      <c r="L14" s="177"/>
      <c r="M14" s="177"/>
      <c r="N14" s="177"/>
      <c r="O14" s="177"/>
      <c r="P14" s="177"/>
      <c r="Q14" s="140"/>
      <c r="R14" s="140"/>
      <c r="S14" s="177"/>
      <c r="T14" s="123"/>
      <c r="U14" s="123"/>
      <c r="V14" s="123"/>
      <c r="W14" s="123"/>
      <c r="X14" s="123"/>
      <c r="Y14" s="123"/>
      <c r="Z14" s="123"/>
      <c r="AC14" s="179"/>
      <c r="AL14" s="1021"/>
      <c r="AM14" s="1021"/>
      <c r="AN14" s="1021"/>
      <c r="AO14" s="1022"/>
      <c r="AP14" s="1022"/>
    </row>
    <row r="15" spans="1:42" s="175" customFormat="1" ht="12" hidden="1" customHeight="1" x14ac:dyDescent="0.15">
      <c r="A15" s="973"/>
      <c r="B15" s="659"/>
      <c r="E15" s="668"/>
      <c r="G15" s="177"/>
      <c r="H15" s="177"/>
      <c r="I15" s="177"/>
      <c r="J15" s="177"/>
      <c r="K15" s="177"/>
      <c r="L15" s="177"/>
      <c r="M15" s="177"/>
      <c r="N15" s="177"/>
      <c r="O15" s="177"/>
      <c r="P15" s="177"/>
      <c r="Q15" s="140"/>
      <c r="R15" s="140"/>
      <c r="S15" s="177"/>
      <c r="T15" s="123"/>
      <c r="U15" s="123"/>
      <c r="V15" s="123"/>
      <c r="W15" s="123"/>
      <c r="X15" s="123"/>
      <c r="Y15" s="123"/>
      <c r="Z15" s="123"/>
      <c r="AC15" s="179"/>
      <c r="AL15" s="1021"/>
      <c r="AM15" s="1021"/>
      <c r="AN15" s="1021"/>
      <c r="AO15" s="1022"/>
      <c r="AP15" s="1022"/>
    </row>
    <row r="16" spans="1:42" s="175" customFormat="1" ht="12" hidden="1" customHeight="1" x14ac:dyDescent="0.15">
      <c r="A16" s="973"/>
      <c r="B16" s="659"/>
      <c r="E16" s="668"/>
      <c r="G16" s="177"/>
      <c r="H16" s="177"/>
      <c r="I16" s="177"/>
      <c r="J16" s="177"/>
      <c r="K16" s="177"/>
      <c r="L16" s="177"/>
      <c r="M16" s="177"/>
      <c r="N16" s="177"/>
      <c r="O16" s="177"/>
      <c r="P16" s="177"/>
      <c r="Q16" s="140"/>
      <c r="R16" s="140"/>
      <c r="S16" s="177"/>
      <c r="T16" s="123"/>
      <c r="U16" s="123"/>
      <c r="V16" s="123"/>
      <c r="W16" s="123"/>
      <c r="X16" s="123"/>
      <c r="Y16" s="123"/>
      <c r="Z16" s="123"/>
      <c r="AC16" s="179"/>
      <c r="AL16" s="1021"/>
      <c r="AM16" s="1021"/>
      <c r="AN16" s="1021"/>
      <c r="AO16" s="1022"/>
      <c r="AP16" s="1022"/>
    </row>
    <row r="17" spans="1:42" s="175" customFormat="1" ht="12" hidden="1" customHeight="1" x14ac:dyDescent="0.15">
      <c r="A17" s="973"/>
      <c r="B17" s="659"/>
      <c r="E17" s="668"/>
      <c r="G17" s="177"/>
      <c r="H17" s="177"/>
      <c r="I17" s="177"/>
      <c r="J17" s="177"/>
      <c r="K17" s="177"/>
      <c r="L17" s="177"/>
      <c r="M17" s="177"/>
      <c r="N17" s="177"/>
      <c r="O17" s="177"/>
      <c r="P17" s="177"/>
      <c r="Q17" s="140"/>
      <c r="R17" s="140"/>
      <c r="S17" s="177"/>
      <c r="T17" s="123"/>
      <c r="U17" s="123"/>
      <c r="V17" s="123"/>
      <c r="W17" s="123"/>
      <c r="X17" s="123"/>
      <c r="Y17" s="123"/>
      <c r="Z17" s="123"/>
      <c r="AC17" s="179"/>
      <c r="AL17" s="1021"/>
      <c r="AM17" s="1021"/>
      <c r="AN17" s="1021"/>
      <c r="AO17" s="1022"/>
      <c r="AP17" s="1022"/>
    </row>
    <row r="18" spans="1:42" s="175" customFormat="1" ht="12" hidden="1" customHeight="1" x14ac:dyDescent="0.15">
      <c r="A18" s="973"/>
      <c r="B18" s="659"/>
      <c r="E18" s="668"/>
      <c r="G18" s="177"/>
      <c r="H18" s="177"/>
      <c r="I18" s="177"/>
      <c r="J18" s="177"/>
      <c r="K18" s="177"/>
      <c r="L18" s="177"/>
      <c r="M18" s="177"/>
      <c r="N18" s="177"/>
      <c r="O18" s="177"/>
      <c r="P18" s="177"/>
      <c r="Q18" s="140"/>
      <c r="R18" s="140"/>
      <c r="S18" s="177"/>
      <c r="T18" s="123"/>
      <c r="U18" s="123"/>
      <c r="V18" s="123"/>
      <c r="W18" s="123"/>
      <c r="X18" s="123"/>
      <c r="Y18" s="123"/>
      <c r="Z18" s="123"/>
      <c r="AC18" s="179"/>
      <c r="AL18" s="1021"/>
      <c r="AM18" s="1021"/>
      <c r="AN18" s="1021"/>
      <c r="AO18" s="1022"/>
      <c r="AP18" s="1022"/>
    </row>
    <row r="19" spans="1:42" s="175" customFormat="1" ht="12" hidden="1" customHeight="1" x14ac:dyDescent="0.15">
      <c r="A19" s="973"/>
      <c r="B19" s="659"/>
      <c r="E19" s="668"/>
      <c r="G19" s="177"/>
      <c r="H19" s="177"/>
      <c r="I19" s="177"/>
      <c r="J19" s="177"/>
      <c r="K19" s="177"/>
      <c r="L19" s="177"/>
      <c r="M19" s="177"/>
      <c r="N19" s="177"/>
      <c r="O19" s="177"/>
      <c r="P19" s="177"/>
      <c r="Q19" s="140"/>
      <c r="R19" s="140"/>
      <c r="S19" s="177"/>
      <c r="T19" s="123"/>
      <c r="U19" s="123"/>
      <c r="V19" s="123"/>
      <c r="W19" s="123"/>
      <c r="X19" s="123"/>
      <c r="Y19" s="123"/>
      <c r="Z19" s="123"/>
      <c r="AC19" s="179"/>
      <c r="AL19" s="1021"/>
      <c r="AM19" s="1021"/>
      <c r="AN19" s="1021"/>
      <c r="AO19" s="1022"/>
      <c r="AP19" s="1022"/>
    </row>
    <row r="20" spans="1:42" s="175" customFormat="1" ht="12" hidden="1" customHeight="1" x14ac:dyDescent="0.15">
      <c r="A20" s="973"/>
      <c r="B20" s="659"/>
      <c r="E20" s="668"/>
      <c r="G20" s="177"/>
      <c r="H20" s="177"/>
      <c r="I20" s="177"/>
      <c r="J20" s="177"/>
      <c r="K20" s="177"/>
      <c r="L20" s="177"/>
      <c r="M20" s="177"/>
      <c r="N20" s="177"/>
      <c r="O20" s="177"/>
      <c r="P20" s="177"/>
      <c r="Q20" s="140"/>
      <c r="R20" s="140"/>
      <c r="S20" s="177"/>
      <c r="T20" s="123"/>
      <c r="U20" s="123"/>
      <c r="V20" s="123"/>
      <c r="W20" s="123"/>
      <c r="X20" s="123"/>
      <c r="Y20" s="123"/>
      <c r="Z20" s="123"/>
      <c r="AC20" s="179"/>
      <c r="AL20" s="1021"/>
      <c r="AM20" s="1021"/>
      <c r="AN20" s="1021"/>
      <c r="AO20" s="1022"/>
      <c r="AP20" s="1022"/>
    </row>
    <row r="21" spans="1:42" ht="14.65" customHeight="1" x14ac:dyDescent="0.15">
      <c r="E21" s="668">
        <v>15</v>
      </c>
      <c r="AA21" s="691"/>
      <c r="AB21" s="177"/>
      <c r="AC21" s="335" t="str" cm="1">
        <f t="array" ref="AC21">tpl_title</f>
        <v>Кемеровская область / 2026 / ООО ХК "СДС - Энерго" (ИНН:4250003450, КПП:420501001) / ДПР: 2024-2028</v>
      </c>
      <c r="AD21" s="177"/>
    </row>
    <row r="22" spans="1:42" s="1153" customFormat="1" ht="33.200000000000003" customHeight="1" x14ac:dyDescent="0.15">
      <c r="A22" s="823"/>
      <c r="B22" s="659"/>
      <c r="C22" s="130"/>
      <c r="D22" s="130"/>
      <c r="E22" s="668">
        <v>34</v>
      </c>
      <c r="F22" s="130"/>
      <c r="Q22" s="140"/>
      <c r="R22" s="140"/>
      <c r="T22" s="126"/>
      <c r="U22" s="126"/>
      <c r="V22" s="126"/>
      <c r="W22" s="126"/>
      <c r="X22" s="126"/>
      <c r="Y22" s="126"/>
      <c r="Z22" s="126"/>
      <c r="AB22" s="1598" t="s">
        <v>71</v>
      </c>
      <c r="AC22" s="1598"/>
      <c r="AD22" s="1598"/>
      <c r="AE22" s="1598"/>
      <c r="AF22" s="1598"/>
      <c r="AG22" s="1598"/>
      <c r="AH22" s="1598"/>
      <c r="AI22" s="1598"/>
      <c r="AL22" s="979"/>
      <c r="AM22" s="979"/>
      <c r="AN22" s="979"/>
      <c r="AO22" s="980"/>
      <c r="AP22" s="980"/>
    </row>
    <row r="23" spans="1:42" s="1153" customFormat="1" ht="9.9499999999999993" customHeight="1" x14ac:dyDescent="0.15">
      <c r="A23" s="823"/>
      <c r="B23" s="659"/>
      <c r="C23" s="130"/>
      <c r="D23" s="130"/>
      <c r="E23" s="668">
        <v>10.199999999999999</v>
      </c>
      <c r="F23" s="130"/>
      <c r="Q23" s="140"/>
      <c r="R23" s="140"/>
      <c r="T23" s="126"/>
      <c r="U23" s="126"/>
      <c r="V23" s="126"/>
      <c r="W23" s="126"/>
      <c r="X23" s="126"/>
      <c r="Y23" s="126"/>
      <c r="Z23" s="126"/>
      <c r="AB23" s="178"/>
      <c r="AC23" s="178"/>
      <c r="AD23" s="178"/>
      <c r="AE23" s="178"/>
      <c r="AF23" s="178"/>
      <c r="AG23" s="178"/>
      <c r="AH23" s="178"/>
      <c r="AI23" s="178"/>
      <c r="AL23" s="979"/>
      <c r="AM23" s="979"/>
      <c r="AN23" s="979"/>
      <c r="AO23" s="980"/>
      <c r="AP23" s="980"/>
    </row>
    <row r="24" spans="1:42" s="176" customFormat="1" ht="24.2" customHeight="1" x14ac:dyDescent="0.15">
      <c r="A24" s="273"/>
      <c r="B24" s="663"/>
      <c r="C24" s="179"/>
      <c r="D24" s="179"/>
      <c r="E24" s="674">
        <v>24.8</v>
      </c>
      <c r="F24" s="179"/>
      <c r="Q24" s="778"/>
      <c r="R24" s="778"/>
      <c r="T24" s="119"/>
      <c r="U24" s="119"/>
      <c r="V24" s="119"/>
      <c r="W24" s="119"/>
      <c r="X24" s="119"/>
      <c r="Y24" s="119"/>
      <c r="Z24" s="119"/>
      <c r="AB24" s="1599" t="s">
        <v>388</v>
      </c>
      <c r="AC24" s="1581" t="s">
        <v>464</v>
      </c>
      <c r="AD24" s="1581" t="s">
        <v>465</v>
      </c>
      <c r="AE24" s="1139" t="str">
        <f>god&amp;" год"</f>
        <v>2026 год</v>
      </c>
      <c r="AF24" s="105" t="str">
        <f>god&amp;" год"</f>
        <v>2026 год</v>
      </c>
      <c r="AG24" s="1580" t="s">
        <v>1313</v>
      </c>
      <c r="AH24" s="1580" t="s">
        <v>618</v>
      </c>
      <c r="AI24" s="1580" t="s">
        <v>1314</v>
      </c>
      <c r="AL24" s="1021"/>
      <c r="AM24" s="1025"/>
      <c r="AN24" s="1025"/>
      <c r="AO24" s="1026"/>
      <c r="AP24" s="1026"/>
    </row>
    <row r="25" spans="1:42" s="176" customFormat="1" ht="44.65" customHeight="1" x14ac:dyDescent="0.15">
      <c r="A25" s="273"/>
      <c r="B25" s="663"/>
      <c r="C25" s="179"/>
      <c r="D25" s="179"/>
      <c r="E25" s="674">
        <v>45.8</v>
      </c>
      <c r="F25" s="179"/>
      <c r="Q25" s="778"/>
      <c r="R25" s="778"/>
      <c r="T25" s="119"/>
      <c r="U25" s="119"/>
      <c r="V25" s="119"/>
      <c r="W25" s="119"/>
      <c r="X25" s="119"/>
      <c r="Y25" s="119"/>
      <c r="Z25" s="119"/>
      <c r="AB25" s="1600"/>
      <c r="AC25" s="1581"/>
      <c r="AD25" s="1581"/>
      <c r="AE25" s="1141" t="s">
        <v>405</v>
      </c>
      <c r="AF25" s="105" t="s">
        <v>1578</v>
      </c>
      <c r="AG25" s="1580"/>
      <c r="AH25" s="1580"/>
      <c r="AI25" s="1580"/>
      <c r="AL25" s="1021"/>
      <c r="AM25" s="1025"/>
      <c r="AN25" s="1025"/>
      <c r="AO25" s="1026"/>
      <c r="AP25" s="1026"/>
    </row>
    <row r="26" spans="1:42" s="176" customFormat="1" ht="14.25" hidden="1" customHeight="1" x14ac:dyDescent="0.15">
      <c r="A26" s="273"/>
      <c r="B26" s="663"/>
      <c r="C26" s="179"/>
      <c r="D26" s="179"/>
      <c r="E26" s="674">
        <v>0</v>
      </c>
      <c r="F26" s="179"/>
      <c r="Q26" s="778"/>
      <c r="R26" s="778"/>
      <c r="T26" s="119"/>
      <c r="U26" s="119"/>
      <c r="V26" s="119"/>
      <c r="W26" s="119"/>
      <c r="X26" s="119"/>
      <c r="Y26" s="119"/>
      <c r="Z26" s="119"/>
      <c r="AB26" s="589"/>
      <c r="AC26" s="589"/>
      <c r="AD26" s="589"/>
      <c r="AE26" s="119"/>
      <c r="AF26" s="119"/>
      <c r="AG26" s="179"/>
      <c r="AH26" s="179"/>
      <c r="AI26" s="179"/>
      <c r="AL26" s="1021"/>
      <c r="AM26" s="1025"/>
      <c r="AN26" s="1025"/>
      <c r="AO26" s="1026"/>
      <c r="AP26" s="1026"/>
    </row>
    <row r="27" spans="1:42" s="167" customFormat="1" ht="16.7" hidden="1" customHeight="1" x14ac:dyDescent="0.15">
      <c r="E27" s="668">
        <v>17.100000000000001</v>
      </c>
      <c r="F27" s="769" cm="1">
        <f t="array" ref="F27">X27</f>
        <v>0</v>
      </c>
      <c r="G27" s="612"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T27" s="679" t="b">
        <f t="shared" ref="T27:T74" si="0">AND(F27&gt;0,OR(ISBLANK(Y27),Y27&gt;0))</f>
        <v>0</v>
      </c>
      <c r="V27" s="123" t="s">
        <v>313</v>
      </c>
      <c r="X27" s="1597">
        <v>0</v>
      </c>
      <c r="Z27" s="1483"/>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L27" s="971"/>
      <c r="AM27" s="971"/>
      <c r="AN27" s="971"/>
      <c r="AO27" s="974"/>
      <c r="AP27" s="974"/>
    </row>
    <row r="28" spans="1:42" s="167" customFormat="1" ht="16.7" hidden="1" customHeight="1" x14ac:dyDescent="0.15">
      <c r="E28" s="668">
        <v>17.100000000000001</v>
      </c>
      <c r="F28" s="769" cm="1">
        <f t="array" aca="1" ref="F28" ca="1">OFFSET(G28,-1,-1)</f>
        <v>0</v>
      </c>
      <c r="T28" s="679" t="b">
        <f t="shared" ca="1" si="0"/>
        <v>0</v>
      </c>
      <c r="X28" s="1483"/>
      <c r="Z28" s="1483"/>
      <c r="AB28" s="477">
        <v>1</v>
      </c>
      <c r="AC28" s="854" t="s">
        <v>1984</v>
      </c>
      <c r="AD28" s="855"/>
      <c r="AE28" s="855"/>
      <c r="AF28" s="855"/>
      <c r="AG28" s="855"/>
      <c r="AH28" s="855"/>
      <c r="AI28" s="855"/>
      <c r="AL28" s="971"/>
      <c r="AM28" s="971"/>
      <c r="AN28" s="971"/>
      <c r="AO28" s="974"/>
      <c r="AP28" s="974"/>
    </row>
    <row r="29" spans="1:42" s="167" customFormat="1" ht="39" hidden="1" customHeight="1" x14ac:dyDescent="0.15">
      <c r="E29" s="668">
        <v>40</v>
      </c>
      <c r="F29" s="769" cm="1">
        <f t="array" aca="1" ref="F29" ca="1">OFFSET(G29,-1,-1)</f>
        <v>0</v>
      </c>
      <c r="T29" s="679" t="b">
        <f t="shared" ca="1" si="0"/>
        <v>0</v>
      </c>
      <c r="X29" s="1483"/>
      <c r="Z29" s="1483"/>
      <c r="AB29" s="477" t="s">
        <v>473</v>
      </c>
      <c r="AC29" s="233" t="s">
        <v>1985</v>
      </c>
      <c r="AD29" s="102" t="s">
        <v>1426</v>
      </c>
      <c r="AE29" s="13"/>
      <c r="AF29" s="13"/>
      <c r="AG29" s="89"/>
      <c r="AH29" s="89"/>
      <c r="AI29" s="11"/>
      <c r="AL29" s="971" t="s">
        <v>1986</v>
      </c>
      <c r="AM29" s="971"/>
      <c r="AN29" s="971"/>
      <c r="AO29" s="974"/>
      <c r="AP29" s="974"/>
    </row>
    <row r="30" spans="1:42" s="167" customFormat="1" ht="39" hidden="1" customHeight="1" x14ac:dyDescent="0.15">
      <c r="E30" s="668">
        <v>40</v>
      </c>
      <c r="F30" s="769" cm="1">
        <f t="array" aca="1" ref="F30" ca="1">OFFSET(G30,-1,-1)</f>
        <v>0</v>
      </c>
      <c r="T30" s="679" t="b">
        <f t="shared" ca="1" si="0"/>
        <v>0</v>
      </c>
      <c r="X30" s="1483"/>
      <c r="Z30" s="1483"/>
      <c r="AB30" s="477" t="s">
        <v>955</v>
      </c>
      <c r="AC30" s="233" t="s">
        <v>1987</v>
      </c>
      <c r="AD30" s="102" t="s">
        <v>489</v>
      </c>
      <c r="AE30" s="13"/>
      <c r="AF30" s="13"/>
      <c r="AG30" s="89"/>
      <c r="AH30" s="89"/>
      <c r="AI30" s="11"/>
      <c r="AL30" s="971" t="s">
        <v>1988</v>
      </c>
      <c r="AM30" s="971"/>
      <c r="AN30" s="971"/>
      <c r="AO30" s="974"/>
      <c r="AP30" s="974"/>
    </row>
    <row r="31" spans="1:42" s="167" customFormat="1" ht="34.15" hidden="1" customHeight="1" x14ac:dyDescent="0.15">
      <c r="E31" s="668">
        <v>35</v>
      </c>
      <c r="F31" s="769" cm="1">
        <f t="array" aca="1" ref="F31" ca="1">OFFSET(G31,-1,-1)</f>
        <v>0</v>
      </c>
      <c r="T31" s="679" t="b">
        <f t="shared" ca="1" si="0"/>
        <v>0</v>
      </c>
      <c r="X31" s="1483"/>
      <c r="Z31" s="1483"/>
      <c r="AB31" s="477" t="s">
        <v>957</v>
      </c>
      <c r="AC31" s="233" t="s">
        <v>1989</v>
      </c>
      <c r="AD31" s="102" t="s">
        <v>1959</v>
      </c>
      <c r="AE31" s="13">
        <f>IFERROR(AE29/AE30,0)</f>
        <v>0</v>
      </c>
      <c r="AF31" s="13">
        <f>IFERROR(AF29/AF30,0)</f>
        <v>0</v>
      </c>
      <c r="AG31" s="89"/>
      <c r="AH31" s="89"/>
      <c r="AI31" s="11"/>
      <c r="AL31" s="971" t="s">
        <v>1990</v>
      </c>
      <c r="AM31" s="971"/>
      <c r="AN31" s="971"/>
      <c r="AO31" s="974"/>
      <c r="AP31" s="974"/>
    </row>
    <row r="32" spans="1:42" s="167" customFormat="1" ht="34.15" hidden="1" customHeight="1" x14ac:dyDescent="0.15">
      <c r="E32" s="668">
        <v>35</v>
      </c>
      <c r="F32" s="769" cm="1">
        <f t="array" aca="1" ref="F32" ca="1">OFFSET(G32,-1,-1)</f>
        <v>0</v>
      </c>
      <c r="T32" s="679" t="b">
        <f t="shared" ca="1" si="0"/>
        <v>0</v>
      </c>
      <c r="X32" s="1483"/>
      <c r="Z32" s="1483"/>
      <c r="AB32" s="477" t="s">
        <v>961</v>
      </c>
      <c r="AC32" s="233" t="s">
        <v>1991</v>
      </c>
      <c r="AD32" s="102"/>
      <c r="AE32" s="90"/>
      <c r="AF32" s="90"/>
      <c r="AG32" s="89"/>
      <c r="AH32" s="89"/>
      <c r="AI32" s="11"/>
      <c r="AL32" s="971" t="s">
        <v>1992</v>
      </c>
      <c r="AM32" s="971"/>
      <c r="AN32" s="971"/>
      <c r="AO32" s="974"/>
      <c r="AP32" s="974"/>
    </row>
    <row r="33" spans="5:42" s="167" customFormat="1" ht="34.15" hidden="1" customHeight="1" x14ac:dyDescent="0.15">
      <c r="E33" s="668">
        <v>35</v>
      </c>
      <c r="F33" s="769" cm="1">
        <f t="array" aca="1" ref="F33" ca="1">OFFSET(G33,-1,-1)</f>
        <v>0</v>
      </c>
      <c r="T33" s="679" t="b">
        <f t="shared" ca="1" si="0"/>
        <v>0</v>
      </c>
      <c r="X33" s="1483"/>
      <c r="Z33" s="1483"/>
      <c r="AB33" s="477" t="s">
        <v>1067</v>
      </c>
      <c r="AC33" s="856" t="s">
        <v>1993</v>
      </c>
      <c r="AD33" s="857" t="s">
        <v>1959</v>
      </c>
      <c r="AE33" s="14">
        <f>AE31*AE32</f>
        <v>0</v>
      </c>
      <c r="AF33" s="14">
        <f>AF31*AF32</f>
        <v>0</v>
      </c>
      <c r="AG33" s="91"/>
      <c r="AH33" s="91"/>
      <c r="AI33" s="92"/>
      <c r="AL33" s="971" t="s">
        <v>1994</v>
      </c>
      <c r="AM33" s="971"/>
      <c r="AN33" s="971"/>
      <c r="AO33" s="974"/>
      <c r="AP33" s="974"/>
    </row>
    <row r="34" spans="5:42" s="167" customFormat="1" ht="16.7" hidden="1" customHeight="1" x14ac:dyDescent="0.15">
      <c r="E34" s="668">
        <v>17.100000000000001</v>
      </c>
      <c r="F34" s="769" cm="1">
        <f t="array" aca="1" ref="F34" ca="1">OFFSET(G34,-1,-1)</f>
        <v>0</v>
      </c>
      <c r="T34" s="679" t="b">
        <f t="shared" ca="1" si="0"/>
        <v>0</v>
      </c>
      <c r="X34" s="1483"/>
      <c r="Z34" s="1483"/>
      <c r="AB34" s="477" t="s">
        <v>1070</v>
      </c>
      <c r="AC34" s="856" t="s">
        <v>1995</v>
      </c>
      <c r="AD34" s="857" t="s">
        <v>521</v>
      </c>
      <c r="AE34" s="14"/>
      <c r="AF34" s="14"/>
      <c r="AG34" s="91"/>
      <c r="AH34" s="91"/>
      <c r="AI34" s="92"/>
      <c r="AL34" s="971" t="s">
        <v>1996</v>
      </c>
      <c r="AM34" s="971"/>
      <c r="AN34" s="971"/>
      <c r="AO34" s="974"/>
      <c r="AP34" s="974"/>
    </row>
    <row r="35" spans="5:42" s="167" customFormat="1" ht="39" hidden="1" customHeight="1" x14ac:dyDescent="0.15">
      <c r="E35" s="668">
        <v>40</v>
      </c>
      <c r="F35" s="769" cm="1">
        <f t="array" aca="1" ref="F35" ca="1">OFFSET(G35,-1,-1)</f>
        <v>0</v>
      </c>
      <c r="T35" s="679" t="b">
        <f t="shared" ca="1" si="0"/>
        <v>0</v>
      </c>
      <c r="X35" s="1483"/>
      <c r="Z35" s="1483"/>
      <c r="AB35" s="477" t="s">
        <v>1073</v>
      </c>
      <c r="AC35" s="856" t="s">
        <v>1997</v>
      </c>
      <c r="AD35" s="857" t="s">
        <v>489</v>
      </c>
      <c r="AE35" s="14"/>
      <c r="AF35" s="14"/>
      <c r="AG35" s="91"/>
      <c r="AH35" s="91"/>
      <c r="AI35" s="92"/>
      <c r="AL35" s="971" t="s">
        <v>1998</v>
      </c>
      <c r="AM35" s="971"/>
      <c r="AN35" s="971"/>
      <c r="AO35" s="974"/>
      <c r="AP35" s="974"/>
    </row>
    <row r="36" spans="5:42" s="167" customFormat="1" ht="16.7" hidden="1" customHeight="1" x14ac:dyDescent="0.15">
      <c r="E36" s="668">
        <v>17.100000000000001</v>
      </c>
      <c r="F36" s="769" cm="1">
        <f t="array" aca="1" ref="F36" ca="1">OFFSET(G36,-1,-1)</f>
        <v>0</v>
      </c>
      <c r="T36" s="679" t="b">
        <f t="shared" ca="1" si="0"/>
        <v>0</v>
      </c>
      <c r="X36" s="1483"/>
      <c r="Z36" s="1483"/>
      <c r="AB36" s="477" t="s">
        <v>1076</v>
      </c>
      <c r="AC36" s="856" t="s">
        <v>1999</v>
      </c>
      <c r="AD36" s="857" t="s">
        <v>1426</v>
      </c>
      <c r="AE36" s="14">
        <f>AE33*AE35*(1+AE34)</f>
        <v>0</v>
      </c>
      <c r="AF36" s="14">
        <f>AF33*AF35*(1+AF34)</f>
        <v>0</v>
      </c>
      <c r="AG36" s="91"/>
      <c r="AH36" s="91"/>
      <c r="AI36" s="92"/>
      <c r="AL36" s="971" t="s">
        <v>1433</v>
      </c>
      <c r="AM36" s="971"/>
      <c r="AN36" s="971"/>
      <c r="AO36" s="974"/>
      <c r="AP36" s="974"/>
    </row>
    <row r="37" spans="5:42" s="167" customFormat="1" ht="16.7" hidden="1" customHeight="1" x14ac:dyDescent="0.15">
      <c r="E37" s="668">
        <v>17.100000000000001</v>
      </c>
      <c r="F37" s="769" cm="1">
        <f t="array" aca="1" ref="F37" ca="1">OFFSET(G37,-1,-1)</f>
        <v>0</v>
      </c>
      <c r="T37" s="679" t="b">
        <f t="shared" ca="1" si="0"/>
        <v>0</v>
      </c>
      <c r="X37" s="1483"/>
      <c r="Z37" s="1483"/>
      <c r="AB37" s="915">
        <v>2</v>
      </c>
      <c r="AC37" s="854" t="s">
        <v>2000</v>
      </c>
      <c r="AD37" s="855"/>
      <c r="AE37" s="869"/>
      <c r="AF37" s="869"/>
      <c r="AG37" s="854"/>
      <c r="AH37" s="854"/>
      <c r="AI37" s="854"/>
      <c r="AL37" s="971"/>
      <c r="AM37" s="971"/>
      <c r="AN37" s="971"/>
      <c r="AO37" s="974"/>
      <c r="AP37" s="974"/>
    </row>
    <row r="38" spans="5:42" s="167" customFormat="1" ht="39" hidden="1" customHeight="1" x14ac:dyDescent="0.15">
      <c r="E38" s="668">
        <v>40</v>
      </c>
      <c r="F38" s="769" cm="1">
        <f t="array" aca="1" ref="F38" ca="1">OFFSET(G38,-1,-1)</f>
        <v>0</v>
      </c>
      <c r="T38" s="679" t="b">
        <f t="shared" ca="1" si="0"/>
        <v>0</v>
      </c>
      <c r="X38" s="1483"/>
      <c r="Z38" s="1483"/>
      <c r="AB38" s="232" t="s">
        <v>479</v>
      </c>
      <c r="AC38" s="860" t="s">
        <v>2001</v>
      </c>
      <c r="AD38" s="102" t="s">
        <v>1426</v>
      </c>
      <c r="AE38" s="50">
        <f>SUM(AE39:AE40)</f>
        <v>0</v>
      </c>
      <c r="AF38" s="50">
        <f>SUM(AF39:AF40)</f>
        <v>0</v>
      </c>
      <c r="AG38" s="91"/>
      <c r="AH38" s="91"/>
      <c r="AI38" s="92"/>
      <c r="AL38" s="971" t="s">
        <v>2002</v>
      </c>
      <c r="AM38" s="971"/>
      <c r="AN38" s="971"/>
      <c r="AO38" s="974"/>
      <c r="AP38" s="974"/>
    </row>
    <row r="39" spans="5:42" s="167" customFormat="1" ht="16.5" hidden="1" customHeight="1" x14ac:dyDescent="0.15">
      <c r="E39" s="668">
        <v>17</v>
      </c>
      <c r="F39" s="769" cm="1">
        <f t="array" aca="1" ref="F39" ca="1">OFFSET(G39,-1,-1)</f>
        <v>0</v>
      </c>
      <c r="T39" s="679" t="b">
        <f t="shared" ca="1" si="0"/>
        <v>0</v>
      </c>
      <c r="W39" s="123" t="s">
        <v>237</v>
      </c>
      <c r="X39" s="1483"/>
      <c r="Y39" s="123">
        <v>0</v>
      </c>
      <c r="Z39" s="1483"/>
      <c r="AA39" s="764" t="s">
        <v>218</v>
      </c>
      <c r="AB39" s="232" t="str">
        <f>"2.1."&amp;Y39</f>
        <v>2.1.0</v>
      </c>
      <c r="AC39" s="93"/>
      <c r="AD39" s="102" t="s">
        <v>1426</v>
      </c>
      <c r="AE39" s="50"/>
      <c r="AF39" s="50"/>
      <c r="AG39" s="91"/>
      <c r="AH39" s="91"/>
      <c r="AI39" s="92"/>
      <c r="AL39" s="971" t="s">
        <v>2002</v>
      </c>
      <c r="AM39" s="971" t="s">
        <v>2003</v>
      </c>
      <c r="AN39" s="971" cm="1">
        <f t="array" ref="AN39">AC39</f>
        <v>0</v>
      </c>
      <c r="AO39" s="974"/>
      <c r="AP39" s="974" t="b">
        <v>1</v>
      </c>
    </row>
    <row r="40" spans="5:42" s="167" customFormat="1" ht="16.5" hidden="1" customHeight="1" x14ac:dyDescent="0.15">
      <c r="E40" s="668">
        <v>17</v>
      </c>
      <c r="F40" s="769" cm="1">
        <f t="array" aca="1" ref="F40" ca="1">OFFSET(G40,-1,-1)</f>
        <v>0</v>
      </c>
      <c r="T40" s="679" t="b">
        <f t="shared" ca="1" si="0"/>
        <v>0</v>
      </c>
      <c r="W40" s="848" t="s">
        <v>971</v>
      </c>
      <c r="X40" s="1483"/>
      <c r="Z40" s="1483"/>
      <c r="AB40" s="246"/>
      <c r="AC40" s="608" t="s">
        <v>239</v>
      </c>
      <c r="AD40" s="247"/>
      <c r="AE40" s="247"/>
      <c r="AF40" s="247"/>
      <c r="AG40" s="247"/>
      <c r="AH40" s="247"/>
      <c r="AI40" s="247"/>
      <c r="AL40" s="971" t="str">
        <f>IF(AND(ISNUMBER(VALUE(TRIM(SUBSTITUTE(AB40,".","")))),TRIM(SUBSTITUTE(AB40,".",""))&lt;&gt;""),"P"&amp;SUBSTITUTE(AB40,".",""),"")</f>
        <v/>
      </c>
      <c r="AM40" s="971"/>
      <c r="AN40" s="971"/>
      <c r="AO40" s="974" t="s">
        <v>2003</v>
      </c>
      <c r="AP40" s="974"/>
    </row>
    <row r="41" spans="5:42" s="167" customFormat="1" ht="39" hidden="1" customHeight="1" x14ac:dyDescent="0.15">
      <c r="E41" s="668">
        <v>40</v>
      </c>
      <c r="F41" s="769" cm="1">
        <f t="array" aca="1" ref="F41" ca="1">OFFSET(G41,-1,-1)</f>
        <v>0</v>
      </c>
      <c r="T41" s="679" t="b">
        <f t="shared" ca="1" si="0"/>
        <v>0</v>
      </c>
      <c r="X41" s="1483"/>
      <c r="Z41" s="1483"/>
      <c r="AB41" s="232" t="s">
        <v>506</v>
      </c>
      <c r="AC41" s="860" t="s">
        <v>2004</v>
      </c>
      <c r="AD41" s="102" t="s">
        <v>1973</v>
      </c>
      <c r="AE41" s="50">
        <f>SUM(AE42:AE43)</f>
        <v>0</v>
      </c>
      <c r="AF41" s="50">
        <f>SUM(AF42:AF43)</f>
        <v>0</v>
      </c>
      <c r="AG41" s="91"/>
      <c r="AH41" s="91"/>
      <c r="AI41" s="92"/>
      <c r="AL41" s="971" t="s">
        <v>1974</v>
      </c>
      <c r="AM41" s="971"/>
      <c r="AN41" s="971"/>
      <c r="AO41" s="974"/>
      <c r="AP41" s="974"/>
    </row>
    <row r="42" spans="5:42" s="167" customFormat="1" ht="16.7" hidden="1" customHeight="1" x14ac:dyDescent="0.15">
      <c r="E42" s="668">
        <v>17.100000000000001</v>
      </c>
      <c r="F42" s="769" cm="1">
        <f t="array" aca="1" ref="F42" ca="1">OFFSET(G42,-1,-1)</f>
        <v>0</v>
      </c>
      <c r="T42" s="679" t="b">
        <f t="shared" ca="1" si="0"/>
        <v>0</v>
      </c>
      <c r="W42" s="123" t="s">
        <v>237</v>
      </c>
      <c r="X42" s="1483"/>
      <c r="Y42" s="123">
        <v>0</v>
      </c>
      <c r="Z42" s="1483"/>
      <c r="AA42" s="764" t="s">
        <v>218</v>
      </c>
      <c r="AB42" s="232" t="str">
        <f>"2.2."&amp;Y42</f>
        <v>2.2.0</v>
      </c>
      <c r="AC42" s="93"/>
      <c r="AD42" s="102" t="s">
        <v>1973</v>
      </c>
      <c r="AE42" s="50"/>
      <c r="AF42" s="50"/>
      <c r="AG42" s="91"/>
      <c r="AH42" s="91"/>
      <c r="AI42" s="92"/>
      <c r="AL42" s="971" t="s">
        <v>1974</v>
      </c>
      <c r="AM42" s="971" t="s">
        <v>2005</v>
      </c>
      <c r="AN42" s="971" cm="1">
        <f t="array" ref="AN42">AC42</f>
        <v>0</v>
      </c>
      <c r="AO42" s="974"/>
      <c r="AP42" s="974" t="b">
        <v>1</v>
      </c>
    </row>
    <row r="43" spans="5:42" s="167" customFormat="1" ht="16.5" hidden="1" customHeight="1" x14ac:dyDescent="0.15">
      <c r="E43" s="668">
        <v>17</v>
      </c>
      <c r="F43" s="769" cm="1">
        <f t="array" aca="1" ref="F43" ca="1">OFFSET(G43,-1,-1)</f>
        <v>0</v>
      </c>
      <c r="T43" s="679" t="b">
        <f t="shared" ca="1" si="0"/>
        <v>0</v>
      </c>
      <c r="W43" s="848" t="s">
        <v>982</v>
      </c>
      <c r="X43" s="1483"/>
      <c r="Z43" s="1483"/>
      <c r="AB43" s="246"/>
      <c r="AC43" s="608" t="s">
        <v>239</v>
      </c>
      <c r="AD43" s="247"/>
      <c r="AE43" s="247"/>
      <c r="AF43" s="247"/>
      <c r="AG43" s="247"/>
      <c r="AH43" s="247"/>
      <c r="AI43" s="247"/>
      <c r="AL43" s="971" t="str">
        <f>IF(AND(ISNUMBER(VALUE(TRIM(SUBSTITUTE(AB43,".","")))),TRIM(SUBSTITUTE(AB43,".",""))&lt;&gt;""),"P"&amp;SUBSTITUTE(AB43,".",""),"")</f>
        <v/>
      </c>
      <c r="AM43" s="971"/>
      <c r="AN43" s="971"/>
      <c r="AO43" s="974" t="s">
        <v>2005</v>
      </c>
      <c r="AP43" s="974"/>
    </row>
    <row r="44" spans="5:42" s="167" customFormat="1" ht="34.15" hidden="1" customHeight="1" x14ac:dyDescent="0.15">
      <c r="E44" s="668">
        <v>35</v>
      </c>
      <c r="F44" s="769" cm="1">
        <f t="array" aca="1" ref="F44" ca="1">OFFSET(G44,-1,-1)</f>
        <v>0</v>
      </c>
      <c r="T44" s="679" t="b">
        <f t="shared" ca="1" si="0"/>
        <v>0</v>
      </c>
      <c r="X44" s="1483"/>
      <c r="Z44" s="1483"/>
      <c r="AB44" s="915" t="s">
        <v>510</v>
      </c>
      <c r="AC44" s="861" t="s">
        <v>2006</v>
      </c>
      <c r="AD44" s="858" t="s">
        <v>1426</v>
      </c>
      <c r="AE44" s="13"/>
      <c r="AF44" s="13"/>
      <c r="AG44" s="89"/>
      <c r="AH44" s="89"/>
      <c r="AI44" s="11"/>
      <c r="AL44" s="971" t="s">
        <v>2007</v>
      </c>
      <c r="AM44" s="971"/>
      <c r="AN44" s="971"/>
      <c r="AO44" s="974"/>
      <c r="AP44" s="974"/>
    </row>
    <row r="45" spans="5:42" s="167" customFormat="1" ht="39" hidden="1" customHeight="1" x14ac:dyDescent="0.15">
      <c r="E45" s="668">
        <v>40</v>
      </c>
      <c r="F45" s="769" cm="1">
        <f t="array" aca="1" ref="F45" ca="1">OFFSET(G45,-1,-1)</f>
        <v>0</v>
      </c>
      <c r="T45" s="679" t="b">
        <f t="shared" ca="1" si="0"/>
        <v>0</v>
      </c>
      <c r="X45" s="1483"/>
      <c r="Z45" s="1483"/>
      <c r="AB45" s="232" t="s">
        <v>514</v>
      </c>
      <c r="AC45" s="233" t="s">
        <v>2008</v>
      </c>
      <c r="AD45" s="102"/>
      <c r="AE45" s="16"/>
      <c r="AF45" s="13"/>
      <c r="AG45" s="89"/>
      <c r="AH45" s="89"/>
      <c r="AI45" s="11"/>
      <c r="AL45" s="971" t="s">
        <v>2009</v>
      </c>
      <c r="AM45" s="971"/>
      <c r="AN45" s="971"/>
      <c r="AO45" s="974"/>
      <c r="AP45" s="974"/>
    </row>
    <row r="46" spans="5:42" s="167" customFormat="1" ht="34.15" hidden="1" customHeight="1" x14ac:dyDescent="0.15">
      <c r="E46" s="668">
        <v>35</v>
      </c>
      <c r="F46" s="769" cm="1">
        <f t="array" aca="1" ref="F46" ca="1">OFFSET(G46,-1,-1)</f>
        <v>0</v>
      </c>
      <c r="T46" s="679" t="b">
        <f t="shared" ca="1" si="0"/>
        <v>0</v>
      </c>
      <c r="X46" s="1483"/>
      <c r="Z46" s="1483"/>
      <c r="AB46" s="232" t="s">
        <v>1585</v>
      </c>
      <c r="AC46" s="233" t="s">
        <v>2010</v>
      </c>
      <c r="AD46" s="102" t="s">
        <v>920</v>
      </c>
      <c r="AE46" s="16">
        <f>IFERROR(AE38/AE41*AE45,0)</f>
        <v>0</v>
      </c>
      <c r="AF46" s="16">
        <f>IFERROR(AF38/AF41*AF45,0)</f>
        <v>0</v>
      </c>
      <c r="AG46" s="89"/>
      <c r="AH46" s="89"/>
      <c r="AI46" s="11"/>
      <c r="AL46" s="971" t="s">
        <v>2011</v>
      </c>
      <c r="AM46" s="971"/>
      <c r="AN46" s="971"/>
      <c r="AO46" s="974"/>
      <c r="AP46" s="974"/>
    </row>
    <row r="47" spans="5:42" s="167" customFormat="1" ht="16.5" hidden="1" customHeight="1" x14ac:dyDescent="0.15">
      <c r="E47" s="668">
        <v>17</v>
      </c>
      <c r="F47" s="769" cm="1">
        <f t="array" aca="1" ref="F47" ca="1">OFFSET(G47,-1,-1)</f>
        <v>0</v>
      </c>
      <c r="T47" s="679" t="b">
        <f t="shared" ca="1" si="0"/>
        <v>0</v>
      </c>
      <c r="X47" s="1483"/>
      <c r="Z47" s="1483"/>
      <c r="AB47" s="232" t="s">
        <v>2012</v>
      </c>
      <c r="AC47" s="233" t="s">
        <v>1995</v>
      </c>
      <c r="AD47" s="102" t="s">
        <v>521</v>
      </c>
      <c r="AE47" s="16"/>
      <c r="AF47" s="13"/>
      <c r="AG47" s="89"/>
      <c r="AH47" s="89"/>
      <c r="AI47" s="11"/>
      <c r="AL47" s="971" t="s">
        <v>2013</v>
      </c>
      <c r="AM47" s="971"/>
      <c r="AN47" s="971"/>
      <c r="AO47" s="974"/>
      <c r="AP47" s="974"/>
    </row>
    <row r="48" spans="5:42" s="167" customFormat="1" ht="34.15" hidden="1" customHeight="1" x14ac:dyDescent="0.15">
      <c r="E48" s="668">
        <v>35</v>
      </c>
      <c r="F48" s="769" cm="1">
        <f t="array" aca="1" ref="F48" ca="1">OFFSET(G48,-1,-1)</f>
        <v>0</v>
      </c>
      <c r="T48" s="679" t="b">
        <f t="shared" ca="1" si="0"/>
        <v>0</v>
      </c>
      <c r="X48" s="1483"/>
      <c r="Z48" s="1483"/>
      <c r="AB48" s="232" t="s">
        <v>2014</v>
      </c>
      <c r="AC48" s="233" t="s">
        <v>2015</v>
      </c>
      <c r="AD48" s="102" t="s">
        <v>1973</v>
      </c>
      <c r="AE48" s="94"/>
      <c r="AF48" s="14"/>
      <c r="AG48" s="89"/>
      <c r="AH48" s="89"/>
      <c r="AI48" s="11"/>
      <c r="AL48" s="971" t="s">
        <v>2016</v>
      </c>
      <c r="AM48" s="971"/>
      <c r="AN48" s="971"/>
      <c r="AO48" s="974"/>
      <c r="AP48" s="974"/>
    </row>
    <row r="49" spans="1:42" s="167" customFormat="1" ht="16.5" hidden="1" customHeight="1" x14ac:dyDescent="0.15">
      <c r="E49" s="668">
        <v>17</v>
      </c>
      <c r="F49" s="769" cm="1">
        <f t="array" aca="1" ref="F49" ca="1">OFFSET(G49,-1,-1)</f>
        <v>0</v>
      </c>
      <c r="T49" s="679" t="b">
        <f t="shared" ca="1" si="0"/>
        <v>0</v>
      </c>
      <c r="X49" s="1483"/>
      <c r="Z49" s="1483"/>
      <c r="AB49" s="232" t="s">
        <v>2017</v>
      </c>
      <c r="AC49" s="233" t="s">
        <v>2018</v>
      </c>
      <c r="AD49" s="102" t="s">
        <v>1426</v>
      </c>
      <c r="AE49" s="13">
        <f>AE46*AE48*(1+AE47)</f>
        <v>0</v>
      </c>
      <c r="AF49" s="13">
        <f>AF46*AF48*(1+AF47)</f>
        <v>0</v>
      </c>
      <c r="AG49" s="89"/>
      <c r="AH49" s="89"/>
      <c r="AI49" s="11"/>
      <c r="AL49" s="971" t="s">
        <v>2019</v>
      </c>
      <c r="AM49" s="971"/>
      <c r="AN49" s="971"/>
      <c r="AO49" s="974"/>
      <c r="AP49" s="974"/>
    </row>
    <row r="50" spans="1:42" ht="17.25" hidden="1" customHeight="1" x14ac:dyDescent="0.15">
      <c r="E50" s="668">
        <v>0</v>
      </c>
      <c r="F50" s="769" cm="1">
        <f t="array" aca="1" ref="F50" ca="1">OFFSET(G50,-1,-1)</f>
        <v>0</v>
      </c>
      <c r="T50" s="679" t="b">
        <f t="shared" ca="1" si="0"/>
        <v>0</v>
      </c>
      <c r="X50" s="1485"/>
      <c r="Z50" s="1485"/>
    </row>
    <row r="51" spans="1:42" s="1291" customFormat="1" ht="16.5" customHeight="1" x14ac:dyDescent="0.15">
      <c r="A51" s="167"/>
      <c r="B51" s="167"/>
      <c r="C51" s="167"/>
      <c r="D51" s="167"/>
      <c r="E51" s="668">
        <v>17.100000000000001</v>
      </c>
      <c r="F51" s="769" t="str" cm="1">
        <f t="array" ref="F51">X51</f>
        <v>1</v>
      </c>
      <c r="G51" s="612" t="str" cm="1">
        <f t="array" ref="G51">INDEX('Общие сведения'!$AK$169:$AK$202,MATCH($F51,'Общие сведения'!$Z$169:$Z$202,0))</f>
        <v>одноставочный</v>
      </c>
      <c r="H51" s="167"/>
      <c r="I51" s="160" t="str" cm="1">
        <f t="array" ref="I51">INDEX('Общие сведения'!$AE$169:$AE$202,MATCH($F51,'Общие сведения'!$Z$169:$Z$202,0))</f>
        <v>Теплоснабжение</v>
      </c>
      <c r="J51" s="167"/>
      <c r="K51" s="160" t="str" cm="1">
        <f t="array" ref="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167"/>
      <c r="M51" s="167"/>
      <c r="N51" s="167"/>
      <c r="O51" s="167"/>
      <c r="P51" s="167"/>
      <c r="Q51" s="167"/>
      <c r="R51" s="167"/>
      <c r="S51" s="167"/>
      <c r="T51" s="679" t="b">
        <f t="shared" si="0"/>
        <v>1</v>
      </c>
      <c r="U51" s="167"/>
      <c r="V51" s="123" t="str" cm="1">
        <f t="array" ref="V51">'Удельные расходы (МСА)'!$AB$41</f>
        <v>Тариф 1 (Теплоснабжение) - Тариф на тепловую энергию (мощность), поставляемую потребителям (Не определено)</v>
      </c>
      <c r="W51" s="167"/>
      <c r="X51" s="1597" t="s">
        <v>339</v>
      </c>
      <c r="Y51" s="167"/>
      <c r="Z51" s="1483"/>
      <c r="AA51" s="167"/>
      <c r="AB51" s="271" t="str" cm="1">
        <f t="array" ref="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272"/>
      <c r="AD51" s="272"/>
      <c r="AE51" s="272"/>
      <c r="AF51" s="272"/>
      <c r="AG51" s="272"/>
      <c r="AH51" s="272"/>
      <c r="AI51" s="272"/>
      <c r="AJ51" s="167"/>
      <c r="AK51" s="167"/>
      <c r="AL51" s="971"/>
      <c r="AM51" s="971"/>
      <c r="AN51" s="971"/>
      <c r="AO51" s="974"/>
      <c r="AP51" s="974"/>
    </row>
    <row r="52" spans="1:42" s="1291" customFormat="1" ht="16.5" customHeight="1" x14ac:dyDescent="0.15">
      <c r="A52" s="167"/>
      <c r="B52" s="167"/>
      <c r="C52" s="167"/>
      <c r="D52" s="167"/>
      <c r="E52" s="668">
        <v>17.100000000000001</v>
      </c>
      <c r="F52" s="769" t="str" cm="1">
        <f t="array" aca="1" ref="F52" ca="1">OFFSET(G52,-1,-1)</f>
        <v>1</v>
      </c>
      <c r="G52" s="167"/>
      <c r="H52" s="167"/>
      <c r="I52" s="167"/>
      <c r="J52" s="167"/>
      <c r="K52" s="167"/>
      <c r="L52" s="167"/>
      <c r="M52" s="167"/>
      <c r="N52" s="167"/>
      <c r="O52" s="167"/>
      <c r="P52" s="167"/>
      <c r="Q52" s="167"/>
      <c r="R52" s="167"/>
      <c r="S52" s="167"/>
      <c r="T52" s="679" t="b">
        <f t="shared" ca="1" si="0"/>
        <v>1</v>
      </c>
      <c r="U52" s="167"/>
      <c r="V52" s="167"/>
      <c r="W52" s="167"/>
      <c r="X52" s="1483"/>
      <c r="Y52" s="167"/>
      <c r="Z52" s="1483"/>
      <c r="AA52" s="167"/>
      <c r="AB52" s="477">
        <v>1</v>
      </c>
      <c r="AC52" s="854" t="s">
        <v>1984</v>
      </c>
      <c r="AD52" s="855"/>
      <c r="AE52" s="855"/>
      <c r="AF52" s="855"/>
      <c r="AG52" s="855"/>
      <c r="AH52" s="855"/>
      <c r="AI52" s="855"/>
      <c r="AJ52" s="167"/>
      <c r="AK52" s="167"/>
      <c r="AL52" s="971"/>
      <c r="AM52" s="971"/>
      <c r="AN52" s="971"/>
      <c r="AO52" s="974"/>
      <c r="AP52" s="974"/>
    </row>
    <row r="53" spans="1:42" s="1291" customFormat="1" ht="39" customHeight="1" x14ac:dyDescent="0.15">
      <c r="A53" s="167"/>
      <c r="B53" s="167"/>
      <c r="C53" s="167"/>
      <c r="D53" s="167"/>
      <c r="E53" s="668">
        <v>40</v>
      </c>
      <c r="F53" s="769" t="str" cm="1">
        <f t="array" aca="1" ref="F53" ca="1">OFFSET(G53,-1,-1)</f>
        <v>1</v>
      </c>
      <c r="G53" s="167"/>
      <c r="H53" s="167"/>
      <c r="I53" s="167"/>
      <c r="J53" s="167"/>
      <c r="K53" s="167"/>
      <c r="L53" s="167"/>
      <c r="M53" s="167"/>
      <c r="N53" s="167"/>
      <c r="O53" s="167"/>
      <c r="P53" s="167"/>
      <c r="Q53" s="167"/>
      <c r="R53" s="167"/>
      <c r="S53" s="167"/>
      <c r="T53" s="679" t="b">
        <f t="shared" ca="1" si="0"/>
        <v>1</v>
      </c>
      <c r="U53" s="167"/>
      <c r="V53" s="167"/>
      <c r="W53" s="167"/>
      <c r="X53" s="1483"/>
      <c r="Y53" s="167"/>
      <c r="Z53" s="1483"/>
      <c r="AA53" s="167"/>
      <c r="AB53" s="477" t="s">
        <v>473</v>
      </c>
      <c r="AC53" s="233" t="s">
        <v>1985</v>
      </c>
      <c r="AD53" s="102" t="s">
        <v>1426</v>
      </c>
      <c r="AE53" s="1197"/>
      <c r="AF53" s="1197"/>
      <c r="AG53" s="1340"/>
      <c r="AH53" s="1340"/>
      <c r="AI53" s="1189"/>
      <c r="AJ53" s="167"/>
      <c r="AK53" s="167"/>
      <c r="AL53" s="971" t="s">
        <v>1986</v>
      </c>
      <c r="AM53" s="971"/>
      <c r="AN53" s="971"/>
      <c r="AO53" s="974"/>
      <c r="AP53" s="974"/>
    </row>
    <row r="54" spans="1:42" s="1291" customFormat="1" ht="39" customHeight="1" x14ac:dyDescent="0.15">
      <c r="A54" s="167"/>
      <c r="B54" s="167"/>
      <c r="C54" s="167"/>
      <c r="D54" s="167"/>
      <c r="E54" s="668">
        <v>40</v>
      </c>
      <c r="F54" s="769" t="str" cm="1">
        <f t="array" aca="1" ref="F54" ca="1">OFFSET(G54,-1,-1)</f>
        <v>1</v>
      </c>
      <c r="G54" s="167"/>
      <c r="H54" s="167"/>
      <c r="I54" s="167"/>
      <c r="J54" s="167"/>
      <c r="K54" s="167"/>
      <c r="L54" s="167"/>
      <c r="M54" s="167"/>
      <c r="N54" s="167"/>
      <c r="O54" s="167"/>
      <c r="P54" s="167"/>
      <c r="Q54" s="167"/>
      <c r="R54" s="167"/>
      <c r="S54" s="167"/>
      <c r="T54" s="679" t="b">
        <f t="shared" ca="1" si="0"/>
        <v>1</v>
      </c>
      <c r="U54" s="167"/>
      <c r="V54" s="167"/>
      <c r="W54" s="167"/>
      <c r="X54" s="1483"/>
      <c r="Y54" s="167"/>
      <c r="Z54" s="1483"/>
      <c r="AA54" s="167"/>
      <c r="AB54" s="477" t="s">
        <v>955</v>
      </c>
      <c r="AC54" s="233" t="s">
        <v>1987</v>
      </c>
      <c r="AD54" s="102" t="s">
        <v>489</v>
      </c>
      <c r="AE54" s="1197"/>
      <c r="AF54" s="1197"/>
      <c r="AG54" s="1340"/>
      <c r="AH54" s="1340"/>
      <c r="AI54" s="1189"/>
      <c r="AJ54" s="167"/>
      <c r="AK54" s="167"/>
      <c r="AL54" s="971" t="s">
        <v>1988</v>
      </c>
      <c r="AM54" s="971"/>
      <c r="AN54" s="971"/>
      <c r="AO54" s="974"/>
      <c r="AP54" s="974"/>
    </row>
    <row r="55" spans="1:42" s="1291" customFormat="1" ht="33.75" customHeight="1" x14ac:dyDescent="0.15">
      <c r="A55" s="167"/>
      <c r="B55" s="167"/>
      <c r="C55" s="167"/>
      <c r="D55" s="167"/>
      <c r="E55" s="668">
        <v>35</v>
      </c>
      <c r="F55" s="769" t="str" cm="1">
        <f t="array" aca="1" ref="F55" ca="1">OFFSET(G55,-1,-1)</f>
        <v>1</v>
      </c>
      <c r="G55" s="167"/>
      <c r="H55" s="167"/>
      <c r="I55" s="167"/>
      <c r="J55" s="167"/>
      <c r="K55" s="167"/>
      <c r="L55" s="167"/>
      <c r="M55" s="167"/>
      <c r="N55" s="167"/>
      <c r="O55" s="167"/>
      <c r="P55" s="167"/>
      <c r="Q55" s="167"/>
      <c r="R55" s="167"/>
      <c r="S55" s="167"/>
      <c r="T55" s="679" t="b">
        <f t="shared" ca="1" si="0"/>
        <v>1</v>
      </c>
      <c r="U55" s="167"/>
      <c r="V55" s="167"/>
      <c r="W55" s="167"/>
      <c r="X55" s="1483"/>
      <c r="Y55" s="167"/>
      <c r="Z55" s="1483"/>
      <c r="AA55" s="167"/>
      <c r="AB55" s="477" t="s">
        <v>957</v>
      </c>
      <c r="AC55" s="233" t="s">
        <v>1989</v>
      </c>
      <c r="AD55" s="102" t="s">
        <v>1959</v>
      </c>
      <c r="AE55" s="1197">
        <f>IFERROR(AE53/AE54,0)</f>
        <v>0</v>
      </c>
      <c r="AF55" s="1197">
        <f>IFERROR(AF53/AF54,0)</f>
        <v>0</v>
      </c>
      <c r="AG55" s="1340"/>
      <c r="AH55" s="1340"/>
      <c r="AI55" s="1189"/>
      <c r="AJ55" s="167"/>
      <c r="AK55" s="167"/>
      <c r="AL55" s="971" t="s">
        <v>1990</v>
      </c>
      <c r="AM55" s="971"/>
      <c r="AN55" s="971"/>
      <c r="AO55" s="974"/>
      <c r="AP55" s="974"/>
    </row>
    <row r="56" spans="1:42" s="1291" customFormat="1" ht="33.75" customHeight="1" x14ac:dyDescent="0.15">
      <c r="A56" s="167"/>
      <c r="B56" s="167"/>
      <c r="C56" s="167"/>
      <c r="D56" s="167"/>
      <c r="E56" s="668">
        <v>35</v>
      </c>
      <c r="F56" s="769" t="str" cm="1">
        <f t="array" aca="1" ref="F56" ca="1">OFFSET(G56,-1,-1)</f>
        <v>1</v>
      </c>
      <c r="G56" s="167"/>
      <c r="H56" s="167"/>
      <c r="I56" s="167"/>
      <c r="J56" s="167"/>
      <c r="K56" s="167"/>
      <c r="L56" s="167"/>
      <c r="M56" s="167"/>
      <c r="N56" s="167"/>
      <c r="O56" s="167"/>
      <c r="P56" s="167"/>
      <c r="Q56" s="167"/>
      <c r="R56" s="167"/>
      <c r="S56" s="167"/>
      <c r="T56" s="679" t="b">
        <f t="shared" ca="1" si="0"/>
        <v>1</v>
      </c>
      <c r="U56" s="167"/>
      <c r="V56" s="167"/>
      <c r="W56" s="167"/>
      <c r="X56" s="1483"/>
      <c r="Y56" s="167"/>
      <c r="Z56" s="1483"/>
      <c r="AA56" s="167"/>
      <c r="AB56" s="477" t="s">
        <v>961</v>
      </c>
      <c r="AC56" s="233" t="s">
        <v>1991</v>
      </c>
      <c r="AD56" s="102"/>
      <c r="AE56" s="1341"/>
      <c r="AF56" s="1341"/>
      <c r="AG56" s="1340"/>
      <c r="AH56" s="1340"/>
      <c r="AI56" s="1189"/>
      <c r="AJ56" s="167"/>
      <c r="AK56" s="167"/>
      <c r="AL56" s="971" t="s">
        <v>1992</v>
      </c>
      <c r="AM56" s="971"/>
      <c r="AN56" s="971"/>
      <c r="AO56" s="974"/>
      <c r="AP56" s="974"/>
    </row>
    <row r="57" spans="1:42" s="1291" customFormat="1" ht="33.75" customHeight="1" x14ac:dyDescent="0.15">
      <c r="A57" s="167"/>
      <c r="B57" s="167"/>
      <c r="C57" s="167"/>
      <c r="D57" s="167"/>
      <c r="E57" s="668">
        <v>35</v>
      </c>
      <c r="F57" s="769" t="str" cm="1">
        <f t="array" aca="1" ref="F57" ca="1">OFFSET(G57,-1,-1)</f>
        <v>1</v>
      </c>
      <c r="G57" s="167"/>
      <c r="H57" s="167"/>
      <c r="I57" s="167"/>
      <c r="J57" s="167"/>
      <c r="K57" s="167"/>
      <c r="L57" s="167"/>
      <c r="M57" s="167"/>
      <c r="N57" s="167"/>
      <c r="O57" s="167"/>
      <c r="P57" s="167"/>
      <c r="Q57" s="167"/>
      <c r="R57" s="167"/>
      <c r="S57" s="167"/>
      <c r="T57" s="679" t="b">
        <f t="shared" ca="1" si="0"/>
        <v>1</v>
      </c>
      <c r="U57" s="167"/>
      <c r="V57" s="167"/>
      <c r="W57" s="167"/>
      <c r="X57" s="1483"/>
      <c r="Y57" s="167"/>
      <c r="Z57" s="1483"/>
      <c r="AA57" s="167"/>
      <c r="AB57" s="477" t="s">
        <v>1067</v>
      </c>
      <c r="AC57" s="856" t="s">
        <v>1993</v>
      </c>
      <c r="AD57" s="857" t="s">
        <v>1959</v>
      </c>
      <c r="AE57" s="1200">
        <f>AE55*AE56</f>
        <v>0</v>
      </c>
      <c r="AF57" s="1200">
        <f>AF55*AF56</f>
        <v>0</v>
      </c>
      <c r="AG57" s="1342"/>
      <c r="AH57" s="1342"/>
      <c r="AI57" s="1343"/>
      <c r="AJ57" s="167"/>
      <c r="AK57" s="167"/>
      <c r="AL57" s="971" t="s">
        <v>1994</v>
      </c>
      <c r="AM57" s="971"/>
      <c r="AN57" s="971"/>
      <c r="AO57" s="974"/>
      <c r="AP57" s="974"/>
    </row>
    <row r="58" spans="1:42" s="1291" customFormat="1" ht="16.5" customHeight="1" x14ac:dyDescent="0.15">
      <c r="A58" s="167"/>
      <c r="B58" s="167"/>
      <c r="C58" s="167"/>
      <c r="D58" s="167"/>
      <c r="E58" s="668">
        <v>17.100000000000001</v>
      </c>
      <c r="F58" s="769" t="str" cm="1">
        <f t="array" aca="1" ref="F58" ca="1">OFFSET(G58,-1,-1)</f>
        <v>1</v>
      </c>
      <c r="G58" s="167"/>
      <c r="H58" s="167"/>
      <c r="I58" s="167"/>
      <c r="J58" s="167"/>
      <c r="K58" s="167"/>
      <c r="L58" s="167"/>
      <c r="M58" s="167"/>
      <c r="N58" s="167"/>
      <c r="O58" s="167"/>
      <c r="P58" s="167"/>
      <c r="Q58" s="167"/>
      <c r="R58" s="167"/>
      <c r="S58" s="167"/>
      <c r="T58" s="679" t="b">
        <f t="shared" ca="1" si="0"/>
        <v>1</v>
      </c>
      <c r="U58" s="167"/>
      <c r="V58" s="167"/>
      <c r="W58" s="167"/>
      <c r="X58" s="1483"/>
      <c r="Y58" s="167"/>
      <c r="Z58" s="1483"/>
      <c r="AA58" s="167"/>
      <c r="AB58" s="477" t="s">
        <v>1070</v>
      </c>
      <c r="AC58" s="856" t="s">
        <v>1995</v>
      </c>
      <c r="AD58" s="857" t="s">
        <v>521</v>
      </c>
      <c r="AE58" s="1200"/>
      <c r="AF58" s="1200"/>
      <c r="AG58" s="1342"/>
      <c r="AH58" s="1342"/>
      <c r="AI58" s="1343"/>
      <c r="AJ58" s="167"/>
      <c r="AK58" s="167"/>
      <c r="AL58" s="971" t="s">
        <v>1996</v>
      </c>
      <c r="AM58" s="971"/>
      <c r="AN58" s="971"/>
      <c r="AO58" s="974"/>
      <c r="AP58" s="974"/>
    </row>
    <row r="59" spans="1:42" s="1291" customFormat="1" ht="39" customHeight="1" x14ac:dyDescent="0.15">
      <c r="A59" s="167"/>
      <c r="B59" s="167"/>
      <c r="C59" s="167"/>
      <c r="D59" s="167"/>
      <c r="E59" s="668">
        <v>40</v>
      </c>
      <c r="F59" s="769" t="str" cm="1">
        <f t="array" aca="1" ref="F59" ca="1">OFFSET(G59,-1,-1)</f>
        <v>1</v>
      </c>
      <c r="G59" s="167"/>
      <c r="H59" s="167"/>
      <c r="I59" s="167"/>
      <c r="J59" s="167"/>
      <c r="K59" s="167"/>
      <c r="L59" s="167"/>
      <c r="M59" s="167"/>
      <c r="N59" s="167"/>
      <c r="O59" s="167"/>
      <c r="P59" s="167"/>
      <c r="Q59" s="167"/>
      <c r="R59" s="167"/>
      <c r="S59" s="167"/>
      <c r="T59" s="679" t="b">
        <f t="shared" ca="1" si="0"/>
        <v>1</v>
      </c>
      <c r="U59" s="167"/>
      <c r="V59" s="167"/>
      <c r="W59" s="167"/>
      <c r="X59" s="1483"/>
      <c r="Y59" s="167"/>
      <c r="Z59" s="1483"/>
      <c r="AA59" s="167"/>
      <c r="AB59" s="477" t="s">
        <v>1073</v>
      </c>
      <c r="AC59" s="856" t="s">
        <v>1997</v>
      </c>
      <c r="AD59" s="857" t="s">
        <v>489</v>
      </c>
      <c r="AE59" s="1200"/>
      <c r="AF59" s="1200"/>
      <c r="AG59" s="1342"/>
      <c r="AH59" s="1342"/>
      <c r="AI59" s="1343"/>
      <c r="AJ59" s="167"/>
      <c r="AK59" s="167"/>
      <c r="AL59" s="971" t="s">
        <v>1998</v>
      </c>
      <c r="AM59" s="971"/>
      <c r="AN59" s="971"/>
      <c r="AO59" s="974"/>
      <c r="AP59" s="974"/>
    </row>
    <row r="60" spans="1:42" s="1291" customFormat="1" ht="16.5" customHeight="1" x14ac:dyDescent="0.15">
      <c r="A60" s="167"/>
      <c r="B60" s="167"/>
      <c r="C60" s="167"/>
      <c r="D60" s="167"/>
      <c r="E60" s="668">
        <v>17.100000000000001</v>
      </c>
      <c r="F60" s="769" t="str" cm="1">
        <f t="array" aca="1" ref="F60" ca="1">OFFSET(G60,-1,-1)</f>
        <v>1</v>
      </c>
      <c r="G60" s="167"/>
      <c r="H60" s="167"/>
      <c r="I60" s="167"/>
      <c r="J60" s="167"/>
      <c r="K60" s="167"/>
      <c r="L60" s="167"/>
      <c r="M60" s="167"/>
      <c r="N60" s="167"/>
      <c r="O60" s="167"/>
      <c r="P60" s="167"/>
      <c r="Q60" s="167"/>
      <c r="R60" s="167"/>
      <c r="S60" s="167"/>
      <c r="T60" s="679" t="b">
        <f t="shared" ca="1" si="0"/>
        <v>1</v>
      </c>
      <c r="U60" s="167"/>
      <c r="V60" s="167"/>
      <c r="W60" s="167"/>
      <c r="X60" s="1483"/>
      <c r="Y60" s="167"/>
      <c r="Z60" s="1483"/>
      <c r="AA60" s="167"/>
      <c r="AB60" s="477" t="s">
        <v>1076</v>
      </c>
      <c r="AC60" s="856" t="s">
        <v>1999</v>
      </c>
      <c r="AD60" s="857" t="s">
        <v>1426</v>
      </c>
      <c r="AE60" s="1200">
        <f>AE57*AE59*(1+AE58)</f>
        <v>0</v>
      </c>
      <c r="AF60" s="1200">
        <f>AF57*AF59*(1+AF58)</f>
        <v>0</v>
      </c>
      <c r="AG60" s="1342"/>
      <c r="AH60" s="1342"/>
      <c r="AI60" s="1343"/>
      <c r="AJ60" s="167"/>
      <c r="AK60" s="167"/>
      <c r="AL60" s="971" t="s">
        <v>1433</v>
      </c>
      <c r="AM60" s="971"/>
      <c r="AN60" s="971"/>
      <c r="AO60" s="974"/>
      <c r="AP60" s="974"/>
    </row>
    <row r="61" spans="1:42" s="1291" customFormat="1" ht="16.5" customHeight="1" x14ac:dyDescent="0.15">
      <c r="A61" s="167"/>
      <c r="B61" s="167"/>
      <c r="C61" s="167"/>
      <c r="D61" s="167"/>
      <c r="E61" s="668">
        <v>17.100000000000001</v>
      </c>
      <c r="F61" s="769" t="str" cm="1">
        <f t="array" aca="1" ref="F61" ca="1">OFFSET(G61,-1,-1)</f>
        <v>1</v>
      </c>
      <c r="G61" s="167"/>
      <c r="H61" s="167"/>
      <c r="I61" s="167"/>
      <c r="J61" s="167"/>
      <c r="K61" s="167"/>
      <c r="L61" s="167"/>
      <c r="M61" s="167"/>
      <c r="N61" s="167"/>
      <c r="O61" s="167"/>
      <c r="P61" s="167"/>
      <c r="Q61" s="167"/>
      <c r="R61" s="167"/>
      <c r="S61" s="167"/>
      <c r="T61" s="679" t="b">
        <f t="shared" ca="1" si="0"/>
        <v>1</v>
      </c>
      <c r="U61" s="167"/>
      <c r="V61" s="167"/>
      <c r="W61" s="167"/>
      <c r="X61" s="1483"/>
      <c r="Y61" s="167"/>
      <c r="Z61" s="1483"/>
      <c r="AA61" s="167"/>
      <c r="AB61" s="915">
        <v>2</v>
      </c>
      <c r="AC61" s="854" t="s">
        <v>2000</v>
      </c>
      <c r="AD61" s="855"/>
      <c r="AE61" s="869"/>
      <c r="AF61" s="869"/>
      <c r="AG61" s="854"/>
      <c r="AH61" s="854"/>
      <c r="AI61" s="854"/>
      <c r="AJ61" s="167"/>
      <c r="AK61" s="167"/>
      <c r="AL61" s="971"/>
      <c r="AM61" s="971"/>
      <c r="AN61" s="971"/>
      <c r="AO61" s="974"/>
      <c r="AP61" s="974"/>
    </row>
    <row r="62" spans="1:42" s="1291" customFormat="1" ht="39" customHeight="1" x14ac:dyDescent="0.15">
      <c r="A62" s="167"/>
      <c r="B62" s="167"/>
      <c r="C62" s="167"/>
      <c r="D62" s="167"/>
      <c r="E62" s="668">
        <v>40</v>
      </c>
      <c r="F62" s="769" t="str" cm="1">
        <f t="array" aca="1" ref="F62" ca="1">OFFSET(G62,-1,-1)</f>
        <v>1</v>
      </c>
      <c r="G62" s="167"/>
      <c r="H62" s="167"/>
      <c r="I62" s="167"/>
      <c r="J62" s="167"/>
      <c r="K62" s="167"/>
      <c r="L62" s="167"/>
      <c r="M62" s="167"/>
      <c r="N62" s="167"/>
      <c r="O62" s="167"/>
      <c r="P62" s="167"/>
      <c r="Q62" s="167"/>
      <c r="R62" s="167"/>
      <c r="S62" s="167"/>
      <c r="T62" s="679" t="b">
        <f t="shared" ca="1" si="0"/>
        <v>1</v>
      </c>
      <c r="U62" s="167"/>
      <c r="V62" s="167"/>
      <c r="W62" s="167"/>
      <c r="X62" s="1483"/>
      <c r="Y62" s="167"/>
      <c r="Z62" s="1483"/>
      <c r="AA62" s="167"/>
      <c r="AB62" s="232" t="s">
        <v>479</v>
      </c>
      <c r="AC62" s="860" t="s">
        <v>2001</v>
      </c>
      <c r="AD62" s="102" t="s">
        <v>1426</v>
      </c>
      <c r="AE62" s="1266">
        <f>SUM(AE63:AE64)</f>
        <v>0</v>
      </c>
      <c r="AF62" s="1266">
        <f>SUM(AF63:AF64)</f>
        <v>0</v>
      </c>
      <c r="AG62" s="1342"/>
      <c r="AH62" s="1342"/>
      <c r="AI62" s="1343"/>
      <c r="AJ62" s="167"/>
      <c r="AK62" s="167"/>
      <c r="AL62" s="971" t="s">
        <v>2002</v>
      </c>
      <c r="AM62" s="971"/>
      <c r="AN62" s="971"/>
      <c r="AO62" s="974"/>
      <c r="AP62" s="974"/>
    </row>
    <row r="63" spans="1:42" s="1291" customFormat="1" ht="16.5" hidden="1" customHeight="1" x14ac:dyDescent="0.15">
      <c r="A63" s="167"/>
      <c r="B63" s="167"/>
      <c r="C63" s="167"/>
      <c r="D63" s="167"/>
      <c r="E63" s="668">
        <v>17</v>
      </c>
      <c r="F63" s="769" t="str" cm="1">
        <f t="array" aca="1" ref="F63" ca="1">OFFSET(G63,-1,-1)</f>
        <v>1</v>
      </c>
      <c r="G63" s="167"/>
      <c r="H63" s="167"/>
      <c r="I63" s="167"/>
      <c r="J63" s="167"/>
      <c r="K63" s="167"/>
      <c r="L63" s="167"/>
      <c r="M63" s="167"/>
      <c r="N63" s="167"/>
      <c r="O63" s="167"/>
      <c r="P63" s="167"/>
      <c r="Q63" s="167"/>
      <c r="R63" s="167"/>
      <c r="S63" s="167"/>
      <c r="T63" s="679" t="b">
        <f t="shared" ca="1" si="0"/>
        <v>0</v>
      </c>
      <c r="U63" s="167"/>
      <c r="V63" s="167"/>
      <c r="W63" s="123" t="s">
        <v>237</v>
      </c>
      <c r="X63" s="1483"/>
      <c r="Y63" s="123">
        <v>0</v>
      </c>
      <c r="Z63" s="1483"/>
      <c r="AA63" s="764" t="s">
        <v>218</v>
      </c>
      <c r="AB63" s="232" t="str">
        <f>"2.1."&amp;Y63</f>
        <v>2.1.0</v>
      </c>
      <c r="AC63" s="93"/>
      <c r="AD63" s="102" t="s">
        <v>1426</v>
      </c>
      <c r="AE63" s="50"/>
      <c r="AF63" s="50"/>
      <c r="AG63" s="91"/>
      <c r="AH63" s="91"/>
      <c r="AI63" s="92"/>
      <c r="AJ63" s="167"/>
      <c r="AK63" s="167"/>
      <c r="AL63" s="971" t="s">
        <v>2002</v>
      </c>
      <c r="AM63" s="971" t="s">
        <v>2003</v>
      </c>
      <c r="AN63" s="971" cm="1">
        <f t="array" ref="AN63">AC63</f>
        <v>0</v>
      </c>
      <c r="AO63" s="974"/>
      <c r="AP63" s="974" t="b">
        <v>1</v>
      </c>
    </row>
    <row r="64" spans="1:42" s="1291" customFormat="1" ht="16.5" customHeight="1" x14ac:dyDescent="0.15">
      <c r="A64" s="167"/>
      <c r="B64" s="167"/>
      <c r="C64" s="167"/>
      <c r="D64" s="167"/>
      <c r="E64" s="668">
        <v>17</v>
      </c>
      <c r="F64" s="769" t="str" cm="1">
        <f t="array" aca="1" ref="F64" ca="1">OFFSET(G64,-1,-1)</f>
        <v>1</v>
      </c>
      <c r="G64" s="167"/>
      <c r="H64" s="167"/>
      <c r="I64" s="167"/>
      <c r="J64" s="167"/>
      <c r="K64" s="167"/>
      <c r="L64" s="167"/>
      <c r="M64" s="167"/>
      <c r="N64" s="167"/>
      <c r="O64" s="167"/>
      <c r="P64" s="167"/>
      <c r="Q64" s="167"/>
      <c r="R64" s="167"/>
      <c r="S64" s="167"/>
      <c r="T64" s="679" t="b">
        <f t="shared" ca="1" si="0"/>
        <v>1</v>
      </c>
      <c r="U64" s="167"/>
      <c r="V64" s="167"/>
      <c r="W64" s="848" t="s">
        <v>971</v>
      </c>
      <c r="X64" s="1483"/>
      <c r="Y64" s="167"/>
      <c r="Z64" s="1483"/>
      <c r="AA64" s="167"/>
      <c r="AB64" s="246"/>
      <c r="AC64" s="608" t="s">
        <v>239</v>
      </c>
      <c r="AD64" s="247"/>
      <c r="AE64" s="247"/>
      <c r="AF64" s="247"/>
      <c r="AG64" s="247"/>
      <c r="AH64" s="247"/>
      <c r="AI64" s="247"/>
      <c r="AJ64" s="167"/>
      <c r="AK64" s="167"/>
      <c r="AL64" s="971" t="str">
        <f>IF(AND(ISNUMBER(VALUE(TRIM(SUBSTITUTE(AB64,".","")))),TRIM(SUBSTITUTE(AB64,".",""))&lt;&gt;""),"P"&amp;SUBSTITUTE(AB64,".",""),"")</f>
        <v/>
      </c>
      <c r="AM64" s="971"/>
      <c r="AN64" s="971"/>
      <c r="AO64" s="974" t="s">
        <v>2003</v>
      </c>
      <c r="AP64" s="974"/>
    </row>
    <row r="65" spans="1:42" s="1291" customFormat="1" ht="39" customHeight="1" x14ac:dyDescent="0.15">
      <c r="A65" s="167"/>
      <c r="B65" s="167"/>
      <c r="C65" s="167"/>
      <c r="D65" s="167"/>
      <c r="E65" s="668">
        <v>40</v>
      </c>
      <c r="F65" s="769" t="str" cm="1">
        <f t="array" aca="1" ref="F65" ca="1">OFFSET(G65,-1,-1)</f>
        <v>1</v>
      </c>
      <c r="G65" s="167"/>
      <c r="H65" s="167"/>
      <c r="I65" s="167"/>
      <c r="J65" s="167"/>
      <c r="K65" s="167"/>
      <c r="L65" s="167"/>
      <c r="M65" s="167"/>
      <c r="N65" s="167"/>
      <c r="O65" s="167"/>
      <c r="P65" s="167"/>
      <c r="Q65" s="167"/>
      <c r="R65" s="167"/>
      <c r="S65" s="167"/>
      <c r="T65" s="679" t="b">
        <f t="shared" ca="1" si="0"/>
        <v>1</v>
      </c>
      <c r="U65" s="167"/>
      <c r="V65" s="167"/>
      <c r="W65" s="167"/>
      <c r="X65" s="1483"/>
      <c r="Y65" s="167"/>
      <c r="Z65" s="1483"/>
      <c r="AA65" s="167"/>
      <c r="AB65" s="232" t="s">
        <v>506</v>
      </c>
      <c r="AC65" s="860" t="s">
        <v>2004</v>
      </c>
      <c r="AD65" s="102" t="s">
        <v>1973</v>
      </c>
      <c r="AE65" s="1266">
        <f>SUM(AE66:AE67)</f>
        <v>0</v>
      </c>
      <c r="AF65" s="1266">
        <f>SUM(AF66:AF67)</f>
        <v>0</v>
      </c>
      <c r="AG65" s="1342"/>
      <c r="AH65" s="1342"/>
      <c r="AI65" s="1343"/>
      <c r="AJ65" s="167"/>
      <c r="AK65" s="167"/>
      <c r="AL65" s="971" t="s">
        <v>1974</v>
      </c>
      <c r="AM65" s="971"/>
      <c r="AN65" s="971"/>
      <c r="AO65" s="974"/>
      <c r="AP65" s="974"/>
    </row>
    <row r="66" spans="1:42" s="1291" customFormat="1" ht="16.5" hidden="1" customHeight="1" x14ac:dyDescent="0.15">
      <c r="A66" s="167"/>
      <c r="B66" s="167"/>
      <c r="C66" s="167"/>
      <c r="D66" s="167"/>
      <c r="E66" s="668">
        <v>17.100000000000001</v>
      </c>
      <c r="F66" s="769" t="str" cm="1">
        <f t="array" aca="1" ref="F66" ca="1">OFFSET(G66,-1,-1)</f>
        <v>1</v>
      </c>
      <c r="G66" s="167"/>
      <c r="H66" s="167"/>
      <c r="I66" s="167"/>
      <c r="J66" s="167"/>
      <c r="K66" s="167"/>
      <c r="L66" s="167"/>
      <c r="M66" s="167"/>
      <c r="N66" s="167"/>
      <c r="O66" s="167"/>
      <c r="P66" s="167"/>
      <c r="Q66" s="167"/>
      <c r="R66" s="167"/>
      <c r="S66" s="167"/>
      <c r="T66" s="679" t="b">
        <f t="shared" ca="1" si="0"/>
        <v>0</v>
      </c>
      <c r="U66" s="167"/>
      <c r="V66" s="167"/>
      <c r="W66" s="123" t="s">
        <v>237</v>
      </c>
      <c r="X66" s="1483"/>
      <c r="Y66" s="123">
        <v>0</v>
      </c>
      <c r="Z66" s="1483"/>
      <c r="AA66" s="764" t="s">
        <v>218</v>
      </c>
      <c r="AB66" s="232" t="str">
        <f>"2.2."&amp;Y66</f>
        <v>2.2.0</v>
      </c>
      <c r="AC66" s="93"/>
      <c r="AD66" s="102" t="s">
        <v>1973</v>
      </c>
      <c r="AE66" s="50"/>
      <c r="AF66" s="50"/>
      <c r="AG66" s="91"/>
      <c r="AH66" s="91"/>
      <c r="AI66" s="92"/>
      <c r="AJ66" s="167"/>
      <c r="AK66" s="167"/>
      <c r="AL66" s="971" t="s">
        <v>1974</v>
      </c>
      <c r="AM66" s="971" t="s">
        <v>2005</v>
      </c>
      <c r="AN66" s="971" cm="1">
        <f t="array" ref="AN66">AC66</f>
        <v>0</v>
      </c>
      <c r="AO66" s="974"/>
      <c r="AP66" s="974" t="b">
        <v>1</v>
      </c>
    </row>
    <row r="67" spans="1:42" s="1291" customFormat="1" ht="16.5" customHeight="1" x14ac:dyDescent="0.15">
      <c r="A67" s="167"/>
      <c r="B67" s="167"/>
      <c r="C67" s="167"/>
      <c r="D67" s="167"/>
      <c r="E67" s="668">
        <v>17</v>
      </c>
      <c r="F67" s="769" t="str" cm="1">
        <f t="array" aca="1" ref="F67" ca="1">OFFSET(G67,-1,-1)</f>
        <v>1</v>
      </c>
      <c r="G67" s="167"/>
      <c r="H67" s="167"/>
      <c r="I67" s="167"/>
      <c r="J67" s="167"/>
      <c r="K67" s="167"/>
      <c r="L67" s="167"/>
      <c r="M67" s="167"/>
      <c r="N67" s="167"/>
      <c r="O67" s="167"/>
      <c r="P67" s="167"/>
      <c r="Q67" s="167"/>
      <c r="R67" s="167"/>
      <c r="S67" s="167"/>
      <c r="T67" s="679" t="b">
        <f t="shared" ca="1" si="0"/>
        <v>1</v>
      </c>
      <c r="U67" s="167"/>
      <c r="V67" s="167"/>
      <c r="W67" s="848" t="s">
        <v>982</v>
      </c>
      <c r="X67" s="1483"/>
      <c r="Y67" s="167"/>
      <c r="Z67" s="1483"/>
      <c r="AA67" s="167"/>
      <c r="AB67" s="246"/>
      <c r="AC67" s="608" t="s">
        <v>239</v>
      </c>
      <c r="AD67" s="247"/>
      <c r="AE67" s="247"/>
      <c r="AF67" s="247"/>
      <c r="AG67" s="247"/>
      <c r="AH67" s="247"/>
      <c r="AI67" s="247"/>
      <c r="AJ67" s="167"/>
      <c r="AK67" s="167"/>
      <c r="AL67" s="971" t="str">
        <f>IF(AND(ISNUMBER(VALUE(TRIM(SUBSTITUTE(AB67,".","")))),TRIM(SUBSTITUTE(AB67,".",""))&lt;&gt;""),"P"&amp;SUBSTITUTE(AB67,".",""),"")</f>
        <v/>
      </c>
      <c r="AM67" s="971"/>
      <c r="AN67" s="971"/>
      <c r="AO67" s="974" t="s">
        <v>2005</v>
      </c>
      <c r="AP67" s="974"/>
    </row>
    <row r="68" spans="1:42" s="1291" customFormat="1" ht="33.75" customHeight="1" x14ac:dyDescent="0.15">
      <c r="A68" s="167"/>
      <c r="B68" s="167"/>
      <c r="C68" s="167"/>
      <c r="D68" s="167"/>
      <c r="E68" s="668">
        <v>35</v>
      </c>
      <c r="F68" s="769" t="str" cm="1">
        <f t="array" aca="1" ref="F68" ca="1">OFFSET(G68,-1,-1)</f>
        <v>1</v>
      </c>
      <c r="G68" s="167"/>
      <c r="H68" s="167"/>
      <c r="I68" s="167"/>
      <c r="J68" s="167"/>
      <c r="K68" s="167"/>
      <c r="L68" s="167"/>
      <c r="M68" s="167"/>
      <c r="N68" s="167"/>
      <c r="O68" s="167"/>
      <c r="P68" s="167"/>
      <c r="Q68" s="167"/>
      <c r="R68" s="167"/>
      <c r="S68" s="167"/>
      <c r="T68" s="679" t="b">
        <f t="shared" ca="1" si="0"/>
        <v>1</v>
      </c>
      <c r="U68" s="167"/>
      <c r="V68" s="167"/>
      <c r="W68" s="167"/>
      <c r="X68" s="1483"/>
      <c r="Y68" s="167"/>
      <c r="Z68" s="1483"/>
      <c r="AA68" s="167"/>
      <c r="AB68" s="915" t="s">
        <v>510</v>
      </c>
      <c r="AC68" s="861" t="s">
        <v>2006</v>
      </c>
      <c r="AD68" s="858" t="s">
        <v>1426</v>
      </c>
      <c r="AE68" s="1197"/>
      <c r="AF68" s="1197"/>
      <c r="AG68" s="1340"/>
      <c r="AH68" s="1340"/>
      <c r="AI68" s="1189"/>
      <c r="AJ68" s="167"/>
      <c r="AK68" s="167"/>
      <c r="AL68" s="971" t="s">
        <v>2007</v>
      </c>
      <c r="AM68" s="971"/>
      <c r="AN68" s="971"/>
      <c r="AO68" s="974"/>
      <c r="AP68" s="974"/>
    </row>
    <row r="69" spans="1:42" s="1291" customFormat="1" ht="39" customHeight="1" x14ac:dyDescent="0.15">
      <c r="A69" s="167"/>
      <c r="B69" s="167"/>
      <c r="C69" s="167"/>
      <c r="D69" s="167"/>
      <c r="E69" s="668">
        <v>40</v>
      </c>
      <c r="F69" s="769" t="str" cm="1">
        <f t="array" aca="1" ref="F69" ca="1">OFFSET(G69,-1,-1)</f>
        <v>1</v>
      </c>
      <c r="G69" s="167"/>
      <c r="H69" s="167"/>
      <c r="I69" s="167"/>
      <c r="J69" s="167"/>
      <c r="K69" s="167"/>
      <c r="L69" s="167"/>
      <c r="M69" s="167"/>
      <c r="N69" s="167"/>
      <c r="O69" s="167"/>
      <c r="P69" s="167"/>
      <c r="Q69" s="167"/>
      <c r="R69" s="167"/>
      <c r="S69" s="167"/>
      <c r="T69" s="679" t="b">
        <f t="shared" ca="1" si="0"/>
        <v>1</v>
      </c>
      <c r="U69" s="167"/>
      <c r="V69" s="167"/>
      <c r="W69" s="167"/>
      <c r="X69" s="1483"/>
      <c r="Y69" s="167"/>
      <c r="Z69" s="1483"/>
      <c r="AA69" s="167"/>
      <c r="AB69" s="232" t="s">
        <v>514</v>
      </c>
      <c r="AC69" s="233" t="s">
        <v>2008</v>
      </c>
      <c r="AD69" s="102"/>
      <c r="AE69" s="1206"/>
      <c r="AF69" s="1197"/>
      <c r="AG69" s="1340"/>
      <c r="AH69" s="1340"/>
      <c r="AI69" s="1189"/>
      <c r="AJ69" s="167"/>
      <c r="AK69" s="167"/>
      <c r="AL69" s="971" t="s">
        <v>2009</v>
      </c>
      <c r="AM69" s="971"/>
      <c r="AN69" s="971"/>
      <c r="AO69" s="974"/>
      <c r="AP69" s="974"/>
    </row>
    <row r="70" spans="1:42" s="1291" customFormat="1" ht="33.75" customHeight="1" x14ac:dyDescent="0.15">
      <c r="A70" s="167"/>
      <c r="B70" s="167"/>
      <c r="C70" s="167"/>
      <c r="D70" s="167"/>
      <c r="E70" s="668">
        <v>35</v>
      </c>
      <c r="F70" s="769" t="str" cm="1">
        <f t="array" aca="1" ref="F70" ca="1">OFFSET(G70,-1,-1)</f>
        <v>1</v>
      </c>
      <c r="G70" s="167"/>
      <c r="H70" s="167"/>
      <c r="I70" s="167"/>
      <c r="J70" s="167"/>
      <c r="K70" s="167"/>
      <c r="L70" s="167"/>
      <c r="M70" s="167"/>
      <c r="N70" s="167"/>
      <c r="O70" s="167"/>
      <c r="P70" s="167"/>
      <c r="Q70" s="167"/>
      <c r="R70" s="167"/>
      <c r="S70" s="167"/>
      <c r="T70" s="679" t="b">
        <f t="shared" ca="1" si="0"/>
        <v>1</v>
      </c>
      <c r="U70" s="167"/>
      <c r="V70" s="167"/>
      <c r="W70" s="167"/>
      <c r="X70" s="1483"/>
      <c r="Y70" s="167"/>
      <c r="Z70" s="1483"/>
      <c r="AA70" s="167"/>
      <c r="AB70" s="232" t="s">
        <v>1585</v>
      </c>
      <c r="AC70" s="233" t="s">
        <v>2010</v>
      </c>
      <c r="AD70" s="102" t="s">
        <v>920</v>
      </c>
      <c r="AE70" s="1206">
        <f>IFERROR(AE62/AE65*AE69,0)</f>
        <v>0</v>
      </c>
      <c r="AF70" s="1206">
        <f>IFERROR(AF62/AF65*AF69,0)</f>
        <v>0</v>
      </c>
      <c r="AG70" s="1340"/>
      <c r="AH70" s="1340"/>
      <c r="AI70" s="1189"/>
      <c r="AJ70" s="167"/>
      <c r="AK70" s="167"/>
      <c r="AL70" s="971" t="s">
        <v>2011</v>
      </c>
      <c r="AM70" s="971"/>
      <c r="AN70" s="971"/>
      <c r="AO70" s="974"/>
      <c r="AP70" s="974"/>
    </row>
    <row r="71" spans="1:42" s="1291" customFormat="1" ht="16.5" customHeight="1" x14ac:dyDescent="0.15">
      <c r="A71" s="167"/>
      <c r="B71" s="167"/>
      <c r="C71" s="167"/>
      <c r="D71" s="167"/>
      <c r="E71" s="668">
        <v>17</v>
      </c>
      <c r="F71" s="769" t="str" cm="1">
        <f t="array" aca="1" ref="F71" ca="1">OFFSET(G71,-1,-1)</f>
        <v>1</v>
      </c>
      <c r="G71" s="167"/>
      <c r="H71" s="167"/>
      <c r="I71" s="167"/>
      <c r="J71" s="167"/>
      <c r="K71" s="167"/>
      <c r="L71" s="167"/>
      <c r="M71" s="167"/>
      <c r="N71" s="167"/>
      <c r="O71" s="167"/>
      <c r="P71" s="167"/>
      <c r="Q71" s="167"/>
      <c r="R71" s="167"/>
      <c r="S71" s="167"/>
      <c r="T71" s="679" t="b">
        <f t="shared" ca="1" si="0"/>
        <v>1</v>
      </c>
      <c r="U71" s="167"/>
      <c r="V71" s="167"/>
      <c r="W71" s="167"/>
      <c r="X71" s="1483"/>
      <c r="Y71" s="167"/>
      <c r="Z71" s="1483"/>
      <c r="AA71" s="167"/>
      <c r="AB71" s="232" t="s">
        <v>2012</v>
      </c>
      <c r="AC71" s="233" t="s">
        <v>1995</v>
      </c>
      <c r="AD71" s="102" t="s">
        <v>521</v>
      </c>
      <c r="AE71" s="1206"/>
      <c r="AF71" s="1197"/>
      <c r="AG71" s="1340"/>
      <c r="AH71" s="1340"/>
      <c r="AI71" s="1189"/>
      <c r="AJ71" s="167"/>
      <c r="AK71" s="167"/>
      <c r="AL71" s="971" t="s">
        <v>2013</v>
      </c>
      <c r="AM71" s="971"/>
      <c r="AN71" s="971"/>
      <c r="AO71" s="974"/>
      <c r="AP71" s="974"/>
    </row>
    <row r="72" spans="1:42" s="1291" customFormat="1" ht="33.75" customHeight="1" x14ac:dyDescent="0.15">
      <c r="A72" s="167"/>
      <c r="B72" s="167"/>
      <c r="C72" s="167"/>
      <c r="D72" s="167"/>
      <c r="E72" s="668">
        <v>35</v>
      </c>
      <c r="F72" s="769" t="str" cm="1">
        <f t="array" aca="1" ref="F72" ca="1">OFFSET(G72,-1,-1)</f>
        <v>1</v>
      </c>
      <c r="G72" s="167"/>
      <c r="H72" s="167"/>
      <c r="I72" s="167"/>
      <c r="J72" s="167"/>
      <c r="K72" s="167"/>
      <c r="L72" s="167"/>
      <c r="M72" s="167"/>
      <c r="N72" s="167"/>
      <c r="O72" s="167"/>
      <c r="P72" s="167"/>
      <c r="Q72" s="167"/>
      <c r="R72" s="167"/>
      <c r="S72" s="167"/>
      <c r="T72" s="679" t="b">
        <f t="shared" ca="1" si="0"/>
        <v>1</v>
      </c>
      <c r="U72" s="167"/>
      <c r="V72" s="167"/>
      <c r="W72" s="167"/>
      <c r="X72" s="1483"/>
      <c r="Y72" s="167"/>
      <c r="Z72" s="1483"/>
      <c r="AA72" s="167"/>
      <c r="AB72" s="232" t="s">
        <v>2014</v>
      </c>
      <c r="AC72" s="233" t="s">
        <v>2015</v>
      </c>
      <c r="AD72" s="102" t="s">
        <v>1973</v>
      </c>
      <c r="AE72" s="1344"/>
      <c r="AF72" s="1200"/>
      <c r="AG72" s="1340"/>
      <c r="AH72" s="1340"/>
      <c r="AI72" s="1189"/>
      <c r="AJ72" s="167"/>
      <c r="AK72" s="167"/>
      <c r="AL72" s="971" t="s">
        <v>2016</v>
      </c>
      <c r="AM72" s="971"/>
      <c r="AN72" s="971"/>
      <c r="AO72" s="974"/>
      <c r="AP72" s="974"/>
    </row>
    <row r="73" spans="1:42" s="1291" customFormat="1" ht="16.5" customHeight="1" x14ac:dyDescent="0.15">
      <c r="A73" s="167"/>
      <c r="B73" s="167"/>
      <c r="C73" s="167"/>
      <c r="D73" s="167"/>
      <c r="E73" s="668">
        <v>17</v>
      </c>
      <c r="F73" s="769" t="str" cm="1">
        <f t="array" aca="1" ref="F73" ca="1">OFFSET(G73,-1,-1)</f>
        <v>1</v>
      </c>
      <c r="G73" s="167"/>
      <c r="H73" s="167"/>
      <c r="I73" s="167"/>
      <c r="J73" s="167"/>
      <c r="K73" s="167"/>
      <c r="L73" s="167"/>
      <c r="M73" s="167"/>
      <c r="N73" s="167"/>
      <c r="O73" s="167"/>
      <c r="P73" s="167"/>
      <c r="Q73" s="167"/>
      <c r="R73" s="167"/>
      <c r="S73" s="167"/>
      <c r="T73" s="679" t="b">
        <f t="shared" ca="1" si="0"/>
        <v>1</v>
      </c>
      <c r="U73" s="167"/>
      <c r="V73" s="167"/>
      <c r="W73" s="167"/>
      <c r="X73" s="1483"/>
      <c r="Y73" s="167"/>
      <c r="Z73" s="1483"/>
      <c r="AA73" s="167"/>
      <c r="AB73" s="232" t="s">
        <v>2017</v>
      </c>
      <c r="AC73" s="233" t="s">
        <v>2018</v>
      </c>
      <c r="AD73" s="102" t="s">
        <v>1426</v>
      </c>
      <c r="AE73" s="1197">
        <f>AE70*AE72*(1+AE71)</f>
        <v>0</v>
      </c>
      <c r="AF73" s="1197">
        <f>AF70*AF72*(1+AF71)</f>
        <v>0</v>
      </c>
      <c r="AG73" s="1340"/>
      <c r="AH73" s="1340"/>
      <c r="AI73" s="1189"/>
      <c r="AJ73" s="167"/>
      <c r="AK73" s="167"/>
      <c r="AL73" s="971" t="s">
        <v>2019</v>
      </c>
      <c r="AM73" s="971"/>
      <c r="AN73" s="971"/>
      <c r="AO73" s="974"/>
      <c r="AP73" s="974"/>
    </row>
    <row r="74" spans="1:42" s="1167" customFormat="1" ht="17.25" hidden="1" customHeight="1" x14ac:dyDescent="0.15">
      <c r="A74" s="973"/>
      <c r="B74" s="773"/>
      <c r="C74" s="175"/>
      <c r="D74" s="175"/>
      <c r="E74" s="668">
        <v>0</v>
      </c>
      <c r="F74" s="769" t="str" cm="1">
        <f t="array" aca="1" ref="F74" ca="1">OFFSET(G74,-1,-1)</f>
        <v>1</v>
      </c>
      <c r="G74" s="177"/>
      <c r="H74" s="177"/>
      <c r="I74" s="177"/>
      <c r="J74" s="177"/>
      <c r="K74" s="177"/>
      <c r="L74" s="177"/>
      <c r="M74" s="177"/>
      <c r="N74" s="177"/>
      <c r="O74" s="177"/>
      <c r="P74" s="177"/>
      <c r="Q74" s="140"/>
      <c r="R74" s="140"/>
      <c r="S74" s="177"/>
      <c r="T74" s="679" t="b">
        <f t="shared" ca="1" si="0"/>
        <v>1</v>
      </c>
      <c r="U74" s="1152"/>
      <c r="V74" s="1152"/>
      <c r="W74" s="1152"/>
      <c r="X74" s="1485"/>
      <c r="Y74" s="1152"/>
      <c r="Z74" s="1485"/>
      <c r="AA74" s="177"/>
      <c r="AB74" s="175"/>
      <c r="AC74" s="176"/>
      <c r="AD74" s="175"/>
      <c r="AE74" s="177"/>
      <c r="AF74" s="177"/>
      <c r="AG74" s="177"/>
      <c r="AH74" s="177"/>
      <c r="AI74" s="177"/>
      <c r="AJ74" s="177"/>
      <c r="AK74" s="177"/>
      <c r="AL74" s="1021"/>
      <c r="AM74" s="1021"/>
      <c r="AN74" s="1021"/>
      <c r="AO74" s="1022"/>
      <c r="AP74" s="1022"/>
    </row>
    <row r="75" spans="1:42" ht="9.9499999999999993" customHeight="1" x14ac:dyDescent="0.15">
      <c r="E75" s="668">
        <v>10.199999999999999</v>
      </c>
      <c r="U75" s="126" t="s">
        <v>239</v>
      </c>
      <c r="V75" s="119" t="s">
        <v>2020</v>
      </c>
    </row>
    <row r="76" spans="1:42" ht="11.25" hidden="1" customHeight="1" x14ac:dyDescent="0.15">
      <c r="E76" s="668">
        <v>0</v>
      </c>
    </row>
    <row r="77" spans="1:42" ht="14.65" customHeight="1" x14ac:dyDescent="0.15">
      <c r="E77" s="668">
        <v>15</v>
      </c>
      <c r="AB77" s="1601" t="s">
        <v>725</v>
      </c>
      <c r="AC77" s="1602"/>
      <c r="AD77" s="1602"/>
      <c r="AE77" s="1602"/>
      <c r="AF77" s="1602"/>
      <c r="AG77" s="1602"/>
      <c r="AH77" s="1602"/>
      <c r="AI77" s="1603"/>
    </row>
    <row r="78" spans="1:42" ht="14.65" customHeight="1" x14ac:dyDescent="0.15">
      <c r="E78" s="668">
        <v>15</v>
      </c>
      <c r="AA78" s="768"/>
      <c r="AB78" s="1604"/>
      <c r="AC78" s="1605"/>
      <c r="AD78" s="1605"/>
      <c r="AE78" s="1605"/>
      <c r="AF78" s="1605"/>
      <c r="AG78" s="1605"/>
      <c r="AH78" s="1605"/>
      <c r="AI78" s="1606"/>
    </row>
    <row r="79" spans="1:42" ht="14.65" hidden="1" customHeight="1" x14ac:dyDescent="0.15">
      <c r="E79" s="668">
        <v>15</v>
      </c>
      <c r="T79" s="679" t="b">
        <f>ROW(W79)&gt;ROW(W$79)</f>
        <v>0</v>
      </c>
      <c r="W79" s="123" t="s">
        <v>237</v>
      </c>
      <c r="AA79" s="764" t="s">
        <v>218</v>
      </c>
      <c r="AB79" s="1607"/>
      <c r="AC79" s="1608"/>
      <c r="AD79" s="1608"/>
      <c r="AE79" s="1608"/>
      <c r="AF79" s="1608"/>
      <c r="AG79" s="1608"/>
      <c r="AH79" s="1608"/>
      <c r="AI79" s="1609"/>
    </row>
    <row r="80" spans="1:42" ht="14.65" customHeight="1" x14ac:dyDescent="0.15">
      <c r="E80" s="668">
        <v>15</v>
      </c>
      <c r="W80" s="119" t="s">
        <v>1039</v>
      </c>
      <c r="AA80" s="160"/>
      <c r="AB80" s="1500" t="s">
        <v>726</v>
      </c>
      <c r="AC80" s="1501"/>
      <c r="AD80" s="822"/>
      <c r="AE80" s="317"/>
      <c r="AF80" s="317"/>
      <c r="AG80" s="317"/>
      <c r="AH80" s="317"/>
      <c r="AI80" s="290"/>
    </row>
  </sheetData>
  <sheetProtection formatColumns="0" formatRows="0" insertRows="0" deleteColumns="0" deleteRows="0" sort="0" autoFilter="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xr:uid="{00000000-0002-0000-1D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4669E-B098-4C98-B868-E75E736E3B24}">
  <sheetPr>
    <tabColor rgb="FF92D050"/>
    <outlinePr summaryBelow="0" summaryRight="0"/>
    <pageSetUpPr fitToPage="1"/>
  </sheetPr>
  <dimension ref="A1:BI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3" hidden="1" customWidth="1"/>
    <col min="2" max="2" width="8.5703125" style="773" hidden="1" customWidth="1"/>
    <col min="3" max="3" width="9" style="1089" hidden="1" customWidth="1"/>
    <col min="4" max="4" width="9" style="1075" hidden="1" customWidth="1"/>
    <col min="5" max="5" width="8.42578125" style="772" hidden="1" customWidth="1"/>
    <col min="6" max="6" width="6.42578125" style="177" hidden="1" customWidth="1"/>
    <col min="7" max="11" width="3.5703125" style="177" hidden="1" customWidth="1"/>
    <col min="12" max="16" width="8.42578125" style="1116" hidden="1" customWidth="1"/>
    <col min="17" max="18" width="8.42578125" style="1114" hidden="1" customWidth="1"/>
    <col min="19" max="19" width="8.42578125" style="1116"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77" customWidth="1"/>
    <col min="28" max="28" width="8.140625" style="175" customWidth="1"/>
    <col min="29" max="29" width="70.140625" style="176" customWidth="1"/>
    <col min="30" max="30" width="14.42578125" style="175" customWidth="1"/>
    <col min="31" max="31" width="12.5703125" style="177" customWidth="1"/>
    <col min="32" max="40" width="12.5703125" style="177" hidden="1" customWidth="1"/>
    <col min="41" max="41" width="12.5703125" style="177" customWidth="1"/>
    <col min="42" max="50" width="12.5703125" style="177" hidden="1" customWidth="1"/>
    <col min="51" max="51" width="19" style="177" customWidth="1"/>
    <col min="52" max="52" width="17.28515625" style="177" customWidth="1"/>
    <col min="53" max="53" width="31.28515625" style="177" customWidth="1"/>
    <col min="54" max="54" width="3" style="177" customWidth="1"/>
    <col min="55" max="55" width="9.140625" style="177" hidden="1"/>
    <col min="56" max="58" width="9.140625" style="1021" hidden="1"/>
    <col min="59" max="60" width="9.140625" style="1022" hidden="1"/>
    <col min="61" max="61" width="9.140625" style="1116" hidden="1"/>
  </cols>
  <sheetData>
    <row r="1" spans="1:61" s="175" customFormat="1" ht="12" hidden="1" customHeight="1" x14ac:dyDescent="0.15">
      <c r="A1" s="123"/>
      <c r="B1" s="659"/>
      <c r="C1" s="1075" t="s">
        <v>84</v>
      </c>
      <c r="D1" s="1075" t="s">
        <v>85</v>
      </c>
      <c r="E1" s="659"/>
      <c r="F1" s="690" t="s">
        <v>83</v>
      </c>
      <c r="L1" s="1091" t="s">
        <v>94</v>
      </c>
      <c r="M1" s="1091" t="s">
        <v>1592</v>
      </c>
      <c r="N1" s="1091" t="s">
        <v>1820</v>
      </c>
      <c r="O1" s="1091" t="s">
        <v>1594</v>
      </c>
      <c r="P1" s="1091" t="s">
        <v>2021</v>
      </c>
      <c r="Q1" s="1092" t="s">
        <v>2022</v>
      </c>
      <c r="R1" s="1092" t="s">
        <v>98</v>
      </c>
      <c r="S1" s="1091" t="s">
        <v>1593</v>
      </c>
      <c r="T1" s="679" t="s">
        <v>86</v>
      </c>
      <c r="U1" s="679" t="s">
        <v>91</v>
      </c>
      <c r="V1" s="679" t="s">
        <v>87</v>
      </c>
      <c r="W1" s="679" t="s">
        <v>88</v>
      </c>
      <c r="X1" s="679" t="s">
        <v>89</v>
      </c>
      <c r="Y1" s="690" t="s">
        <v>374</v>
      </c>
      <c r="Z1" s="679" t="s">
        <v>93</v>
      </c>
      <c r="AA1" s="690" t="s">
        <v>90</v>
      </c>
      <c r="AB1" s="690" t="s">
        <v>92</v>
      </c>
      <c r="AC1" s="690" t="s">
        <v>92</v>
      </c>
      <c r="BD1" s="1127" t="s">
        <v>375</v>
      </c>
      <c r="BE1" s="1127" t="s">
        <v>376</v>
      </c>
      <c r="BF1" s="1127" t="s">
        <v>377</v>
      </c>
      <c r="BG1" s="1128" t="s">
        <v>380</v>
      </c>
      <c r="BH1" s="1128" t="s">
        <v>381</v>
      </c>
      <c r="BI1" s="1047" t="s">
        <v>1596</v>
      </c>
    </row>
    <row r="2" spans="1:61" s="773" customFormat="1" ht="12" hidden="1" customHeight="1" x14ac:dyDescent="0.15">
      <c r="A2" s="981"/>
      <c r="B2" s="758" t="s">
        <v>15</v>
      </c>
      <c r="C2" s="1086"/>
      <c r="D2" s="1101"/>
      <c r="F2" s="776"/>
      <c r="G2" s="776"/>
      <c r="H2" s="776"/>
      <c r="I2" s="776"/>
      <c r="J2" s="776"/>
      <c r="K2" s="776"/>
      <c r="L2" s="1081"/>
      <c r="M2" s="1081"/>
      <c r="N2" s="1081"/>
      <c r="O2" s="1081"/>
      <c r="P2" s="1081"/>
      <c r="Q2" s="1078"/>
      <c r="R2" s="1078"/>
      <c r="S2" s="1081"/>
      <c r="AC2" s="663"/>
      <c r="AE2" s="680" t="b">
        <f t="shared" ref="AE2:AX2" si="0">AE6&lt;=last_year_vis</f>
        <v>1</v>
      </c>
      <c r="AF2" s="680" t="b">
        <f t="shared" si="0"/>
        <v>0</v>
      </c>
      <c r="AG2" s="680" t="b">
        <f t="shared" si="0"/>
        <v>0</v>
      </c>
      <c r="AH2" s="680" t="b">
        <f t="shared" si="0"/>
        <v>0</v>
      </c>
      <c r="AI2" s="680" t="b">
        <f t="shared" si="0"/>
        <v>0</v>
      </c>
      <c r="AJ2" s="680" t="b">
        <f t="shared" si="0"/>
        <v>0</v>
      </c>
      <c r="AK2" s="680" t="b">
        <f t="shared" si="0"/>
        <v>0</v>
      </c>
      <c r="AL2" s="680" t="b">
        <f t="shared" si="0"/>
        <v>0</v>
      </c>
      <c r="AM2" s="680" t="b">
        <f t="shared" si="0"/>
        <v>0</v>
      </c>
      <c r="AN2" s="680" t="b">
        <f t="shared" si="0"/>
        <v>0</v>
      </c>
      <c r="AO2" s="680" t="b">
        <f t="shared" si="0"/>
        <v>1</v>
      </c>
      <c r="AP2" s="680" t="b">
        <f t="shared" si="0"/>
        <v>0</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BD2" s="963"/>
      <c r="BE2" s="963"/>
      <c r="BF2" s="963"/>
      <c r="BG2" s="975"/>
      <c r="BH2" s="975"/>
      <c r="BI2" s="1041"/>
    </row>
    <row r="3" spans="1:61" s="175" customFormat="1" ht="12" hidden="1" customHeight="1" x14ac:dyDescent="0.15">
      <c r="A3" s="973"/>
      <c r="B3" s="659"/>
      <c r="C3" s="1083"/>
      <c r="D3" s="1075"/>
      <c r="E3" s="659"/>
      <c r="F3" s="177"/>
      <c r="G3" s="177"/>
      <c r="H3" s="177"/>
      <c r="I3" s="177"/>
      <c r="J3" s="177"/>
      <c r="K3" s="177"/>
      <c r="L3" s="1054"/>
      <c r="M3" s="1054"/>
      <c r="N3" s="1054"/>
      <c r="O3" s="1054"/>
      <c r="P3" s="1054"/>
      <c r="Q3" s="1062"/>
      <c r="R3" s="1062"/>
      <c r="S3" s="1054"/>
      <c r="T3" s="123"/>
      <c r="U3" s="123"/>
      <c r="V3" s="123"/>
      <c r="W3" s="123"/>
      <c r="X3" s="123"/>
      <c r="Y3" s="123"/>
      <c r="Z3" s="123"/>
      <c r="AC3" s="179"/>
      <c r="BD3" s="1021"/>
      <c r="BE3" s="1021"/>
      <c r="BF3" s="1021"/>
      <c r="BG3" s="1022"/>
      <c r="BH3" s="1022"/>
      <c r="BI3" s="1052"/>
    </row>
    <row r="4" spans="1:61" s="175" customFormat="1" ht="12" hidden="1" customHeight="1" x14ac:dyDescent="0.15">
      <c r="A4" s="973"/>
      <c r="B4" s="659"/>
      <c r="C4" s="1083"/>
      <c r="D4" s="1075"/>
      <c r="E4" s="659"/>
      <c r="F4" s="177"/>
      <c r="G4" s="177"/>
      <c r="H4" s="177"/>
      <c r="I4" s="177"/>
      <c r="J4" s="177"/>
      <c r="K4" s="177"/>
      <c r="L4" s="1054"/>
      <c r="M4" s="1054"/>
      <c r="N4" s="1054"/>
      <c r="O4" s="1054"/>
      <c r="P4" s="1054"/>
      <c r="Q4" s="1062"/>
      <c r="R4" s="1062"/>
      <c r="S4" s="1054"/>
      <c r="T4" s="123"/>
      <c r="U4" s="123"/>
      <c r="V4" s="123"/>
      <c r="W4" s="123"/>
      <c r="X4" s="123"/>
      <c r="Y4" s="123"/>
      <c r="Z4" s="123"/>
      <c r="AC4" s="179"/>
      <c r="BD4" s="1021"/>
      <c r="BE4" s="1021"/>
      <c r="BF4" s="1021"/>
      <c r="BG4" s="1022"/>
      <c r="BH4" s="1022"/>
      <c r="BI4" s="1052"/>
    </row>
    <row r="5" spans="1:61" s="772" customFormat="1" ht="12" hidden="1" customHeight="1" x14ac:dyDescent="0.15">
      <c r="A5" s="981"/>
      <c r="B5" s="659"/>
      <c r="C5" s="1086"/>
      <c r="D5" s="1101"/>
      <c r="E5" s="668" t="s">
        <v>16</v>
      </c>
      <c r="F5" s="777"/>
      <c r="G5" s="777"/>
      <c r="H5" s="777"/>
      <c r="I5" s="777"/>
      <c r="J5" s="777"/>
      <c r="K5" s="777"/>
      <c r="L5" s="1081"/>
      <c r="M5" s="1081"/>
      <c r="N5" s="1081"/>
      <c r="O5" s="1081"/>
      <c r="P5" s="1081"/>
      <c r="Q5" s="1078"/>
      <c r="R5" s="1078"/>
      <c r="S5" s="1081"/>
      <c r="AA5" s="668">
        <v>3</v>
      </c>
      <c r="AB5" s="668">
        <v>8.1300000000000008</v>
      </c>
      <c r="AC5" s="674">
        <v>70.13</v>
      </c>
      <c r="AD5" s="668">
        <v>14.38</v>
      </c>
      <c r="AE5" s="668">
        <v>12.63</v>
      </c>
      <c r="AF5" s="668">
        <v>12.63</v>
      </c>
      <c r="AG5" s="668">
        <v>12.63</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19</v>
      </c>
      <c r="AZ5" s="668">
        <v>17.25</v>
      </c>
      <c r="BA5" s="668">
        <v>31.25</v>
      </c>
      <c r="BB5" s="668">
        <v>3</v>
      </c>
      <c r="BD5" s="963"/>
      <c r="BE5" s="963"/>
      <c r="BF5" s="963"/>
      <c r="BG5" s="975"/>
      <c r="BH5" s="975"/>
      <c r="BI5" s="1041"/>
    </row>
    <row r="6" spans="1:61" s="175" customFormat="1" ht="12" hidden="1" customHeight="1" x14ac:dyDescent="0.15">
      <c r="A6" s="973"/>
      <c r="B6" s="659"/>
      <c r="C6" s="1083"/>
      <c r="D6" s="1075"/>
      <c r="E6" s="668"/>
      <c r="F6" s="177"/>
      <c r="G6" s="177"/>
      <c r="H6" s="177"/>
      <c r="I6" s="177"/>
      <c r="J6" s="177"/>
      <c r="K6" s="177"/>
      <c r="L6" s="1054"/>
      <c r="M6" s="1054"/>
      <c r="N6" s="1054"/>
      <c r="O6" s="1054"/>
      <c r="P6" s="1054"/>
      <c r="Q6" s="1062"/>
      <c r="R6" s="1062"/>
      <c r="S6" s="1054"/>
      <c r="T6" s="123"/>
      <c r="U6" s="123"/>
      <c r="V6" s="123"/>
      <c r="W6" s="123"/>
      <c r="X6" s="123"/>
      <c r="Y6" s="123"/>
      <c r="Z6" s="123"/>
      <c r="AC6" s="179"/>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D6" s="1021"/>
      <c r="BE6" s="1021"/>
      <c r="BF6" s="1021"/>
      <c r="BG6" s="1022"/>
      <c r="BH6" s="1022"/>
      <c r="BI6" s="1052"/>
    </row>
    <row r="7" spans="1:61" ht="12" hidden="1" customHeight="1" x14ac:dyDescent="0.15">
      <c r="T7" s="160"/>
      <c r="U7" s="160"/>
      <c r="V7" s="160"/>
      <c r="W7" s="160"/>
      <c r="X7" s="160"/>
      <c r="Y7" s="160"/>
      <c r="Z7" s="160"/>
      <c r="AB7" s="177"/>
      <c r="AD7" s="177"/>
      <c r="AE7" s="160" t="str" cm="1">
        <f t="array" ref="AE7">$AE$25</f>
        <v>Предложение организации</v>
      </c>
      <c r="AF7" s="160" t="str" cm="1">
        <f t="array" ref="AF7">$AE$25</f>
        <v>Предложение организации</v>
      </c>
      <c r="AG7" s="160" t="str" cm="1">
        <f t="array" ref="AG7">$AE$25</f>
        <v>Предложение организации</v>
      </c>
      <c r="AH7" s="160" t="str" cm="1">
        <f t="array" ref="AH7">$AE$25</f>
        <v>Предложение организации</v>
      </c>
      <c r="AI7" s="160" t="str" cm="1">
        <f t="array" ref="AI7">$AE$25</f>
        <v>Предложение организации</v>
      </c>
      <c r="AJ7" s="160" t="str" cm="1">
        <f t="array" ref="AJ7">$AE$25</f>
        <v>Предложение организации</v>
      </c>
      <c r="AK7" s="160" t="str" cm="1">
        <f t="array" ref="AK7">$AE$25</f>
        <v>Предложение организации</v>
      </c>
      <c r="AL7" s="160" t="str" cm="1">
        <f t="array" ref="AL7">$AE$25</f>
        <v>Предложение организации</v>
      </c>
      <c r="AM7" s="160" t="str" cm="1">
        <f t="array" ref="AM7">$AE$25</f>
        <v>Предложение организации</v>
      </c>
      <c r="AN7" s="160" t="str" cm="1">
        <f t="array" ref="AN7">$AE$25</f>
        <v>Предложение организации</v>
      </c>
      <c r="AO7" s="160" t="str" cm="1">
        <f t="array" ref="AO7">$AO$25</f>
        <v>Принято органом регулирования</v>
      </c>
      <c r="AP7" s="160" t="str" cm="1">
        <f t="array" ref="AP7">$AO$25</f>
        <v>Принято органом регулирования</v>
      </c>
      <c r="AQ7" s="160" t="str" cm="1">
        <f t="array" ref="AQ7">$AO$25</f>
        <v>Принято органом регулирования</v>
      </c>
      <c r="AR7" s="160" t="str" cm="1">
        <f t="array" ref="AR7">$AO$25</f>
        <v>Принято органом регулирования</v>
      </c>
      <c r="AS7" s="160" t="str" cm="1">
        <f t="array" ref="AS7">$AO$25</f>
        <v>Принято органом регулирования</v>
      </c>
      <c r="AT7" s="160" t="str" cm="1">
        <f t="array" ref="AT7">$AO$25</f>
        <v>Принято органом регулирования</v>
      </c>
      <c r="AU7" s="160" t="str" cm="1">
        <f t="array" ref="AU7">$AO$25</f>
        <v>Принято органом регулирования</v>
      </c>
      <c r="AV7" s="160" t="str" cm="1">
        <f t="array" ref="AV7">$AO$25</f>
        <v>Принято органом регулирования</v>
      </c>
      <c r="AW7" s="160" t="str" cm="1">
        <f t="array" ref="AW7">$AO$25</f>
        <v>Принято органом регулирования</v>
      </c>
      <c r="AX7" s="160" t="str" cm="1">
        <f t="array" ref="AX7">$AO$25</f>
        <v>Принято органом регулирования</v>
      </c>
    </row>
    <row r="8" spans="1:61" ht="12" hidden="1" customHeight="1" x14ac:dyDescent="0.15">
      <c r="T8" s="160"/>
      <c r="U8" s="160"/>
      <c r="V8" s="160"/>
      <c r="W8" s="160"/>
      <c r="X8" s="160"/>
      <c r="Y8" s="160"/>
      <c r="Z8" s="160"/>
      <c r="AB8" s="177"/>
      <c r="AD8" s="177"/>
      <c r="AE8" s="160" t="str">
        <f t="shared" ref="AE8:AX8" si="1">AE6&amp;AE7</f>
        <v>2026Предложение организации</v>
      </c>
      <c r="AF8" s="160" t="str">
        <f t="shared" si="1"/>
        <v>2027Предложение организации</v>
      </c>
      <c r="AG8" s="160" t="str">
        <f t="shared" si="1"/>
        <v>2028Предложение организации</v>
      </c>
      <c r="AH8" s="160" t="str">
        <f t="shared" si="1"/>
        <v>2029Предложение организации</v>
      </c>
      <c r="AI8" s="160" t="str">
        <f t="shared" si="1"/>
        <v>2030Предложение организации</v>
      </c>
      <c r="AJ8" s="160" t="str">
        <f t="shared" si="1"/>
        <v>2031Предложение организации</v>
      </c>
      <c r="AK8" s="160" t="str">
        <f t="shared" si="1"/>
        <v>2032Предложение организации</v>
      </c>
      <c r="AL8" s="160" t="str">
        <f t="shared" si="1"/>
        <v>2033Предложение организации</v>
      </c>
      <c r="AM8" s="160" t="str">
        <f t="shared" si="1"/>
        <v>2034Предложение организации</v>
      </c>
      <c r="AN8" s="160" t="str">
        <f t="shared" si="1"/>
        <v>2035Предложение организации</v>
      </c>
      <c r="AO8" s="160" t="str">
        <f t="shared" si="1"/>
        <v>2026Принято органом регулирования</v>
      </c>
      <c r="AP8" s="160" t="str">
        <f t="shared" si="1"/>
        <v>2027Принято органом регулирования</v>
      </c>
      <c r="AQ8" s="160" t="str">
        <f t="shared" si="1"/>
        <v>2028Принято органом регулирования</v>
      </c>
      <c r="AR8" s="160" t="str">
        <f t="shared" si="1"/>
        <v>2029Принято органом регулирования</v>
      </c>
      <c r="AS8" s="160" t="str">
        <f t="shared" si="1"/>
        <v>2030Принято органом регулирования</v>
      </c>
      <c r="AT8" s="160" t="str">
        <f t="shared" si="1"/>
        <v>2031Принято органом регулирования</v>
      </c>
      <c r="AU8" s="160" t="str">
        <f t="shared" si="1"/>
        <v>2032Принято органом регулирования</v>
      </c>
      <c r="AV8" s="160" t="str">
        <f t="shared" si="1"/>
        <v>2033Принято органом регулирования</v>
      </c>
      <c r="AW8" s="160" t="str">
        <f t="shared" si="1"/>
        <v>2034Принято органом регулирования</v>
      </c>
      <c r="AX8" s="160" t="str">
        <f t="shared" si="1"/>
        <v>2035Принято органом регулирования</v>
      </c>
    </row>
    <row r="9" spans="1:61" s="1020" customFormat="1" ht="12" hidden="1" customHeight="1" x14ac:dyDescent="0.15">
      <c r="A9" s="948" t="s">
        <v>461</v>
      </c>
      <c r="B9" s="941"/>
      <c r="C9" s="1083"/>
      <c r="D9" s="1075"/>
      <c r="E9" s="941"/>
      <c r="F9" s="1023"/>
      <c r="G9" s="1023"/>
      <c r="H9" s="1023"/>
      <c r="I9" s="1023"/>
      <c r="J9" s="1023"/>
      <c r="K9" s="1023"/>
      <c r="L9" s="1054"/>
      <c r="M9" s="1054"/>
      <c r="N9" s="1054"/>
      <c r="O9" s="1054"/>
      <c r="P9" s="1054"/>
      <c r="Q9" s="1062"/>
      <c r="R9" s="1062"/>
      <c r="S9" s="1054"/>
      <c r="T9" s="949"/>
      <c r="U9" s="949"/>
      <c r="V9" s="949"/>
      <c r="W9" s="949"/>
      <c r="X9" s="949"/>
      <c r="Y9" s="949"/>
      <c r="Z9" s="949"/>
      <c r="AE9" s="1020" cm="1">
        <f t="array" ref="AE9">god</f>
        <v>2026</v>
      </c>
      <c r="AF9" s="1020">
        <f>god+1</f>
        <v>2027</v>
      </c>
      <c r="AG9" s="1020">
        <f>god+2</f>
        <v>2028</v>
      </c>
      <c r="AH9" s="1020">
        <f>god+3</f>
        <v>2029</v>
      </c>
      <c r="AI9" s="1020">
        <f>god+4</f>
        <v>2030</v>
      </c>
      <c r="AJ9" s="1020">
        <f>god+5</f>
        <v>2031</v>
      </c>
      <c r="AK9" s="1020">
        <f>god+6</f>
        <v>2032</v>
      </c>
      <c r="AL9" s="1020">
        <f>god+7</f>
        <v>2033</v>
      </c>
      <c r="AM9" s="1020">
        <f>god+8</f>
        <v>2034</v>
      </c>
      <c r="AN9" s="1020">
        <f>god+9</f>
        <v>2035</v>
      </c>
      <c r="AO9" s="1020" cm="1">
        <f t="array" ref="AO9">god</f>
        <v>2026</v>
      </c>
      <c r="AP9" s="1020">
        <f>god+1</f>
        <v>2027</v>
      </c>
      <c r="AQ9" s="1020">
        <f>god+2</f>
        <v>2028</v>
      </c>
      <c r="AR9" s="1020">
        <f>god+3</f>
        <v>2029</v>
      </c>
      <c r="AS9" s="1020">
        <f>god+4</f>
        <v>2030</v>
      </c>
      <c r="AT9" s="1020">
        <f>god+5</f>
        <v>2031</v>
      </c>
      <c r="AU9" s="1020">
        <f>god+6</f>
        <v>2032</v>
      </c>
      <c r="AV9" s="1020">
        <f>god+7</f>
        <v>2033</v>
      </c>
      <c r="AW9" s="1020">
        <f>god+8</f>
        <v>2034</v>
      </c>
      <c r="AX9" s="1020">
        <f>god+9</f>
        <v>2035</v>
      </c>
      <c r="BD9" s="1021"/>
      <c r="BE9" s="1021"/>
      <c r="BF9" s="1021"/>
      <c r="BG9" s="1022"/>
      <c r="BH9" s="1022"/>
      <c r="BI9" s="1052"/>
    </row>
    <row r="10" spans="1:61" s="1020" customFormat="1" ht="12" hidden="1" customHeight="1" x14ac:dyDescent="0.15">
      <c r="A10" s="948" t="s">
        <v>462</v>
      </c>
      <c r="B10" s="941"/>
      <c r="C10" s="1083"/>
      <c r="D10" s="1075"/>
      <c r="E10" s="941"/>
      <c r="F10" s="1023"/>
      <c r="G10" s="1023"/>
      <c r="H10" s="1023"/>
      <c r="I10" s="1023"/>
      <c r="J10" s="1023"/>
      <c r="K10" s="1023"/>
      <c r="L10" s="1054"/>
      <c r="M10" s="1054"/>
      <c r="N10" s="1054"/>
      <c r="O10" s="1054"/>
      <c r="P10" s="1054"/>
      <c r="Q10" s="1062"/>
      <c r="R10" s="1062"/>
      <c r="S10" s="1054"/>
      <c r="T10" s="949"/>
      <c r="U10" s="949"/>
      <c r="V10" s="949"/>
      <c r="W10" s="949"/>
      <c r="X10" s="949"/>
      <c r="Y10" s="949"/>
      <c r="Z10" s="949"/>
      <c r="AE10" s="1020" t="str" cm="1">
        <f t="array" ref="AE10">AE25</f>
        <v>Предложение организации</v>
      </c>
      <c r="AF10" s="1020" t="str" cm="1">
        <f t="array" ref="AF10">AF25</f>
        <v>Предложение организации</v>
      </c>
      <c r="AG10" s="1020" t="str" cm="1">
        <f t="array" ref="AG10">AG25</f>
        <v>Предложение организации</v>
      </c>
      <c r="AH10" s="1020" t="str" cm="1">
        <f t="array" ref="AH10">AH25</f>
        <v>Предложение организации</v>
      </c>
      <c r="AI10" s="1020" t="str" cm="1">
        <f t="array" ref="AI10">AI25</f>
        <v>Предложение организации</v>
      </c>
      <c r="AJ10" s="1020" t="str" cm="1">
        <f t="array" ref="AJ10">AJ25</f>
        <v>Предложение организации</v>
      </c>
      <c r="AK10" s="1020" t="str" cm="1">
        <f t="array" ref="AK10">AK25</f>
        <v>Предложение организации</v>
      </c>
      <c r="AL10" s="1020" t="str" cm="1">
        <f t="array" ref="AL10">AL25</f>
        <v>Предложение организации</v>
      </c>
      <c r="AM10" s="1020" t="str" cm="1">
        <f t="array" ref="AM10">AM25</f>
        <v>Предложение организации</v>
      </c>
      <c r="AN10" s="1020" t="str" cm="1">
        <f t="array" ref="AN10">AN25</f>
        <v>Предложение организации</v>
      </c>
      <c r="AO10" s="1020" t="str" cm="1">
        <f t="array" ref="AO10">AO25</f>
        <v>Принято органом регулирования</v>
      </c>
      <c r="AP10" s="1020" t="str" cm="1">
        <f t="array" ref="AP10">AP25</f>
        <v>Принято органом регулирования</v>
      </c>
      <c r="AQ10" s="1020" t="str" cm="1">
        <f t="array" ref="AQ10">AQ25</f>
        <v>Принято органом регулирования</v>
      </c>
      <c r="AR10" s="1020" t="str" cm="1">
        <f t="array" ref="AR10">AR25</f>
        <v>Принято органом регулирования</v>
      </c>
      <c r="AS10" s="1020" t="str" cm="1">
        <f t="array" ref="AS10">AS25</f>
        <v>Принято органом регулирования</v>
      </c>
      <c r="AT10" s="1020" t="str" cm="1">
        <f t="array" ref="AT10">AT25</f>
        <v>Принято органом регулирования</v>
      </c>
      <c r="AU10" s="1020" t="str" cm="1">
        <f t="array" ref="AU10">AU25</f>
        <v>Принято органом регулирования</v>
      </c>
      <c r="AV10" s="1020" t="str" cm="1">
        <f t="array" ref="AV10">AV25</f>
        <v>Принято органом регулирования</v>
      </c>
      <c r="AW10" s="1020" t="str" cm="1">
        <f t="array" ref="AW10">AW25</f>
        <v>Принято органом регулирования</v>
      </c>
      <c r="AX10" s="1020" t="str" cm="1">
        <f t="array" ref="AX10">AX25</f>
        <v>Принято органом регулирования</v>
      </c>
      <c r="BD10" s="1021"/>
      <c r="BE10" s="1021"/>
      <c r="BF10" s="1021"/>
      <c r="BG10" s="1022"/>
      <c r="BH10" s="1022"/>
      <c r="BI10" s="1052"/>
    </row>
    <row r="11" spans="1:61" s="1020" customFormat="1" ht="12" hidden="1" customHeight="1" x14ac:dyDescent="0.15">
      <c r="A11" s="948" t="s">
        <v>463</v>
      </c>
      <c r="B11" s="941"/>
      <c r="C11" s="1083"/>
      <c r="D11" s="1075"/>
      <c r="E11" s="941"/>
      <c r="F11" s="1023"/>
      <c r="G11" s="1023"/>
      <c r="H11" s="1023"/>
      <c r="I11" s="1023"/>
      <c r="J11" s="1023"/>
      <c r="K11" s="1023"/>
      <c r="L11" s="1054"/>
      <c r="M11" s="1054"/>
      <c r="N11" s="1054"/>
      <c r="O11" s="1054"/>
      <c r="P11" s="1054"/>
      <c r="Q11" s="1062"/>
      <c r="R11" s="1062"/>
      <c r="S11" s="1054"/>
      <c r="T11" s="949"/>
      <c r="U11" s="949"/>
      <c r="V11" s="949"/>
      <c r="W11" s="949"/>
      <c r="X11" s="949"/>
      <c r="Y11" s="949"/>
      <c r="Z11" s="949"/>
      <c r="AC11" s="1024"/>
      <c r="AY11" s="1020" t="str" cm="1">
        <f t="array" ref="AY11">AY24</f>
        <v>Указание на подтверждающие документы / URL-ссылка на копии подтверждающих документов</v>
      </c>
      <c r="AZ11" s="1020" t="str" cm="1">
        <f t="array" ref="AZ11">AZ24</f>
        <v>Ссылка на правовую норму (основание для принятия показателя в расчет тарифа)</v>
      </c>
      <c r="BA11" s="1020"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21"/>
      <c r="BE11" s="1021"/>
      <c r="BF11" s="1021"/>
      <c r="BG11" s="1022"/>
      <c r="BH11" s="1022"/>
      <c r="BI11" s="1052"/>
    </row>
    <row r="12" spans="1:61" s="1020" customFormat="1" ht="12" hidden="1" customHeight="1" x14ac:dyDescent="0.15">
      <c r="A12" s="948" t="s">
        <v>386</v>
      </c>
      <c r="B12" s="941"/>
      <c r="C12" s="1083"/>
      <c r="D12" s="1075"/>
      <c r="E12" s="941"/>
      <c r="F12" s="1023"/>
      <c r="G12" s="1023"/>
      <c r="H12" s="1023"/>
      <c r="I12" s="1023"/>
      <c r="J12" s="1023"/>
      <c r="K12" s="1023"/>
      <c r="L12" s="1054"/>
      <c r="M12" s="1054"/>
      <c r="N12" s="1054"/>
      <c r="O12" s="1054"/>
      <c r="P12" s="1054"/>
      <c r="Q12" s="1062"/>
      <c r="R12" s="1062"/>
      <c r="S12" s="1054"/>
      <c r="T12" s="949"/>
      <c r="U12" s="949"/>
      <c r="V12" s="949"/>
      <c r="W12" s="949"/>
      <c r="X12" s="949"/>
      <c r="Y12" s="949"/>
      <c r="Z12" s="949"/>
      <c r="AC12" s="1024" t="s">
        <v>377</v>
      </c>
      <c r="BD12" s="1021"/>
      <c r="BE12" s="1021"/>
      <c r="BF12" s="1021"/>
      <c r="BG12" s="1022"/>
      <c r="BH12" s="1022"/>
      <c r="BI12" s="1052"/>
    </row>
    <row r="13" spans="1:61" s="1053" customFormat="1" ht="12" hidden="1" customHeight="1" x14ac:dyDescent="0.15">
      <c r="A13" s="1059" t="s">
        <v>103</v>
      </c>
      <c r="B13" s="1041"/>
      <c r="C13" s="1074"/>
      <c r="D13" s="1074"/>
      <c r="E13" s="1041"/>
      <c r="F13" s="1054"/>
      <c r="G13" s="1054"/>
      <c r="H13" s="1054"/>
      <c r="I13" s="1054"/>
      <c r="J13" s="1054"/>
      <c r="K13" s="1054"/>
      <c r="L13" s="1054"/>
      <c r="M13" s="1054"/>
      <c r="N13" s="1054"/>
      <c r="O13" s="1054"/>
      <c r="P13" s="1054"/>
      <c r="Q13" s="1062"/>
      <c r="R13" s="1062"/>
      <c r="S13" s="1054"/>
      <c r="T13" s="1056"/>
      <c r="U13" s="1056"/>
      <c r="V13" s="1056"/>
      <c r="W13" s="1056"/>
      <c r="X13" s="1056"/>
      <c r="Y13" s="1056"/>
      <c r="Z13" s="1056"/>
      <c r="AC13" s="1057"/>
      <c r="AE13" s="1052" t="s">
        <v>1597</v>
      </c>
      <c r="AF13" s="1052" t="s">
        <v>1597</v>
      </c>
      <c r="AG13" s="1052" t="s">
        <v>1597</v>
      </c>
      <c r="AH13" s="1052" t="s">
        <v>1597</v>
      </c>
      <c r="AI13" s="1052" t="s">
        <v>1597</v>
      </c>
      <c r="AJ13" s="1052" t="s">
        <v>1597</v>
      </c>
      <c r="AK13" s="1052" t="s">
        <v>1597</v>
      </c>
      <c r="AL13" s="1052" t="s">
        <v>1597</v>
      </c>
      <c r="AM13" s="1052" t="s">
        <v>1597</v>
      </c>
      <c r="AN13" s="1052" t="s">
        <v>1597</v>
      </c>
      <c r="AO13" s="1052" t="s">
        <v>1597</v>
      </c>
      <c r="AP13" s="1052" t="s">
        <v>1597</v>
      </c>
      <c r="AQ13" s="1052" t="s">
        <v>1597</v>
      </c>
      <c r="AR13" s="1052" t="s">
        <v>1597</v>
      </c>
      <c r="AS13" s="1052" t="s">
        <v>1597</v>
      </c>
      <c r="AT13" s="1052" t="s">
        <v>1597</v>
      </c>
      <c r="AU13" s="1052" t="s">
        <v>1597</v>
      </c>
      <c r="AV13" s="1052" t="s">
        <v>1597</v>
      </c>
      <c r="AW13" s="1052" t="s">
        <v>1597</v>
      </c>
      <c r="AX13" s="1052" t="s">
        <v>1597</v>
      </c>
      <c r="BD13" s="1058"/>
      <c r="BE13" s="1058"/>
      <c r="BF13" s="1058"/>
      <c r="BG13" s="1058"/>
      <c r="BH13" s="1058"/>
    </row>
    <row r="14" spans="1:61" s="1053" customFormat="1" ht="12" hidden="1" customHeight="1" x14ac:dyDescent="0.15">
      <c r="A14" s="1059" t="s">
        <v>1598</v>
      </c>
      <c r="B14" s="1041"/>
      <c r="C14" s="1074"/>
      <c r="D14" s="1074"/>
      <c r="E14" s="1041"/>
      <c r="F14" s="1054"/>
      <c r="G14" s="1054"/>
      <c r="H14" s="1054"/>
      <c r="I14" s="1054"/>
      <c r="J14" s="1054"/>
      <c r="K14" s="1054"/>
      <c r="L14" s="1054"/>
      <c r="M14" s="1054"/>
      <c r="N14" s="1054"/>
      <c r="O14" s="1054"/>
      <c r="P14" s="1054"/>
      <c r="Q14" s="1062"/>
      <c r="R14" s="1062"/>
      <c r="S14" s="1054"/>
      <c r="T14" s="1056"/>
      <c r="U14" s="1056"/>
      <c r="V14" s="1056"/>
      <c r="W14" s="1056"/>
      <c r="X14" s="1056"/>
      <c r="Y14" s="1056"/>
      <c r="Z14" s="1056"/>
      <c r="AC14" s="1057"/>
      <c r="AE14" s="1056" cm="1">
        <f t="array" ref="AE14">first_year</f>
        <v>2024</v>
      </c>
      <c r="AF14" s="1056">
        <f t="shared" ref="AF14:AN14" si="2">AE14+1</f>
        <v>2025</v>
      </c>
      <c r="AG14" s="1056">
        <f t="shared" si="2"/>
        <v>2026</v>
      </c>
      <c r="AH14" s="1056">
        <f t="shared" si="2"/>
        <v>2027</v>
      </c>
      <c r="AI14" s="1056">
        <f t="shared" si="2"/>
        <v>2028</v>
      </c>
      <c r="AJ14" s="1056">
        <f t="shared" si="2"/>
        <v>2029</v>
      </c>
      <c r="AK14" s="1056">
        <f t="shared" si="2"/>
        <v>2030</v>
      </c>
      <c r="AL14" s="1056">
        <f t="shared" si="2"/>
        <v>2031</v>
      </c>
      <c r="AM14" s="1056">
        <f t="shared" si="2"/>
        <v>2032</v>
      </c>
      <c r="AN14" s="1056">
        <f t="shared" si="2"/>
        <v>2033</v>
      </c>
      <c r="AO14" s="1056" cm="1">
        <f t="array" ref="AO14">first_year</f>
        <v>2024</v>
      </c>
      <c r="AP14" s="1056">
        <f t="shared" ref="AP14:AX14" si="3">AO14+1</f>
        <v>2025</v>
      </c>
      <c r="AQ14" s="1056">
        <f t="shared" si="3"/>
        <v>2026</v>
      </c>
      <c r="AR14" s="1056">
        <f t="shared" si="3"/>
        <v>2027</v>
      </c>
      <c r="AS14" s="1056">
        <f t="shared" si="3"/>
        <v>2028</v>
      </c>
      <c r="AT14" s="1056">
        <f t="shared" si="3"/>
        <v>2029</v>
      </c>
      <c r="AU14" s="1056">
        <f t="shared" si="3"/>
        <v>2030</v>
      </c>
      <c r="AV14" s="1056">
        <f t="shared" si="3"/>
        <v>2031</v>
      </c>
      <c r="AW14" s="1056">
        <f t="shared" si="3"/>
        <v>2032</v>
      </c>
      <c r="AX14" s="1056">
        <f t="shared" si="3"/>
        <v>2033</v>
      </c>
      <c r="BD14" s="1058"/>
      <c r="BE14" s="1058"/>
      <c r="BF14" s="1058"/>
      <c r="BG14" s="1058"/>
      <c r="BH14" s="1058"/>
    </row>
    <row r="15" spans="1:61" s="1053" customFormat="1" ht="12" hidden="1" customHeight="1" x14ac:dyDescent="0.15">
      <c r="A15" s="1059" t="s">
        <v>1599</v>
      </c>
      <c r="B15" s="1041"/>
      <c r="C15" s="1074"/>
      <c r="D15" s="1074"/>
      <c r="E15" s="1041"/>
      <c r="F15" s="1054"/>
      <c r="G15" s="1054"/>
      <c r="H15" s="1054"/>
      <c r="I15" s="1054"/>
      <c r="J15" s="1054"/>
      <c r="K15" s="1054"/>
      <c r="L15" s="1054"/>
      <c r="M15" s="1054"/>
      <c r="N15" s="1054"/>
      <c r="O15" s="1054"/>
      <c r="P15" s="1054"/>
      <c r="Q15" s="1062"/>
      <c r="R15" s="1062"/>
      <c r="S15" s="1054"/>
      <c r="T15" s="1056"/>
      <c r="U15" s="1056"/>
      <c r="V15" s="1056"/>
      <c r="W15" s="1056"/>
      <c r="X15" s="1056"/>
      <c r="Y15" s="1056"/>
      <c r="Z15" s="1056"/>
      <c r="AC15" s="1057"/>
      <c r="AE15" s="1052" t="s">
        <v>1601</v>
      </c>
      <c r="AF15" s="1052" t="s">
        <v>1601</v>
      </c>
      <c r="AG15" s="1052" t="s">
        <v>1601</v>
      </c>
      <c r="AH15" s="1052" t="s">
        <v>1601</v>
      </c>
      <c r="AI15" s="1052" t="s">
        <v>1601</v>
      </c>
      <c r="AJ15" s="1052" t="s">
        <v>1601</v>
      </c>
      <c r="AK15" s="1052" t="s">
        <v>1601</v>
      </c>
      <c r="AL15" s="1052" t="s">
        <v>1601</v>
      </c>
      <c r="AM15" s="1052" t="s">
        <v>1601</v>
      </c>
      <c r="AN15" s="1052" t="s">
        <v>1601</v>
      </c>
      <c r="AO15" s="1052" t="s">
        <v>1600</v>
      </c>
      <c r="AP15" s="1052" t="s">
        <v>1600</v>
      </c>
      <c r="AQ15" s="1052" t="s">
        <v>1600</v>
      </c>
      <c r="AR15" s="1052" t="s">
        <v>1600</v>
      </c>
      <c r="AS15" s="1052" t="s">
        <v>1600</v>
      </c>
      <c r="AT15" s="1052" t="s">
        <v>1600</v>
      </c>
      <c r="AU15" s="1052" t="s">
        <v>1600</v>
      </c>
      <c r="AV15" s="1052" t="s">
        <v>1600</v>
      </c>
      <c r="AW15" s="1052" t="s">
        <v>1600</v>
      </c>
      <c r="AX15" s="1052" t="s">
        <v>1600</v>
      </c>
      <c r="BD15" s="1058"/>
      <c r="BE15" s="1058"/>
      <c r="BF15" s="1058"/>
      <c r="BG15" s="1058"/>
      <c r="BH15" s="1058"/>
    </row>
    <row r="16" spans="1:61" s="1053" customFormat="1" ht="12" hidden="1" customHeight="1" x14ac:dyDescent="0.15">
      <c r="A16" s="1091" t="s">
        <v>1607</v>
      </c>
      <c r="B16" s="1041"/>
      <c r="C16" s="1083"/>
      <c r="D16" s="1075"/>
      <c r="E16" s="1041"/>
      <c r="F16" s="1054"/>
      <c r="G16" s="1054"/>
      <c r="H16" s="1054"/>
      <c r="I16" s="1054"/>
      <c r="J16" s="1054"/>
      <c r="K16" s="1054"/>
      <c r="L16" s="1054"/>
      <c r="M16" s="1054"/>
      <c r="N16" s="1054"/>
      <c r="O16" s="1054"/>
      <c r="P16" s="1054"/>
      <c r="Q16" s="1062"/>
      <c r="R16" s="1062"/>
      <c r="S16" s="1054"/>
      <c r="T16" s="1056"/>
      <c r="U16" s="1056"/>
      <c r="V16" s="1056"/>
      <c r="W16" s="1056"/>
      <c r="X16" s="1056"/>
      <c r="Y16" s="1056"/>
      <c r="Z16" s="1056"/>
      <c r="AC16" s="1057"/>
      <c r="AE16" s="1056"/>
      <c r="AF16" s="1056"/>
      <c r="AG16" s="1056"/>
      <c r="AH16" s="1056"/>
      <c r="AI16" s="1056"/>
      <c r="AJ16" s="1056"/>
      <c r="AK16" s="1056"/>
      <c r="AL16" s="1056"/>
      <c r="AM16" s="1056"/>
      <c r="AN16" s="1056"/>
      <c r="AO16" s="1056"/>
      <c r="AP16" s="1056"/>
      <c r="AQ16" s="1056"/>
      <c r="AR16" s="1056"/>
      <c r="AS16" s="1056"/>
      <c r="AT16" s="1056"/>
      <c r="AU16" s="1056"/>
      <c r="AV16" s="1056"/>
      <c r="AW16" s="1056"/>
      <c r="AX16" s="1056"/>
      <c r="AY16" s="1052" t="s">
        <v>1608</v>
      </c>
      <c r="AZ16" s="1052" t="s">
        <v>1609</v>
      </c>
      <c r="BA16" s="1052" t="s">
        <v>1610</v>
      </c>
      <c r="BD16" s="1058"/>
      <c r="BE16" s="1058"/>
      <c r="BF16" s="1058"/>
      <c r="BG16" s="1058"/>
      <c r="BH16" s="1058"/>
    </row>
    <row r="17" spans="1:61" s="175" customFormat="1" ht="12" hidden="1" customHeight="1" x14ac:dyDescent="0.15">
      <c r="A17" s="973"/>
      <c r="B17" s="659"/>
      <c r="C17" s="1083"/>
      <c r="D17" s="1075"/>
      <c r="E17" s="668"/>
      <c r="F17" s="177"/>
      <c r="G17" s="177"/>
      <c r="H17" s="177"/>
      <c r="I17" s="177"/>
      <c r="J17" s="177"/>
      <c r="K17" s="177"/>
      <c r="L17" s="1054"/>
      <c r="M17" s="1054"/>
      <c r="N17" s="1054"/>
      <c r="O17" s="1054"/>
      <c r="P17" s="1054"/>
      <c r="Q17" s="1062"/>
      <c r="R17" s="1062"/>
      <c r="S17" s="1054"/>
      <c r="T17" s="123"/>
      <c r="U17" s="123"/>
      <c r="V17" s="123"/>
      <c r="W17" s="123"/>
      <c r="X17" s="123"/>
      <c r="Y17" s="123"/>
      <c r="Z17" s="123"/>
      <c r="AC17" s="179"/>
      <c r="BD17" s="1021"/>
      <c r="BE17" s="1021"/>
      <c r="BF17" s="1021"/>
      <c r="BG17" s="1022"/>
      <c r="BH17" s="1022"/>
      <c r="BI17" s="1052"/>
    </row>
    <row r="18" spans="1:61" s="175" customFormat="1" ht="12" hidden="1" customHeight="1" x14ac:dyDescent="0.15">
      <c r="A18" s="973"/>
      <c r="B18" s="659"/>
      <c r="C18" s="1083"/>
      <c r="D18" s="1075"/>
      <c r="E18" s="668"/>
      <c r="F18" s="177"/>
      <c r="G18" s="177"/>
      <c r="H18" s="177"/>
      <c r="I18" s="177"/>
      <c r="J18" s="177"/>
      <c r="K18" s="177"/>
      <c r="L18" s="1054"/>
      <c r="M18" s="1054"/>
      <c r="N18" s="1054"/>
      <c r="O18" s="1054"/>
      <c r="P18" s="1054"/>
      <c r="Q18" s="1062"/>
      <c r="R18" s="1062"/>
      <c r="S18" s="1054"/>
      <c r="T18" s="123"/>
      <c r="U18" s="123"/>
      <c r="V18" s="123"/>
      <c r="W18" s="123"/>
      <c r="X18" s="123"/>
      <c r="Y18" s="123"/>
      <c r="Z18" s="123"/>
      <c r="AC18" s="179"/>
      <c r="BD18" s="1021"/>
      <c r="BE18" s="1021"/>
      <c r="BF18" s="1021"/>
      <c r="BG18" s="1022"/>
      <c r="BH18" s="1022"/>
      <c r="BI18" s="1052"/>
    </row>
    <row r="19" spans="1:61" s="175" customFormat="1" ht="12" hidden="1" customHeight="1" x14ac:dyDescent="0.15">
      <c r="A19" s="973"/>
      <c r="B19" s="659"/>
      <c r="C19" s="1083"/>
      <c r="D19" s="1075"/>
      <c r="E19" s="668"/>
      <c r="F19" s="177"/>
      <c r="G19" s="177"/>
      <c r="H19" s="177"/>
      <c r="I19" s="177"/>
      <c r="J19" s="177"/>
      <c r="K19" s="177"/>
      <c r="L19" s="1054"/>
      <c r="M19" s="1054"/>
      <c r="N19" s="1054"/>
      <c r="O19" s="1054"/>
      <c r="P19" s="1054"/>
      <c r="Q19" s="1062"/>
      <c r="R19" s="1062"/>
      <c r="S19" s="1054"/>
      <c r="T19" s="123"/>
      <c r="U19" s="123"/>
      <c r="V19" s="123"/>
      <c r="W19" s="123"/>
      <c r="X19" s="123"/>
      <c r="Y19" s="123"/>
      <c r="Z19" s="123"/>
      <c r="AC19" s="179"/>
      <c r="BD19" s="1021"/>
      <c r="BE19" s="1021"/>
      <c r="BF19" s="1021"/>
      <c r="BG19" s="1022"/>
      <c r="BH19" s="1022"/>
      <c r="BI19" s="1052"/>
    </row>
    <row r="20" spans="1:61" s="175" customFormat="1" ht="12" hidden="1" customHeight="1" x14ac:dyDescent="0.15">
      <c r="A20" s="973"/>
      <c r="B20" s="659"/>
      <c r="C20" s="1083"/>
      <c r="D20" s="1075"/>
      <c r="E20" s="668"/>
      <c r="F20" s="177"/>
      <c r="G20" s="177"/>
      <c r="H20" s="177"/>
      <c r="I20" s="177"/>
      <c r="J20" s="177"/>
      <c r="K20" s="177"/>
      <c r="L20" s="1054"/>
      <c r="M20" s="1054"/>
      <c r="N20" s="1054"/>
      <c r="O20" s="1054"/>
      <c r="P20" s="1054"/>
      <c r="Q20" s="1062"/>
      <c r="R20" s="1062"/>
      <c r="S20" s="1054"/>
      <c r="T20" s="123"/>
      <c r="U20" s="123"/>
      <c r="V20" s="123"/>
      <c r="W20" s="123"/>
      <c r="X20" s="123"/>
      <c r="Y20" s="123"/>
      <c r="Z20" s="123"/>
      <c r="AC20" s="179"/>
      <c r="BD20" s="1021"/>
      <c r="BE20" s="1021"/>
      <c r="BF20" s="1021"/>
      <c r="BG20" s="1022"/>
      <c r="BH20" s="1022"/>
      <c r="BI20" s="1052"/>
    </row>
    <row r="21" spans="1:61" ht="14.65" customHeight="1" x14ac:dyDescent="0.15">
      <c r="E21" s="668">
        <v>15</v>
      </c>
      <c r="AA21" s="691"/>
      <c r="AB21" s="177"/>
      <c r="AC21" s="335" t="str" cm="1">
        <f t="array" ref="AC21">tpl_title</f>
        <v>Кемеровская область / 2026 / ООО ХК "СДС - Энерго" (ИНН:4250003450, КПП:420501001) / ДПР: 2024-2028</v>
      </c>
      <c r="AD21" s="177"/>
    </row>
    <row r="22" spans="1:61" s="1153" customFormat="1" ht="19.5" customHeight="1" x14ac:dyDescent="0.15">
      <c r="A22" s="823"/>
      <c r="B22" s="659"/>
      <c r="C22" s="1087"/>
      <c r="D22" s="1076"/>
      <c r="E22" s="668">
        <v>20.100000000000001</v>
      </c>
      <c r="L22" s="1062"/>
      <c r="M22" s="1062"/>
      <c r="N22" s="1062"/>
      <c r="O22" s="1062"/>
      <c r="P22" s="1062"/>
      <c r="Q22" s="1062"/>
      <c r="R22" s="1062"/>
      <c r="S22" s="1062"/>
      <c r="T22" s="126"/>
      <c r="U22" s="126"/>
      <c r="V22" s="126"/>
      <c r="W22" s="126"/>
      <c r="X22" s="126"/>
      <c r="Y22" s="126"/>
      <c r="Z22" s="126"/>
      <c r="AB22" s="325" t="s">
        <v>73</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D22" s="979"/>
      <c r="BE22" s="979"/>
      <c r="BF22" s="979"/>
      <c r="BG22" s="980"/>
      <c r="BH22" s="980"/>
      <c r="BI22" s="1062"/>
    </row>
    <row r="23" spans="1:61" s="1153" customFormat="1" ht="9.9499999999999993" customHeight="1" x14ac:dyDescent="0.15">
      <c r="A23" s="823"/>
      <c r="B23" s="659"/>
      <c r="C23" s="1087"/>
      <c r="D23" s="1076"/>
      <c r="E23" s="668">
        <v>10.199999999999999</v>
      </c>
      <c r="L23" s="1062"/>
      <c r="M23" s="1062"/>
      <c r="N23" s="1062"/>
      <c r="O23" s="1062"/>
      <c r="P23" s="1062"/>
      <c r="Q23" s="1062"/>
      <c r="R23" s="1062"/>
      <c r="S23" s="1062"/>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D23" s="979"/>
      <c r="BE23" s="979"/>
      <c r="BF23" s="979"/>
      <c r="BG23" s="980"/>
      <c r="BH23" s="980"/>
      <c r="BI23" s="1062"/>
    </row>
    <row r="24" spans="1:61" s="176" customFormat="1" ht="24.2" customHeight="1" x14ac:dyDescent="0.15">
      <c r="A24" s="273"/>
      <c r="B24" s="663"/>
      <c r="C24" s="1083"/>
      <c r="D24" s="1075"/>
      <c r="E24" s="674">
        <v>24.8</v>
      </c>
      <c r="L24" s="1064"/>
      <c r="M24" s="1064"/>
      <c r="N24" s="1064"/>
      <c r="O24" s="1064"/>
      <c r="P24" s="1064"/>
      <c r="Q24" s="1079"/>
      <c r="R24" s="1079"/>
      <c r="S24" s="1064"/>
      <c r="T24" s="119"/>
      <c r="U24" s="119"/>
      <c r="V24" s="119"/>
      <c r="W24" s="119"/>
      <c r="X24" s="119"/>
      <c r="Y24" s="119"/>
      <c r="Z24" s="119"/>
      <c r="AB24" s="1581" t="s">
        <v>388</v>
      </c>
      <c r="AC24" s="1581" t="s">
        <v>464</v>
      </c>
      <c r="AD24" s="1581" t="s">
        <v>465</v>
      </c>
      <c r="AE24" s="1135" t="str">
        <f>first_year&amp;" год"</f>
        <v>2024 год</v>
      </c>
      <c r="AF24" s="1135" t="str">
        <f>first_year+1&amp;" год"</f>
        <v>2025 год</v>
      </c>
      <c r="AG24" s="1135" t="str">
        <f>first_year+2&amp;" год"</f>
        <v>2026 год</v>
      </c>
      <c r="AH24" s="1135" t="str">
        <f>first_year+3&amp;" год"</f>
        <v>2027 год</v>
      </c>
      <c r="AI24" s="1135" t="str">
        <f>first_year+4&amp;" год"</f>
        <v>2028 год</v>
      </c>
      <c r="AJ24" s="1131" t="str">
        <f>first_year+5&amp;" год"</f>
        <v>2029 год</v>
      </c>
      <c r="AK24" s="1131" t="str">
        <f>first_year+6&amp;" год"</f>
        <v>2030 год</v>
      </c>
      <c r="AL24" s="1131" t="str">
        <f>first_year+7&amp;" год"</f>
        <v>2031 год</v>
      </c>
      <c r="AM24" s="1131" t="str">
        <f>first_year+8&amp;" год"</f>
        <v>2032 год</v>
      </c>
      <c r="AN24" s="1131" t="str">
        <f>first_year+9&amp;" год"</f>
        <v>2033 год</v>
      </c>
      <c r="AO24" s="118" t="str">
        <f>first_year&amp;" год"</f>
        <v>2024 год</v>
      </c>
      <c r="AP24" s="118" t="str">
        <f>first_year+1&amp;" год"</f>
        <v>2025 год</v>
      </c>
      <c r="AQ24" s="118" t="str">
        <f>first_year+2&amp;" год"</f>
        <v>2026 год</v>
      </c>
      <c r="AR24" s="118" t="str">
        <f>first_year+3&amp;" год"</f>
        <v>2027 год</v>
      </c>
      <c r="AS24" s="118" t="str">
        <f>first_year+4&amp;" год"</f>
        <v>2028 год</v>
      </c>
      <c r="AT24" s="118" t="str">
        <f>first_year+5&amp;" год"</f>
        <v>2029 год</v>
      </c>
      <c r="AU24" s="118" t="str">
        <f>first_year+6&amp;" год"</f>
        <v>2030 год</v>
      </c>
      <c r="AV24" s="118" t="str">
        <f>first_year+7&amp;" год"</f>
        <v>2031 год</v>
      </c>
      <c r="AW24" s="118" t="str">
        <f>first_year+8&amp;" год"</f>
        <v>2032 год</v>
      </c>
      <c r="AX24" s="122" t="str">
        <f>first_year+9&amp;" год"</f>
        <v>2033 год</v>
      </c>
      <c r="AY24" s="1580" t="s">
        <v>1313</v>
      </c>
      <c r="AZ24" s="1580" t="s">
        <v>618</v>
      </c>
      <c r="BA24" s="1580" t="s">
        <v>1314</v>
      </c>
      <c r="BD24" s="1021"/>
      <c r="BE24" s="1025"/>
      <c r="BF24" s="1025"/>
      <c r="BG24" s="1026"/>
      <c r="BH24" s="1026"/>
      <c r="BI24" s="1064"/>
    </row>
    <row r="25" spans="1:61" s="176" customFormat="1" ht="44.65" customHeight="1" x14ac:dyDescent="0.15">
      <c r="A25" s="273"/>
      <c r="B25" s="663"/>
      <c r="C25" s="1083"/>
      <c r="D25" s="1075"/>
      <c r="E25" s="674">
        <v>45.8</v>
      </c>
      <c r="L25" s="1064"/>
      <c r="M25" s="1064"/>
      <c r="N25" s="1064"/>
      <c r="O25" s="1064"/>
      <c r="P25" s="1064"/>
      <c r="Q25" s="1079"/>
      <c r="R25" s="1079"/>
      <c r="S25" s="1064"/>
      <c r="T25" s="119"/>
      <c r="U25" s="119"/>
      <c r="V25" s="119"/>
      <c r="W25" s="119"/>
      <c r="X25" s="119"/>
      <c r="Y25" s="119"/>
      <c r="Z25" s="119"/>
      <c r="AB25" s="1581"/>
      <c r="AC25" s="1581"/>
      <c r="AD25" s="1581"/>
      <c r="AE25" s="1132" t="s">
        <v>405</v>
      </c>
      <c r="AF25" s="1132" t="s">
        <v>405</v>
      </c>
      <c r="AG25" s="1132" t="s">
        <v>405</v>
      </c>
      <c r="AH25" s="1132" t="s">
        <v>405</v>
      </c>
      <c r="AI25" s="1132" t="s">
        <v>405</v>
      </c>
      <c r="AJ25" s="1132" t="s">
        <v>405</v>
      </c>
      <c r="AK25" s="1132" t="s">
        <v>405</v>
      </c>
      <c r="AL25" s="1132" t="s">
        <v>405</v>
      </c>
      <c r="AM25" s="1132" t="s">
        <v>405</v>
      </c>
      <c r="AN25" s="1132" t="s">
        <v>405</v>
      </c>
      <c r="AO25" s="343" t="s">
        <v>404</v>
      </c>
      <c r="AP25" s="343" t="s">
        <v>404</v>
      </c>
      <c r="AQ25" s="343" t="s">
        <v>404</v>
      </c>
      <c r="AR25" s="343" t="s">
        <v>404</v>
      </c>
      <c r="AS25" s="343" t="s">
        <v>404</v>
      </c>
      <c r="AT25" s="343" t="s">
        <v>404</v>
      </c>
      <c r="AU25" s="343" t="s">
        <v>404</v>
      </c>
      <c r="AV25" s="343" t="s">
        <v>404</v>
      </c>
      <c r="AW25" s="343" t="s">
        <v>404</v>
      </c>
      <c r="AX25" s="117" t="s">
        <v>404</v>
      </c>
      <c r="AY25" s="1580"/>
      <c r="AZ25" s="1580"/>
      <c r="BA25" s="1580"/>
      <c r="BD25" s="1021"/>
      <c r="BE25" s="1025"/>
      <c r="BF25" s="1025"/>
      <c r="BG25" s="1026"/>
      <c r="BH25" s="1026"/>
      <c r="BI25" s="1064"/>
    </row>
    <row r="26" spans="1:61" s="176" customFormat="1" ht="14.25" hidden="1" customHeight="1" x14ac:dyDescent="0.15">
      <c r="A26" s="273"/>
      <c r="B26" s="663"/>
      <c r="C26" s="1083"/>
      <c r="D26" s="1075"/>
      <c r="E26" s="674">
        <v>0</v>
      </c>
      <c r="L26" s="1064"/>
      <c r="M26" s="1064"/>
      <c r="N26" s="1064"/>
      <c r="O26" s="1064"/>
      <c r="P26" s="1064"/>
      <c r="Q26" s="1079"/>
      <c r="R26" s="1079"/>
      <c r="S26" s="1064"/>
      <c r="T26" s="119"/>
      <c r="U26" s="119"/>
      <c r="V26" s="119"/>
      <c r="W26" s="119"/>
      <c r="X26" s="119"/>
      <c r="Y26" s="119"/>
      <c r="Z26" s="119"/>
      <c r="AB26" s="589"/>
      <c r="AC26" s="589"/>
      <c r="AD26" s="589"/>
      <c r="AE26" s="119"/>
      <c r="AF26" s="119"/>
      <c r="AG26" s="119"/>
      <c r="AH26" s="119"/>
      <c r="AI26" s="119"/>
      <c r="AJ26" s="119"/>
      <c r="AK26" s="119"/>
      <c r="AL26" s="119"/>
      <c r="AM26" s="119"/>
      <c r="AN26" s="119"/>
      <c r="AO26" s="119"/>
      <c r="AP26" s="119"/>
      <c r="AQ26" s="119"/>
      <c r="AR26" s="119"/>
      <c r="AS26" s="119"/>
      <c r="AT26" s="119"/>
      <c r="AU26" s="119"/>
      <c r="AV26" s="119"/>
      <c r="AW26" s="119"/>
      <c r="AX26" s="119"/>
      <c r="AY26" s="179"/>
      <c r="AZ26" s="179"/>
      <c r="BA26" s="179"/>
      <c r="BD26" s="1021"/>
      <c r="BE26" s="1025"/>
      <c r="BF26" s="1025"/>
      <c r="BG26" s="1026"/>
      <c r="BH26" s="1026"/>
      <c r="BI26" s="1064"/>
    </row>
    <row r="27" spans="1:61" s="167" customFormat="1" ht="16.7" hidden="1" customHeight="1" x14ac:dyDescent="0.15">
      <c r="C27" s="1088"/>
      <c r="D27" s="1102"/>
      <c r="E27" s="668">
        <v>17.100000000000001</v>
      </c>
      <c r="F27" s="612" cm="1">
        <f t="array" ref="F27">X27</f>
        <v>0</v>
      </c>
      <c r="G27" s="612"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L27" s="1082"/>
      <c r="M27" s="1082"/>
      <c r="N27" s="1082"/>
      <c r="O27" s="1082"/>
      <c r="P27" s="1082"/>
      <c r="Q27" s="1078"/>
      <c r="R27" s="1078"/>
      <c r="S27" s="1082"/>
      <c r="T27" s="679" t="b">
        <f t="shared" ref="T27:T58" si="4">AND(F27&gt;0,OR(ISBLANK(Y27),Y27&gt;0))</f>
        <v>0</v>
      </c>
      <c r="V27" s="123" t="s">
        <v>313</v>
      </c>
      <c r="X27" s="1597">
        <v>0</v>
      </c>
      <c r="Z27" s="1483"/>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D27" s="971"/>
      <c r="BE27" s="971"/>
      <c r="BF27" s="971"/>
      <c r="BG27" s="974"/>
      <c r="BH27" s="974"/>
      <c r="BI27" s="1066"/>
    </row>
    <row r="28" spans="1:61" ht="16.5" hidden="1" customHeight="1" x14ac:dyDescent="0.15">
      <c r="C28" s="1084" t="s">
        <v>1719</v>
      </c>
      <c r="D28" s="1103" t="s">
        <v>1720</v>
      </c>
      <c r="E28" s="668">
        <v>17</v>
      </c>
      <c r="F28" s="612" cm="1">
        <f t="array" aca="1" ref="F28" ca="1">OFFSET(G28,-1,-1)</f>
        <v>0</v>
      </c>
      <c r="L28" s="1070"/>
      <c r="M28" s="1070" cm="1">
        <f t="array" ref="M28">INDEX('Общие сведения'!$N$169:$N$202,MATCH($F27,'Общие сведения'!$Z$169:$Z$202,0)+1)</f>
        <v>0</v>
      </c>
      <c r="N28" s="1070" t="s">
        <v>2023</v>
      </c>
      <c r="O28" s="1070"/>
      <c r="P28" s="1070"/>
      <c r="Q28" s="1072"/>
      <c r="R28" s="1072"/>
      <c r="S28" s="1070"/>
      <c r="T28" s="679" t="b">
        <f t="shared" ca="1" si="4"/>
        <v>0</v>
      </c>
      <c r="X28" s="1485"/>
      <c r="Z28" s="1485"/>
      <c r="AB28" s="121">
        <v>1</v>
      </c>
      <c r="AC28" s="518" t="s">
        <v>2024</v>
      </c>
      <c r="AD28" s="460" t="s">
        <v>1426</v>
      </c>
      <c r="AE28" s="254">
        <f t="shared" ref="AE28:AX28" si="5">AE29+AE35+AE45</f>
        <v>0</v>
      </c>
      <c r="AF28" s="1260">
        <f t="shared" si="5"/>
        <v>0</v>
      </c>
      <c r="AG28" s="1260">
        <f t="shared" si="5"/>
        <v>0</v>
      </c>
      <c r="AH28" s="50">
        <f t="shared" si="5"/>
        <v>0</v>
      </c>
      <c r="AI28" s="50">
        <f t="shared" si="5"/>
        <v>0</v>
      </c>
      <c r="AJ28" s="50">
        <f t="shared" si="5"/>
        <v>0</v>
      </c>
      <c r="AK28" s="50">
        <f t="shared" si="5"/>
        <v>0</v>
      </c>
      <c r="AL28" s="50">
        <f t="shared" si="5"/>
        <v>0</v>
      </c>
      <c r="AM28" s="50">
        <f t="shared" si="5"/>
        <v>0</v>
      </c>
      <c r="AN28" s="50">
        <f t="shared" si="5"/>
        <v>0</v>
      </c>
      <c r="AO28" s="254">
        <f t="shared" si="5"/>
        <v>0</v>
      </c>
      <c r="AP28" s="1260">
        <f t="shared" si="5"/>
        <v>0</v>
      </c>
      <c r="AQ28" s="1260">
        <f t="shared" si="5"/>
        <v>0</v>
      </c>
      <c r="AR28" s="50">
        <f t="shared" si="5"/>
        <v>0</v>
      </c>
      <c r="AS28" s="50">
        <f t="shared" si="5"/>
        <v>0</v>
      </c>
      <c r="AT28" s="50">
        <f t="shared" si="5"/>
        <v>0</v>
      </c>
      <c r="AU28" s="50">
        <f t="shared" si="5"/>
        <v>0</v>
      </c>
      <c r="AV28" s="50">
        <f t="shared" si="5"/>
        <v>0</v>
      </c>
      <c r="AW28" s="50">
        <f t="shared" si="5"/>
        <v>0</v>
      </c>
      <c r="AX28" s="50">
        <f t="shared" si="5"/>
        <v>0</v>
      </c>
      <c r="AY28" s="25"/>
      <c r="AZ28" s="25"/>
      <c r="BA28" s="25"/>
      <c r="BD28" s="1021" t="s">
        <v>2025</v>
      </c>
      <c r="BI28" s="1054"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x14ac:dyDescent="0.15">
      <c r="C29" s="1084" t="s">
        <v>1719</v>
      </c>
      <c r="D29" s="1103" t="s">
        <v>1720</v>
      </c>
      <c r="E29" s="668">
        <v>17</v>
      </c>
      <c r="F29" s="612" cm="1">
        <f t="array" aca="1" ref="F29" ca="1">OFFSET(G29,-1,-1)</f>
        <v>0</v>
      </c>
      <c r="L29" s="1070"/>
      <c r="M29" s="1070" cm="1">
        <f t="array" aca="1" ref="M29" ca="1">OFFSET(L29,-1,1)</f>
        <v>0</v>
      </c>
      <c r="N29" s="1070" t="s">
        <v>2023</v>
      </c>
      <c r="O29" s="1070" t="s">
        <v>1796</v>
      </c>
      <c r="P29" s="1070"/>
      <c r="Q29" s="1072"/>
      <c r="R29" s="1072"/>
      <c r="S29" s="1070"/>
      <c r="T29" s="679" t="b">
        <f t="shared" ca="1" si="4"/>
        <v>0</v>
      </c>
      <c r="X29" s="1485"/>
      <c r="Z29" s="1485"/>
      <c r="AB29" s="121" t="s">
        <v>473</v>
      </c>
      <c r="AC29" s="859" t="s">
        <v>2026</v>
      </c>
      <c r="AD29" s="460" t="s">
        <v>1426</v>
      </c>
      <c r="AE29" s="254">
        <f t="shared" ref="AE29:AX29" si="6">AE30+AE34</f>
        <v>0</v>
      </c>
      <c r="AF29" s="1260">
        <f t="shared" si="6"/>
        <v>0</v>
      </c>
      <c r="AG29" s="1260">
        <f t="shared" si="6"/>
        <v>0</v>
      </c>
      <c r="AH29" s="50">
        <f t="shared" si="6"/>
        <v>0</v>
      </c>
      <c r="AI29" s="50">
        <f t="shared" si="6"/>
        <v>0</v>
      </c>
      <c r="AJ29" s="50">
        <f t="shared" si="6"/>
        <v>0</v>
      </c>
      <c r="AK29" s="50">
        <f t="shared" si="6"/>
        <v>0</v>
      </c>
      <c r="AL29" s="50">
        <f t="shared" si="6"/>
        <v>0</v>
      </c>
      <c r="AM29" s="50">
        <f t="shared" si="6"/>
        <v>0</v>
      </c>
      <c r="AN29" s="50">
        <f t="shared" si="6"/>
        <v>0</v>
      </c>
      <c r="AO29" s="254">
        <f t="shared" si="6"/>
        <v>0</v>
      </c>
      <c r="AP29" s="1260">
        <f t="shared" si="6"/>
        <v>0</v>
      </c>
      <c r="AQ29" s="1260">
        <f t="shared" si="6"/>
        <v>0</v>
      </c>
      <c r="AR29" s="50">
        <f t="shared" si="6"/>
        <v>0</v>
      </c>
      <c r="AS29" s="50">
        <f t="shared" si="6"/>
        <v>0</v>
      </c>
      <c r="AT29" s="50">
        <f t="shared" si="6"/>
        <v>0</v>
      </c>
      <c r="AU29" s="50">
        <f t="shared" si="6"/>
        <v>0</v>
      </c>
      <c r="AV29" s="50">
        <f t="shared" si="6"/>
        <v>0</v>
      </c>
      <c r="AW29" s="50">
        <f t="shared" si="6"/>
        <v>0</v>
      </c>
      <c r="AX29" s="50">
        <f t="shared" si="6"/>
        <v>0</v>
      </c>
      <c r="AY29" s="25"/>
      <c r="AZ29" s="25"/>
      <c r="BA29" s="25"/>
      <c r="BD29" s="1021" t="s">
        <v>2027</v>
      </c>
      <c r="BI29" s="1054"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x14ac:dyDescent="0.15">
      <c r="C30" s="1084" t="s">
        <v>1719</v>
      </c>
      <c r="D30" s="1103" t="s">
        <v>1720</v>
      </c>
      <c r="E30" s="668">
        <v>17</v>
      </c>
      <c r="F30" s="612" cm="1">
        <f t="array" aca="1" ref="F30" ca="1">OFFSET(G30,-1,-1)</f>
        <v>0</v>
      </c>
      <c r="L30" s="1070"/>
      <c r="M30" s="1070" cm="1">
        <f t="array" aca="1" ref="M30" ca="1">OFFSET(L30,-1,1)</f>
        <v>0</v>
      </c>
      <c r="N30" s="1070" t="s">
        <v>2023</v>
      </c>
      <c r="O30" s="1070" t="s">
        <v>1796</v>
      </c>
      <c r="P30" s="1070" t="s">
        <v>2028</v>
      </c>
      <c r="Q30" s="1072"/>
      <c r="R30" s="1072"/>
      <c r="S30" s="1070"/>
      <c r="T30" s="679" t="b">
        <f t="shared" ca="1" si="4"/>
        <v>0</v>
      </c>
      <c r="X30" s="1485"/>
      <c r="Z30" s="1485"/>
      <c r="AB30" s="479" t="s">
        <v>1177</v>
      </c>
      <c r="AC30" s="463" t="s">
        <v>2029</v>
      </c>
      <c r="AD30" s="845" t="s">
        <v>1426</v>
      </c>
      <c r="AE30" s="254"/>
      <c r="AF30" s="1260"/>
      <c r="AG30" s="1260"/>
      <c r="AH30" s="50"/>
      <c r="AI30" s="50"/>
      <c r="AJ30" s="50"/>
      <c r="AK30" s="50"/>
      <c r="AL30" s="50"/>
      <c r="AM30" s="50"/>
      <c r="AN30" s="50"/>
      <c r="AO30" s="254"/>
      <c r="AP30" s="1260"/>
      <c r="AQ30" s="1260"/>
      <c r="AR30" s="50"/>
      <c r="AS30" s="50"/>
      <c r="AT30" s="50"/>
      <c r="AU30" s="50"/>
      <c r="AV30" s="50"/>
      <c r="AW30" s="50"/>
      <c r="AX30" s="50"/>
      <c r="AY30" s="25"/>
      <c r="AZ30" s="25"/>
      <c r="BA30" s="25"/>
      <c r="BD30" s="1021" t="s">
        <v>2030</v>
      </c>
      <c r="BI30" s="1054"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x14ac:dyDescent="0.15">
      <c r="C31" s="1084" t="s">
        <v>1719</v>
      </c>
      <c r="D31" s="1103" t="s">
        <v>1720</v>
      </c>
      <c r="E31" s="668">
        <v>17</v>
      </c>
      <c r="F31" s="612" cm="1">
        <f t="array" aca="1" ref="F31" ca="1">OFFSET(G31,-1,-1)</f>
        <v>0</v>
      </c>
      <c r="L31" s="1070"/>
      <c r="M31" s="1070" cm="1">
        <f t="array" aca="1" ref="M31" ca="1">OFFSET(L31,-1,1)</f>
        <v>0</v>
      </c>
      <c r="N31" s="1070" t="s">
        <v>2023</v>
      </c>
      <c r="O31" s="1070" t="s">
        <v>1796</v>
      </c>
      <c r="P31" s="1070" t="s">
        <v>2028</v>
      </c>
      <c r="Q31" s="1072"/>
      <c r="R31" s="1072" t="s">
        <v>2031</v>
      </c>
      <c r="S31" s="1070"/>
      <c r="T31" s="679" t="b">
        <f t="shared" ca="1" si="4"/>
        <v>0</v>
      </c>
      <c r="X31" s="1485"/>
      <c r="Z31" s="1485"/>
      <c r="AB31" s="479" t="s">
        <v>2032</v>
      </c>
      <c r="AC31" s="488" t="s">
        <v>2033</v>
      </c>
      <c r="AD31" s="845" t="s">
        <v>1426</v>
      </c>
      <c r="AE31" s="254"/>
      <c r="AF31" s="1260"/>
      <c r="AG31" s="1260"/>
      <c r="AH31" s="50"/>
      <c r="AI31" s="50"/>
      <c r="AJ31" s="50"/>
      <c r="AK31" s="50"/>
      <c r="AL31" s="50"/>
      <c r="AM31" s="50"/>
      <c r="AN31" s="50"/>
      <c r="AO31" s="254"/>
      <c r="AP31" s="1260"/>
      <c r="AQ31" s="1260"/>
      <c r="AR31" s="50"/>
      <c r="AS31" s="50"/>
      <c r="AT31" s="50"/>
      <c r="AU31" s="50"/>
      <c r="AV31" s="50"/>
      <c r="AW31" s="50"/>
      <c r="AX31" s="50"/>
      <c r="AY31" s="25"/>
      <c r="AZ31" s="25"/>
      <c r="BA31" s="25"/>
      <c r="BD31" s="1021" t="s">
        <v>2034</v>
      </c>
      <c r="BI31" s="1054"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x14ac:dyDescent="0.15">
      <c r="C32" s="1084" t="s">
        <v>1719</v>
      </c>
      <c r="D32" s="1103" t="s">
        <v>1720</v>
      </c>
      <c r="E32" s="668">
        <v>35</v>
      </c>
      <c r="F32" s="612" cm="1">
        <f t="array" aca="1" ref="F32" ca="1">OFFSET(G32,-1,-1)</f>
        <v>0</v>
      </c>
      <c r="L32" s="1070"/>
      <c r="M32" s="1070" cm="1">
        <f t="array" aca="1" ref="M32" ca="1">OFFSET(L32,-1,1)</f>
        <v>0</v>
      </c>
      <c r="N32" s="1070" t="s">
        <v>2023</v>
      </c>
      <c r="O32" s="1070" t="s">
        <v>1796</v>
      </c>
      <c r="P32" s="1070" t="s">
        <v>2028</v>
      </c>
      <c r="Q32" s="1072" t="s">
        <v>2035</v>
      </c>
      <c r="R32" s="1072"/>
      <c r="S32" s="1070"/>
      <c r="T32" s="679" t="b">
        <f t="shared" ca="1" si="4"/>
        <v>0</v>
      </c>
      <c r="X32" s="1485"/>
      <c r="Z32" s="1485"/>
      <c r="AB32" s="479" t="s">
        <v>2036</v>
      </c>
      <c r="AC32" s="480" t="s">
        <v>2037</v>
      </c>
      <c r="AD32" s="845" t="s">
        <v>1426</v>
      </c>
      <c r="AE32" s="254"/>
      <c r="AF32" s="1260"/>
      <c r="AG32" s="1260"/>
      <c r="AH32" s="50"/>
      <c r="AI32" s="50"/>
      <c r="AJ32" s="50"/>
      <c r="AK32" s="50"/>
      <c r="AL32" s="50"/>
      <c r="AM32" s="50"/>
      <c r="AN32" s="50"/>
      <c r="AO32" s="254"/>
      <c r="AP32" s="1260"/>
      <c r="AQ32" s="1260"/>
      <c r="AR32" s="50"/>
      <c r="AS32" s="50"/>
      <c r="AT32" s="50"/>
      <c r="AU32" s="50"/>
      <c r="AV32" s="50"/>
      <c r="AW32" s="50"/>
      <c r="AX32" s="50"/>
      <c r="AY32" s="25"/>
      <c r="AZ32" s="25"/>
      <c r="BA32" s="25"/>
      <c r="BD32" s="1021" t="s">
        <v>2038</v>
      </c>
      <c r="BI32" s="1054"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x14ac:dyDescent="0.15">
      <c r="C33" s="1084" t="s">
        <v>1719</v>
      </c>
      <c r="D33" s="1103" t="s">
        <v>1720</v>
      </c>
      <c r="E33" s="668">
        <v>17</v>
      </c>
      <c r="F33" s="612" cm="1">
        <f t="array" aca="1" ref="F33" ca="1">OFFSET(G33,-1,-1)</f>
        <v>0</v>
      </c>
      <c r="L33" s="1070"/>
      <c r="M33" s="1070" cm="1">
        <f t="array" aca="1" ref="M33" ca="1">OFFSET(L33,-1,1)</f>
        <v>0</v>
      </c>
      <c r="N33" s="1070" t="s">
        <v>2023</v>
      </c>
      <c r="O33" s="1070" t="s">
        <v>1796</v>
      </c>
      <c r="P33" s="1070" t="s">
        <v>2028</v>
      </c>
      <c r="Q33" s="1072" t="s">
        <v>2039</v>
      </c>
      <c r="R33" s="1072"/>
      <c r="S33" s="1070"/>
      <c r="T33" s="679" t="b">
        <f t="shared" ca="1" si="4"/>
        <v>0</v>
      </c>
      <c r="X33" s="1485"/>
      <c r="Z33" s="1485"/>
      <c r="AB33" s="479" t="s">
        <v>2040</v>
      </c>
      <c r="AC33" s="480" t="s">
        <v>2041</v>
      </c>
      <c r="AD33" s="845" t="s">
        <v>1426</v>
      </c>
      <c r="AE33" s="254"/>
      <c r="AF33" s="1260"/>
      <c r="AG33" s="1260"/>
      <c r="AH33" s="50"/>
      <c r="AI33" s="50"/>
      <c r="AJ33" s="50"/>
      <c r="AK33" s="50"/>
      <c r="AL33" s="50"/>
      <c r="AM33" s="50"/>
      <c r="AN33" s="50"/>
      <c r="AO33" s="254"/>
      <c r="AP33" s="1260"/>
      <c r="AQ33" s="1260"/>
      <c r="AR33" s="50"/>
      <c r="AS33" s="50"/>
      <c r="AT33" s="50"/>
      <c r="AU33" s="50"/>
      <c r="AV33" s="50"/>
      <c r="AW33" s="50"/>
      <c r="AX33" s="50"/>
      <c r="AY33" s="25"/>
      <c r="AZ33" s="25"/>
      <c r="BA33" s="25"/>
      <c r="BD33" s="1021" t="s">
        <v>2042</v>
      </c>
      <c r="BI33" s="1054"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x14ac:dyDescent="0.15">
      <c r="C34" s="1084" t="s">
        <v>1719</v>
      </c>
      <c r="D34" s="1103" t="s">
        <v>1720</v>
      </c>
      <c r="E34" s="668">
        <v>17</v>
      </c>
      <c r="F34" s="612" cm="1">
        <f t="array" aca="1" ref="F34" ca="1">OFFSET(G34,-1,-1)</f>
        <v>0</v>
      </c>
      <c r="L34" s="1070"/>
      <c r="M34" s="1070" cm="1">
        <f t="array" aca="1" ref="M34" ca="1">OFFSET(L34,-1,1)</f>
        <v>0</v>
      </c>
      <c r="N34" s="1070" t="s">
        <v>2023</v>
      </c>
      <c r="O34" s="1070" t="s">
        <v>1796</v>
      </c>
      <c r="P34" s="1070" t="s">
        <v>2043</v>
      </c>
      <c r="Q34" s="1072"/>
      <c r="R34" s="1072"/>
      <c r="S34" s="1070"/>
      <c r="T34" s="679" t="b">
        <f t="shared" ca="1" si="4"/>
        <v>0</v>
      </c>
      <c r="X34" s="1485"/>
      <c r="Z34" s="1485"/>
      <c r="AB34" s="913" t="s">
        <v>1181</v>
      </c>
      <c r="AC34" s="463" t="s">
        <v>2044</v>
      </c>
      <c r="AD34" s="845" t="s">
        <v>1426</v>
      </c>
      <c r="AE34" s="254"/>
      <c r="AF34" s="1260"/>
      <c r="AG34" s="1260"/>
      <c r="AH34" s="50"/>
      <c r="AI34" s="50"/>
      <c r="AJ34" s="50"/>
      <c r="AK34" s="50"/>
      <c r="AL34" s="50"/>
      <c r="AM34" s="50"/>
      <c r="AN34" s="50"/>
      <c r="AO34" s="254"/>
      <c r="AP34" s="1260"/>
      <c r="AQ34" s="1260"/>
      <c r="AR34" s="50"/>
      <c r="AS34" s="50"/>
      <c r="AT34" s="50"/>
      <c r="AU34" s="50"/>
      <c r="AV34" s="50"/>
      <c r="AW34" s="50"/>
      <c r="AX34" s="50"/>
      <c r="AY34" s="25"/>
      <c r="AZ34" s="25"/>
      <c r="BA34" s="25"/>
      <c r="BD34" s="1021" t="s">
        <v>2045</v>
      </c>
      <c r="BI34" s="1054"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x14ac:dyDescent="0.15">
      <c r="C35" s="1084" t="s">
        <v>1719</v>
      </c>
      <c r="D35" s="1103" t="s">
        <v>1720</v>
      </c>
      <c r="E35" s="668">
        <v>35</v>
      </c>
      <c r="F35" s="612" cm="1">
        <f t="array" aca="1" ref="F35" ca="1">OFFSET(G35,-1,-1)</f>
        <v>0</v>
      </c>
      <c r="L35" s="1070"/>
      <c r="M35" s="1070" cm="1">
        <f t="array" aca="1" ref="M35" ca="1">OFFSET(L35,-1,1)</f>
        <v>0</v>
      </c>
      <c r="N35" s="1070" t="s">
        <v>2023</v>
      </c>
      <c r="O35" s="1070" t="s">
        <v>1796</v>
      </c>
      <c r="P35" s="1070" t="s">
        <v>2046</v>
      </c>
      <c r="Q35" s="1072"/>
      <c r="R35" s="1072"/>
      <c r="S35" s="1070"/>
      <c r="T35" s="679" t="b">
        <f t="shared" ca="1" si="4"/>
        <v>0</v>
      </c>
      <c r="X35" s="1485"/>
      <c r="Z35" s="1485"/>
      <c r="AB35" s="479" t="s">
        <v>955</v>
      </c>
      <c r="AC35" s="112" t="s">
        <v>2047</v>
      </c>
      <c r="AD35" s="845" t="s">
        <v>1426</v>
      </c>
      <c r="AE35" s="254">
        <f t="shared" ref="AE35:AX35" si="7">AE36+AE39+AE42</f>
        <v>0</v>
      </c>
      <c r="AF35" s="1260">
        <f t="shared" si="7"/>
        <v>0</v>
      </c>
      <c r="AG35" s="1260">
        <f t="shared" si="7"/>
        <v>0</v>
      </c>
      <c r="AH35" s="50">
        <f t="shared" si="7"/>
        <v>0</v>
      </c>
      <c r="AI35" s="50">
        <f t="shared" si="7"/>
        <v>0</v>
      </c>
      <c r="AJ35" s="50">
        <f t="shared" si="7"/>
        <v>0</v>
      </c>
      <c r="AK35" s="50">
        <f t="shared" si="7"/>
        <v>0</v>
      </c>
      <c r="AL35" s="50">
        <f t="shared" si="7"/>
        <v>0</v>
      </c>
      <c r="AM35" s="50">
        <f t="shared" si="7"/>
        <v>0</v>
      </c>
      <c r="AN35" s="50">
        <f t="shared" si="7"/>
        <v>0</v>
      </c>
      <c r="AO35" s="254">
        <f t="shared" si="7"/>
        <v>0</v>
      </c>
      <c r="AP35" s="1260">
        <f t="shared" si="7"/>
        <v>0</v>
      </c>
      <c r="AQ35" s="1260">
        <f t="shared" si="7"/>
        <v>0</v>
      </c>
      <c r="AR35" s="50">
        <f t="shared" si="7"/>
        <v>0</v>
      </c>
      <c r="AS35" s="50">
        <f t="shared" si="7"/>
        <v>0</v>
      </c>
      <c r="AT35" s="50">
        <f t="shared" si="7"/>
        <v>0</v>
      </c>
      <c r="AU35" s="50">
        <f t="shared" si="7"/>
        <v>0</v>
      </c>
      <c r="AV35" s="50">
        <f t="shared" si="7"/>
        <v>0</v>
      </c>
      <c r="AW35" s="50">
        <f t="shared" si="7"/>
        <v>0</v>
      </c>
      <c r="AX35" s="50">
        <f t="shared" si="7"/>
        <v>0</v>
      </c>
      <c r="AY35" s="25"/>
      <c r="AZ35" s="25"/>
      <c r="BA35" s="25"/>
      <c r="BD35" s="1021" t="s">
        <v>2048</v>
      </c>
      <c r="BI35" s="1054"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x14ac:dyDescent="0.15">
      <c r="C36" s="1084" t="s">
        <v>1719</v>
      </c>
      <c r="D36" s="1103" t="s">
        <v>1720</v>
      </c>
      <c r="E36" s="668">
        <v>17</v>
      </c>
      <c r="F36" s="612" cm="1">
        <f t="array" aca="1" ref="F36" ca="1">OFFSET(G36,-1,-1)</f>
        <v>0</v>
      </c>
      <c r="L36" s="1123"/>
      <c r="M36" s="1070" cm="1">
        <f t="array" aca="1" ref="M36" ca="1">OFFSET(L36,-1,1)</f>
        <v>0</v>
      </c>
      <c r="N36" s="1070" t="s">
        <v>2023</v>
      </c>
      <c r="O36" s="1123" t="s">
        <v>1796</v>
      </c>
      <c r="P36" s="1123"/>
      <c r="Q36" s="1125"/>
      <c r="R36" s="1125" t="s">
        <v>2031</v>
      </c>
      <c r="S36" s="1123"/>
      <c r="T36" s="679" t="b">
        <f t="shared" ca="1" si="4"/>
        <v>0</v>
      </c>
      <c r="X36" s="1485"/>
      <c r="Z36" s="1485"/>
      <c r="AB36" s="479" t="s">
        <v>2049</v>
      </c>
      <c r="AC36" s="463" t="s">
        <v>2033</v>
      </c>
      <c r="AD36" s="845" t="s">
        <v>1426</v>
      </c>
      <c r="AE36" s="254">
        <f t="shared" ref="AE36:AX36" si="8">SUM(AE37:AE38)</f>
        <v>0</v>
      </c>
      <c r="AF36" s="1260">
        <f t="shared" si="8"/>
        <v>0</v>
      </c>
      <c r="AG36" s="1260">
        <f t="shared" si="8"/>
        <v>0</v>
      </c>
      <c r="AH36" s="50">
        <f t="shared" si="8"/>
        <v>0</v>
      </c>
      <c r="AI36" s="50">
        <f t="shared" si="8"/>
        <v>0</v>
      </c>
      <c r="AJ36" s="50">
        <f t="shared" si="8"/>
        <v>0</v>
      </c>
      <c r="AK36" s="50">
        <f t="shared" si="8"/>
        <v>0</v>
      </c>
      <c r="AL36" s="50">
        <f t="shared" si="8"/>
        <v>0</v>
      </c>
      <c r="AM36" s="50">
        <f t="shared" si="8"/>
        <v>0</v>
      </c>
      <c r="AN36" s="50">
        <f t="shared" si="8"/>
        <v>0</v>
      </c>
      <c r="AO36" s="254">
        <f t="shared" si="8"/>
        <v>0</v>
      </c>
      <c r="AP36" s="1260">
        <f t="shared" si="8"/>
        <v>0</v>
      </c>
      <c r="AQ36" s="1260">
        <f t="shared" si="8"/>
        <v>0</v>
      </c>
      <c r="AR36" s="50">
        <f t="shared" si="8"/>
        <v>0</v>
      </c>
      <c r="AS36" s="50">
        <f t="shared" si="8"/>
        <v>0</v>
      </c>
      <c r="AT36" s="50">
        <f t="shared" si="8"/>
        <v>0</v>
      </c>
      <c r="AU36" s="50">
        <f t="shared" si="8"/>
        <v>0</v>
      </c>
      <c r="AV36" s="50">
        <f t="shared" si="8"/>
        <v>0</v>
      </c>
      <c r="AW36" s="50">
        <f t="shared" si="8"/>
        <v>0</v>
      </c>
      <c r="AX36" s="50">
        <f t="shared" si="8"/>
        <v>0</v>
      </c>
      <c r="AY36" s="25"/>
      <c r="AZ36" s="25"/>
      <c r="BA36" s="25"/>
      <c r="BD36" s="1021" t="s">
        <v>2050</v>
      </c>
      <c r="BI36" s="1054"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x14ac:dyDescent="0.15">
      <c r="C37" s="1084" t="s">
        <v>1719</v>
      </c>
      <c r="D37" s="1103" t="s">
        <v>1720</v>
      </c>
      <c r="E37" s="668">
        <v>17</v>
      </c>
      <c r="F37" s="612" cm="1">
        <f t="array" aca="1" ref="F37" ca="1">OFFSET(G37,-1,-1)</f>
        <v>0</v>
      </c>
      <c r="L37" s="1070" cm="1">
        <f t="array" ref="L37">AC37</f>
        <v>0</v>
      </c>
      <c r="M37" s="1070" cm="1">
        <f t="array" aca="1" ref="M37" ca="1">OFFSET(L37,-1,1)</f>
        <v>0</v>
      </c>
      <c r="N37" s="1070"/>
      <c r="O37" s="1070"/>
      <c r="P37" s="1070"/>
      <c r="Q37" s="1072"/>
      <c r="R37" s="1072" t="s">
        <v>2031</v>
      </c>
      <c r="S37" s="1070"/>
      <c r="T37" s="679" t="b">
        <f t="shared" ca="1" si="4"/>
        <v>0</v>
      </c>
      <c r="W37" s="123" t="s">
        <v>237</v>
      </c>
      <c r="X37" s="1485"/>
      <c r="Y37" s="123">
        <v>0</v>
      </c>
      <c r="Z37" s="1485"/>
      <c r="AA37" s="764" t="s">
        <v>218</v>
      </c>
      <c r="AB37" s="479" t="str">
        <f>"1.2.1."&amp;Y37</f>
        <v>1.2.1.0</v>
      </c>
      <c r="AC37" s="95"/>
      <c r="AD37" s="845" t="s">
        <v>1426</v>
      </c>
      <c r="AE37" s="254"/>
      <c r="AF37" s="1260"/>
      <c r="AG37" s="1260"/>
      <c r="AH37" s="50"/>
      <c r="AI37" s="50"/>
      <c r="AJ37" s="50"/>
      <c r="AK37" s="50"/>
      <c r="AL37" s="50"/>
      <c r="AM37" s="50"/>
      <c r="AN37" s="50"/>
      <c r="AO37" s="254"/>
      <c r="AP37" s="1260"/>
      <c r="AQ37" s="1260"/>
      <c r="AR37" s="50"/>
      <c r="AS37" s="50"/>
      <c r="AT37" s="50"/>
      <c r="AU37" s="50"/>
      <c r="AV37" s="50"/>
      <c r="AW37" s="50"/>
      <c r="AX37" s="50"/>
      <c r="AY37" s="25"/>
      <c r="AZ37" s="25"/>
      <c r="BA37" s="25"/>
      <c r="BD37" s="1021" t="s">
        <v>2050</v>
      </c>
      <c r="BE37" s="1021" t="s">
        <v>2051</v>
      </c>
      <c r="BF37" s="1021" cm="1">
        <f t="array" ref="BF37">AC37</f>
        <v>0</v>
      </c>
      <c r="BH37" s="1022" t="b">
        <v>1</v>
      </c>
      <c r="BI37" s="1054"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x14ac:dyDescent="0.15">
      <c r="D38" s="1073"/>
      <c r="E38" s="668">
        <v>17</v>
      </c>
      <c r="F38" s="612" cm="1">
        <f t="array" aca="1" ref="F38" ca="1">OFFSET(G38,-1,-1)</f>
        <v>0</v>
      </c>
      <c r="M38" s="1070" cm="1">
        <f t="array" aca="1" ref="M38" ca="1">OFFSET(L38,-1,1)</f>
        <v>0</v>
      </c>
      <c r="T38" s="679" t="b">
        <f t="shared" ca="1" si="4"/>
        <v>0</v>
      </c>
      <c r="W38" s="848" t="s">
        <v>971</v>
      </c>
      <c r="X38" s="1485"/>
      <c r="Z38" s="1485"/>
      <c r="AB38" s="246"/>
      <c r="AC38" s="608" t="s">
        <v>239</v>
      </c>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D38" s="1021" t="str">
        <f>IF(AND(ISNUMBER(VALUE(TRIM(SUBSTITUTE(AB38,".","")))),TRIM(SUBSTITUTE(AB38,".",""))&lt;&gt;""),"P"&amp;SUBSTITUTE(AB38,".",""),"")</f>
        <v/>
      </c>
      <c r="BG38" s="1022" t="s">
        <v>2051</v>
      </c>
    </row>
    <row r="39" spans="3:61" ht="34.15" hidden="1" customHeight="1" x14ac:dyDescent="0.15">
      <c r="C39" s="1084" t="s">
        <v>1719</v>
      </c>
      <c r="D39" s="1103" t="s">
        <v>1720</v>
      </c>
      <c r="E39" s="668">
        <v>35</v>
      </c>
      <c r="F39" s="612" cm="1">
        <f t="array" aca="1" ref="F39" ca="1">OFFSET(G39,-1,-1)</f>
        <v>0</v>
      </c>
      <c r="L39" s="1070"/>
      <c r="M39" s="1070" cm="1">
        <f t="array" aca="1" ref="M39" ca="1">OFFSET(L39,-1,1)</f>
        <v>0</v>
      </c>
      <c r="N39" s="1070"/>
      <c r="O39" s="1070"/>
      <c r="P39" s="1070"/>
      <c r="Q39" s="1072" t="s">
        <v>2035</v>
      </c>
      <c r="R39" s="1072"/>
      <c r="S39" s="1070"/>
      <c r="T39" s="679" t="b">
        <f t="shared" ca="1" si="4"/>
        <v>0</v>
      </c>
      <c r="X39" s="1485"/>
      <c r="Z39" s="1485"/>
      <c r="AB39" s="479" t="s">
        <v>2052</v>
      </c>
      <c r="AC39" s="463" t="s">
        <v>2037</v>
      </c>
      <c r="AD39" s="845" t="s">
        <v>1426</v>
      </c>
      <c r="AE39" s="254">
        <f t="shared" ref="AE39:AX39" si="9">SUM(AE40:AE41)</f>
        <v>0</v>
      </c>
      <c r="AF39" s="1260">
        <f t="shared" si="9"/>
        <v>0</v>
      </c>
      <c r="AG39" s="1260">
        <f t="shared" si="9"/>
        <v>0</v>
      </c>
      <c r="AH39" s="50">
        <f t="shared" si="9"/>
        <v>0</v>
      </c>
      <c r="AI39" s="50">
        <f t="shared" si="9"/>
        <v>0</v>
      </c>
      <c r="AJ39" s="50">
        <f t="shared" si="9"/>
        <v>0</v>
      </c>
      <c r="AK39" s="50">
        <f t="shared" si="9"/>
        <v>0</v>
      </c>
      <c r="AL39" s="50">
        <f t="shared" si="9"/>
        <v>0</v>
      </c>
      <c r="AM39" s="50">
        <f t="shared" si="9"/>
        <v>0</v>
      </c>
      <c r="AN39" s="50">
        <f t="shared" si="9"/>
        <v>0</v>
      </c>
      <c r="AO39" s="254">
        <f t="shared" si="9"/>
        <v>0</v>
      </c>
      <c r="AP39" s="1260">
        <f t="shared" si="9"/>
        <v>0</v>
      </c>
      <c r="AQ39" s="1260">
        <f t="shared" si="9"/>
        <v>0</v>
      </c>
      <c r="AR39" s="50">
        <f t="shared" si="9"/>
        <v>0</v>
      </c>
      <c r="AS39" s="50">
        <f t="shared" si="9"/>
        <v>0</v>
      </c>
      <c r="AT39" s="50">
        <f t="shared" si="9"/>
        <v>0</v>
      </c>
      <c r="AU39" s="50">
        <f t="shared" si="9"/>
        <v>0</v>
      </c>
      <c r="AV39" s="50">
        <f t="shared" si="9"/>
        <v>0</v>
      </c>
      <c r="AW39" s="50">
        <f t="shared" si="9"/>
        <v>0</v>
      </c>
      <c r="AX39" s="50">
        <f t="shared" si="9"/>
        <v>0</v>
      </c>
      <c r="AY39" s="25"/>
      <c r="AZ39" s="25"/>
      <c r="BA39" s="25"/>
      <c r="BD39" s="1021" t="s">
        <v>2053</v>
      </c>
      <c r="BI39" s="1054"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x14ac:dyDescent="0.15">
      <c r="C40" s="1084" t="s">
        <v>1719</v>
      </c>
      <c r="D40" s="1103" t="s">
        <v>1720</v>
      </c>
      <c r="E40" s="668">
        <v>17</v>
      </c>
      <c r="F40" s="612" cm="1">
        <f t="array" aca="1" ref="F40" ca="1">OFFSET(G40,-1,-1)</f>
        <v>0</v>
      </c>
      <c r="L40" s="1070" cm="1">
        <f t="array" ref="L40">AC40</f>
        <v>0</v>
      </c>
      <c r="M40" s="1070" cm="1">
        <f t="array" aca="1" ref="M40" ca="1">OFFSET(L40,-1,1)</f>
        <v>0</v>
      </c>
      <c r="N40" s="1070"/>
      <c r="O40" s="1070"/>
      <c r="P40" s="1070"/>
      <c r="Q40" s="1072" t="s">
        <v>2035</v>
      </c>
      <c r="R40" s="1072"/>
      <c r="S40" s="1070"/>
      <c r="T40" s="679" t="b">
        <f t="shared" ca="1" si="4"/>
        <v>0</v>
      </c>
      <c r="W40" s="123" t="s">
        <v>237</v>
      </c>
      <c r="X40" s="1485"/>
      <c r="Y40" s="123">
        <v>0</v>
      </c>
      <c r="Z40" s="1485"/>
      <c r="AA40" s="764" t="s">
        <v>218</v>
      </c>
      <c r="AB40" s="479" t="str">
        <f>"1.2.2."&amp;Y40</f>
        <v>1.2.2.0</v>
      </c>
      <c r="AC40" s="95"/>
      <c r="AD40" s="845" t="s">
        <v>1426</v>
      </c>
      <c r="AE40" s="254"/>
      <c r="AF40" s="1260"/>
      <c r="AG40" s="1260"/>
      <c r="AH40" s="50"/>
      <c r="AI40" s="50"/>
      <c r="AJ40" s="50"/>
      <c r="AK40" s="50"/>
      <c r="AL40" s="50"/>
      <c r="AM40" s="50"/>
      <c r="AN40" s="50"/>
      <c r="AO40" s="254"/>
      <c r="AP40" s="1260"/>
      <c r="AQ40" s="1260"/>
      <c r="AR40" s="50"/>
      <c r="AS40" s="50"/>
      <c r="AT40" s="50"/>
      <c r="AU40" s="50"/>
      <c r="AV40" s="50"/>
      <c r="AW40" s="50"/>
      <c r="AX40" s="50"/>
      <c r="AY40" s="25"/>
      <c r="AZ40" s="25"/>
      <c r="BA40" s="25"/>
      <c r="BD40" s="1021" t="s">
        <v>2053</v>
      </c>
      <c r="BE40" s="1021" t="s">
        <v>2054</v>
      </c>
      <c r="BF40" s="1021" cm="1">
        <f t="array" ref="BF40">AC40</f>
        <v>0</v>
      </c>
      <c r="BH40" s="1022" t="b">
        <v>1</v>
      </c>
      <c r="BI40" s="1054"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x14ac:dyDescent="0.15">
      <c r="D41" s="1073"/>
      <c r="E41" s="668">
        <v>17</v>
      </c>
      <c r="F41" s="612" cm="1">
        <f t="array" aca="1" ref="F41" ca="1">OFFSET(G41,-1,-1)</f>
        <v>0</v>
      </c>
      <c r="M41" s="1070" cm="1">
        <f t="array" aca="1" ref="M41" ca="1">OFFSET(L41,-1,1)</f>
        <v>0</v>
      </c>
      <c r="T41" s="679" t="b">
        <f t="shared" ca="1" si="4"/>
        <v>0</v>
      </c>
      <c r="W41" s="848" t="s">
        <v>982</v>
      </c>
      <c r="X41" s="1485"/>
      <c r="Z41" s="1485"/>
      <c r="AB41" s="246"/>
      <c r="AC41" s="608" t="s">
        <v>239</v>
      </c>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D41" s="1021" t="str">
        <f>IF(AND(ISNUMBER(VALUE(TRIM(SUBSTITUTE(AB41,".","")))),TRIM(SUBSTITUTE(AB41,".",""))&lt;&gt;""),"P"&amp;SUBSTITUTE(AB41,".",""),"")</f>
        <v/>
      </c>
      <c r="BG41" s="1022" t="s">
        <v>2054</v>
      </c>
    </row>
    <row r="42" spans="3:61" ht="16.5" hidden="1" customHeight="1" x14ac:dyDescent="0.15">
      <c r="C42" s="1084" t="s">
        <v>1719</v>
      </c>
      <c r="D42" s="1103" t="s">
        <v>1720</v>
      </c>
      <c r="E42" s="668">
        <v>17</v>
      </c>
      <c r="F42" s="612" cm="1">
        <f t="array" aca="1" ref="F42" ca="1">OFFSET(G42,-1,-1)</f>
        <v>0</v>
      </c>
      <c r="L42" s="1070"/>
      <c r="M42" s="1070" cm="1">
        <f t="array" aca="1" ref="M42" ca="1">OFFSET(L42,-1,1)</f>
        <v>0</v>
      </c>
      <c r="N42" s="1070"/>
      <c r="O42" s="1070"/>
      <c r="P42" s="1070"/>
      <c r="Q42" s="1072" t="s">
        <v>2039</v>
      </c>
      <c r="R42" s="1072"/>
      <c r="S42" s="1070"/>
      <c r="T42" s="679" t="b">
        <f t="shared" ca="1" si="4"/>
        <v>0</v>
      </c>
      <c r="X42" s="1485"/>
      <c r="Z42" s="1485"/>
      <c r="AB42" s="914" t="s">
        <v>2055</v>
      </c>
      <c r="AC42" s="463" t="s">
        <v>2041</v>
      </c>
      <c r="AD42" s="845" t="s">
        <v>1426</v>
      </c>
      <c r="AE42" s="254">
        <f t="shared" ref="AE42:AX42" si="10">SUM(AE43:AE44)</f>
        <v>0</v>
      </c>
      <c r="AF42" s="1260">
        <f t="shared" si="10"/>
        <v>0</v>
      </c>
      <c r="AG42" s="1260">
        <f t="shared" si="10"/>
        <v>0</v>
      </c>
      <c r="AH42" s="50">
        <f t="shared" si="10"/>
        <v>0</v>
      </c>
      <c r="AI42" s="50">
        <f t="shared" si="10"/>
        <v>0</v>
      </c>
      <c r="AJ42" s="50">
        <f t="shared" si="10"/>
        <v>0</v>
      </c>
      <c r="AK42" s="50">
        <f t="shared" si="10"/>
        <v>0</v>
      </c>
      <c r="AL42" s="50">
        <f t="shared" si="10"/>
        <v>0</v>
      </c>
      <c r="AM42" s="50">
        <f t="shared" si="10"/>
        <v>0</v>
      </c>
      <c r="AN42" s="50">
        <f t="shared" si="10"/>
        <v>0</v>
      </c>
      <c r="AO42" s="254">
        <f t="shared" si="10"/>
        <v>0</v>
      </c>
      <c r="AP42" s="1260">
        <f t="shared" si="10"/>
        <v>0</v>
      </c>
      <c r="AQ42" s="1260">
        <f t="shared" si="10"/>
        <v>0</v>
      </c>
      <c r="AR42" s="50">
        <f t="shared" si="10"/>
        <v>0</v>
      </c>
      <c r="AS42" s="50">
        <f t="shared" si="10"/>
        <v>0</v>
      </c>
      <c r="AT42" s="50">
        <f t="shared" si="10"/>
        <v>0</v>
      </c>
      <c r="AU42" s="50">
        <f t="shared" si="10"/>
        <v>0</v>
      </c>
      <c r="AV42" s="50">
        <f t="shared" si="10"/>
        <v>0</v>
      </c>
      <c r="AW42" s="50">
        <f t="shared" si="10"/>
        <v>0</v>
      </c>
      <c r="AX42" s="50">
        <f t="shared" si="10"/>
        <v>0</v>
      </c>
      <c r="AY42" s="25"/>
      <c r="AZ42" s="25"/>
      <c r="BA42" s="25"/>
      <c r="BD42" s="1021" t="s">
        <v>2056</v>
      </c>
      <c r="BI42" s="1054"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x14ac:dyDescent="0.15">
      <c r="C43" s="1084" t="s">
        <v>1719</v>
      </c>
      <c r="D43" s="1103" t="s">
        <v>1720</v>
      </c>
      <c r="E43" s="668">
        <v>17</v>
      </c>
      <c r="F43" s="612" cm="1">
        <f t="array" aca="1" ref="F43" ca="1">OFFSET(G43,-1,-1)</f>
        <v>0</v>
      </c>
      <c r="L43" s="1070" cm="1">
        <f t="array" ref="L43">AC43</f>
        <v>0</v>
      </c>
      <c r="M43" s="1070" cm="1">
        <f t="array" aca="1" ref="M43" ca="1">OFFSET(L43,-1,1)</f>
        <v>0</v>
      </c>
      <c r="N43" s="1070"/>
      <c r="O43" s="1070"/>
      <c r="P43" s="1070"/>
      <c r="Q43" s="1072" t="s">
        <v>2039</v>
      </c>
      <c r="R43" s="1072"/>
      <c r="S43" s="1070"/>
      <c r="T43" s="679" t="b">
        <f t="shared" ca="1" si="4"/>
        <v>0</v>
      </c>
      <c r="W43" s="123" t="s">
        <v>237</v>
      </c>
      <c r="X43" s="1485"/>
      <c r="Y43" s="123">
        <v>0</v>
      </c>
      <c r="Z43" s="1485"/>
      <c r="AA43" s="764" t="s">
        <v>218</v>
      </c>
      <c r="AB43" s="479" t="str">
        <f>"1.2.3."&amp;Y43</f>
        <v>1.2.3.0</v>
      </c>
      <c r="AC43" s="95"/>
      <c r="AD43" s="845" t="s">
        <v>1426</v>
      </c>
      <c r="AE43" s="254"/>
      <c r="AF43" s="1260"/>
      <c r="AG43" s="1260"/>
      <c r="AH43" s="50"/>
      <c r="AI43" s="50"/>
      <c r="AJ43" s="50"/>
      <c r="AK43" s="50"/>
      <c r="AL43" s="50"/>
      <c r="AM43" s="50"/>
      <c r="AN43" s="50"/>
      <c r="AO43" s="254"/>
      <c r="AP43" s="1260"/>
      <c r="AQ43" s="1260"/>
      <c r="AR43" s="50"/>
      <c r="AS43" s="50"/>
      <c r="AT43" s="50"/>
      <c r="AU43" s="50"/>
      <c r="AV43" s="50"/>
      <c r="AW43" s="50"/>
      <c r="AX43" s="50"/>
      <c r="AY43" s="25"/>
      <c r="AZ43" s="25"/>
      <c r="BA43" s="25"/>
      <c r="BD43" s="1021" t="s">
        <v>2056</v>
      </c>
      <c r="BE43" s="1021" t="s">
        <v>2057</v>
      </c>
      <c r="BF43" s="1021" cm="1">
        <f t="array" ref="BF43">AC43</f>
        <v>0</v>
      </c>
      <c r="BH43" s="1022" t="b">
        <v>1</v>
      </c>
      <c r="BI43" s="1054"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x14ac:dyDescent="0.15">
      <c r="D44" s="1073"/>
      <c r="E44" s="668">
        <v>17</v>
      </c>
      <c r="F44" s="612" cm="1">
        <f t="array" aca="1" ref="F44" ca="1">OFFSET(G44,-1,-1)</f>
        <v>0</v>
      </c>
      <c r="M44" s="1070" cm="1">
        <f t="array" aca="1" ref="M44" ca="1">OFFSET(L44,-1,1)</f>
        <v>0</v>
      </c>
      <c r="T44" s="679" t="b">
        <f t="shared" ca="1" si="4"/>
        <v>0</v>
      </c>
      <c r="W44" s="848" t="s">
        <v>1224</v>
      </c>
      <c r="X44" s="1485"/>
      <c r="Z44" s="1485"/>
      <c r="AB44" s="246"/>
      <c r="AC44" s="608" t="s">
        <v>239</v>
      </c>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D44" s="1021" t="str">
        <f>IF(AND(ISNUMBER(VALUE(TRIM(SUBSTITUTE(AB44,".","")))),TRIM(SUBSTITUTE(AB44,".",""))&lt;&gt;""),"P"&amp;SUBSTITUTE(AB44,".",""),"")</f>
        <v/>
      </c>
      <c r="BG44" s="1022" t="s">
        <v>2057</v>
      </c>
    </row>
    <row r="45" spans="3:61" ht="16.5" hidden="1" customHeight="1" x14ac:dyDescent="0.15">
      <c r="C45" s="1084" t="s">
        <v>1719</v>
      </c>
      <c r="D45" s="1103" t="s">
        <v>1720</v>
      </c>
      <c r="E45" s="668">
        <v>17</v>
      </c>
      <c r="F45" s="612" cm="1">
        <f t="array" aca="1" ref="F45" ca="1">OFFSET(G45,-1,-1)</f>
        <v>0</v>
      </c>
      <c r="L45" s="1070"/>
      <c r="M45" s="1070" cm="1">
        <f t="array" aca="1" ref="M45" ca="1">OFFSET(L45,-1,1)</f>
        <v>0</v>
      </c>
      <c r="N45" s="1070" t="s">
        <v>2058</v>
      </c>
      <c r="O45" s="1070"/>
      <c r="P45" s="1070"/>
      <c r="Q45" s="1072"/>
      <c r="R45" s="1072"/>
      <c r="S45" s="1070"/>
      <c r="T45" s="679" t="b">
        <f t="shared" ca="1" si="4"/>
        <v>0</v>
      </c>
      <c r="X45" s="1485"/>
      <c r="Z45" s="1485"/>
      <c r="AB45" s="914" t="s">
        <v>957</v>
      </c>
      <c r="AC45" s="112" t="s">
        <v>2059</v>
      </c>
      <c r="AD45" s="845" t="s">
        <v>1426</v>
      </c>
      <c r="AE45" s="254"/>
      <c r="AF45" s="1260"/>
      <c r="AG45" s="1260"/>
      <c r="AH45" s="50"/>
      <c r="AI45" s="50"/>
      <c r="AJ45" s="50"/>
      <c r="AK45" s="50"/>
      <c r="AL45" s="50"/>
      <c r="AM45" s="50"/>
      <c r="AN45" s="50"/>
      <c r="AO45" s="254"/>
      <c r="AP45" s="1260"/>
      <c r="AQ45" s="1260"/>
      <c r="AR45" s="50"/>
      <c r="AS45" s="50"/>
      <c r="AT45" s="50"/>
      <c r="AU45" s="50"/>
      <c r="AV45" s="50"/>
      <c r="AW45" s="50"/>
      <c r="AX45" s="50"/>
      <c r="AY45" s="25"/>
      <c r="AZ45" s="25"/>
      <c r="BA45" s="25"/>
      <c r="BD45" s="1021" t="s">
        <v>1414</v>
      </c>
      <c r="BI45" s="1054"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x14ac:dyDescent="0.15">
      <c r="C46" s="1090"/>
      <c r="D46" s="1104"/>
      <c r="E46" s="668">
        <v>17</v>
      </c>
      <c r="F46" s="612" cm="1">
        <f t="array" aca="1" ref="F46" ca="1">OFFSET(G46,-1,-1)</f>
        <v>0</v>
      </c>
      <c r="L46" s="1124"/>
      <c r="M46" s="1070" cm="1">
        <f t="array" aca="1" ref="M46" ca="1">OFFSET(L46,-1,1)</f>
        <v>0</v>
      </c>
      <c r="N46" s="1124"/>
      <c r="O46" s="1124"/>
      <c r="P46" s="1124"/>
      <c r="Q46" s="1126"/>
      <c r="R46" s="1126"/>
      <c r="S46" s="1124"/>
      <c r="T46" s="679" t="b">
        <f t="shared" ca="1" si="4"/>
        <v>0</v>
      </c>
      <c r="X46" s="1485"/>
      <c r="Z46" s="1485"/>
      <c r="AB46" s="479" t="s">
        <v>426</v>
      </c>
      <c r="AC46" s="266" t="s">
        <v>2060</v>
      </c>
      <c r="AD46" s="845"/>
      <c r="AE46" s="845"/>
      <c r="AF46" s="845"/>
      <c r="AG46" s="845"/>
      <c r="AH46" s="845"/>
      <c r="AI46" s="845"/>
      <c r="AJ46" s="845"/>
      <c r="AK46" s="845"/>
      <c r="AL46" s="845"/>
      <c r="AM46" s="845"/>
      <c r="AN46" s="845"/>
      <c r="AO46" s="845"/>
      <c r="AP46" s="845"/>
      <c r="AQ46" s="845"/>
      <c r="AR46" s="845"/>
      <c r="AS46" s="845"/>
      <c r="AT46" s="845"/>
      <c r="AU46" s="845"/>
      <c r="AV46" s="845"/>
      <c r="AW46" s="845"/>
      <c r="AX46" s="845"/>
      <c r="AY46" s="845"/>
      <c r="AZ46" s="845"/>
      <c r="BA46" s="845"/>
    </row>
    <row r="47" spans="3:61" ht="16.5" hidden="1" customHeight="1" x14ac:dyDescent="0.15">
      <c r="C47" s="1084" t="s">
        <v>1747</v>
      </c>
      <c r="D47" s="1103" t="s">
        <v>1748</v>
      </c>
      <c r="E47" s="668">
        <v>17</v>
      </c>
      <c r="F47" s="612" cm="1">
        <f t="array" aca="1" ref="F47" ca="1">OFFSET(G47,-1,-1)</f>
        <v>0</v>
      </c>
      <c r="G47" s="140" t="s">
        <v>1749</v>
      </c>
      <c r="L47" s="1070"/>
      <c r="M47" s="1070" cm="1">
        <f t="array" aca="1" ref="M47" ca="1">OFFSET(L47,-1,1)</f>
        <v>0</v>
      </c>
      <c r="N47" s="1070"/>
      <c r="O47" s="1070"/>
      <c r="P47" s="1070"/>
      <c r="Q47" s="1072"/>
      <c r="R47" s="1072"/>
      <c r="S47" s="1072" t="s">
        <v>1750</v>
      </c>
      <c r="T47" s="679" t="b">
        <f t="shared" ca="1" si="4"/>
        <v>0</v>
      </c>
      <c r="X47" s="1485"/>
      <c r="Z47" s="1485"/>
      <c r="AB47" s="121" t="s">
        <v>479</v>
      </c>
      <c r="AC47" s="233" t="s">
        <v>1751</v>
      </c>
      <c r="AD47" s="460" t="s">
        <v>622</v>
      </c>
      <c r="AE47" s="254"/>
      <c r="AF47" s="1260"/>
      <c r="AG47" s="1260"/>
      <c r="AH47" s="50"/>
      <c r="AI47" s="50"/>
      <c r="AJ47" s="50"/>
      <c r="AK47" s="50"/>
      <c r="AL47" s="50"/>
      <c r="AM47" s="50"/>
      <c r="AN47" s="50"/>
      <c r="AO47" s="254"/>
      <c r="AP47" s="1260"/>
      <c r="AQ47" s="1260"/>
      <c r="AR47" s="50"/>
      <c r="AS47" s="50"/>
      <c r="AT47" s="50"/>
      <c r="AU47" s="50"/>
      <c r="AV47" s="50"/>
      <c r="AW47" s="50"/>
      <c r="AX47" s="50"/>
      <c r="AY47" s="25"/>
      <c r="AZ47" s="25"/>
      <c r="BA47" s="25"/>
      <c r="BD47" s="1021" t="s">
        <v>2061</v>
      </c>
      <c r="BI47" s="1054"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x14ac:dyDescent="0.15">
      <c r="C48" s="1084" t="s">
        <v>1753</v>
      </c>
      <c r="D48" s="1103" t="s">
        <v>1754</v>
      </c>
      <c r="E48" s="668">
        <v>17</v>
      </c>
      <c r="F48" s="612" cm="1">
        <f t="array" aca="1" ref="F48" ca="1">OFFSET(G48,-1,-1)</f>
        <v>0</v>
      </c>
      <c r="G48" s="612" t="s">
        <v>1755</v>
      </c>
      <c r="L48" s="1070"/>
      <c r="M48" s="1070" cm="1">
        <f t="array" aca="1" ref="M48" ca="1">OFFSET(L48,-1,1)</f>
        <v>0</v>
      </c>
      <c r="N48" s="1070"/>
      <c r="O48" s="1070"/>
      <c r="P48" s="1070"/>
      <c r="Q48" s="1072"/>
      <c r="R48" s="1072"/>
      <c r="S48" s="1072" t="s">
        <v>1750</v>
      </c>
      <c r="T48" s="679" t="b">
        <f t="shared" ca="1" si="4"/>
        <v>0</v>
      </c>
      <c r="X48" s="1485"/>
      <c r="Z48" s="1485"/>
      <c r="AB48" s="121" t="s">
        <v>506</v>
      </c>
      <c r="AC48" s="233" t="s">
        <v>1756</v>
      </c>
      <c r="AD48" s="460" t="s">
        <v>920</v>
      </c>
      <c r="AE48" s="254"/>
      <c r="AF48" s="1260"/>
      <c r="AG48" s="1260"/>
      <c r="AH48" s="50"/>
      <c r="AI48" s="50"/>
      <c r="AJ48" s="50"/>
      <c r="AK48" s="50"/>
      <c r="AL48" s="50"/>
      <c r="AM48" s="50"/>
      <c r="AN48" s="50"/>
      <c r="AO48" s="254"/>
      <c r="AP48" s="1260"/>
      <c r="AQ48" s="1260"/>
      <c r="AR48" s="50"/>
      <c r="AS48" s="50"/>
      <c r="AT48" s="50"/>
      <c r="AU48" s="50"/>
      <c r="AV48" s="50"/>
      <c r="AW48" s="50"/>
      <c r="AX48" s="50"/>
      <c r="AY48" s="25"/>
      <c r="AZ48" s="25"/>
      <c r="BA48" s="25"/>
      <c r="BD48" s="1021" t="s">
        <v>2062</v>
      </c>
      <c r="BI48" s="1054"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x14ac:dyDescent="0.15">
      <c r="C49" s="1084" t="s">
        <v>1747</v>
      </c>
      <c r="D49" s="1103" t="s">
        <v>1748</v>
      </c>
      <c r="E49" s="668">
        <v>17</v>
      </c>
      <c r="F49" s="612" cm="1">
        <f t="array" aca="1" ref="F49" ca="1">OFFSET(G49,-1,-1)</f>
        <v>0</v>
      </c>
      <c r="G49" s="140" t="s">
        <v>1758</v>
      </c>
      <c r="L49" s="1070"/>
      <c r="M49" s="1070" cm="1">
        <f t="array" aca="1" ref="M49" ca="1">OFFSET(L49,-1,1)</f>
        <v>0</v>
      </c>
      <c r="N49" s="1070"/>
      <c r="O49" s="1070"/>
      <c r="P49" s="1070"/>
      <c r="Q49" s="1072"/>
      <c r="R49" s="1072"/>
      <c r="S49" s="1072" t="s">
        <v>1759</v>
      </c>
      <c r="T49" s="679" t="b">
        <f t="shared" ca="1" si="4"/>
        <v>0</v>
      </c>
      <c r="X49" s="1485"/>
      <c r="Z49" s="1485"/>
      <c r="AB49" s="121" t="s">
        <v>510</v>
      </c>
      <c r="AC49" s="233" t="s">
        <v>1760</v>
      </c>
      <c r="AD49" s="255" t="s">
        <v>622</v>
      </c>
      <c r="AE49" s="254"/>
      <c r="AF49" s="1260"/>
      <c r="AG49" s="1260"/>
      <c r="AH49" s="50"/>
      <c r="AI49" s="50"/>
      <c r="AJ49" s="50"/>
      <c r="AK49" s="50"/>
      <c r="AL49" s="50"/>
      <c r="AM49" s="50"/>
      <c r="AN49" s="50"/>
      <c r="AO49" s="254"/>
      <c r="AP49" s="1260"/>
      <c r="AQ49" s="1260"/>
      <c r="AR49" s="50"/>
      <c r="AS49" s="50"/>
      <c r="AT49" s="50"/>
      <c r="AU49" s="50"/>
      <c r="AV49" s="50"/>
      <c r="AW49" s="50"/>
      <c r="AX49" s="50"/>
      <c r="AY49" s="25"/>
      <c r="AZ49" s="25"/>
      <c r="BA49" s="25"/>
      <c r="BD49" s="1021" t="s">
        <v>2063</v>
      </c>
      <c r="BI49" s="1054"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2" customFormat="1" ht="16.5" hidden="1" customHeight="1" x14ac:dyDescent="0.15">
      <c r="C50" s="1084" t="s">
        <v>1753</v>
      </c>
      <c r="D50" s="1103" t="s">
        <v>1754</v>
      </c>
      <c r="E50" s="668">
        <v>17</v>
      </c>
      <c r="F50" s="612" cm="1">
        <f t="array" aca="1" ref="F50" ca="1">OFFSET(G50,-1,-1)</f>
        <v>0</v>
      </c>
      <c r="G50" s="612" t="s">
        <v>1762</v>
      </c>
      <c r="L50" s="1069"/>
      <c r="M50" s="1070" cm="1">
        <f t="array" aca="1" ref="M50" ca="1">OFFSET(L50,-1,1)</f>
        <v>0</v>
      </c>
      <c r="N50" s="1069"/>
      <c r="O50" s="1069"/>
      <c r="P50" s="1069"/>
      <c r="Q50" s="1080"/>
      <c r="R50" s="1080"/>
      <c r="S50" s="1072" t="s">
        <v>1759</v>
      </c>
      <c r="T50" s="679" t="b">
        <f t="shared" ca="1" si="4"/>
        <v>0</v>
      </c>
      <c r="X50" s="1586"/>
      <c r="Z50" s="1586"/>
      <c r="AB50" s="121" t="s">
        <v>514</v>
      </c>
      <c r="AC50" s="233" t="s">
        <v>1763</v>
      </c>
      <c r="AD50" s="117" t="s">
        <v>920</v>
      </c>
      <c r="AE50" s="254">
        <f t="shared" ref="AE50:AX50" si="11">IFERROR((AE28*1000-AE47*AE48)/AE49,0)</f>
        <v>0</v>
      </c>
      <c r="AF50" s="1260">
        <f t="shared" si="11"/>
        <v>0</v>
      </c>
      <c r="AG50" s="1260">
        <f t="shared" si="11"/>
        <v>0</v>
      </c>
      <c r="AH50" s="50">
        <f t="shared" si="11"/>
        <v>0</v>
      </c>
      <c r="AI50" s="50">
        <f t="shared" si="11"/>
        <v>0</v>
      </c>
      <c r="AJ50" s="50">
        <f t="shared" si="11"/>
        <v>0</v>
      </c>
      <c r="AK50" s="50">
        <f t="shared" si="11"/>
        <v>0</v>
      </c>
      <c r="AL50" s="50">
        <f t="shared" si="11"/>
        <v>0</v>
      </c>
      <c r="AM50" s="50">
        <f t="shared" si="11"/>
        <v>0</v>
      </c>
      <c r="AN50" s="50">
        <f t="shared" si="11"/>
        <v>0</v>
      </c>
      <c r="AO50" s="254">
        <f t="shared" si="11"/>
        <v>0</v>
      </c>
      <c r="AP50" s="1260">
        <f t="shared" si="11"/>
        <v>0</v>
      </c>
      <c r="AQ50" s="1260">
        <f t="shared" si="11"/>
        <v>0</v>
      </c>
      <c r="AR50" s="50">
        <f t="shared" si="11"/>
        <v>0</v>
      </c>
      <c r="AS50" s="50">
        <f t="shared" si="11"/>
        <v>0</v>
      </c>
      <c r="AT50" s="50">
        <f t="shared" si="11"/>
        <v>0</v>
      </c>
      <c r="AU50" s="50">
        <f t="shared" si="11"/>
        <v>0</v>
      </c>
      <c r="AV50" s="50">
        <f t="shared" si="11"/>
        <v>0</v>
      </c>
      <c r="AW50" s="50">
        <f t="shared" si="11"/>
        <v>0</v>
      </c>
      <c r="AX50" s="50">
        <f t="shared" si="11"/>
        <v>0</v>
      </c>
      <c r="AY50" s="25"/>
      <c r="AZ50" s="25"/>
      <c r="BA50" s="25"/>
      <c r="BD50" s="1021" t="s">
        <v>2064</v>
      </c>
      <c r="BE50" s="1021"/>
      <c r="BF50" s="1029"/>
      <c r="BG50" s="1030"/>
      <c r="BH50" s="1030"/>
      <c r="BI50" s="1054"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2" customFormat="1" ht="16.5" hidden="1" customHeight="1" x14ac:dyDescent="0.15">
      <c r="C51" s="1084" t="s">
        <v>1765</v>
      </c>
      <c r="D51" s="1103" t="s">
        <v>1766</v>
      </c>
      <c r="E51" s="668">
        <v>17</v>
      </c>
      <c r="F51" s="612" cm="1">
        <f t="array" aca="1" ref="F51" ca="1">OFFSET(G51,-1,-1)</f>
        <v>0</v>
      </c>
      <c r="L51" s="1069"/>
      <c r="M51" s="1070" cm="1">
        <f t="array" aca="1" ref="M51" ca="1">OFFSET(L51,-1,1)</f>
        <v>0</v>
      </c>
      <c r="N51" s="1069"/>
      <c r="O51" s="1069"/>
      <c r="P51" s="1069"/>
      <c r="Q51" s="1080"/>
      <c r="R51" s="1080"/>
      <c r="S51" s="1069"/>
      <c r="T51" s="679" t="b">
        <f t="shared" ca="1" si="4"/>
        <v>0</v>
      </c>
      <c r="X51" s="1586"/>
      <c r="Z51" s="1586"/>
      <c r="AB51" s="121" t="s">
        <v>1585</v>
      </c>
      <c r="AC51" s="112" t="s">
        <v>2065</v>
      </c>
      <c r="AD51" s="460" t="s">
        <v>521</v>
      </c>
      <c r="AE51" s="547">
        <f t="shared" ref="AE51:AX51" si="12">IFERROR(AE50/AE48,0)</f>
        <v>0</v>
      </c>
      <c r="AF51" s="547">
        <f t="shared" si="12"/>
        <v>0</v>
      </c>
      <c r="AG51" s="547">
        <f t="shared" si="12"/>
        <v>0</v>
      </c>
      <c r="AH51" s="547">
        <f t="shared" si="12"/>
        <v>0</v>
      </c>
      <c r="AI51" s="547">
        <f t="shared" si="12"/>
        <v>0</v>
      </c>
      <c r="AJ51" s="547">
        <f t="shared" si="12"/>
        <v>0</v>
      </c>
      <c r="AK51" s="547">
        <f t="shared" si="12"/>
        <v>0</v>
      </c>
      <c r="AL51" s="547">
        <f t="shared" si="12"/>
        <v>0</v>
      </c>
      <c r="AM51" s="547">
        <f t="shared" si="12"/>
        <v>0</v>
      </c>
      <c r="AN51" s="547">
        <f t="shared" si="12"/>
        <v>0</v>
      </c>
      <c r="AO51" s="547">
        <f t="shared" si="12"/>
        <v>0</v>
      </c>
      <c r="AP51" s="547">
        <f t="shared" si="12"/>
        <v>0</v>
      </c>
      <c r="AQ51" s="547">
        <f t="shared" si="12"/>
        <v>0</v>
      </c>
      <c r="AR51" s="547">
        <f t="shared" si="12"/>
        <v>0</v>
      </c>
      <c r="AS51" s="547">
        <f t="shared" si="12"/>
        <v>0</v>
      </c>
      <c r="AT51" s="547">
        <f t="shared" si="12"/>
        <v>0</v>
      </c>
      <c r="AU51" s="547">
        <f t="shared" si="12"/>
        <v>0</v>
      </c>
      <c r="AV51" s="547">
        <f t="shared" si="12"/>
        <v>0</v>
      </c>
      <c r="AW51" s="547">
        <f t="shared" si="12"/>
        <v>0</v>
      </c>
      <c r="AX51" s="547">
        <f t="shared" si="12"/>
        <v>0</v>
      </c>
      <c r="AY51" s="25"/>
      <c r="AZ51" s="25"/>
      <c r="BA51" s="25"/>
      <c r="BD51" s="1021" t="s">
        <v>2066</v>
      </c>
      <c r="BE51" s="1021"/>
      <c r="BF51" s="1021"/>
      <c r="BG51" s="1022"/>
      <c r="BH51" s="1022"/>
      <c r="BI51" s="1054"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x14ac:dyDescent="0.15">
      <c r="C52" s="1084" t="s">
        <v>1769</v>
      </c>
      <c r="D52" s="1103" t="s">
        <v>1770</v>
      </c>
      <c r="E52" s="668">
        <v>17</v>
      </c>
      <c r="F52" s="612" cm="1">
        <f t="array" aca="1" ref="F52" ca="1">OFFSET(G52,-1,-1)</f>
        <v>0</v>
      </c>
      <c r="L52" s="1070"/>
      <c r="M52" s="1070" cm="1">
        <f t="array" aca="1" ref="M52" ca="1">OFFSET(L52,-1,1)</f>
        <v>0</v>
      </c>
      <c r="N52" s="1070"/>
      <c r="O52" s="1070"/>
      <c r="P52" s="1070"/>
      <c r="Q52" s="1072"/>
      <c r="R52" s="1072"/>
      <c r="S52" s="1070"/>
      <c r="T52" s="679" t="b">
        <f t="shared" ca="1" si="4"/>
        <v>0</v>
      </c>
      <c r="X52" s="1485"/>
      <c r="Z52" s="1485"/>
      <c r="AB52" s="121" t="s">
        <v>2012</v>
      </c>
      <c r="AC52" s="112" t="s">
        <v>2067</v>
      </c>
      <c r="AD52" s="460" t="s">
        <v>920</v>
      </c>
      <c r="AE52" s="585">
        <f t="shared" ref="AE52:AX52" si="13">IFERROR(AE28*1000/(AE47+AE49),0)</f>
        <v>0</v>
      </c>
      <c r="AF52" s="1345">
        <f t="shared" si="13"/>
        <v>0</v>
      </c>
      <c r="AG52" s="1345">
        <f t="shared" si="13"/>
        <v>0</v>
      </c>
      <c r="AH52" s="67">
        <f t="shared" si="13"/>
        <v>0</v>
      </c>
      <c r="AI52" s="67">
        <f t="shared" si="13"/>
        <v>0</v>
      </c>
      <c r="AJ52" s="67">
        <f t="shared" si="13"/>
        <v>0</v>
      </c>
      <c r="AK52" s="67">
        <f t="shared" si="13"/>
        <v>0</v>
      </c>
      <c r="AL52" s="67">
        <f t="shared" si="13"/>
        <v>0</v>
      </c>
      <c r="AM52" s="67">
        <f t="shared" si="13"/>
        <v>0</v>
      </c>
      <c r="AN52" s="67">
        <f t="shared" si="13"/>
        <v>0</v>
      </c>
      <c r="AO52" s="585">
        <f t="shared" si="13"/>
        <v>0</v>
      </c>
      <c r="AP52" s="1345">
        <f t="shared" si="13"/>
        <v>0</v>
      </c>
      <c r="AQ52" s="1345">
        <f t="shared" si="13"/>
        <v>0</v>
      </c>
      <c r="AR52" s="67">
        <f t="shared" si="13"/>
        <v>0</v>
      </c>
      <c r="AS52" s="67">
        <f t="shared" si="13"/>
        <v>0</v>
      </c>
      <c r="AT52" s="67">
        <f t="shared" si="13"/>
        <v>0</v>
      </c>
      <c r="AU52" s="67">
        <f t="shared" si="13"/>
        <v>0</v>
      </c>
      <c r="AV52" s="67">
        <f t="shared" si="13"/>
        <v>0</v>
      </c>
      <c r="AW52" s="67">
        <f t="shared" si="13"/>
        <v>0</v>
      </c>
      <c r="AX52" s="67">
        <f t="shared" si="13"/>
        <v>0</v>
      </c>
      <c r="AY52" s="25"/>
      <c r="AZ52" s="25"/>
      <c r="BA52" s="25"/>
      <c r="BD52" s="1021" t="s">
        <v>2068</v>
      </c>
      <c r="BI52" s="1054"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x14ac:dyDescent="0.15">
      <c r="C53" s="1084" t="s">
        <v>1813</v>
      </c>
      <c r="D53" s="1103" t="s">
        <v>1814</v>
      </c>
      <c r="E53" s="668">
        <v>35</v>
      </c>
      <c r="F53" s="612" cm="1">
        <f t="array" aca="1" ref="F53" ca="1">OFFSET(G53,-1,-1)</f>
        <v>0</v>
      </c>
      <c r="L53" s="1070"/>
      <c r="M53" s="1070" cm="1">
        <f t="array" aca="1" ref="M53" ca="1">OFFSET(L53,-1,1)</f>
        <v>0</v>
      </c>
      <c r="N53" s="1070"/>
      <c r="O53" s="1070"/>
      <c r="P53" s="1070"/>
      <c r="Q53" s="1072"/>
      <c r="R53" s="1072"/>
      <c r="S53" s="1070"/>
      <c r="T53" s="679" t="b">
        <f t="shared" ca="1" si="4"/>
        <v>0</v>
      </c>
      <c r="X53" s="1485"/>
      <c r="Z53" s="1485"/>
      <c r="AB53" s="121" t="s">
        <v>431</v>
      </c>
      <c r="AC53" s="266" t="s">
        <v>1816</v>
      </c>
      <c r="AD53" s="473" t="s">
        <v>1426</v>
      </c>
      <c r="AE53" s="254"/>
      <c r="AF53" s="1260"/>
      <c r="AG53" s="1260"/>
      <c r="AH53" s="50"/>
      <c r="AI53" s="50"/>
      <c r="AJ53" s="50"/>
      <c r="AK53" s="50"/>
      <c r="AL53" s="50"/>
      <c r="AM53" s="50"/>
      <c r="AN53" s="50"/>
      <c r="AO53" s="254"/>
      <c r="AP53" s="1260"/>
      <c r="AQ53" s="1260"/>
      <c r="AR53" s="50"/>
      <c r="AS53" s="50"/>
      <c r="AT53" s="50"/>
      <c r="AU53" s="50"/>
      <c r="AV53" s="50"/>
      <c r="AW53" s="50"/>
      <c r="AX53" s="50"/>
      <c r="AY53" s="25"/>
      <c r="AZ53" s="25"/>
      <c r="BA53" s="25"/>
      <c r="BD53" s="1021" t="s">
        <v>1817</v>
      </c>
      <c r="BI53" s="1054"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291" customFormat="1" ht="16.5" customHeight="1" x14ac:dyDescent="0.15">
      <c r="A54" s="167"/>
      <c r="B54" s="167"/>
      <c r="C54" s="1088"/>
      <c r="D54" s="1102"/>
      <c r="E54" s="668">
        <v>17.100000000000001</v>
      </c>
      <c r="F54" s="612" t="str" cm="1">
        <f t="array" ref="F54">X54</f>
        <v>1</v>
      </c>
      <c r="G54" s="612" t="str" cm="1">
        <f t="array" ref="G54">INDEX('Общие сведения'!$AK$169:$AK$202,MATCH($F54,'Общие сведения'!$Z$169:$Z$202,0))</f>
        <v>одноставочный</v>
      </c>
      <c r="H54" s="167"/>
      <c r="I54" s="160" t="str" cm="1">
        <f t="array" ref="I54">INDEX('Общие сведения'!$AE$169:$AE$202,MATCH($F54,'Общие сведения'!$Z$169:$Z$202,0))</f>
        <v>Теплоснабжение</v>
      </c>
      <c r="J54" s="167"/>
      <c r="K54" s="160" t="str" cm="1">
        <f t="array" ref="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082"/>
      <c r="M54" s="1082"/>
      <c r="N54" s="1082"/>
      <c r="O54" s="1082"/>
      <c r="P54" s="1082"/>
      <c r="Q54" s="1078"/>
      <c r="R54" s="1078"/>
      <c r="S54" s="1082"/>
      <c r="T54" s="679" t="b">
        <f t="shared" si="4"/>
        <v>1</v>
      </c>
      <c r="U54" s="167"/>
      <c r="V54" s="123" t="str" cm="1">
        <f t="array" ref="V54">'Базовый уровень (МСА)'!$AB$51</f>
        <v>Тариф 1 (Теплоснабжение) - Тариф на тепловую энергию (мощность), поставляемую потребителям (Не определено)</v>
      </c>
      <c r="W54" s="167"/>
      <c r="X54" s="1597" t="s">
        <v>339</v>
      </c>
      <c r="Y54" s="167"/>
      <c r="Z54" s="1483"/>
      <c r="AA54" s="167"/>
      <c r="AB54" s="271" t="str" cm="1">
        <f t="array" ref="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272"/>
      <c r="AD54" s="272"/>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167"/>
      <c r="BC54" s="167"/>
      <c r="BD54" s="971"/>
      <c r="BE54" s="971"/>
      <c r="BF54" s="971"/>
      <c r="BG54" s="974"/>
      <c r="BH54" s="974"/>
      <c r="BI54" s="1066"/>
    </row>
    <row r="55" spans="1:61" s="1167" customFormat="1" ht="16.5" customHeight="1" x14ac:dyDescent="0.15">
      <c r="A55" s="973"/>
      <c r="B55" s="773"/>
      <c r="C55" s="1084" t="s">
        <v>1719</v>
      </c>
      <c r="D55" s="1103" t="s">
        <v>1720</v>
      </c>
      <c r="E55" s="668">
        <v>17</v>
      </c>
      <c r="F55" s="612" t="str" cm="1">
        <f t="array" aca="1" ref="F55" ca="1">OFFSET(G55,-1,-1)</f>
        <v>1</v>
      </c>
      <c r="G55" s="177"/>
      <c r="H55" s="177"/>
      <c r="I55" s="177"/>
      <c r="J55" s="177"/>
      <c r="K55" s="177"/>
      <c r="L55" s="1070"/>
      <c r="M55" s="1070" t="str" cm="1">
        <f t="array" ref="M55">INDEX('Общие сведения'!$N$169:$N$202,MATCH($F54,'Общие сведения'!$Z$169:$Z$202,0)+1)</f>
        <v>ТЭ.42.27968109.0001</v>
      </c>
      <c r="N55" s="1070" t="s">
        <v>2023</v>
      </c>
      <c r="O55" s="1070"/>
      <c r="P55" s="1070"/>
      <c r="Q55" s="1072"/>
      <c r="R55" s="1072"/>
      <c r="S55" s="1070"/>
      <c r="T55" s="679" t="b">
        <f t="shared" ca="1" si="4"/>
        <v>1</v>
      </c>
      <c r="U55" s="1152"/>
      <c r="V55" s="1152"/>
      <c r="W55" s="1152"/>
      <c r="X55" s="1485"/>
      <c r="Y55" s="1152"/>
      <c r="Z55" s="1485"/>
      <c r="AA55" s="177"/>
      <c r="AB55" s="121">
        <v>1</v>
      </c>
      <c r="AC55" s="518" t="s">
        <v>2024</v>
      </c>
      <c r="AD55" s="460" t="s">
        <v>1426</v>
      </c>
      <c r="AE55" s="254">
        <f t="shared" ref="AE55:AX55" si="14">AE56+AE62+AE72</f>
        <v>0</v>
      </c>
      <c r="AF55" s="1260">
        <f t="shared" si="14"/>
        <v>0</v>
      </c>
      <c r="AG55" s="1260">
        <f t="shared" si="14"/>
        <v>0</v>
      </c>
      <c r="AH55" s="1266">
        <f t="shared" si="14"/>
        <v>0</v>
      </c>
      <c r="AI55" s="1266">
        <f t="shared" si="14"/>
        <v>0</v>
      </c>
      <c r="AJ55" s="1266">
        <f t="shared" si="14"/>
        <v>0</v>
      </c>
      <c r="AK55" s="1266">
        <f t="shared" si="14"/>
        <v>0</v>
      </c>
      <c r="AL55" s="1266">
        <f t="shared" si="14"/>
        <v>0</v>
      </c>
      <c r="AM55" s="1266">
        <f t="shared" si="14"/>
        <v>0</v>
      </c>
      <c r="AN55" s="1266">
        <f t="shared" si="14"/>
        <v>0</v>
      </c>
      <c r="AO55" s="254">
        <f t="shared" si="14"/>
        <v>0</v>
      </c>
      <c r="AP55" s="1260">
        <f t="shared" si="14"/>
        <v>0</v>
      </c>
      <c r="AQ55" s="1260">
        <f t="shared" si="14"/>
        <v>0</v>
      </c>
      <c r="AR55" s="1266">
        <f t="shared" si="14"/>
        <v>0</v>
      </c>
      <c r="AS55" s="1266">
        <f t="shared" si="14"/>
        <v>0</v>
      </c>
      <c r="AT55" s="1266">
        <f t="shared" si="14"/>
        <v>0</v>
      </c>
      <c r="AU55" s="1266">
        <f t="shared" si="14"/>
        <v>0</v>
      </c>
      <c r="AV55" s="1266">
        <f t="shared" si="14"/>
        <v>0</v>
      </c>
      <c r="AW55" s="1266">
        <f t="shared" si="14"/>
        <v>0</v>
      </c>
      <c r="AX55" s="1266">
        <f t="shared" si="14"/>
        <v>0</v>
      </c>
      <c r="AY55" s="1231"/>
      <c r="AZ55" s="1231"/>
      <c r="BA55" s="1231"/>
      <c r="BB55" s="177"/>
      <c r="BC55" s="177"/>
      <c r="BD55" s="1021" t="s">
        <v>2025</v>
      </c>
      <c r="BE55" s="1021"/>
      <c r="BF55" s="1021"/>
      <c r="BG55" s="1022"/>
      <c r="BH55" s="1022"/>
      <c r="BI55" s="1054"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M10655::ТЭ.42.27968109.0001::Неопределено::110.0.36.::Неопределено::Неопределено::Неопределено::Неопределено::Неопределено</v>
      </c>
    </row>
    <row r="56" spans="1:61" s="1167" customFormat="1" ht="16.5" customHeight="1" x14ac:dyDescent="0.15">
      <c r="A56" s="973"/>
      <c r="B56" s="773"/>
      <c r="C56" s="1084" t="s">
        <v>1719</v>
      </c>
      <c r="D56" s="1103" t="s">
        <v>1720</v>
      </c>
      <c r="E56" s="668">
        <v>17</v>
      </c>
      <c r="F56" s="612" t="str" cm="1">
        <f t="array" aca="1" ref="F56" ca="1">OFFSET(G56,-1,-1)</f>
        <v>1</v>
      </c>
      <c r="G56" s="177"/>
      <c r="H56" s="177"/>
      <c r="I56" s="177"/>
      <c r="J56" s="177"/>
      <c r="K56" s="177"/>
      <c r="L56" s="1070"/>
      <c r="M56" s="1070" t="str" cm="1">
        <f t="array" aca="1" ref="M56" ca="1">OFFSET(L56,-1,1)</f>
        <v>ТЭ.42.27968109.0001</v>
      </c>
      <c r="N56" s="1070" t="s">
        <v>2023</v>
      </c>
      <c r="O56" s="1070" t="s">
        <v>1796</v>
      </c>
      <c r="P56" s="1070"/>
      <c r="Q56" s="1072"/>
      <c r="R56" s="1072"/>
      <c r="S56" s="1070"/>
      <c r="T56" s="679" t="b">
        <f t="shared" ca="1" si="4"/>
        <v>1</v>
      </c>
      <c r="U56" s="1152"/>
      <c r="V56" s="1152"/>
      <c r="W56" s="1152"/>
      <c r="X56" s="1485"/>
      <c r="Y56" s="1152"/>
      <c r="Z56" s="1485"/>
      <c r="AA56" s="177"/>
      <c r="AB56" s="121" t="s">
        <v>473</v>
      </c>
      <c r="AC56" s="859" t="s">
        <v>2026</v>
      </c>
      <c r="AD56" s="460" t="s">
        <v>1426</v>
      </c>
      <c r="AE56" s="254">
        <f t="shared" ref="AE56:AX56" si="15">AE57+AE61</f>
        <v>0</v>
      </c>
      <c r="AF56" s="1260">
        <f t="shared" si="15"/>
        <v>0</v>
      </c>
      <c r="AG56" s="1260">
        <f t="shared" si="15"/>
        <v>0</v>
      </c>
      <c r="AH56" s="1266">
        <f t="shared" si="15"/>
        <v>0</v>
      </c>
      <c r="AI56" s="1266">
        <f t="shared" si="15"/>
        <v>0</v>
      </c>
      <c r="AJ56" s="1266">
        <f t="shared" si="15"/>
        <v>0</v>
      </c>
      <c r="AK56" s="1266">
        <f t="shared" si="15"/>
        <v>0</v>
      </c>
      <c r="AL56" s="1266">
        <f t="shared" si="15"/>
        <v>0</v>
      </c>
      <c r="AM56" s="1266">
        <f t="shared" si="15"/>
        <v>0</v>
      </c>
      <c r="AN56" s="1266">
        <f t="shared" si="15"/>
        <v>0</v>
      </c>
      <c r="AO56" s="254">
        <f t="shared" si="15"/>
        <v>0</v>
      </c>
      <c r="AP56" s="1260">
        <f t="shared" si="15"/>
        <v>0</v>
      </c>
      <c r="AQ56" s="1260">
        <f t="shared" si="15"/>
        <v>0</v>
      </c>
      <c r="AR56" s="1266">
        <f t="shared" si="15"/>
        <v>0</v>
      </c>
      <c r="AS56" s="1266">
        <f t="shared" si="15"/>
        <v>0</v>
      </c>
      <c r="AT56" s="1266">
        <f t="shared" si="15"/>
        <v>0</v>
      </c>
      <c r="AU56" s="1266">
        <f t="shared" si="15"/>
        <v>0</v>
      </c>
      <c r="AV56" s="1266">
        <f t="shared" si="15"/>
        <v>0</v>
      </c>
      <c r="AW56" s="1266">
        <f t="shared" si="15"/>
        <v>0</v>
      </c>
      <c r="AX56" s="1266">
        <f t="shared" si="15"/>
        <v>0</v>
      </c>
      <c r="AY56" s="1231"/>
      <c r="AZ56" s="1231"/>
      <c r="BA56" s="1231"/>
      <c r="BB56" s="177"/>
      <c r="BC56" s="177"/>
      <c r="BD56" s="1021" t="s">
        <v>2027</v>
      </c>
      <c r="BE56" s="1021"/>
      <c r="BF56" s="1021"/>
      <c r="BG56" s="1022"/>
      <c r="BH56" s="1022"/>
      <c r="BI56" s="1054"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M10655::ТЭ.42.27968109.0001::Неопределено::110.0.36.::90.0.0.::Неопределено::Неопределено::Неопределено::Неопределено</v>
      </c>
    </row>
    <row r="57" spans="1:61" s="1167" customFormat="1" ht="16.5" customHeight="1" x14ac:dyDescent="0.15">
      <c r="A57" s="973"/>
      <c r="B57" s="773"/>
      <c r="C57" s="1084" t="s">
        <v>1719</v>
      </c>
      <c r="D57" s="1103" t="s">
        <v>1720</v>
      </c>
      <c r="E57" s="668">
        <v>17</v>
      </c>
      <c r="F57" s="612" t="str" cm="1">
        <f t="array" aca="1" ref="F57" ca="1">OFFSET(G57,-1,-1)</f>
        <v>1</v>
      </c>
      <c r="G57" s="177"/>
      <c r="H57" s="177"/>
      <c r="I57" s="177"/>
      <c r="J57" s="177"/>
      <c r="K57" s="177"/>
      <c r="L57" s="1070"/>
      <c r="M57" s="1070" t="str" cm="1">
        <f t="array" aca="1" ref="M57" ca="1">OFFSET(L57,-1,1)</f>
        <v>ТЭ.42.27968109.0001</v>
      </c>
      <c r="N57" s="1070" t="s">
        <v>2023</v>
      </c>
      <c r="O57" s="1070" t="s">
        <v>1796</v>
      </c>
      <c r="P57" s="1070" t="s">
        <v>2028</v>
      </c>
      <c r="Q57" s="1072"/>
      <c r="R57" s="1072"/>
      <c r="S57" s="1070"/>
      <c r="T57" s="679" t="b">
        <f t="shared" ca="1" si="4"/>
        <v>1</v>
      </c>
      <c r="U57" s="1152"/>
      <c r="V57" s="1152"/>
      <c r="W57" s="1152"/>
      <c r="X57" s="1485"/>
      <c r="Y57" s="1152"/>
      <c r="Z57" s="1485"/>
      <c r="AA57" s="177"/>
      <c r="AB57" s="479" t="s">
        <v>1177</v>
      </c>
      <c r="AC57" s="463" t="s">
        <v>2029</v>
      </c>
      <c r="AD57" s="845" t="s">
        <v>1426</v>
      </c>
      <c r="AE57" s="254"/>
      <c r="AF57" s="1260"/>
      <c r="AG57" s="1260"/>
      <c r="AH57" s="1266"/>
      <c r="AI57" s="1266"/>
      <c r="AJ57" s="1266"/>
      <c r="AK57" s="1266"/>
      <c r="AL57" s="1266"/>
      <c r="AM57" s="1266"/>
      <c r="AN57" s="1266"/>
      <c r="AO57" s="254"/>
      <c r="AP57" s="1260"/>
      <c r="AQ57" s="1260"/>
      <c r="AR57" s="1266"/>
      <c r="AS57" s="1266"/>
      <c r="AT57" s="1266"/>
      <c r="AU57" s="1266"/>
      <c r="AV57" s="1266"/>
      <c r="AW57" s="1266"/>
      <c r="AX57" s="1266"/>
      <c r="AY57" s="1231"/>
      <c r="AZ57" s="1231"/>
      <c r="BA57" s="1231"/>
      <c r="BB57" s="177"/>
      <c r="BC57" s="177"/>
      <c r="BD57" s="1021" t="s">
        <v>2030</v>
      </c>
      <c r="BE57" s="1021"/>
      <c r="BF57" s="1021"/>
      <c r="BG57" s="1022"/>
      <c r="BH57" s="1022"/>
      <c r="BI57" s="1054"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M10655::ТЭ.42.27968109.0001::Неопределено::110.0.36.::90.0.0.::33.0.8.::Неопределено::Неопределено::Неопределено</v>
      </c>
    </row>
    <row r="58" spans="1:61" s="1167" customFormat="1" ht="16.5" customHeight="1" x14ac:dyDescent="0.15">
      <c r="A58" s="973"/>
      <c r="B58" s="773"/>
      <c r="C58" s="1084" t="s">
        <v>1719</v>
      </c>
      <c r="D58" s="1103" t="s">
        <v>1720</v>
      </c>
      <c r="E58" s="668">
        <v>17</v>
      </c>
      <c r="F58" s="612" t="str" cm="1">
        <f t="array" aca="1" ref="F58" ca="1">OFFSET(G58,-1,-1)</f>
        <v>1</v>
      </c>
      <c r="G58" s="177"/>
      <c r="H58" s="177"/>
      <c r="I58" s="177"/>
      <c r="J58" s="177"/>
      <c r="K58" s="177"/>
      <c r="L58" s="1070"/>
      <c r="M58" s="1070" t="str" cm="1">
        <f t="array" aca="1" ref="M58" ca="1">OFFSET(L58,-1,1)</f>
        <v>ТЭ.42.27968109.0001</v>
      </c>
      <c r="N58" s="1070" t="s">
        <v>2023</v>
      </c>
      <c r="O58" s="1070" t="s">
        <v>1796</v>
      </c>
      <c r="P58" s="1070" t="s">
        <v>2028</v>
      </c>
      <c r="Q58" s="1072"/>
      <c r="R58" s="1072" t="s">
        <v>2031</v>
      </c>
      <c r="S58" s="1070"/>
      <c r="T58" s="679" t="b">
        <f t="shared" ca="1" si="4"/>
        <v>1</v>
      </c>
      <c r="U58" s="1152"/>
      <c r="V58" s="1152"/>
      <c r="W58" s="1152"/>
      <c r="X58" s="1485"/>
      <c r="Y58" s="1152"/>
      <c r="Z58" s="1485"/>
      <c r="AA58" s="177"/>
      <c r="AB58" s="479" t="s">
        <v>2032</v>
      </c>
      <c r="AC58" s="488" t="s">
        <v>2033</v>
      </c>
      <c r="AD58" s="845" t="s">
        <v>1426</v>
      </c>
      <c r="AE58" s="254"/>
      <c r="AF58" s="1260"/>
      <c r="AG58" s="1260"/>
      <c r="AH58" s="1266"/>
      <c r="AI58" s="1266"/>
      <c r="AJ58" s="1266"/>
      <c r="AK58" s="1266"/>
      <c r="AL58" s="1266"/>
      <c r="AM58" s="1266"/>
      <c r="AN58" s="1266"/>
      <c r="AO58" s="254"/>
      <c r="AP58" s="1260"/>
      <c r="AQ58" s="1260"/>
      <c r="AR58" s="1266"/>
      <c r="AS58" s="1266"/>
      <c r="AT58" s="1266"/>
      <c r="AU58" s="1266"/>
      <c r="AV58" s="1266"/>
      <c r="AW58" s="1266"/>
      <c r="AX58" s="1266"/>
      <c r="AY58" s="1231"/>
      <c r="AZ58" s="1231"/>
      <c r="BA58" s="1231"/>
      <c r="BB58" s="177"/>
      <c r="BC58" s="177"/>
      <c r="BD58" s="1021" t="s">
        <v>2034</v>
      </c>
      <c r="BE58" s="1021"/>
      <c r="BF58" s="1021"/>
      <c r="BG58" s="1022"/>
      <c r="BH58" s="1022"/>
      <c r="BI58" s="1054"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M10655::ТЭ.42.27968109.0001::Неопределено::110.0.36.::90.0.0.::33.0.8.::Неопределено::22.0.10.::Неопределено</v>
      </c>
    </row>
    <row r="59" spans="1:61" s="1167" customFormat="1" ht="33.75" customHeight="1" x14ac:dyDescent="0.15">
      <c r="A59" s="973"/>
      <c r="B59" s="773"/>
      <c r="C59" s="1084" t="s">
        <v>1719</v>
      </c>
      <c r="D59" s="1103" t="s">
        <v>1720</v>
      </c>
      <c r="E59" s="668">
        <v>35</v>
      </c>
      <c r="F59" s="612" t="str" cm="1">
        <f t="array" aca="1" ref="F59" ca="1">OFFSET(G59,-1,-1)</f>
        <v>1</v>
      </c>
      <c r="G59" s="177"/>
      <c r="H59" s="177"/>
      <c r="I59" s="177"/>
      <c r="J59" s="177"/>
      <c r="K59" s="177"/>
      <c r="L59" s="1070"/>
      <c r="M59" s="1070" t="str" cm="1">
        <f t="array" aca="1" ref="M59" ca="1">OFFSET(L59,-1,1)</f>
        <v>ТЭ.42.27968109.0001</v>
      </c>
      <c r="N59" s="1070" t="s">
        <v>2023</v>
      </c>
      <c r="O59" s="1070" t="s">
        <v>1796</v>
      </c>
      <c r="P59" s="1070" t="s">
        <v>2028</v>
      </c>
      <c r="Q59" s="1072" t="s">
        <v>2035</v>
      </c>
      <c r="R59" s="1072"/>
      <c r="S59" s="1070"/>
      <c r="T59" s="679" t="b">
        <f t="shared" ref="T59:T80" ca="1" si="16">AND(F59&gt;0,OR(ISBLANK(Y59),Y59&gt;0))</f>
        <v>1</v>
      </c>
      <c r="U59" s="1152"/>
      <c r="V59" s="1152"/>
      <c r="W59" s="1152"/>
      <c r="X59" s="1485"/>
      <c r="Y59" s="1152"/>
      <c r="Z59" s="1485"/>
      <c r="AA59" s="177"/>
      <c r="AB59" s="479" t="s">
        <v>2036</v>
      </c>
      <c r="AC59" s="480" t="s">
        <v>2037</v>
      </c>
      <c r="AD59" s="845" t="s">
        <v>1426</v>
      </c>
      <c r="AE59" s="254"/>
      <c r="AF59" s="1260"/>
      <c r="AG59" s="1260"/>
      <c r="AH59" s="1266"/>
      <c r="AI59" s="1266"/>
      <c r="AJ59" s="1266"/>
      <c r="AK59" s="1266"/>
      <c r="AL59" s="1266"/>
      <c r="AM59" s="1266"/>
      <c r="AN59" s="1266"/>
      <c r="AO59" s="254"/>
      <c r="AP59" s="1260"/>
      <c r="AQ59" s="1260"/>
      <c r="AR59" s="1266"/>
      <c r="AS59" s="1266"/>
      <c r="AT59" s="1266"/>
      <c r="AU59" s="1266"/>
      <c r="AV59" s="1266"/>
      <c r="AW59" s="1266"/>
      <c r="AX59" s="1266"/>
      <c r="AY59" s="1231"/>
      <c r="AZ59" s="1231"/>
      <c r="BA59" s="1231"/>
      <c r="BB59" s="177"/>
      <c r="BC59" s="177"/>
      <c r="BD59" s="1021" t="s">
        <v>2038</v>
      </c>
      <c r="BE59" s="1021"/>
      <c r="BF59" s="1021"/>
      <c r="BG59" s="1022"/>
      <c r="BH59" s="1022"/>
      <c r="BI59" s="1054"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M10655::ТЭ.42.27968109.0001::Неопределено::110.0.36.::90.0.0.::33.0.8.::147.0.5.::Неопределено::Неопределено</v>
      </c>
    </row>
    <row r="60" spans="1:61" s="1167" customFormat="1" ht="16.5" customHeight="1" x14ac:dyDescent="0.15">
      <c r="A60" s="973"/>
      <c r="B60" s="773"/>
      <c r="C60" s="1084" t="s">
        <v>1719</v>
      </c>
      <c r="D60" s="1103" t="s">
        <v>1720</v>
      </c>
      <c r="E60" s="668">
        <v>17</v>
      </c>
      <c r="F60" s="612" t="str" cm="1">
        <f t="array" aca="1" ref="F60" ca="1">OFFSET(G60,-1,-1)</f>
        <v>1</v>
      </c>
      <c r="G60" s="177"/>
      <c r="H60" s="177"/>
      <c r="I60" s="177"/>
      <c r="J60" s="177"/>
      <c r="K60" s="177"/>
      <c r="L60" s="1070"/>
      <c r="M60" s="1070" t="str" cm="1">
        <f t="array" aca="1" ref="M60" ca="1">OFFSET(L60,-1,1)</f>
        <v>ТЭ.42.27968109.0001</v>
      </c>
      <c r="N60" s="1070" t="s">
        <v>2023</v>
      </c>
      <c r="O60" s="1070" t="s">
        <v>1796</v>
      </c>
      <c r="P60" s="1070" t="s">
        <v>2028</v>
      </c>
      <c r="Q60" s="1072" t="s">
        <v>2039</v>
      </c>
      <c r="R60" s="1072"/>
      <c r="S60" s="1070"/>
      <c r="T60" s="679" t="b">
        <f t="shared" ca="1" si="16"/>
        <v>1</v>
      </c>
      <c r="U60" s="1152"/>
      <c r="V60" s="1152"/>
      <c r="W60" s="1152"/>
      <c r="X60" s="1485"/>
      <c r="Y60" s="1152"/>
      <c r="Z60" s="1485"/>
      <c r="AA60" s="177"/>
      <c r="AB60" s="479" t="s">
        <v>2040</v>
      </c>
      <c r="AC60" s="480" t="s">
        <v>2041</v>
      </c>
      <c r="AD60" s="845" t="s">
        <v>1426</v>
      </c>
      <c r="AE60" s="254"/>
      <c r="AF60" s="1260"/>
      <c r="AG60" s="1260"/>
      <c r="AH60" s="1266"/>
      <c r="AI60" s="1266"/>
      <c r="AJ60" s="1266"/>
      <c r="AK60" s="1266"/>
      <c r="AL60" s="1266"/>
      <c r="AM60" s="1266"/>
      <c r="AN60" s="1266"/>
      <c r="AO60" s="254"/>
      <c r="AP60" s="1260"/>
      <c r="AQ60" s="1260"/>
      <c r="AR60" s="1266"/>
      <c r="AS60" s="1266"/>
      <c r="AT60" s="1266"/>
      <c r="AU60" s="1266"/>
      <c r="AV60" s="1266"/>
      <c r="AW60" s="1266"/>
      <c r="AX60" s="1266"/>
      <c r="AY60" s="1231"/>
      <c r="AZ60" s="1231"/>
      <c r="BA60" s="1231"/>
      <c r="BB60" s="177"/>
      <c r="BC60" s="177"/>
      <c r="BD60" s="1021" t="s">
        <v>2042</v>
      </c>
      <c r="BE60" s="1021"/>
      <c r="BF60" s="1021"/>
      <c r="BG60" s="1022"/>
      <c r="BH60" s="1022"/>
      <c r="BI60" s="1054"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M10655::ТЭ.42.27968109.0001::Неопределено::110.0.36.::90.0.0.::33.0.8.::147.0.1.::Неопределено::Неопределено</v>
      </c>
    </row>
    <row r="61" spans="1:61" s="1167" customFormat="1" ht="16.5" customHeight="1" x14ac:dyDescent="0.15">
      <c r="A61" s="973"/>
      <c r="B61" s="773"/>
      <c r="C61" s="1084" t="s">
        <v>1719</v>
      </c>
      <c r="D61" s="1103" t="s">
        <v>1720</v>
      </c>
      <c r="E61" s="668">
        <v>17</v>
      </c>
      <c r="F61" s="612" t="str" cm="1">
        <f t="array" aca="1" ref="F61" ca="1">OFFSET(G61,-1,-1)</f>
        <v>1</v>
      </c>
      <c r="G61" s="177"/>
      <c r="H61" s="177"/>
      <c r="I61" s="177"/>
      <c r="J61" s="177"/>
      <c r="K61" s="177"/>
      <c r="L61" s="1070"/>
      <c r="M61" s="1070" t="str" cm="1">
        <f t="array" aca="1" ref="M61" ca="1">OFFSET(L61,-1,1)</f>
        <v>ТЭ.42.27968109.0001</v>
      </c>
      <c r="N61" s="1070" t="s">
        <v>2023</v>
      </c>
      <c r="O61" s="1070" t="s">
        <v>1796</v>
      </c>
      <c r="P61" s="1070" t="s">
        <v>2043</v>
      </c>
      <c r="Q61" s="1072"/>
      <c r="R61" s="1072"/>
      <c r="S61" s="1070"/>
      <c r="T61" s="679" t="b">
        <f t="shared" ca="1" si="16"/>
        <v>1</v>
      </c>
      <c r="U61" s="1152"/>
      <c r="V61" s="1152"/>
      <c r="W61" s="1152"/>
      <c r="X61" s="1485"/>
      <c r="Y61" s="1152"/>
      <c r="Z61" s="1485"/>
      <c r="AA61" s="177"/>
      <c r="AB61" s="913" t="s">
        <v>1181</v>
      </c>
      <c r="AC61" s="463" t="s">
        <v>2044</v>
      </c>
      <c r="AD61" s="845" t="s">
        <v>1426</v>
      </c>
      <c r="AE61" s="254"/>
      <c r="AF61" s="1260"/>
      <c r="AG61" s="1260"/>
      <c r="AH61" s="1266"/>
      <c r="AI61" s="1266"/>
      <c r="AJ61" s="1266"/>
      <c r="AK61" s="1266"/>
      <c r="AL61" s="1266"/>
      <c r="AM61" s="1266"/>
      <c r="AN61" s="1266"/>
      <c r="AO61" s="254"/>
      <c r="AP61" s="1260"/>
      <c r="AQ61" s="1260"/>
      <c r="AR61" s="1266"/>
      <c r="AS61" s="1266"/>
      <c r="AT61" s="1266"/>
      <c r="AU61" s="1266"/>
      <c r="AV61" s="1266"/>
      <c r="AW61" s="1266"/>
      <c r="AX61" s="1266"/>
      <c r="AY61" s="1231"/>
      <c r="AZ61" s="1231"/>
      <c r="BA61" s="1231"/>
      <c r="BB61" s="177"/>
      <c r="BC61" s="177"/>
      <c r="BD61" s="1021" t="s">
        <v>2045</v>
      </c>
      <c r="BE61" s="1021"/>
      <c r="BF61" s="1021"/>
      <c r="BG61" s="1022"/>
      <c r="BH61" s="1022"/>
      <c r="BI61" s="1054"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M10655::ТЭ.42.27968109.0001::Неопределено::110.0.36.::90.0.0.::33.0.2.::Неопределено::Неопределено::Неопределено</v>
      </c>
    </row>
    <row r="62" spans="1:61" s="1167" customFormat="1" ht="33.75" customHeight="1" x14ac:dyDescent="0.15">
      <c r="A62" s="973"/>
      <c r="B62" s="773"/>
      <c r="C62" s="1084" t="s">
        <v>1719</v>
      </c>
      <c r="D62" s="1103" t="s">
        <v>1720</v>
      </c>
      <c r="E62" s="668">
        <v>35</v>
      </c>
      <c r="F62" s="612" t="str" cm="1">
        <f t="array" aca="1" ref="F62" ca="1">OFFSET(G62,-1,-1)</f>
        <v>1</v>
      </c>
      <c r="G62" s="177"/>
      <c r="H62" s="177"/>
      <c r="I62" s="177"/>
      <c r="J62" s="177"/>
      <c r="K62" s="177"/>
      <c r="L62" s="1070"/>
      <c r="M62" s="1070" t="str" cm="1">
        <f t="array" aca="1" ref="M62" ca="1">OFFSET(L62,-1,1)</f>
        <v>ТЭ.42.27968109.0001</v>
      </c>
      <c r="N62" s="1070" t="s">
        <v>2023</v>
      </c>
      <c r="O62" s="1070" t="s">
        <v>1796</v>
      </c>
      <c r="P62" s="1070" t="s">
        <v>2046</v>
      </c>
      <c r="Q62" s="1072"/>
      <c r="R62" s="1072"/>
      <c r="S62" s="1070"/>
      <c r="T62" s="679" t="b">
        <f t="shared" ca="1" si="16"/>
        <v>1</v>
      </c>
      <c r="U62" s="1152"/>
      <c r="V62" s="1152"/>
      <c r="W62" s="1152"/>
      <c r="X62" s="1485"/>
      <c r="Y62" s="1152"/>
      <c r="Z62" s="1485"/>
      <c r="AA62" s="177"/>
      <c r="AB62" s="479" t="s">
        <v>955</v>
      </c>
      <c r="AC62" s="112" t="s">
        <v>2047</v>
      </c>
      <c r="AD62" s="845" t="s">
        <v>1426</v>
      </c>
      <c r="AE62" s="254">
        <f t="shared" ref="AE62:AX62" si="17">AE63+AE66+AE69</f>
        <v>0</v>
      </c>
      <c r="AF62" s="1260">
        <f t="shared" si="17"/>
        <v>0</v>
      </c>
      <c r="AG62" s="1260">
        <f t="shared" si="17"/>
        <v>0</v>
      </c>
      <c r="AH62" s="1266">
        <f t="shared" si="17"/>
        <v>0</v>
      </c>
      <c r="AI62" s="1266">
        <f t="shared" si="17"/>
        <v>0</v>
      </c>
      <c r="AJ62" s="1266">
        <f t="shared" si="17"/>
        <v>0</v>
      </c>
      <c r="AK62" s="1266">
        <f t="shared" si="17"/>
        <v>0</v>
      </c>
      <c r="AL62" s="1266">
        <f t="shared" si="17"/>
        <v>0</v>
      </c>
      <c r="AM62" s="1266">
        <f t="shared" si="17"/>
        <v>0</v>
      </c>
      <c r="AN62" s="1266">
        <f t="shared" si="17"/>
        <v>0</v>
      </c>
      <c r="AO62" s="254">
        <f t="shared" si="17"/>
        <v>0</v>
      </c>
      <c r="AP62" s="1260">
        <f t="shared" si="17"/>
        <v>0</v>
      </c>
      <c r="AQ62" s="1260">
        <f t="shared" si="17"/>
        <v>0</v>
      </c>
      <c r="AR62" s="1266">
        <f t="shared" si="17"/>
        <v>0</v>
      </c>
      <c r="AS62" s="1266">
        <f t="shared" si="17"/>
        <v>0</v>
      </c>
      <c r="AT62" s="1266">
        <f t="shared" si="17"/>
        <v>0</v>
      </c>
      <c r="AU62" s="1266">
        <f t="shared" si="17"/>
        <v>0</v>
      </c>
      <c r="AV62" s="1266">
        <f t="shared" si="17"/>
        <v>0</v>
      </c>
      <c r="AW62" s="1266">
        <f t="shared" si="17"/>
        <v>0</v>
      </c>
      <c r="AX62" s="1266">
        <f t="shared" si="17"/>
        <v>0</v>
      </c>
      <c r="AY62" s="1231"/>
      <c r="AZ62" s="1231"/>
      <c r="BA62" s="1231"/>
      <c r="BB62" s="177"/>
      <c r="BC62" s="177"/>
      <c r="BD62" s="1021" t="s">
        <v>2048</v>
      </c>
      <c r="BE62" s="1021"/>
      <c r="BF62" s="1021"/>
      <c r="BG62" s="1022"/>
      <c r="BH62" s="1022"/>
      <c r="BI62" s="1054"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M10655::ТЭ.42.27968109.0001::Неопределено::110.0.36.::90.0.0.::33.0.4.::Неопределено::Неопределено::Неопределено</v>
      </c>
    </row>
    <row r="63" spans="1:61" s="1167" customFormat="1" ht="16.5" customHeight="1" x14ac:dyDescent="0.15">
      <c r="A63" s="973"/>
      <c r="B63" s="773"/>
      <c r="C63" s="1084" t="s">
        <v>1719</v>
      </c>
      <c r="D63" s="1103" t="s">
        <v>1720</v>
      </c>
      <c r="E63" s="668">
        <v>17</v>
      </c>
      <c r="F63" s="612" t="str" cm="1">
        <f t="array" aca="1" ref="F63" ca="1">OFFSET(G63,-1,-1)</f>
        <v>1</v>
      </c>
      <c r="G63" s="177"/>
      <c r="H63" s="177"/>
      <c r="I63" s="177"/>
      <c r="J63" s="177"/>
      <c r="K63" s="177"/>
      <c r="L63" s="1123"/>
      <c r="M63" s="1070" t="str" cm="1">
        <f t="array" aca="1" ref="M63" ca="1">OFFSET(L63,-1,1)</f>
        <v>ТЭ.42.27968109.0001</v>
      </c>
      <c r="N63" s="1070" t="s">
        <v>2023</v>
      </c>
      <c r="O63" s="1123" t="s">
        <v>1796</v>
      </c>
      <c r="P63" s="1123"/>
      <c r="Q63" s="1125"/>
      <c r="R63" s="1125" t="s">
        <v>2031</v>
      </c>
      <c r="S63" s="1123"/>
      <c r="T63" s="679" t="b">
        <f t="shared" ca="1" si="16"/>
        <v>1</v>
      </c>
      <c r="U63" s="1152"/>
      <c r="V63" s="1152"/>
      <c r="W63" s="1152"/>
      <c r="X63" s="1485"/>
      <c r="Y63" s="1152"/>
      <c r="Z63" s="1485"/>
      <c r="AA63" s="177"/>
      <c r="AB63" s="479" t="s">
        <v>2049</v>
      </c>
      <c r="AC63" s="463" t="s">
        <v>2033</v>
      </c>
      <c r="AD63" s="845" t="s">
        <v>1426</v>
      </c>
      <c r="AE63" s="254">
        <f t="shared" ref="AE63:AX63" si="18">SUM(AE64:AE65)</f>
        <v>0</v>
      </c>
      <c r="AF63" s="1260">
        <f t="shared" si="18"/>
        <v>0</v>
      </c>
      <c r="AG63" s="1260">
        <f t="shared" si="18"/>
        <v>0</v>
      </c>
      <c r="AH63" s="1266">
        <f t="shared" si="18"/>
        <v>0</v>
      </c>
      <c r="AI63" s="1266">
        <f t="shared" si="18"/>
        <v>0</v>
      </c>
      <c r="AJ63" s="1266">
        <f t="shared" si="18"/>
        <v>0</v>
      </c>
      <c r="AK63" s="1266">
        <f t="shared" si="18"/>
        <v>0</v>
      </c>
      <c r="AL63" s="1266">
        <f t="shared" si="18"/>
        <v>0</v>
      </c>
      <c r="AM63" s="1266">
        <f t="shared" si="18"/>
        <v>0</v>
      </c>
      <c r="AN63" s="1266">
        <f t="shared" si="18"/>
        <v>0</v>
      </c>
      <c r="AO63" s="254">
        <f t="shared" si="18"/>
        <v>0</v>
      </c>
      <c r="AP63" s="1260">
        <f t="shared" si="18"/>
        <v>0</v>
      </c>
      <c r="AQ63" s="1260">
        <f t="shared" si="18"/>
        <v>0</v>
      </c>
      <c r="AR63" s="1266">
        <f t="shared" si="18"/>
        <v>0</v>
      </c>
      <c r="AS63" s="1266">
        <f t="shared" si="18"/>
        <v>0</v>
      </c>
      <c r="AT63" s="1266">
        <f t="shared" si="18"/>
        <v>0</v>
      </c>
      <c r="AU63" s="1266">
        <f t="shared" si="18"/>
        <v>0</v>
      </c>
      <c r="AV63" s="1266">
        <f t="shared" si="18"/>
        <v>0</v>
      </c>
      <c r="AW63" s="1266">
        <f t="shared" si="18"/>
        <v>0</v>
      </c>
      <c r="AX63" s="1266">
        <f t="shared" si="18"/>
        <v>0</v>
      </c>
      <c r="AY63" s="1231"/>
      <c r="AZ63" s="1231"/>
      <c r="BA63" s="1231"/>
      <c r="BB63" s="177"/>
      <c r="BC63" s="177"/>
      <c r="BD63" s="1021" t="s">
        <v>2050</v>
      </c>
      <c r="BE63" s="1021"/>
      <c r="BF63" s="1021"/>
      <c r="BG63" s="1022"/>
      <c r="BH63" s="1022"/>
      <c r="BI63" s="1054"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M10655::ТЭ.42.27968109.0001::Неопределено::110.0.36.::90.0.0.::Неопределено::Неопределено::22.0.10.::Неопределено</v>
      </c>
    </row>
    <row r="64" spans="1:61" s="1167" customFormat="1" ht="16.5" hidden="1" customHeight="1" x14ac:dyDescent="0.15">
      <c r="A64" s="973"/>
      <c r="B64" s="773"/>
      <c r="C64" s="1084" t="s">
        <v>1719</v>
      </c>
      <c r="D64" s="1103" t="s">
        <v>1720</v>
      </c>
      <c r="E64" s="668">
        <v>17</v>
      </c>
      <c r="F64" s="612" t="str" cm="1">
        <f t="array" aca="1" ref="F64" ca="1">OFFSET(G64,-1,-1)</f>
        <v>1</v>
      </c>
      <c r="G64" s="177"/>
      <c r="H64" s="177"/>
      <c r="I64" s="177"/>
      <c r="J64" s="177"/>
      <c r="K64" s="177"/>
      <c r="L64" s="1070" cm="1">
        <f t="array" ref="L64">AC64</f>
        <v>0</v>
      </c>
      <c r="M64" s="1070" t="str" cm="1">
        <f t="array" aca="1" ref="M64" ca="1">OFFSET(L64,-1,1)</f>
        <v>ТЭ.42.27968109.0001</v>
      </c>
      <c r="N64" s="1070"/>
      <c r="O64" s="1070"/>
      <c r="P64" s="1070"/>
      <c r="Q64" s="1072"/>
      <c r="R64" s="1072" t="s">
        <v>2031</v>
      </c>
      <c r="S64" s="1070"/>
      <c r="T64" s="679" t="b">
        <f t="shared" ca="1" si="16"/>
        <v>0</v>
      </c>
      <c r="U64" s="1152"/>
      <c r="V64" s="1152"/>
      <c r="W64" s="123" t="s">
        <v>237</v>
      </c>
      <c r="X64" s="1485"/>
      <c r="Y64" s="123">
        <v>0</v>
      </c>
      <c r="Z64" s="1485"/>
      <c r="AA64" s="764" t="s">
        <v>218</v>
      </c>
      <c r="AB64" s="479" t="str">
        <f>"1.2.1."&amp;Y64</f>
        <v>1.2.1.0</v>
      </c>
      <c r="AC64" s="95"/>
      <c r="AD64" s="845" t="s">
        <v>1426</v>
      </c>
      <c r="AE64" s="254"/>
      <c r="AF64" s="1260"/>
      <c r="AG64" s="1260"/>
      <c r="AH64" s="50"/>
      <c r="AI64" s="50"/>
      <c r="AJ64" s="50"/>
      <c r="AK64" s="50"/>
      <c r="AL64" s="50"/>
      <c r="AM64" s="50"/>
      <c r="AN64" s="50"/>
      <c r="AO64" s="254"/>
      <c r="AP64" s="1260"/>
      <c r="AQ64" s="1260"/>
      <c r="AR64" s="50"/>
      <c r="AS64" s="50"/>
      <c r="AT64" s="50"/>
      <c r="AU64" s="50"/>
      <c r="AV64" s="50"/>
      <c r="AW64" s="50"/>
      <c r="AX64" s="50"/>
      <c r="AY64" s="25"/>
      <c r="AZ64" s="25"/>
      <c r="BA64" s="25"/>
      <c r="BB64" s="177"/>
      <c r="BC64" s="177"/>
      <c r="BD64" s="1021" t="s">
        <v>2050</v>
      </c>
      <c r="BE64" s="1021" t="s">
        <v>2051</v>
      </c>
      <c r="BF64" s="1021" cm="1">
        <f t="array" ref="BF64">AC64</f>
        <v>0</v>
      </c>
      <c r="BG64" s="1022"/>
      <c r="BH64" s="1022" t="b">
        <v>1</v>
      </c>
      <c r="BI64" s="1054"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M10655::ТЭ.42.27968109.0001::0::Неопределено::Неопределено::Неопределено::Неопределено::22.0.10.::Неопределено</v>
      </c>
    </row>
    <row r="65" spans="1:61" s="1167" customFormat="1" ht="16.5" customHeight="1" x14ac:dyDescent="0.15">
      <c r="A65" s="973"/>
      <c r="B65" s="773"/>
      <c r="C65" s="1089"/>
      <c r="D65" s="1073"/>
      <c r="E65" s="668">
        <v>17</v>
      </c>
      <c r="F65" s="612" t="str" cm="1">
        <f t="array" aca="1" ref="F65" ca="1">OFFSET(G65,-1,-1)</f>
        <v>1</v>
      </c>
      <c r="G65" s="177"/>
      <c r="H65" s="177"/>
      <c r="I65" s="177"/>
      <c r="J65" s="177"/>
      <c r="K65" s="177"/>
      <c r="L65" s="1116"/>
      <c r="M65" s="1070" t="str" cm="1">
        <f t="array" aca="1" ref="M65" ca="1">OFFSET(L65,-1,1)</f>
        <v>ТЭ.42.27968109.0001</v>
      </c>
      <c r="N65" s="1116"/>
      <c r="O65" s="1116"/>
      <c r="P65" s="1116"/>
      <c r="Q65" s="1114"/>
      <c r="R65" s="1114"/>
      <c r="S65" s="1116"/>
      <c r="T65" s="679" t="b">
        <f t="shared" ca="1" si="16"/>
        <v>1</v>
      </c>
      <c r="U65" s="1152"/>
      <c r="V65" s="1152"/>
      <c r="W65" s="848" t="s">
        <v>971</v>
      </c>
      <c r="X65" s="1485"/>
      <c r="Y65" s="1152"/>
      <c r="Z65" s="1485"/>
      <c r="AA65" s="177"/>
      <c r="AB65" s="246"/>
      <c r="AC65" s="608" t="s">
        <v>239</v>
      </c>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177"/>
      <c r="BC65" s="177"/>
      <c r="BD65" s="1021" t="str">
        <f>IF(AND(ISNUMBER(VALUE(TRIM(SUBSTITUTE(AB65,".","")))),TRIM(SUBSTITUTE(AB65,".",""))&lt;&gt;""),"P"&amp;SUBSTITUTE(AB65,".",""),"")</f>
        <v/>
      </c>
      <c r="BE65" s="1021"/>
      <c r="BF65" s="1021"/>
      <c r="BG65" s="1022" t="s">
        <v>2051</v>
      </c>
      <c r="BH65" s="1022"/>
      <c r="BI65" s="1116"/>
    </row>
    <row r="66" spans="1:61" s="1167" customFormat="1" ht="33.75" customHeight="1" x14ac:dyDescent="0.15">
      <c r="A66" s="973"/>
      <c r="B66" s="773"/>
      <c r="C66" s="1084" t="s">
        <v>1719</v>
      </c>
      <c r="D66" s="1103" t="s">
        <v>1720</v>
      </c>
      <c r="E66" s="668">
        <v>35</v>
      </c>
      <c r="F66" s="612" t="str" cm="1">
        <f t="array" aca="1" ref="F66" ca="1">OFFSET(G66,-1,-1)</f>
        <v>1</v>
      </c>
      <c r="G66" s="177"/>
      <c r="H66" s="177"/>
      <c r="I66" s="177"/>
      <c r="J66" s="177"/>
      <c r="K66" s="177"/>
      <c r="L66" s="1070"/>
      <c r="M66" s="1070" t="str" cm="1">
        <f t="array" aca="1" ref="M66" ca="1">OFFSET(L66,-1,1)</f>
        <v>ТЭ.42.27968109.0001</v>
      </c>
      <c r="N66" s="1070"/>
      <c r="O66" s="1070"/>
      <c r="P66" s="1070"/>
      <c r="Q66" s="1072" t="s">
        <v>2035</v>
      </c>
      <c r="R66" s="1072"/>
      <c r="S66" s="1070"/>
      <c r="T66" s="679" t="b">
        <f t="shared" ca="1" si="16"/>
        <v>1</v>
      </c>
      <c r="U66" s="1152"/>
      <c r="V66" s="1152"/>
      <c r="W66" s="1152"/>
      <c r="X66" s="1485"/>
      <c r="Y66" s="1152"/>
      <c r="Z66" s="1485"/>
      <c r="AA66" s="177"/>
      <c r="AB66" s="479" t="s">
        <v>2052</v>
      </c>
      <c r="AC66" s="463" t="s">
        <v>2037</v>
      </c>
      <c r="AD66" s="845" t="s">
        <v>1426</v>
      </c>
      <c r="AE66" s="254">
        <f t="shared" ref="AE66:AX66" si="19">SUM(AE67:AE68)</f>
        <v>0</v>
      </c>
      <c r="AF66" s="1260">
        <f t="shared" si="19"/>
        <v>0</v>
      </c>
      <c r="AG66" s="1260">
        <f t="shared" si="19"/>
        <v>0</v>
      </c>
      <c r="AH66" s="1266">
        <f t="shared" si="19"/>
        <v>0</v>
      </c>
      <c r="AI66" s="1266">
        <f t="shared" si="19"/>
        <v>0</v>
      </c>
      <c r="AJ66" s="1266">
        <f t="shared" si="19"/>
        <v>0</v>
      </c>
      <c r="AK66" s="1266">
        <f t="shared" si="19"/>
        <v>0</v>
      </c>
      <c r="AL66" s="1266">
        <f t="shared" si="19"/>
        <v>0</v>
      </c>
      <c r="AM66" s="1266">
        <f t="shared" si="19"/>
        <v>0</v>
      </c>
      <c r="AN66" s="1266">
        <f t="shared" si="19"/>
        <v>0</v>
      </c>
      <c r="AO66" s="254">
        <f t="shared" si="19"/>
        <v>0</v>
      </c>
      <c r="AP66" s="1260">
        <f t="shared" si="19"/>
        <v>0</v>
      </c>
      <c r="AQ66" s="1260">
        <f t="shared" si="19"/>
        <v>0</v>
      </c>
      <c r="AR66" s="1266">
        <f t="shared" si="19"/>
        <v>0</v>
      </c>
      <c r="AS66" s="1266">
        <f t="shared" si="19"/>
        <v>0</v>
      </c>
      <c r="AT66" s="1266">
        <f t="shared" si="19"/>
        <v>0</v>
      </c>
      <c r="AU66" s="1266">
        <f t="shared" si="19"/>
        <v>0</v>
      </c>
      <c r="AV66" s="1266">
        <f t="shared" si="19"/>
        <v>0</v>
      </c>
      <c r="AW66" s="1266">
        <f t="shared" si="19"/>
        <v>0</v>
      </c>
      <c r="AX66" s="1266">
        <f t="shared" si="19"/>
        <v>0</v>
      </c>
      <c r="AY66" s="1231"/>
      <c r="AZ66" s="1231"/>
      <c r="BA66" s="1231"/>
      <c r="BB66" s="177"/>
      <c r="BC66" s="177"/>
      <c r="BD66" s="1021" t="s">
        <v>2053</v>
      </c>
      <c r="BE66" s="1021"/>
      <c r="BF66" s="1021"/>
      <c r="BG66" s="1022"/>
      <c r="BH66" s="1022"/>
      <c r="BI66" s="1054"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M10655::ТЭ.42.27968109.0001::Неопределено::Неопределено::Неопределено::Неопределено::147.0.5.::Неопределено::Неопределено</v>
      </c>
    </row>
    <row r="67" spans="1:61" s="1167" customFormat="1" ht="16.5" hidden="1" customHeight="1" x14ac:dyDescent="0.15">
      <c r="A67" s="973"/>
      <c r="B67" s="773"/>
      <c r="C67" s="1084" t="s">
        <v>1719</v>
      </c>
      <c r="D67" s="1103" t="s">
        <v>1720</v>
      </c>
      <c r="E67" s="668">
        <v>17</v>
      </c>
      <c r="F67" s="612" t="str" cm="1">
        <f t="array" aca="1" ref="F67" ca="1">OFFSET(G67,-1,-1)</f>
        <v>1</v>
      </c>
      <c r="G67" s="177"/>
      <c r="H67" s="177"/>
      <c r="I67" s="177"/>
      <c r="J67" s="177"/>
      <c r="K67" s="177"/>
      <c r="L67" s="1070" cm="1">
        <f t="array" ref="L67">AC67</f>
        <v>0</v>
      </c>
      <c r="M67" s="1070" t="str" cm="1">
        <f t="array" aca="1" ref="M67" ca="1">OFFSET(L67,-1,1)</f>
        <v>ТЭ.42.27968109.0001</v>
      </c>
      <c r="N67" s="1070"/>
      <c r="O67" s="1070"/>
      <c r="P67" s="1070"/>
      <c r="Q67" s="1072" t="s">
        <v>2035</v>
      </c>
      <c r="R67" s="1072"/>
      <c r="S67" s="1070"/>
      <c r="T67" s="679" t="b">
        <f t="shared" ca="1" si="16"/>
        <v>0</v>
      </c>
      <c r="U67" s="1152"/>
      <c r="V67" s="1152"/>
      <c r="W67" s="123" t="s">
        <v>237</v>
      </c>
      <c r="X67" s="1485"/>
      <c r="Y67" s="123">
        <v>0</v>
      </c>
      <c r="Z67" s="1485"/>
      <c r="AA67" s="764" t="s">
        <v>218</v>
      </c>
      <c r="AB67" s="479" t="str">
        <f>"1.2.2."&amp;Y67</f>
        <v>1.2.2.0</v>
      </c>
      <c r="AC67" s="95"/>
      <c r="AD67" s="845" t="s">
        <v>1426</v>
      </c>
      <c r="AE67" s="254"/>
      <c r="AF67" s="1260"/>
      <c r="AG67" s="1260"/>
      <c r="AH67" s="50"/>
      <c r="AI67" s="50"/>
      <c r="AJ67" s="50"/>
      <c r="AK67" s="50"/>
      <c r="AL67" s="50"/>
      <c r="AM67" s="50"/>
      <c r="AN67" s="50"/>
      <c r="AO67" s="254"/>
      <c r="AP67" s="1260"/>
      <c r="AQ67" s="1260"/>
      <c r="AR67" s="50"/>
      <c r="AS67" s="50"/>
      <c r="AT67" s="50"/>
      <c r="AU67" s="50"/>
      <c r="AV67" s="50"/>
      <c r="AW67" s="50"/>
      <c r="AX67" s="50"/>
      <c r="AY67" s="25"/>
      <c r="AZ67" s="25"/>
      <c r="BA67" s="25"/>
      <c r="BB67" s="177"/>
      <c r="BC67" s="177"/>
      <c r="BD67" s="1021" t="s">
        <v>2053</v>
      </c>
      <c r="BE67" s="1021" t="s">
        <v>2054</v>
      </c>
      <c r="BF67" s="1021" cm="1">
        <f t="array" ref="BF67">AC67</f>
        <v>0</v>
      </c>
      <c r="BG67" s="1022"/>
      <c r="BH67" s="1022" t="b">
        <v>1</v>
      </c>
      <c r="BI67" s="1054"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M10655::ТЭ.42.27968109.0001::0::Неопределено::Неопределено::Неопределено::147.0.5.::Неопределено::Неопределено</v>
      </c>
    </row>
    <row r="68" spans="1:61" s="1167" customFormat="1" ht="16.5" customHeight="1" x14ac:dyDescent="0.15">
      <c r="A68" s="973"/>
      <c r="B68" s="773"/>
      <c r="C68" s="1089"/>
      <c r="D68" s="1073"/>
      <c r="E68" s="668">
        <v>17</v>
      </c>
      <c r="F68" s="612" t="str" cm="1">
        <f t="array" aca="1" ref="F68" ca="1">OFFSET(G68,-1,-1)</f>
        <v>1</v>
      </c>
      <c r="G68" s="177"/>
      <c r="H68" s="177"/>
      <c r="I68" s="177"/>
      <c r="J68" s="177"/>
      <c r="K68" s="177"/>
      <c r="L68" s="1116"/>
      <c r="M68" s="1070" t="str" cm="1">
        <f t="array" aca="1" ref="M68" ca="1">OFFSET(L68,-1,1)</f>
        <v>ТЭ.42.27968109.0001</v>
      </c>
      <c r="N68" s="1116"/>
      <c r="O68" s="1116"/>
      <c r="P68" s="1116"/>
      <c r="Q68" s="1114"/>
      <c r="R68" s="1114"/>
      <c r="S68" s="1116"/>
      <c r="T68" s="679" t="b">
        <f t="shared" ca="1" si="16"/>
        <v>1</v>
      </c>
      <c r="U68" s="1152"/>
      <c r="V68" s="1152"/>
      <c r="W68" s="848" t="s">
        <v>982</v>
      </c>
      <c r="X68" s="1485"/>
      <c r="Y68" s="1152"/>
      <c r="Z68" s="1485"/>
      <c r="AA68" s="177"/>
      <c r="AB68" s="246"/>
      <c r="AC68" s="608" t="s">
        <v>239</v>
      </c>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177"/>
      <c r="BC68" s="177"/>
      <c r="BD68" s="1021" t="str">
        <f>IF(AND(ISNUMBER(VALUE(TRIM(SUBSTITUTE(AB68,".","")))),TRIM(SUBSTITUTE(AB68,".",""))&lt;&gt;""),"P"&amp;SUBSTITUTE(AB68,".",""),"")</f>
        <v/>
      </c>
      <c r="BE68" s="1021"/>
      <c r="BF68" s="1021"/>
      <c r="BG68" s="1022" t="s">
        <v>2054</v>
      </c>
      <c r="BH68" s="1022"/>
      <c r="BI68" s="1116"/>
    </row>
    <row r="69" spans="1:61" s="1167" customFormat="1" ht="16.5" customHeight="1" x14ac:dyDescent="0.15">
      <c r="A69" s="973"/>
      <c r="B69" s="773"/>
      <c r="C69" s="1084" t="s">
        <v>1719</v>
      </c>
      <c r="D69" s="1103" t="s">
        <v>1720</v>
      </c>
      <c r="E69" s="668">
        <v>17</v>
      </c>
      <c r="F69" s="612" t="str" cm="1">
        <f t="array" aca="1" ref="F69" ca="1">OFFSET(G69,-1,-1)</f>
        <v>1</v>
      </c>
      <c r="G69" s="177"/>
      <c r="H69" s="177"/>
      <c r="I69" s="177"/>
      <c r="J69" s="177"/>
      <c r="K69" s="177"/>
      <c r="L69" s="1070"/>
      <c r="M69" s="1070" t="str" cm="1">
        <f t="array" aca="1" ref="M69" ca="1">OFFSET(L69,-1,1)</f>
        <v>ТЭ.42.27968109.0001</v>
      </c>
      <c r="N69" s="1070"/>
      <c r="O69" s="1070"/>
      <c r="P69" s="1070"/>
      <c r="Q69" s="1072" t="s">
        <v>2039</v>
      </c>
      <c r="R69" s="1072"/>
      <c r="S69" s="1070"/>
      <c r="T69" s="679" t="b">
        <f t="shared" ca="1" si="16"/>
        <v>1</v>
      </c>
      <c r="U69" s="1152"/>
      <c r="V69" s="1152"/>
      <c r="W69" s="1152"/>
      <c r="X69" s="1485"/>
      <c r="Y69" s="1152"/>
      <c r="Z69" s="1485"/>
      <c r="AA69" s="177"/>
      <c r="AB69" s="914" t="s">
        <v>2055</v>
      </c>
      <c r="AC69" s="463" t="s">
        <v>2041</v>
      </c>
      <c r="AD69" s="845" t="s">
        <v>1426</v>
      </c>
      <c r="AE69" s="254">
        <f t="shared" ref="AE69:AX69" si="20">SUM(AE70:AE71)</f>
        <v>0</v>
      </c>
      <c r="AF69" s="1260">
        <f t="shared" si="20"/>
        <v>0</v>
      </c>
      <c r="AG69" s="1260">
        <f t="shared" si="20"/>
        <v>0</v>
      </c>
      <c r="AH69" s="1266">
        <f t="shared" si="20"/>
        <v>0</v>
      </c>
      <c r="AI69" s="1266">
        <f t="shared" si="20"/>
        <v>0</v>
      </c>
      <c r="AJ69" s="1266">
        <f t="shared" si="20"/>
        <v>0</v>
      </c>
      <c r="AK69" s="1266">
        <f t="shared" si="20"/>
        <v>0</v>
      </c>
      <c r="AL69" s="1266">
        <f t="shared" si="20"/>
        <v>0</v>
      </c>
      <c r="AM69" s="1266">
        <f t="shared" si="20"/>
        <v>0</v>
      </c>
      <c r="AN69" s="1266">
        <f t="shared" si="20"/>
        <v>0</v>
      </c>
      <c r="AO69" s="254">
        <f t="shared" si="20"/>
        <v>0</v>
      </c>
      <c r="AP69" s="1260">
        <f t="shared" si="20"/>
        <v>0</v>
      </c>
      <c r="AQ69" s="1260">
        <f t="shared" si="20"/>
        <v>0</v>
      </c>
      <c r="AR69" s="1266">
        <f t="shared" si="20"/>
        <v>0</v>
      </c>
      <c r="AS69" s="1266">
        <f t="shared" si="20"/>
        <v>0</v>
      </c>
      <c r="AT69" s="1266">
        <f t="shared" si="20"/>
        <v>0</v>
      </c>
      <c r="AU69" s="1266">
        <f t="shared" si="20"/>
        <v>0</v>
      </c>
      <c r="AV69" s="1266">
        <f t="shared" si="20"/>
        <v>0</v>
      </c>
      <c r="AW69" s="1266">
        <f t="shared" si="20"/>
        <v>0</v>
      </c>
      <c r="AX69" s="1266">
        <f t="shared" si="20"/>
        <v>0</v>
      </c>
      <c r="AY69" s="1231"/>
      <c r="AZ69" s="1231"/>
      <c r="BA69" s="1231"/>
      <c r="BB69" s="177"/>
      <c r="BC69" s="177"/>
      <c r="BD69" s="1021" t="s">
        <v>2056</v>
      </c>
      <c r="BE69" s="1021"/>
      <c r="BF69" s="1021"/>
      <c r="BG69" s="1022"/>
      <c r="BH69" s="1022"/>
      <c r="BI69" s="1054"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M10655::ТЭ.42.27968109.0001::Неопределено::Неопределено::Неопределено::Неопределено::147.0.1.::Неопределено::Неопределено</v>
      </c>
    </row>
    <row r="70" spans="1:61" s="1167" customFormat="1" ht="16.5" hidden="1" customHeight="1" x14ac:dyDescent="0.15">
      <c r="A70" s="973"/>
      <c r="B70" s="773"/>
      <c r="C70" s="1084" t="s">
        <v>1719</v>
      </c>
      <c r="D70" s="1103" t="s">
        <v>1720</v>
      </c>
      <c r="E70" s="668">
        <v>17</v>
      </c>
      <c r="F70" s="612" t="str" cm="1">
        <f t="array" aca="1" ref="F70" ca="1">OFFSET(G70,-1,-1)</f>
        <v>1</v>
      </c>
      <c r="G70" s="177"/>
      <c r="H70" s="177"/>
      <c r="I70" s="177"/>
      <c r="J70" s="177"/>
      <c r="K70" s="177"/>
      <c r="L70" s="1070" cm="1">
        <f t="array" ref="L70">AC70</f>
        <v>0</v>
      </c>
      <c r="M70" s="1070" t="str" cm="1">
        <f t="array" aca="1" ref="M70" ca="1">OFFSET(L70,-1,1)</f>
        <v>ТЭ.42.27968109.0001</v>
      </c>
      <c r="N70" s="1070"/>
      <c r="O70" s="1070"/>
      <c r="P70" s="1070"/>
      <c r="Q70" s="1072" t="s">
        <v>2039</v>
      </c>
      <c r="R70" s="1072"/>
      <c r="S70" s="1070"/>
      <c r="T70" s="679" t="b">
        <f t="shared" ca="1" si="16"/>
        <v>0</v>
      </c>
      <c r="U70" s="1152"/>
      <c r="V70" s="1152"/>
      <c r="W70" s="123" t="s">
        <v>237</v>
      </c>
      <c r="X70" s="1485"/>
      <c r="Y70" s="123">
        <v>0</v>
      </c>
      <c r="Z70" s="1485"/>
      <c r="AA70" s="764" t="s">
        <v>218</v>
      </c>
      <c r="AB70" s="479" t="str">
        <f>"1.2.3."&amp;Y70</f>
        <v>1.2.3.0</v>
      </c>
      <c r="AC70" s="95"/>
      <c r="AD70" s="845" t="s">
        <v>1426</v>
      </c>
      <c r="AE70" s="254"/>
      <c r="AF70" s="1260"/>
      <c r="AG70" s="1260"/>
      <c r="AH70" s="50"/>
      <c r="AI70" s="50"/>
      <c r="AJ70" s="50"/>
      <c r="AK70" s="50"/>
      <c r="AL70" s="50"/>
      <c r="AM70" s="50"/>
      <c r="AN70" s="50"/>
      <c r="AO70" s="254"/>
      <c r="AP70" s="1260"/>
      <c r="AQ70" s="1260"/>
      <c r="AR70" s="50"/>
      <c r="AS70" s="50"/>
      <c r="AT70" s="50"/>
      <c r="AU70" s="50"/>
      <c r="AV70" s="50"/>
      <c r="AW70" s="50"/>
      <c r="AX70" s="50"/>
      <c r="AY70" s="25"/>
      <c r="AZ70" s="25"/>
      <c r="BA70" s="25"/>
      <c r="BB70" s="177"/>
      <c r="BC70" s="177"/>
      <c r="BD70" s="1021" t="s">
        <v>2056</v>
      </c>
      <c r="BE70" s="1021" t="s">
        <v>2057</v>
      </c>
      <c r="BF70" s="1021" cm="1">
        <f t="array" ref="BF70">AC70</f>
        <v>0</v>
      </c>
      <c r="BG70" s="1022"/>
      <c r="BH70" s="1022" t="b">
        <v>1</v>
      </c>
      <c r="BI70" s="1054"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M10655::ТЭ.42.27968109.0001::0::Неопределено::Неопределено::Неопределено::147.0.1.::Неопределено::Неопределено</v>
      </c>
    </row>
    <row r="71" spans="1:61" s="1167" customFormat="1" ht="16.5" customHeight="1" x14ac:dyDescent="0.15">
      <c r="A71" s="973"/>
      <c r="B71" s="773"/>
      <c r="C71" s="1089"/>
      <c r="D71" s="1073"/>
      <c r="E71" s="668">
        <v>17</v>
      </c>
      <c r="F71" s="612" t="str" cm="1">
        <f t="array" aca="1" ref="F71" ca="1">OFFSET(G71,-1,-1)</f>
        <v>1</v>
      </c>
      <c r="G71" s="177"/>
      <c r="H71" s="177"/>
      <c r="I71" s="177"/>
      <c r="J71" s="177"/>
      <c r="K71" s="177"/>
      <c r="L71" s="1116"/>
      <c r="M71" s="1070" t="str" cm="1">
        <f t="array" aca="1" ref="M71" ca="1">OFFSET(L71,-1,1)</f>
        <v>ТЭ.42.27968109.0001</v>
      </c>
      <c r="N71" s="1116"/>
      <c r="O71" s="1116"/>
      <c r="P71" s="1116"/>
      <c r="Q71" s="1114"/>
      <c r="R71" s="1114"/>
      <c r="S71" s="1116"/>
      <c r="T71" s="679" t="b">
        <f t="shared" ca="1" si="16"/>
        <v>1</v>
      </c>
      <c r="U71" s="1152"/>
      <c r="V71" s="1152"/>
      <c r="W71" s="848" t="s">
        <v>1224</v>
      </c>
      <c r="X71" s="1485"/>
      <c r="Y71" s="1152"/>
      <c r="Z71" s="1485"/>
      <c r="AA71" s="177"/>
      <c r="AB71" s="246"/>
      <c r="AC71" s="608" t="s">
        <v>239</v>
      </c>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177"/>
      <c r="BC71" s="177"/>
      <c r="BD71" s="1021" t="str">
        <f>IF(AND(ISNUMBER(VALUE(TRIM(SUBSTITUTE(AB71,".","")))),TRIM(SUBSTITUTE(AB71,".",""))&lt;&gt;""),"P"&amp;SUBSTITUTE(AB71,".",""),"")</f>
        <v/>
      </c>
      <c r="BE71" s="1021"/>
      <c r="BF71" s="1021"/>
      <c r="BG71" s="1022" t="s">
        <v>2057</v>
      </c>
      <c r="BH71" s="1022"/>
      <c r="BI71" s="1116"/>
    </row>
    <row r="72" spans="1:61" s="1167" customFormat="1" ht="16.5" customHeight="1" x14ac:dyDescent="0.15">
      <c r="A72" s="973"/>
      <c r="B72" s="773"/>
      <c r="C72" s="1084" t="s">
        <v>1719</v>
      </c>
      <c r="D72" s="1103" t="s">
        <v>1720</v>
      </c>
      <c r="E72" s="668">
        <v>17</v>
      </c>
      <c r="F72" s="612" t="str" cm="1">
        <f t="array" aca="1" ref="F72" ca="1">OFFSET(G72,-1,-1)</f>
        <v>1</v>
      </c>
      <c r="G72" s="177"/>
      <c r="H72" s="177"/>
      <c r="I72" s="177"/>
      <c r="J72" s="177"/>
      <c r="K72" s="177"/>
      <c r="L72" s="1070"/>
      <c r="M72" s="1070" t="str" cm="1">
        <f t="array" aca="1" ref="M72" ca="1">OFFSET(L72,-1,1)</f>
        <v>ТЭ.42.27968109.0001</v>
      </c>
      <c r="N72" s="1070" t="s">
        <v>2058</v>
      </c>
      <c r="O72" s="1070"/>
      <c r="P72" s="1070"/>
      <c r="Q72" s="1072"/>
      <c r="R72" s="1072"/>
      <c r="S72" s="1070"/>
      <c r="T72" s="679" t="b">
        <f t="shared" ca="1" si="16"/>
        <v>1</v>
      </c>
      <c r="U72" s="1152"/>
      <c r="V72" s="1152"/>
      <c r="W72" s="1152"/>
      <c r="X72" s="1485"/>
      <c r="Y72" s="1152"/>
      <c r="Z72" s="1485"/>
      <c r="AA72" s="177"/>
      <c r="AB72" s="914" t="s">
        <v>957</v>
      </c>
      <c r="AC72" s="112" t="s">
        <v>2059</v>
      </c>
      <c r="AD72" s="845" t="s">
        <v>1426</v>
      </c>
      <c r="AE72" s="254"/>
      <c r="AF72" s="1260"/>
      <c r="AG72" s="1260"/>
      <c r="AH72" s="1266"/>
      <c r="AI72" s="1266"/>
      <c r="AJ72" s="1266"/>
      <c r="AK72" s="1266"/>
      <c r="AL72" s="1266"/>
      <c r="AM72" s="1266"/>
      <c r="AN72" s="1266"/>
      <c r="AO72" s="254"/>
      <c r="AP72" s="1260"/>
      <c r="AQ72" s="1260"/>
      <c r="AR72" s="1266"/>
      <c r="AS72" s="1266"/>
      <c r="AT72" s="1266"/>
      <c r="AU72" s="1266"/>
      <c r="AV72" s="1266"/>
      <c r="AW72" s="1266"/>
      <c r="AX72" s="1266"/>
      <c r="AY72" s="1231"/>
      <c r="AZ72" s="1231"/>
      <c r="BA72" s="1231"/>
      <c r="BB72" s="177"/>
      <c r="BC72" s="177"/>
      <c r="BD72" s="1021" t="s">
        <v>1414</v>
      </c>
      <c r="BE72" s="1021"/>
      <c r="BF72" s="1021"/>
      <c r="BG72" s="1022"/>
      <c r="BH72" s="1022"/>
      <c r="BI72" s="1054"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M10655::ТЭ.42.27968109.0001::Неопределено::110.0.3.::Неопределено::Неопределено::Неопределено::Неопределено::Неопределено</v>
      </c>
    </row>
    <row r="73" spans="1:61" s="1167" customFormat="1" ht="16.5" customHeight="1" x14ac:dyDescent="0.15">
      <c r="A73" s="973"/>
      <c r="B73" s="773"/>
      <c r="C73" s="1090"/>
      <c r="D73" s="1104"/>
      <c r="E73" s="668">
        <v>17</v>
      </c>
      <c r="F73" s="612" t="str" cm="1">
        <f t="array" aca="1" ref="F73" ca="1">OFFSET(G73,-1,-1)</f>
        <v>1</v>
      </c>
      <c r="G73" s="177"/>
      <c r="H73" s="177"/>
      <c r="I73" s="177"/>
      <c r="J73" s="177"/>
      <c r="K73" s="177"/>
      <c r="L73" s="1124"/>
      <c r="M73" s="1070" t="str" cm="1">
        <f t="array" aca="1" ref="M73" ca="1">OFFSET(L73,-1,1)</f>
        <v>ТЭ.42.27968109.0001</v>
      </c>
      <c r="N73" s="1124"/>
      <c r="O73" s="1124"/>
      <c r="P73" s="1124"/>
      <c r="Q73" s="1126"/>
      <c r="R73" s="1126"/>
      <c r="S73" s="1124"/>
      <c r="T73" s="679" t="b">
        <f t="shared" ca="1" si="16"/>
        <v>1</v>
      </c>
      <c r="U73" s="1152"/>
      <c r="V73" s="1152"/>
      <c r="W73" s="1152"/>
      <c r="X73" s="1485"/>
      <c r="Y73" s="1152"/>
      <c r="Z73" s="1485"/>
      <c r="AA73" s="177"/>
      <c r="AB73" s="479" t="s">
        <v>426</v>
      </c>
      <c r="AC73" s="266" t="s">
        <v>2060</v>
      </c>
      <c r="AD73" s="845"/>
      <c r="AE73" s="845"/>
      <c r="AF73" s="845"/>
      <c r="AG73" s="845"/>
      <c r="AH73" s="845"/>
      <c r="AI73" s="845"/>
      <c r="AJ73" s="845"/>
      <c r="AK73" s="845"/>
      <c r="AL73" s="845"/>
      <c r="AM73" s="845"/>
      <c r="AN73" s="845"/>
      <c r="AO73" s="845"/>
      <c r="AP73" s="845"/>
      <c r="AQ73" s="845"/>
      <c r="AR73" s="845"/>
      <c r="AS73" s="845"/>
      <c r="AT73" s="845"/>
      <c r="AU73" s="845"/>
      <c r="AV73" s="845"/>
      <c r="AW73" s="845"/>
      <c r="AX73" s="845"/>
      <c r="AY73" s="845"/>
      <c r="AZ73" s="845"/>
      <c r="BA73" s="845"/>
      <c r="BB73" s="177"/>
      <c r="BC73" s="177"/>
      <c r="BD73" s="1021"/>
      <c r="BE73" s="1021"/>
      <c r="BF73" s="1021"/>
      <c r="BG73" s="1022"/>
      <c r="BH73" s="1022"/>
      <c r="BI73" s="1116"/>
    </row>
    <row r="74" spans="1:61" s="1167" customFormat="1" ht="16.5" customHeight="1" x14ac:dyDescent="0.15">
      <c r="A74" s="973"/>
      <c r="B74" s="773"/>
      <c r="C74" s="1084" t="s">
        <v>1747</v>
      </c>
      <c r="D74" s="1103" t="s">
        <v>1748</v>
      </c>
      <c r="E74" s="668">
        <v>17</v>
      </c>
      <c r="F74" s="612" t="str" cm="1">
        <f t="array" aca="1" ref="F74" ca="1">OFFSET(G74,-1,-1)</f>
        <v>1</v>
      </c>
      <c r="G74" s="140" t="s">
        <v>1749</v>
      </c>
      <c r="H74" s="177"/>
      <c r="I74" s="177"/>
      <c r="J74" s="177"/>
      <c r="K74" s="177"/>
      <c r="L74" s="1070"/>
      <c r="M74" s="1070" t="str" cm="1">
        <f t="array" aca="1" ref="M74" ca="1">OFFSET(L74,-1,1)</f>
        <v>ТЭ.42.27968109.0001</v>
      </c>
      <c r="N74" s="1070"/>
      <c r="O74" s="1070"/>
      <c r="P74" s="1070"/>
      <c r="Q74" s="1072"/>
      <c r="R74" s="1072"/>
      <c r="S74" s="1072" t="s">
        <v>1750</v>
      </c>
      <c r="T74" s="679" t="b">
        <f t="shared" ca="1" si="16"/>
        <v>1</v>
      </c>
      <c r="U74" s="1152"/>
      <c r="V74" s="1152"/>
      <c r="W74" s="1152"/>
      <c r="X74" s="1485"/>
      <c r="Y74" s="1152"/>
      <c r="Z74" s="1485"/>
      <c r="AA74" s="177"/>
      <c r="AB74" s="121" t="s">
        <v>479</v>
      </c>
      <c r="AC74" s="233" t="s">
        <v>1751</v>
      </c>
      <c r="AD74" s="460" t="s">
        <v>622</v>
      </c>
      <c r="AE74" s="254"/>
      <c r="AF74" s="1260"/>
      <c r="AG74" s="1260"/>
      <c r="AH74" s="1266"/>
      <c r="AI74" s="1266"/>
      <c r="AJ74" s="1266"/>
      <c r="AK74" s="1266"/>
      <c r="AL74" s="1266"/>
      <c r="AM74" s="1266"/>
      <c r="AN74" s="1266"/>
      <c r="AO74" s="254"/>
      <c r="AP74" s="1260"/>
      <c r="AQ74" s="1260"/>
      <c r="AR74" s="1266"/>
      <c r="AS74" s="1266"/>
      <c r="AT74" s="1266"/>
      <c r="AU74" s="1266"/>
      <c r="AV74" s="1266"/>
      <c r="AW74" s="1266"/>
      <c r="AX74" s="1266"/>
      <c r="AY74" s="1231"/>
      <c r="AZ74" s="1231"/>
      <c r="BA74" s="1231"/>
      <c r="BB74" s="177"/>
      <c r="BC74" s="177"/>
      <c r="BD74" s="1021" t="s">
        <v>2061</v>
      </c>
      <c r="BE74" s="1021"/>
      <c r="BF74" s="1021"/>
      <c r="BG74" s="1022"/>
      <c r="BH74" s="1022"/>
      <c r="BI74" s="1054"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M10670::ТЭ.42.27968109.0001::Неопределено::Неопределено::Неопределено::Неопределено::Неопределено::Неопределено::8.0.3.</v>
      </c>
    </row>
    <row r="75" spans="1:61" s="1167" customFormat="1" ht="16.5" customHeight="1" x14ac:dyDescent="0.15">
      <c r="A75" s="973"/>
      <c r="B75" s="773"/>
      <c r="C75" s="1084" t="s">
        <v>1753</v>
      </c>
      <c r="D75" s="1103" t="s">
        <v>1754</v>
      </c>
      <c r="E75" s="668">
        <v>17</v>
      </c>
      <c r="F75" s="612" t="str" cm="1">
        <f t="array" aca="1" ref="F75" ca="1">OFFSET(G75,-1,-1)</f>
        <v>1</v>
      </c>
      <c r="G75" s="612" t="s">
        <v>1755</v>
      </c>
      <c r="H75" s="177"/>
      <c r="I75" s="177"/>
      <c r="J75" s="177"/>
      <c r="K75" s="177"/>
      <c r="L75" s="1070"/>
      <c r="M75" s="1070" t="str" cm="1">
        <f t="array" aca="1" ref="M75" ca="1">OFFSET(L75,-1,1)</f>
        <v>ТЭ.42.27968109.0001</v>
      </c>
      <c r="N75" s="1070"/>
      <c r="O75" s="1070"/>
      <c r="P75" s="1070"/>
      <c r="Q75" s="1072"/>
      <c r="R75" s="1072"/>
      <c r="S75" s="1072" t="s">
        <v>1750</v>
      </c>
      <c r="T75" s="679" t="b">
        <f t="shared" ca="1" si="16"/>
        <v>1</v>
      </c>
      <c r="U75" s="1152"/>
      <c r="V75" s="1152"/>
      <c r="W75" s="1152"/>
      <c r="X75" s="1485"/>
      <c r="Y75" s="1152"/>
      <c r="Z75" s="1485"/>
      <c r="AA75" s="177"/>
      <c r="AB75" s="121" t="s">
        <v>506</v>
      </c>
      <c r="AC75" s="233" t="s">
        <v>1756</v>
      </c>
      <c r="AD75" s="460" t="s">
        <v>920</v>
      </c>
      <c r="AE75" s="254"/>
      <c r="AF75" s="1260"/>
      <c r="AG75" s="1260"/>
      <c r="AH75" s="1266"/>
      <c r="AI75" s="1266"/>
      <c r="AJ75" s="1266"/>
      <c r="AK75" s="1266"/>
      <c r="AL75" s="1266"/>
      <c r="AM75" s="1266"/>
      <c r="AN75" s="1266"/>
      <c r="AO75" s="254"/>
      <c r="AP75" s="1260"/>
      <c r="AQ75" s="1260"/>
      <c r="AR75" s="1266"/>
      <c r="AS75" s="1266"/>
      <c r="AT75" s="1266"/>
      <c r="AU75" s="1266"/>
      <c r="AV75" s="1266"/>
      <c r="AW75" s="1266"/>
      <c r="AX75" s="1266"/>
      <c r="AY75" s="1231"/>
      <c r="AZ75" s="1231"/>
      <c r="BA75" s="1231"/>
      <c r="BB75" s="177"/>
      <c r="BC75" s="177"/>
      <c r="BD75" s="1021" t="s">
        <v>2062</v>
      </c>
      <c r="BE75" s="1021"/>
      <c r="BF75" s="1021"/>
      <c r="BG75" s="1022"/>
      <c r="BH75" s="1022"/>
      <c r="BI75" s="1054"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M10546::ТЭ.42.27968109.0001::Неопределено::Неопределено::Неопределено::Неопределено::Неопределено::Неопределено::8.0.3.</v>
      </c>
    </row>
    <row r="76" spans="1:61" s="1167" customFormat="1" ht="16.5" customHeight="1" x14ac:dyDescent="0.15">
      <c r="A76" s="973"/>
      <c r="B76" s="773"/>
      <c r="C76" s="1084" t="s">
        <v>1747</v>
      </c>
      <c r="D76" s="1103" t="s">
        <v>1748</v>
      </c>
      <c r="E76" s="668">
        <v>17</v>
      </c>
      <c r="F76" s="612" t="str" cm="1">
        <f t="array" aca="1" ref="F76" ca="1">OFFSET(G76,-1,-1)</f>
        <v>1</v>
      </c>
      <c r="G76" s="140" t="s">
        <v>1758</v>
      </c>
      <c r="H76" s="177"/>
      <c r="I76" s="177"/>
      <c r="J76" s="177"/>
      <c r="K76" s="177"/>
      <c r="L76" s="1070"/>
      <c r="M76" s="1070" t="str" cm="1">
        <f t="array" aca="1" ref="M76" ca="1">OFFSET(L76,-1,1)</f>
        <v>ТЭ.42.27968109.0001</v>
      </c>
      <c r="N76" s="1070"/>
      <c r="O76" s="1070"/>
      <c r="P76" s="1070"/>
      <c r="Q76" s="1072"/>
      <c r="R76" s="1072"/>
      <c r="S76" s="1072" t="s">
        <v>1759</v>
      </c>
      <c r="T76" s="679" t="b">
        <f t="shared" ca="1" si="16"/>
        <v>1</v>
      </c>
      <c r="U76" s="1152"/>
      <c r="V76" s="1152"/>
      <c r="W76" s="1152"/>
      <c r="X76" s="1485"/>
      <c r="Y76" s="1152"/>
      <c r="Z76" s="1485"/>
      <c r="AA76" s="177"/>
      <c r="AB76" s="121" t="s">
        <v>510</v>
      </c>
      <c r="AC76" s="233" t="s">
        <v>1760</v>
      </c>
      <c r="AD76" s="255" t="s">
        <v>622</v>
      </c>
      <c r="AE76" s="254"/>
      <c r="AF76" s="1260"/>
      <c r="AG76" s="1260"/>
      <c r="AH76" s="1266"/>
      <c r="AI76" s="1266"/>
      <c r="AJ76" s="1266"/>
      <c r="AK76" s="1266"/>
      <c r="AL76" s="1266"/>
      <c r="AM76" s="1266"/>
      <c r="AN76" s="1266"/>
      <c r="AO76" s="254"/>
      <c r="AP76" s="1260"/>
      <c r="AQ76" s="1260"/>
      <c r="AR76" s="1266"/>
      <c r="AS76" s="1266"/>
      <c r="AT76" s="1266"/>
      <c r="AU76" s="1266"/>
      <c r="AV76" s="1266"/>
      <c r="AW76" s="1266"/>
      <c r="AX76" s="1266"/>
      <c r="AY76" s="1231"/>
      <c r="AZ76" s="1231"/>
      <c r="BA76" s="1231"/>
      <c r="BB76" s="177"/>
      <c r="BC76" s="177"/>
      <c r="BD76" s="1021" t="s">
        <v>2063</v>
      </c>
      <c r="BE76" s="1021"/>
      <c r="BF76" s="1021"/>
      <c r="BG76" s="1022"/>
      <c r="BH76" s="1022"/>
      <c r="BI76" s="1054"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M10670::ТЭ.42.27968109.0001::Неопределено::Неопределено::Неопределено::Неопределено::Неопределено::Неопределено::8.0.5.</v>
      </c>
    </row>
    <row r="77" spans="1:61" s="1346" customFormat="1" ht="16.5" customHeight="1" x14ac:dyDescent="0.15">
      <c r="A77" s="182"/>
      <c r="B77" s="182"/>
      <c r="C77" s="1084" t="s">
        <v>1753</v>
      </c>
      <c r="D77" s="1103" t="s">
        <v>1754</v>
      </c>
      <c r="E77" s="668">
        <v>17</v>
      </c>
      <c r="F77" s="612" t="str" cm="1">
        <f t="array" aca="1" ref="F77" ca="1">OFFSET(G77,-1,-1)</f>
        <v>1</v>
      </c>
      <c r="G77" s="612" t="s">
        <v>1762</v>
      </c>
      <c r="H77" s="182"/>
      <c r="I77" s="182"/>
      <c r="J77" s="182"/>
      <c r="K77" s="182"/>
      <c r="L77" s="1069"/>
      <c r="M77" s="1070" t="str" cm="1">
        <f t="array" aca="1" ref="M77" ca="1">OFFSET(L77,-1,1)</f>
        <v>ТЭ.42.27968109.0001</v>
      </c>
      <c r="N77" s="1069"/>
      <c r="O77" s="1069"/>
      <c r="P77" s="1069"/>
      <c r="Q77" s="1080"/>
      <c r="R77" s="1080"/>
      <c r="S77" s="1072" t="s">
        <v>1759</v>
      </c>
      <c r="T77" s="679" t="b">
        <f t="shared" ca="1" si="16"/>
        <v>1</v>
      </c>
      <c r="U77" s="182"/>
      <c r="V77" s="182"/>
      <c r="W77" s="182"/>
      <c r="X77" s="1586"/>
      <c r="Y77" s="182"/>
      <c r="Z77" s="1586"/>
      <c r="AA77" s="182"/>
      <c r="AB77" s="121" t="s">
        <v>514</v>
      </c>
      <c r="AC77" s="233" t="s">
        <v>1763</v>
      </c>
      <c r="AD77" s="117" t="s">
        <v>920</v>
      </c>
      <c r="AE77" s="254">
        <f t="shared" ref="AE77:AX77" si="21">IFERROR((AE55*1000-AE74*AE75)/AE76,0)</f>
        <v>0</v>
      </c>
      <c r="AF77" s="1260">
        <f t="shared" si="21"/>
        <v>0</v>
      </c>
      <c r="AG77" s="1260">
        <f t="shared" si="21"/>
        <v>0</v>
      </c>
      <c r="AH77" s="1266">
        <f t="shared" si="21"/>
        <v>0</v>
      </c>
      <c r="AI77" s="1266">
        <f t="shared" si="21"/>
        <v>0</v>
      </c>
      <c r="AJ77" s="1266">
        <f t="shared" si="21"/>
        <v>0</v>
      </c>
      <c r="AK77" s="1266">
        <f t="shared" si="21"/>
        <v>0</v>
      </c>
      <c r="AL77" s="1266">
        <f t="shared" si="21"/>
        <v>0</v>
      </c>
      <c r="AM77" s="1266">
        <f t="shared" si="21"/>
        <v>0</v>
      </c>
      <c r="AN77" s="1266">
        <f t="shared" si="21"/>
        <v>0</v>
      </c>
      <c r="AO77" s="254">
        <f t="shared" si="21"/>
        <v>0</v>
      </c>
      <c r="AP77" s="1260">
        <f t="shared" si="21"/>
        <v>0</v>
      </c>
      <c r="AQ77" s="1260">
        <f t="shared" si="21"/>
        <v>0</v>
      </c>
      <c r="AR77" s="1266">
        <f t="shared" si="21"/>
        <v>0</v>
      </c>
      <c r="AS77" s="1266">
        <f t="shared" si="21"/>
        <v>0</v>
      </c>
      <c r="AT77" s="1266">
        <f t="shared" si="21"/>
        <v>0</v>
      </c>
      <c r="AU77" s="1266">
        <f t="shared" si="21"/>
        <v>0</v>
      </c>
      <c r="AV77" s="1266">
        <f t="shared" si="21"/>
        <v>0</v>
      </c>
      <c r="AW77" s="1266">
        <f t="shared" si="21"/>
        <v>0</v>
      </c>
      <c r="AX77" s="1266">
        <f t="shared" si="21"/>
        <v>0</v>
      </c>
      <c r="AY77" s="1231"/>
      <c r="AZ77" s="1231"/>
      <c r="BA77" s="1231"/>
      <c r="BB77" s="182"/>
      <c r="BC77" s="182"/>
      <c r="BD77" s="1021" t="s">
        <v>2064</v>
      </c>
      <c r="BE77" s="1021"/>
      <c r="BF77" s="1029"/>
      <c r="BG77" s="1030"/>
      <c r="BH77" s="1030"/>
      <c r="BI77" s="1054"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M10546::ТЭ.42.27968109.0001::Неопределено::Неопределено::Неопределено::Неопределено::Неопределено::Неопределено::8.0.5.</v>
      </c>
    </row>
    <row r="78" spans="1:61" s="1347" customFormat="1" ht="16.5" customHeight="1" x14ac:dyDescent="0.15">
      <c r="A78" s="182"/>
      <c r="B78" s="182"/>
      <c r="C78" s="1084" t="s">
        <v>1765</v>
      </c>
      <c r="D78" s="1103" t="s">
        <v>1766</v>
      </c>
      <c r="E78" s="668">
        <v>17</v>
      </c>
      <c r="F78" s="612" t="str" cm="1">
        <f t="array" aca="1" ref="F78" ca="1">OFFSET(G78,-1,-1)</f>
        <v>1</v>
      </c>
      <c r="G78" s="182"/>
      <c r="H78" s="182"/>
      <c r="I78" s="182"/>
      <c r="J78" s="182"/>
      <c r="K78" s="182"/>
      <c r="L78" s="1069"/>
      <c r="M78" s="1070" t="str" cm="1">
        <f t="array" aca="1" ref="M78" ca="1">OFFSET(L78,-1,1)</f>
        <v>ТЭ.42.27968109.0001</v>
      </c>
      <c r="N78" s="1069"/>
      <c r="O78" s="1069"/>
      <c r="P78" s="1069"/>
      <c r="Q78" s="1080"/>
      <c r="R78" s="1080"/>
      <c r="S78" s="1069"/>
      <c r="T78" s="679" t="b">
        <f t="shared" ca="1" si="16"/>
        <v>1</v>
      </c>
      <c r="U78" s="182"/>
      <c r="V78" s="182"/>
      <c r="W78" s="182"/>
      <c r="X78" s="1586"/>
      <c r="Y78" s="182"/>
      <c r="Z78" s="1586"/>
      <c r="AA78" s="182"/>
      <c r="AB78" s="121" t="s">
        <v>1585</v>
      </c>
      <c r="AC78" s="112" t="s">
        <v>2065</v>
      </c>
      <c r="AD78" s="460" t="s">
        <v>521</v>
      </c>
      <c r="AE78" s="547">
        <f t="shared" ref="AE78:AX78" si="22">IFERROR(AE77/AE75,0)</f>
        <v>0</v>
      </c>
      <c r="AF78" s="547">
        <f t="shared" si="22"/>
        <v>0</v>
      </c>
      <c r="AG78" s="547">
        <f t="shared" si="22"/>
        <v>0</v>
      </c>
      <c r="AH78" s="547">
        <f t="shared" si="22"/>
        <v>0</v>
      </c>
      <c r="AI78" s="547">
        <f t="shared" si="22"/>
        <v>0</v>
      </c>
      <c r="AJ78" s="547">
        <f t="shared" si="22"/>
        <v>0</v>
      </c>
      <c r="AK78" s="547">
        <f t="shared" si="22"/>
        <v>0</v>
      </c>
      <c r="AL78" s="547">
        <f t="shared" si="22"/>
        <v>0</v>
      </c>
      <c r="AM78" s="547">
        <f t="shared" si="22"/>
        <v>0</v>
      </c>
      <c r="AN78" s="547">
        <f t="shared" si="22"/>
        <v>0</v>
      </c>
      <c r="AO78" s="547">
        <f t="shared" si="22"/>
        <v>0</v>
      </c>
      <c r="AP78" s="547">
        <f t="shared" si="22"/>
        <v>0</v>
      </c>
      <c r="AQ78" s="547">
        <f t="shared" si="22"/>
        <v>0</v>
      </c>
      <c r="AR78" s="547">
        <f t="shared" si="22"/>
        <v>0</v>
      </c>
      <c r="AS78" s="547">
        <f t="shared" si="22"/>
        <v>0</v>
      </c>
      <c r="AT78" s="547">
        <f t="shared" si="22"/>
        <v>0</v>
      </c>
      <c r="AU78" s="547">
        <f t="shared" si="22"/>
        <v>0</v>
      </c>
      <c r="AV78" s="547">
        <f t="shared" si="22"/>
        <v>0</v>
      </c>
      <c r="AW78" s="547">
        <f t="shared" si="22"/>
        <v>0</v>
      </c>
      <c r="AX78" s="547">
        <f t="shared" si="22"/>
        <v>0</v>
      </c>
      <c r="AY78" s="1231"/>
      <c r="AZ78" s="1231"/>
      <c r="BA78" s="1231"/>
      <c r="BB78" s="182"/>
      <c r="BC78" s="182"/>
      <c r="BD78" s="1021" t="s">
        <v>2066</v>
      </c>
      <c r="BE78" s="1021"/>
      <c r="BF78" s="1021"/>
      <c r="BG78" s="1022"/>
      <c r="BH78" s="1022"/>
      <c r="BI78" s="1054"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M11244::ТЭ.42.27968109.0001::Неопределено::Неопределено::Неопределено::Неопределено::Неопределено::Неопределено::Неопределено</v>
      </c>
    </row>
    <row r="79" spans="1:61" s="1167" customFormat="1" ht="16.5" customHeight="1" x14ac:dyDescent="0.15">
      <c r="A79" s="973"/>
      <c r="B79" s="773"/>
      <c r="C79" s="1084" t="s">
        <v>1769</v>
      </c>
      <c r="D79" s="1103" t="s">
        <v>1770</v>
      </c>
      <c r="E79" s="668">
        <v>17</v>
      </c>
      <c r="F79" s="612" t="str" cm="1">
        <f t="array" aca="1" ref="F79" ca="1">OFFSET(G79,-1,-1)</f>
        <v>1</v>
      </c>
      <c r="G79" s="177"/>
      <c r="H79" s="177"/>
      <c r="I79" s="177"/>
      <c r="J79" s="177"/>
      <c r="K79" s="177"/>
      <c r="L79" s="1070"/>
      <c r="M79" s="1070" t="str" cm="1">
        <f t="array" aca="1" ref="M79" ca="1">OFFSET(L79,-1,1)</f>
        <v>ТЭ.42.27968109.0001</v>
      </c>
      <c r="N79" s="1070"/>
      <c r="O79" s="1070"/>
      <c r="P79" s="1070"/>
      <c r="Q79" s="1072"/>
      <c r="R79" s="1072"/>
      <c r="S79" s="1070"/>
      <c r="T79" s="679" t="b">
        <f t="shared" ca="1" si="16"/>
        <v>1</v>
      </c>
      <c r="U79" s="1152"/>
      <c r="V79" s="1152"/>
      <c r="W79" s="1152"/>
      <c r="X79" s="1485"/>
      <c r="Y79" s="1152"/>
      <c r="Z79" s="1485"/>
      <c r="AA79" s="177"/>
      <c r="AB79" s="121" t="s">
        <v>2012</v>
      </c>
      <c r="AC79" s="112" t="s">
        <v>2067</v>
      </c>
      <c r="AD79" s="460" t="s">
        <v>920</v>
      </c>
      <c r="AE79" s="585">
        <f t="shared" ref="AE79:AX79" si="23">IFERROR(AE55*1000/(AE74+AE76),0)</f>
        <v>0</v>
      </c>
      <c r="AF79" s="1345">
        <f t="shared" si="23"/>
        <v>0</v>
      </c>
      <c r="AG79" s="1345">
        <f t="shared" si="23"/>
        <v>0</v>
      </c>
      <c r="AH79" s="1306">
        <f t="shared" si="23"/>
        <v>0</v>
      </c>
      <c r="AI79" s="1306">
        <f t="shared" si="23"/>
        <v>0</v>
      </c>
      <c r="AJ79" s="1306">
        <f t="shared" si="23"/>
        <v>0</v>
      </c>
      <c r="AK79" s="1306">
        <f t="shared" si="23"/>
        <v>0</v>
      </c>
      <c r="AL79" s="1306">
        <f t="shared" si="23"/>
        <v>0</v>
      </c>
      <c r="AM79" s="1306">
        <f t="shared" si="23"/>
        <v>0</v>
      </c>
      <c r="AN79" s="1306">
        <f t="shared" si="23"/>
        <v>0</v>
      </c>
      <c r="AO79" s="585">
        <f t="shared" si="23"/>
        <v>0</v>
      </c>
      <c r="AP79" s="1345">
        <f t="shared" si="23"/>
        <v>0</v>
      </c>
      <c r="AQ79" s="1345">
        <f t="shared" si="23"/>
        <v>0</v>
      </c>
      <c r="AR79" s="1306">
        <f t="shared" si="23"/>
        <v>0</v>
      </c>
      <c r="AS79" s="1306">
        <f t="shared" si="23"/>
        <v>0</v>
      </c>
      <c r="AT79" s="1306">
        <f t="shared" si="23"/>
        <v>0</v>
      </c>
      <c r="AU79" s="1306">
        <f t="shared" si="23"/>
        <v>0</v>
      </c>
      <c r="AV79" s="1306">
        <f t="shared" si="23"/>
        <v>0</v>
      </c>
      <c r="AW79" s="1306">
        <f t="shared" si="23"/>
        <v>0</v>
      </c>
      <c r="AX79" s="1306">
        <f t="shared" si="23"/>
        <v>0</v>
      </c>
      <c r="AY79" s="1231"/>
      <c r="AZ79" s="1231"/>
      <c r="BA79" s="1231"/>
      <c r="BB79" s="177"/>
      <c r="BC79" s="177"/>
      <c r="BD79" s="1021" t="s">
        <v>2068</v>
      </c>
      <c r="BE79" s="1021"/>
      <c r="BF79" s="1021"/>
      <c r="BG79" s="1022"/>
      <c r="BH79" s="1022"/>
      <c r="BI79" s="1054"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M10552::ТЭ.42.27968109.0001::Неопределено::Неопределено::Неопределено::Неопределено::Неопределено::Неопределено::Неопределено</v>
      </c>
    </row>
    <row r="80" spans="1:61" s="1167" customFormat="1" ht="33.75" customHeight="1" x14ac:dyDescent="0.15">
      <c r="A80" s="973"/>
      <c r="B80" s="773"/>
      <c r="C80" s="1084" t="s">
        <v>1813</v>
      </c>
      <c r="D80" s="1103" t="s">
        <v>1814</v>
      </c>
      <c r="E80" s="668">
        <v>35</v>
      </c>
      <c r="F80" s="612" t="str" cm="1">
        <f t="array" aca="1" ref="F80" ca="1">OFFSET(G80,-1,-1)</f>
        <v>1</v>
      </c>
      <c r="G80" s="177"/>
      <c r="H80" s="177"/>
      <c r="I80" s="177"/>
      <c r="J80" s="177"/>
      <c r="K80" s="177"/>
      <c r="L80" s="1070"/>
      <c r="M80" s="1070" t="str" cm="1">
        <f t="array" aca="1" ref="M80" ca="1">OFFSET(L80,-1,1)</f>
        <v>ТЭ.42.27968109.0001</v>
      </c>
      <c r="N80" s="1070"/>
      <c r="O80" s="1070"/>
      <c r="P80" s="1070"/>
      <c r="Q80" s="1072"/>
      <c r="R80" s="1072"/>
      <c r="S80" s="1070"/>
      <c r="T80" s="679" t="b">
        <f t="shared" ca="1" si="16"/>
        <v>1</v>
      </c>
      <c r="U80" s="1152"/>
      <c r="V80" s="1152"/>
      <c r="W80" s="1152"/>
      <c r="X80" s="1485"/>
      <c r="Y80" s="1152"/>
      <c r="Z80" s="1485"/>
      <c r="AA80" s="177"/>
      <c r="AB80" s="121" t="s">
        <v>431</v>
      </c>
      <c r="AC80" s="266" t="s">
        <v>1816</v>
      </c>
      <c r="AD80" s="473" t="s">
        <v>1426</v>
      </c>
      <c r="AE80" s="254"/>
      <c r="AF80" s="1260"/>
      <c r="AG80" s="1260"/>
      <c r="AH80" s="1266"/>
      <c r="AI80" s="1266"/>
      <c r="AJ80" s="1266"/>
      <c r="AK80" s="1266"/>
      <c r="AL80" s="1266"/>
      <c r="AM80" s="1266"/>
      <c r="AN80" s="1266"/>
      <c r="AO80" s="254"/>
      <c r="AP80" s="1260"/>
      <c r="AQ80" s="1260"/>
      <c r="AR80" s="1266"/>
      <c r="AS80" s="1266"/>
      <c r="AT80" s="1266"/>
      <c r="AU80" s="1266"/>
      <c r="AV80" s="1266"/>
      <c r="AW80" s="1266"/>
      <c r="AX80" s="1266"/>
      <c r="AY80" s="1231"/>
      <c r="AZ80" s="1231"/>
      <c r="BA80" s="1231"/>
      <c r="BB80" s="177"/>
      <c r="BC80" s="177"/>
      <c r="BD80" s="1021" t="s">
        <v>1817</v>
      </c>
      <c r="BE80" s="1021"/>
      <c r="BF80" s="1021"/>
      <c r="BG80" s="1022"/>
      <c r="BH80" s="1022"/>
      <c r="BI80" s="1054"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M10591::ТЭ.42.27968109.0001::Неопределено::Неопределено::Неопределено::Неопределено::Неопределено::Неопределено::Неопределено</v>
      </c>
    </row>
    <row r="81" spans="5:53" ht="9.9499999999999993" customHeight="1" x14ac:dyDescent="0.15">
      <c r="E81" s="668">
        <v>10.199999999999999</v>
      </c>
      <c r="U81" s="126" t="s">
        <v>239</v>
      </c>
      <c r="V81" s="119" t="s">
        <v>2069</v>
      </c>
    </row>
    <row r="82" spans="5:53" ht="11.25" hidden="1" customHeight="1" x14ac:dyDescent="0.15">
      <c r="E82" s="668">
        <v>0</v>
      </c>
    </row>
    <row r="83" spans="5:53" ht="14.65" customHeight="1" x14ac:dyDescent="0.15">
      <c r="E83" s="668">
        <v>15</v>
      </c>
      <c r="AB83" s="1558" t="s">
        <v>725</v>
      </c>
      <c r="AC83" s="1558"/>
      <c r="AD83" s="1558"/>
      <c r="AE83" s="1558"/>
      <c r="AF83" s="1558"/>
      <c r="AG83" s="1558"/>
      <c r="AH83" s="1558"/>
      <c r="AI83" s="1558"/>
      <c r="AJ83" s="1558"/>
      <c r="AK83" s="1558"/>
      <c r="AL83" s="1558"/>
      <c r="AM83" s="1558"/>
      <c r="AN83" s="1558"/>
      <c r="AO83" s="1558"/>
      <c r="AP83" s="1558"/>
      <c r="AQ83" s="1558"/>
      <c r="AR83" s="1558"/>
      <c r="AS83" s="1558"/>
      <c r="AT83" s="1558"/>
      <c r="AU83" s="1558"/>
      <c r="AV83" s="1558"/>
      <c r="AW83" s="1558"/>
      <c r="AX83" s="1558"/>
      <c r="AY83" s="1558"/>
      <c r="AZ83" s="1558"/>
      <c r="BA83" s="1558"/>
    </row>
    <row r="84" spans="5:53" ht="14.65" customHeight="1" x14ac:dyDescent="0.15">
      <c r="E84" s="668">
        <v>15</v>
      </c>
      <c r="AA84" s="768"/>
      <c r="AB84" s="1579"/>
      <c r="AC84" s="1576"/>
      <c r="AD84" s="1576"/>
      <c r="AE84" s="1576"/>
      <c r="AF84" s="1576"/>
      <c r="AG84" s="1576"/>
      <c r="AH84" s="1576"/>
      <c r="AI84" s="1576"/>
      <c r="AJ84" s="1576"/>
      <c r="AK84" s="1576"/>
      <c r="AL84" s="1576"/>
      <c r="AM84" s="1576"/>
      <c r="AN84" s="1576"/>
      <c r="AO84" s="1576"/>
      <c r="AP84" s="1576"/>
      <c r="AQ84" s="1576"/>
      <c r="AR84" s="1576"/>
      <c r="AS84" s="1576"/>
      <c r="AT84" s="1576"/>
      <c r="AU84" s="1576"/>
      <c r="AV84" s="1576"/>
      <c r="AW84" s="1576"/>
      <c r="AX84" s="1576"/>
      <c r="AY84" s="1576"/>
      <c r="AZ84" s="1576"/>
      <c r="BA84" s="1576"/>
    </row>
    <row r="85" spans="5:53" ht="14.65" hidden="1" customHeight="1" x14ac:dyDescent="0.15">
      <c r="E85" s="668">
        <v>15</v>
      </c>
      <c r="T85" s="679" t="b">
        <f>ROW(W85)&gt;ROW(W$85)</f>
        <v>0</v>
      </c>
      <c r="W85" s="123" t="s">
        <v>237</v>
      </c>
      <c r="AA85" s="764" t="s">
        <v>218</v>
      </c>
      <c r="AB85" s="1575"/>
      <c r="AC85" s="1576"/>
      <c r="AD85" s="1576"/>
      <c r="AE85" s="1576"/>
      <c r="AF85" s="1576"/>
      <c r="AG85" s="1576"/>
      <c r="AH85" s="1576"/>
      <c r="AI85" s="1576"/>
      <c r="AJ85" s="1576"/>
      <c r="AK85" s="1576"/>
      <c r="AL85" s="1576"/>
      <c r="AM85" s="1576"/>
      <c r="AN85" s="1576"/>
      <c r="AO85" s="1576"/>
      <c r="AP85" s="1576"/>
      <c r="AQ85" s="1576"/>
      <c r="AR85" s="1576"/>
      <c r="AS85" s="1576"/>
      <c r="AT85" s="1576"/>
      <c r="AU85" s="1576"/>
      <c r="AV85" s="1576"/>
      <c r="AW85" s="1576"/>
      <c r="AX85" s="1576"/>
      <c r="AY85" s="1576"/>
      <c r="AZ85" s="1576"/>
      <c r="BA85" s="1576"/>
    </row>
    <row r="86" spans="5:53" ht="14.65" customHeight="1" x14ac:dyDescent="0.15">
      <c r="E86" s="668">
        <v>15</v>
      </c>
      <c r="W86" s="119" t="s">
        <v>1227</v>
      </c>
      <c r="AA86" s="160"/>
      <c r="AB86" s="1500" t="s">
        <v>726</v>
      </c>
      <c r="AC86" s="1501"/>
      <c r="AD86" s="317"/>
      <c r="AE86" s="317"/>
      <c r="AF86" s="317"/>
      <c r="AG86" s="317"/>
      <c r="AH86" s="317"/>
      <c r="AI86" s="317"/>
      <c r="AJ86" s="317"/>
      <c r="AK86" s="317"/>
      <c r="AL86" s="317"/>
      <c r="AM86" s="317"/>
      <c r="AN86" s="317"/>
      <c r="AO86" s="317"/>
      <c r="AP86" s="317"/>
      <c r="AQ86" s="317"/>
      <c r="AR86" s="317"/>
      <c r="AS86" s="317"/>
      <c r="AT86" s="317"/>
      <c r="AU86" s="317"/>
      <c r="AV86" s="317"/>
      <c r="AW86" s="317"/>
      <c r="AX86" s="317"/>
      <c r="AY86" s="317"/>
      <c r="AZ86" s="317"/>
      <c r="BA86" s="290"/>
    </row>
  </sheetData>
  <sheetProtection formatColumns="0" formatRows="0" insertRows="0" deleteColumns="0" deleteRows="0" sort="0" autoFilter="0"/>
  <mergeCells count="14">
    <mergeCell ref="X27:X53"/>
    <mergeCell ref="Z27:Z53"/>
    <mergeCell ref="AB83:BA83"/>
    <mergeCell ref="AB84:BA84"/>
    <mergeCell ref="AB85:BA85"/>
    <mergeCell ref="X54:X80"/>
    <mergeCell ref="Z54:Z80"/>
    <mergeCell ref="AZ24:AZ25"/>
    <mergeCell ref="BA24:BA25"/>
    <mergeCell ref="AB86:AC86"/>
    <mergeCell ref="AB24:AB25"/>
    <mergeCell ref="AC24:AC25"/>
    <mergeCell ref="AD24:AD25"/>
    <mergeCell ref="AY24:AY25"/>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E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440CD-B39F-9AE5-EB13-1B82F1F95788}">
  <sheetPr>
    <tabColor rgb="FF002060"/>
    <outlinePr summaryBelow="0"/>
  </sheetPr>
  <dimension ref="A1:BF75"/>
  <sheetViews>
    <sheetView showGridLines="0" workbookViewId="0">
      <pane xSplit="30" ySplit="28" topLeftCell="AE49" activePane="bottomRight" state="frozen"/>
      <selection pane="topRight" activeCell="AE1" sqref="AE1"/>
      <selection pane="bottomLeft" activeCell="A29" sqref="A29"/>
      <selection pane="bottomRight" activeCell="AE56" sqref="AE56"/>
    </sheetView>
  </sheetViews>
  <sheetFormatPr defaultColWidth="8.85546875" defaultRowHeight="11.25" customHeight="1" x14ac:dyDescent="0.15"/>
  <cols>
    <col min="1" max="1" width="3.5703125" style="1152" hidden="1" customWidth="1"/>
    <col min="2" max="2" width="8.5703125" style="773" hidden="1" customWidth="1"/>
    <col min="3" max="4" width="3.5703125" style="1152" hidden="1" customWidth="1"/>
    <col min="5" max="5" width="8.42578125" style="772" hidden="1" customWidth="1"/>
    <col min="6" max="6" width="6.28515625" style="1152" hidden="1" customWidth="1"/>
    <col min="7" max="7" width="8.140625" style="417" hidden="1" customWidth="1"/>
    <col min="8" max="19" width="3.5703125" style="417" hidden="1" customWidth="1"/>
    <col min="20" max="20" width="8.2851562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167" customWidth="1"/>
    <col min="28" max="28" width="7.42578125" style="167" customWidth="1"/>
    <col min="29" max="29" width="54.140625" style="167" customWidth="1"/>
    <col min="30" max="30" width="11.28515625" style="167" customWidth="1"/>
    <col min="31" max="31" width="23" style="167" customWidth="1"/>
    <col min="32" max="32" width="12.5703125" style="167" customWidth="1"/>
    <col min="33" max="33" width="23.7109375" style="167" customWidth="1"/>
    <col min="34" max="35" width="12.5703125" style="167" customWidth="1"/>
    <col min="36" max="44" width="12.5703125" style="167" hidden="1" customWidth="1"/>
    <col min="45" max="45" width="12.5703125" style="167" customWidth="1"/>
    <col min="46" max="54" width="12.5703125" style="167" hidden="1" customWidth="1"/>
    <col min="55" max="55" width="20.5703125" style="167" customWidth="1"/>
    <col min="56" max="56" width="3" style="167" customWidth="1"/>
    <col min="57" max="57" width="8.85546875" style="167" hidden="1"/>
    <col min="58" max="58" width="8.85546875" style="1005" hidden="1"/>
  </cols>
  <sheetData>
    <row r="1" spans="1:58" s="1152" customFormat="1" ht="12" hidden="1" customHeight="1" x14ac:dyDescent="0.15">
      <c r="B1" s="659"/>
      <c r="E1" s="659"/>
      <c r="F1" s="690" t="s">
        <v>83</v>
      </c>
      <c r="G1" s="160"/>
      <c r="H1" s="160"/>
      <c r="I1" s="160"/>
      <c r="J1" s="160"/>
      <c r="K1" s="160"/>
      <c r="L1" s="160"/>
      <c r="M1" s="160"/>
      <c r="N1" s="160"/>
      <c r="O1" s="160"/>
      <c r="P1" s="160"/>
      <c r="Q1" s="160"/>
      <c r="R1" s="160"/>
      <c r="S1" s="160"/>
      <c r="T1" s="679" t="s">
        <v>86</v>
      </c>
      <c r="U1" s="679" t="s">
        <v>91</v>
      </c>
      <c r="V1" s="679" t="s">
        <v>87</v>
      </c>
      <c r="W1" s="679" t="s">
        <v>88</v>
      </c>
      <c r="X1" s="679" t="s">
        <v>89</v>
      </c>
      <c r="Y1" s="690" t="s">
        <v>374</v>
      </c>
      <c r="Z1" s="679" t="s">
        <v>93</v>
      </c>
      <c r="AA1" s="690" t="s">
        <v>90</v>
      </c>
      <c r="AB1" s="690" t="s">
        <v>92</v>
      </c>
      <c r="BF1" s="971" t="s">
        <v>375</v>
      </c>
    </row>
    <row r="2" spans="1:58" s="773" customFormat="1" ht="12" hidden="1" customHeight="1" x14ac:dyDescent="0.15">
      <c r="B2" s="758" t="s">
        <v>15</v>
      </c>
      <c r="G2" s="776"/>
      <c r="H2" s="776"/>
      <c r="I2" s="776"/>
      <c r="J2" s="776"/>
      <c r="K2" s="776"/>
      <c r="L2" s="776"/>
      <c r="M2" s="776"/>
      <c r="N2" s="776"/>
      <c r="O2" s="776"/>
      <c r="P2" s="776"/>
      <c r="Q2" s="776"/>
      <c r="R2" s="776"/>
      <c r="S2" s="776"/>
      <c r="AI2" s="680" t="b">
        <f t="shared" ref="AI2:BB2" si="0">AI6&lt;=last_year_vis</f>
        <v>1</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1</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F2" s="963"/>
    </row>
    <row r="3" spans="1:58" s="1152" customFormat="1" ht="12" hidden="1" customHeight="1" x14ac:dyDescent="0.15">
      <c r="B3" s="659"/>
      <c r="E3" s="659"/>
      <c r="G3" s="160"/>
      <c r="H3" s="160"/>
      <c r="I3" s="160"/>
      <c r="J3" s="160"/>
      <c r="K3" s="160"/>
      <c r="L3" s="160"/>
      <c r="M3" s="160"/>
      <c r="N3" s="160"/>
      <c r="O3" s="160"/>
      <c r="P3" s="160"/>
      <c r="Q3" s="160"/>
      <c r="R3" s="160"/>
      <c r="S3" s="160"/>
      <c r="BF3" s="971"/>
    </row>
    <row r="4" spans="1:58" s="1152" customFormat="1" ht="12" hidden="1" customHeight="1" x14ac:dyDescent="0.15">
      <c r="B4" s="659"/>
      <c r="E4" s="659"/>
      <c r="G4" s="160"/>
      <c r="H4" s="160"/>
      <c r="I4" s="160"/>
      <c r="J4" s="160"/>
      <c r="K4" s="160"/>
      <c r="L4" s="160"/>
      <c r="M4" s="160"/>
      <c r="N4" s="160"/>
      <c r="O4" s="160"/>
      <c r="P4" s="160"/>
      <c r="Q4" s="160"/>
      <c r="R4" s="160"/>
      <c r="S4" s="160"/>
      <c r="BF4" s="971"/>
    </row>
    <row r="5" spans="1:58" s="772" customFormat="1" ht="12" hidden="1" customHeight="1" x14ac:dyDescent="0.15">
      <c r="A5" s="659"/>
      <c r="B5" s="659"/>
      <c r="C5" s="659"/>
      <c r="D5" s="659"/>
      <c r="E5" s="668" t="s">
        <v>16</v>
      </c>
      <c r="G5" s="777"/>
      <c r="H5" s="777"/>
      <c r="I5" s="777"/>
      <c r="J5" s="777"/>
      <c r="K5" s="777"/>
      <c r="L5" s="777"/>
      <c r="M5" s="777"/>
      <c r="N5" s="777"/>
      <c r="O5" s="777"/>
      <c r="P5" s="777"/>
      <c r="Q5" s="777"/>
      <c r="R5" s="777"/>
      <c r="S5" s="777"/>
      <c r="AA5" s="668">
        <v>3</v>
      </c>
      <c r="AB5" s="668">
        <v>7.38</v>
      </c>
      <c r="AC5" s="668">
        <v>54.13</v>
      </c>
      <c r="AD5" s="668">
        <v>11.25</v>
      </c>
      <c r="AE5" s="668">
        <v>23</v>
      </c>
      <c r="AF5" s="668">
        <v>12.63</v>
      </c>
      <c r="AG5" s="668">
        <v>23.75</v>
      </c>
      <c r="AH5" s="668">
        <v>12.63</v>
      </c>
      <c r="AI5" s="668">
        <v>12.63</v>
      </c>
      <c r="AJ5" s="668">
        <v>12.63</v>
      </c>
      <c r="AK5" s="668">
        <v>12.63</v>
      </c>
      <c r="AL5" s="668">
        <v>12.63</v>
      </c>
      <c r="AM5" s="668">
        <v>12.63</v>
      </c>
      <c r="AN5" s="668">
        <v>12.63</v>
      </c>
      <c r="AO5" s="668">
        <v>12.63</v>
      </c>
      <c r="AP5" s="668">
        <v>12.63</v>
      </c>
      <c r="AQ5" s="668">
        <v>12.63</v>
      </c>
      <c r="AR5" s="668">
        <v>12.63</v>
      </c>
      <c r="AS5" s="668">
        <v>12.63</v>
      </c>
      <c r="AT5" s="668">
        <v>12.63</v>
      </c>
      <c r="AU5" s="668">
        <v>12.63</v>
      </c>
      <c r="AV5" s="668">
        <v>12.63</v>
      </c>
      <c r="AW5" s="668">
        <v>12.63</v>
      </c>
      <c r="AX5" s="668">
        <v>12.63</v>
      </c>
      <c r="AY5" s="668">
        <v>12.63</v>
      </c>
      <c r="AZ5" s="668">
        <v>12.63</v>
      </c>
      <c r="BA5" s="668">
        <v>12.63</v>
      </c>
      <c r="BB5" s="668">
        <v>12.63</v>
      </c>
      <c r="BC5" s="668">
        <v>20.63</v>
      </c>
      <c r="BD5" s="668">
        <v>3</v>
      </c>
      <c r="BF5" s="963"/>
    </row>
    <row r="6" spans="1:58" s="1152" customFormat="1" ht="12" hidden="1" customHeight="1" x14ac:dyDescent="0.15">
      <c r="B6" s="659"/>
      <c r="E6" s="668"/>
      <c r="G6" s="160"/>
      <c r="H6" s="160"/>
      <c r="I6" s="160"/>
      <c r="J6" s="160"/>
      <c r="K6" s="160"/>
      <c r="L6" s="160"/>
      <c r="M6" s="160"/>
      <c r="N6" s="160"/>
      <c r="O6" s="160"/>
      <c r="P6" s="160"/>
      <c r="Q6" s="160"/>
      <c r="R6" s="160"/>
      <c r="S6" s="160"/>
      <c r="AE6" s="123">
        <f>god-2</f>
        <v>2024</v>
      </c>
      <c r="AF6" s="123">
        <f>god-2</f>
        <v>2024</v>
      </c>
      <c r="AG6" s="123">
        <f>god-1</f>
        <v>2025</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71"/>
    </row>
    <row r="7" spans="1:58" s="417" customFormat="1" ht="12" hidden="1" customHeight="1" x14ac:dyDescent="0.15">
      <c r="A7" s="123"/>
      <c r="B7" s="659"/>
      <c r="C7" s="123"/>
      <c r="D7" s="123"/>
      <c r="E7" s="668"/>
      <c r="AE7" s="160" t="str" cm="1">
        <f t="array" ref="AE7">AE27</f>
        <v>Капитальные вложения в соответствии с инвестиционной программой, утвержденной в установленном порядке</v>
      </c>
      <c r="AF7" s="160" t="str" cm="1">
        <f t="array" ref="AF7">AF27</f>
        <v>Принято органом регулирования</v>
      </c>
      <c r="AG7" s="160" t="str" cm="1">
        <f t="array" ref="AG7">AG27</f>
        <v>Капитальные вложения в соответствии с инвестиционной программой, утвержденной в установленном порядке</v>
      </c>
      <c r="AH7" s="160" t="str" cm="1">
        <f t="array" ref="AH7">AH27</f>
        <v>Принято органом регулирования</v>
      </c>
      <c r="AI7" s="160" t="str" cm="1">
        <f t="array" ref="AI7">AI27</f>
        <v>Предложение организации</v>
      </c>
      <c r="AJ7" s="160" t="str" cm="1">
        <f t="array" ref="AJ7">AJ27</f>
        <v>Предложение организации</v>
      </c>
      <c r="AK7" s="160" t="str" cm="1">
        <f t="array" ref="AK7">AK27</f>
        <v>Предложение организации</v>
      </c>
      <c r="AL7" s="160" t="str" cm="1">
        <f t="array" ref="AL7">AL27</f>
        <v>Предложение организации</v>
      </c>
      <c r="AM7" s="160" t="str" cm="1">
        <f t="array" ref="AM7">AM27</f>
        <v>Предложение организации</v>
      </c>
      <c r="AN7" s="160" t="str" cm="1">
        <f t="array" ref="AN7">AN27</f>
        <v>Предложение организации</v>
      </c>
      <c r="AO7" s="160" t="str" cm="1">
        <f t="array" ref="AO7">AO27</f>
        <v>Предложение организации</v>
      </c>
      <c r="AP7" s="160" t="str" cm="1">
        <f t="array" ref="AP7">AP27</f>
        <v>Предложение организации</v>
      </c>
      <c r="AQ7" s="160" t="str" cm="1">
        <f t="array" ref="AQ7">AQ27</f>
        <v>Предложение организации</v>
      </c>
      <c r="AR7" s="160" t="str" cm="1">
        <f t="array" ref="AR7">AR27</f>
        <v>Предложение организации</v>
      </c>
      <c r="AS7" s="160" t="str" cm="1">
        <f t="array" ref="AS7">AS27</f>
        <v>Принято органом регулирования</v>
      </c>
      <c r="AT7" s="160" t="str" cm="1">
        <f t="array" ref="AT7">AT27</f>
        <v>Принято органом регулирования</v>
      </c>
      <c r="AU7" s="160" t="str" cm="1">
        <f t="array" ref="AU7">AU27</f>
        <v>Принято органом регулирования</v>
      </c>
      <c r="AV7" s="160" t="str" cm="1">
        <f t="array" ref="AV7">AV27</f>
        <v>Принято органом регулирования</v>
      </c>
      <c r="AW7" s="160" t="str" cm="1">
        <f t="array" ref="AW7">AW27</f>
        <v>Принято органом регулирования</v>
      </c>
      <c r="AX7" s="160" t="str" cm="1">
        <f t="array" ref="AX7">AX27</f>
        <v>Принято органом регулирования</v>
      </c>
      <c r="AY7" s="160" t="str" cm="1">
        <f t="array" ref="AY7">AY27</f>
        <v>Принято органом регулирования</v>
      </c>
      <c r="AZ7" s="160" t="str" cm="1">
        <f t="array" ref="AZ7">AZ27</f>
        <v>Принято органом регулирования</v>
      </c>
      <c r="BA7" s="160" t="str" cm="1">
        <f t="array" ref="BA7">BA27</f>
        <v>Принято органом регулирования</v>
      </c>
      <c r="BB7" s="160" t="str" cm="1">
        <f t="array" ref="BB7">BB27</f>
        <v>Принято органом регулирования</v>
      </c>
      <c r="BF7" s="971"/>
    </row>
    <row r="8" spans="1:58" s="417" customFormat="1" ht="12" hidden="1" customHeight="1" x14ac:dyDescent="0.15">
      <c r="A8" s="123"/>
      <c r="B8" s="659"/>
      <c r="C8" s="123"/>
      <c r="D8" s="123"/>
      <c r="E8" s="668"/>
      <c r="BF8" s="971"/>
    </row>
    <row r="9" spans="1:58" s="1003" customFormat="1" ht="12" hidden="1" customHeight="1" x14ac:dyDescent="0.15">
      <c r="A9" s="948" t="s">
        <v>461</v>
      </c>
      <c r="B9" s="941"/>
      <c r="E9" s="941"/>
      <c r="AE9" s="949">
        <f>god-2</f>
        <v>2024</v>
      </c>
      <c r="AF9" s="949">
        <f>god-2</f>
        <v>2024</v>
      </c>
      <c r="AG9" s="949">
        <f>god-1</f>
        <v>2025</v>
      </c>
      <c r="AH9" s="949">
        <f>god-1</f>
        <v>2025</v>
      </c>
      <c r="AI9" s="949" cm="1">
        <f t="array" ref="AI9">god</f>
        <v>2026</v>
      </c>
      <c r="AJ9" s="949">
        <f>god+1</f>
        <v>2027</v>
      </c>
      <c r="AK9" s="949">
        <f>god+2</f>
        <v>2028</v>
      </c>
      <c r="AL9" s="949">
        <f>god+3</f>
        <v>2029</v>
      </c>
      <c r="AM9" s="949">
        <f>god+4</f>
        <v>2030</v>
      </c>
      <c r="AN9" s="949">
        <f>god+5</f>
        <v>2031</v>
      </c>
      <c r="AO9" s="949">
        <f>god+6</f>
        <v>2032</v>
      </c>
      <c r="AP9" s="949">
        <f>god+7</f>
        <v>2033</v>
      </c>
      <c r="AQ9" s="949">
        <f>god+8</f>
        <v>2034</v>
      </c>
      <c r="AR9" s="949">
        <f>god+9</f>
        <v>2035</v>
      </c>
      <c r="AS9" s="949" cm="1">
        <f t="array" ref="AS9">god</f>
        <v>2026</v>
      </c>
      <c r="AT9" s="949">
        <f>god+1</f>
        <v>2027</v>
      </c>
      <c r="AU9" s="949">
        <f>god+2</f>
        <v>2028</v>
      </c>
      <c r="AV9" s="949">
        <f>god+3</f>
        <v>2029</v>
      </c>
      <c r="AW9" s="949">
        <f>god+4</f>
        <v>2030</v>
      </c>
      <c r="AX9" s="949">
        <f>god+5</f>
        <v>2031</v>
      </c>
      <c r="AY9" s="949">
        <f>god+6</f>
        <v>2032</v>
      </c>
      <c r="AZ9" s="949">
        <f>god+7</f>
        <v>2033</v>
      </c>
      <c r="BA9" s="949">
        <f>god+8</f>
        <v>2034</v>
      </c>
      <c r="BB9" s="949">
        <f>god+9</f>
        <v>2035</v>
      </c>
      <c r="BF9" s="971"/>
    </row>
    <row r="10" spans="1:58" s="1003" customFormat="1" ht="12" hidden="1" customHeight="1" x14ac:dyDescent="0.15">
      <c r="A10" s="948" t="s">
        <v>462</v>
      </c>
      <c r="B10" s="941"/>
      <c r="E10" s="941"/>
      <c r="AE10" s="949" t="str" cm="1">
        <f t="array" ref="AE10">AE27</f>
        <v>Капитальные вложения в соответствии с инвестиционной программой, утвержденной в установленном порядке</v>
      </c>
      <c r="AF10" s="949" t="str" cm="1">
        <f t="array" ref="AF10">AF27</f>
        <v>Принято органом регулирования</v>
      </c>
      <c r="AG10" s="949" t="str" cm="1">
        <f t="array" ref="AG10">AG27</f>
        <v>Капитальные вложения в соответствии с инвестиционной программой, утвержденной в установленном порядке</v>
      </c>
      <c r="AH10" s="949" t="str" cm="1">
        <f t="array" ref="AH10">AH27</f>
        <v>Принято органом регулирования</v>
      </c>
      <c r="AI10" s="949" t="str" cm="1">
        <f t="array" ref="AI10">AI27</f>
        <v>Предложение организации</v>
      </c>
      <c r="AJ10" s="949" t="str" cm="1">
        <f t="array" ref="AJ10">AJ27</f>
        <v>Предложение организации</v>
      </c>
      <c r="AK10" s="949" t="str" cm="1">
        <f t="array" ref="AK10">AK27</f>
        <v>Предложение организации</v>
      </c>
      <c r="AL10" s="949" t="str" cm="1">
        <f t="array" ref="AL10">AL27</f>
        <v>Предложение организации</v>
      </c>
      <c r="AM10" s="949" t="str" cm="1">
        <f t="array" ref="AM10">AM27</f>
        <v>Предложение организации</v>
      </c>
      <c r="AN10" s="949" t="str" cm="1">
        <f t="array" ref="AN10">AN27</f>
        <v>Предложение организации</v>
      </c>
      <c r="AO10" s="949" t="str" cm="1">
        <f t="array" ref="AO10">AO27</f>
        <v>Предложение организации</v>
      </c>
      <c r="AP10" s="949" t="str" cm="1">
        <f t="array" ref="AP10">AP27</f>
        <v>Предложение организации</v>
      </c>
      <c r="AQ10" s="949" t="str" cm="1">
        <f t="array" ref="AQ10">AQ27</f>
        <v>Предложение организации</v>
      </c>
      <c r="AR10" s="949" t="str" cm="1">
        <f t="array" ref="AR10">AR27</f>
        <v>Предложение организации</v>
      </c>
      <c r="AS10" s="949" t="str" cm="1">
        <f t="array" ref="AS10">AS27</f>
        <v>Принято органом регулирования</v>
      </c>
      <c r="AT10" s="949" t="str" cm="1">
        <f t="array" ref="AT10">AT27</f>
        <v>Принято органом регулирования</v>
      </c>
      <c r="AU10" s="949" t="str" cm="1">
        <f t="array" ref="AU10">AU27</f>
        <v>Принято органом регулирования</v>
      </c>
      <c r="AV10" s="949" t="str" cm="1">
        <f t="array" ref="AV10">AV27</f>
        <v>Принято органом регулирования</v>
      </c>
      <c r="AW10" s="949" t="str" cm="1">
        <f t="array" ref="AW10">AW27</f>
        <v>Принято органом регулирования</v>
      </c>
      <c r="AX10" s="949" t="str" cm="1">
        <f t="array" ref="AX10">AX27</f>
        <v>Принято органом регулирования</v>
      </c>
      <c r="AY10" s="949" t="str" cm="1">
        <f t="array" ref="AY10">AY27</f>
        <v>Принято органом регулирования</v>
      </c>
      <c r="AZ10" s="949" t="str" cm="1">
        <f t="array" ref="AZ10">AZ27</f>
        <v>Принято органом регулирования</v>
      </c>
      <c r="BA10" s="949" t="str" cm="1">
        <f t="array" ref="BA10">BA27</f>
        <v>Принято органом регулирования</v>
      </c>
      <c r="BB10" s="949" t="str" cm="1">
        <f t="array" ref="BB10">BB27</f>
        <v>Принято органом регулирования</v>
      </c>
      <c r="BF10" s="971"/>
    </row>
    <row r="11" spans="1:58" s="1003" customFormat="1" ht="12" hidden="1" customHeight="1" x14ac:dyDescent="0.15">
      <c r="A11" s="948" t="s">
        <v>463</v>
      </c>
      <c r="B11" s="941"/>
      <c r="E11" s="941"/>
      <c r="G11" s="957"/>
      <c r="H11" s="957"/>
      <c r="I11" s="957"/>
      <c r="J11" s="957"/>
      <c r="K11" s="957"/>
      <c r="L11" s="957"/>
      <c r="M11" s="957"/>
      <c r="N11" s="957"/>
      <c r="O11" s="957"/>
      <c r="P11" s="957"/>
      <c r="Q11" s="957"/>
      <c r="R11" s="957"/>
      <c r="S11" s="957"/>
      <c r="BC11" s="949" t="str" cm="1">
        <f t="array" ref="BC11">BC26</f>
        <v>Ссылка на правовую норму (основание для принятия показателя в расчет тарифа)</v>
      </c>
      <c r="BF11" s="971"/>
    </row>
    <row r="12" spans="1:58" s="1152" customFormat="1" ht="12" hidden="1" customHeight="1" x14ac:dyDescent="0.15">
      <c r="B12" s="659"/>
      <c r="E12" s="668"/>
      <c r="G12" s="160"/>
      <c r="H12" s="160"/>
      <c r="I12" s="160"/>
      <c r="J12" s="160"/>
      <c r="K12" s="160"/>
      <c r="L12" s="160"/>
      <c r="M12" s="160"/>
      <c r="N12" s="160"/>
      <c r="O12" s="160"/>
      <c r="P12" s="160"/>
      <c r="Q12" s="160"/>
      <c r="R12" s="160"/>
      <c r="S12" s="160"/>
      <c r="BF12" s="971"/>
    </row>
    <row r="13" spans="1:58" s="1152" customFormat="1" ht="12" hidden="1" customHeight="1" x14ac:dyDescent="0.15">
      <c r="B13" s="659"/>
      <c r="E13" s="668"/>
      <c r="G13" s="160"/>
      <c r="H13" s="160"/>
      <c r="I13" s="160"/>
      <c r="J13" s="160"/>
      <c r="K13" s="160"/>
      <c r="L13" s="160"/>
      <c r="M13" s="160"/>
      <c r="N13" s="160"/>
      <c r="O13" s="160"/>
      <c r="P13" s="160"/>
      <c r="Q13" s="160"/>
      <c r="R13" s="160"/>
      <c r="S13" s="160"/>
      <c r="BF13" s="971"/>
    </row>
    <row r="14" spans="1:58" s="1152" customFormat="1" ht="12" hidden="1" customHeight="1" x14ac:dyDescent="0.15">
      <c r="B14" s="659"/>
      <c r="E14" s="668"/>
      <c r="G14" s="160"/>
      <c r="H14" s="160"/>
      <c r="I14" s="160"/>
      <c r="J14" s="160"/>
      <c r="K14" s="160"/>
      <c r="L14" s="160"/>
      <c r="M14" s="160"/>
      <c r="N14" s="160"/>
      <c r="O14" s="160"/>
      <c r="P14" s="160"/>
      <c r="Q14" s="160"/>
      <c r="R14" s="160"/>
      <c r="S14" s="160"/>
      <c r="BF14" s="971"/>
    </row>
    <row r="15" spans="1:58" s="1152" customFormat="1" ht="12" hidden="1" customHeight="1" x14ac:dyDescent="0.15">
      <c r="B15" s="659"/>
      <c r="E15" s="668"/>
      <c r="G15" s="160"/>
      <c r="H15" s="160"/>
      <c r="I15" s="160"/>
      <c r="J15" s="160"/>
      <c r="K15" s="160"/>
      <c r="L15" s="160"/>
      <c r="M15" s="160"/>
      <c r="N15" s="160"/>
      <c r="O15" s="160"/>
      <c r="P15" s="160"/>
      <c r="Q15" s="160"/>
      <c r="R15" s="160"/>
      <c r="S15" s="160"/>
      <c r="BF15" s="971"/>
    </row>
    <row r="16" spans="1:58" s="1152" customFormat="1" ht="12" hidden="1" customHeight="1" x14ac:dyDescent="0.15">
      <c r="B16" s="659"/>
      <c r="E16" s="668"/>
      <c r="G16" s="160"/>
      <c r="H16" s="160"/>
      <c r="I16" s="160"/>
      <c r="J16" s="160"/>
      <c r="K16" s="160"/>
      <c r="L16" s="160"/>
      <c r="M16" s="160"/>
      <c r="N16" s="160"/>
      <c r="O16" s="160"/>
      <c r="P16" s="160"/>
      <c r="Q16" s="160"/>
      <c r="R16" s="160"/>
      <c r="S16" s="160"/>
      <c r="BF16" s="971"/>
    </row>
    <row r="17" spans="2:58" s="1152" customFormat="1" ht="12" hidden="1" customHeight="1" x14ac:dyDescent="0.15">
      <c r="B17" s="659"/>
      <c r="E17" s="668"/>
      <c r="G17" s="160"/>
      <c r="H17" s="160"/>
      <c r="I17" s="160"/>
      <c r="J17" s="160"/>
      <c r="K17" s="160"/>
      <c r="L17" s="160"/>
      <c r="M17" s="160"/>
      <c r="N17" s="160"/>
      <c r="O17" s="160"/>
      <c r="P17" s="160"/>
      <c r="Q17" s="160"/>
      <c r="R17" s="160"/>
      <c r="S17" s="160"/>
      <c r="BF17" s="971"/>
    </row>
    <row r="18" spans="2:58" s="1152" customFormat="1" ht="12" hidden="1" customHeight="1" x14ac:dyDescent="0.15">
      <c r="B18" s="659"/>
      <c r="E18" s="668"/>
      <c r="G18" s="160"/>
      <c r="H18" s="160"/>
      <c r="I18" s="160"/>
      <c r="J18" s="160"/>
      <c r="K18" s="160"/>
      <c r="L18" s="160"/>
      <c r="M18" s="160"/>
      <c r="N18" s="160"/>
      <c r="O18" s="160"/>
      <c r="P18" s="160"/>
      <c r="Q18" s="160"/>
      <c r="R18" s="160"/>
      <c r="S18" s="160"/>
      <c r="BF18" s="971"/>
    </row>
    <row r="19" spans="2:58" s="1152" customFormat="1" ht="12" hidden="1" customHeight="1" x14ac:dyDescent="0.15">
      <c r="B19" s="659"/>
      <c r="E19" s="668"/>
      <c r="G19" s="160"/>
      <c r="H19" s="160"/>
      <c r="I19" s="160"/>
      <c r="J19" s="160"/>
      <c r="K19" s="160"/>
      <c r="L19" s="160"/>
      <c r="M19" s="160"/>
      <c r="N19" s="160"/>
      <c r="O19" s="160"/>
      <c r="P19" s="160"/>
      <c r="Q19" s="160"/>
      <c r="R19" s="160"/>
      <c r="S19" s="160"/>
      <c r="BF19" s="971"/>
    </row>
    <row r="20" spans="2:58" s="1152" customFormat="1" ht="12" hidden="1" customHeight="1" x14ac:dyDescent="0.15">
      <c r="B20" s="659"/>
      <c r="E20" s="668"/>
      <c r="G20" s="160"/>
      <c r="H20" s="160"/>
      <c r="I20" s="160"/>
      <c r="J20" s="160"/>
      <c r="K20" s="160"/>
      <c r="L20" s="160"/>
      <c r="M20" s="160"/>
      <c r="N20" s="160"/>
      <c r="O20" s="160"/>
      <c r="P20" s="160"/>
      <c r="Q20" s="160"/>
      <c r="R20" s="160"/>
      <c r="S20" s="160"/>
      <c r="BF20" s="971"/>
    </row>
    <row r="21" spans="2:58" ht="14.65" customHeight="1" x14ac:dyDescent="0.15">
      <c r="E21" s="668">
        <v>15</v>
      </c>
      <c r="AA21" s="691"/>
      <c r="AC21" s="335" t="str" cm="1">
        <f t="array" ref="AC21">tpl_title</f>
        <v>Кемеровская область / 2026 / ООО ХК "СДС - Энерго" (ИНН:4250003450, КПП:420501001) / ДПР: 2024-2028</v>
      </c>
    </row>
    <row r="22" spans="2:58" ht="19.5" customHeight="1" x14ac:dyDescent="0.15">
      <c r="E22" s="668">
        <v>20.100000000000001</v>
      </c>
      <c r="AB22" s="325" t="s">
        <v>75</v>
      </c>
      <c r="AC22" s="250"/>
      <c r="AD22" s="250"/>
      <c r="AE22" s="250"/>
      <c r="AF22" s="250"/>
      <c r="AG22" s="250"/>
      <c r="AH22" s="250"/>
      <c r="AI22" s="250"/>
      <c r="AJ22" s="250"/>
      <c r="AK22" s="250"/>
      <c r="AL22" s="250"/>
      <c r="AM22" s="250"/>
      <c r="AN22" s="250"/>
      <c r="AO22" s="250"/>
      <c r="AP22" s="250"/>
      <c r="AQ22" s="250"/>
      <c r="AR22" s="250"/>
      <c r="AS22" s="250"/>
      <c r="AT22" s="251"/>
      <c r="AU22" s="251"/>
      <c r="AV22" s="251"/>
      <c r="AW22" s="251"/>
      <c r="AX22" s="251"/>
      <c r="AY22" s="251"/>
      <c r="AZ22" s="251"/>
      <c r="BA22" s="251"/>
      <c r="BB22" s="251"/>
      <c r="BC22" s="251"/>
    </row>
    <row r="23" spans="2:58" ht="11.1" customHeight="1" x14ac:dyDescent="0.15">
      <c r="E23" s="668">
        <v>11.3</v>
      </c>
    </row>
    <row r="24" spans="2:58" ht="21.95" customHeight="1" x14ac:dyDescent="0.15">
      <c r="E24" s="668">
        <v>22.5</v>
      </c>
      <c r="AB24" s="1610" t="s">
        <v>2070</v>
      </c>
      <c r="AC24" s="1610"/>
      <c r="AD24" s="334" t="str">
        <f>"нет"</f>
        <v>нет</v>
      </c>
    </row>
    <row r="25" spans="2:58" ht="11.1" customHeight="1" x14ac:dyDescent="0.15">
      <c r="E25" s="668">
        <v>11.3</v>
      </c>
    </row>
    <row r="26" spans="2:58" ht="14.65" customHeight="1" x14ac:dyDescent="0.15">
      <c r="E26" s="668">
        <v>15</v>
      </c>
      <c r="AB26" s="1490" t="s">
        <v>388</v>
      </c>
      <c r="AC26" s="1497" t="s">
        <v>2071</v>
      </c>
      <c r="AD26" s="1497" t="s">
        <v>465</v>
      </c>
      <c r="AE26" s="117" t="str">
        <f>god-2&amp;" год"</f>
        <v>2024 год</v>
      </c>
      <c r="AF26" s="117" t="str">
        <f>god-2&amp;" год"</f>
        <v>2024 год</v>
      </c>
      <c r="AG26" s="344" t="str">
        <f>god-1&amp;" год"</f>
        <v>2025 год</v>
      </c>
      <c r="AH26" s="344" t="str">
        <f>god-1&amp;" год"</f>
        <v>2025 год</v>
      </c>
      <c r="AI26" s="1131" t="str">
        <f>god&amp;" год"</f>
        <v>2026 год</v>
      </c>
      <c r="AJ26" s="1131" t="str">
        <f>god+1&amp;" год"</f>
        <v>2027 год</v>
      </c>
      <c r="AK26" s="1131" t="str">
        <f>god+2&amp;" год"</f>
        <v>2028 год</v>
      </c>
      <c r="AL26" s="1131" t="str">
        <f>god+3&amp;" год"</f>
        <v>2029 год</v>
      </c>
      <c r="AM26" s="1131" t="str">
        <f>god+4&amp;" год"</f>
        <v>2030 год</v>
      </c>
      <c r="AN26" s="1131" t="str">
        <f>god+5&amp;" год"</f>
        <v>2031 год</v>
      </c>
      <c r="AO26" s="1131" t="str">
        <f>god+6&amp;" год"</f>
        <v>2032 год</v>
      </c>
      <c r="AP26" s="1131" t="str">
        <f>god+7&amp;" год"</f>
        <v>2033 год</v>
      </c>
      <c r="AQ26" s="1131" t="str">
        <f>god+8&amp;" год"</f>
        <v>2034 год</v>
      </c>
      <c r="AR26" s="1131" t="str">
        <f>god+9&amp;" год"</f>
        <v>2035 год</v>
      </c>
      <c r="AS26" s="118" t="str">
        <f>god&amp;" год"</f>
        <v>2026 год</v>
      </c>
      <c r="AT26" s="118" t="str">
        <f>god+1&amp;" год"</f>
        <v>2027 год</v>
      </c>
      <c r="AU26" s="118" t="str">
        <f>god+2&amp;" год"</f>
        <v>2028 год</v>
      </c>
      <c r="AV26" s="118" t="str">
        <f>god+3&amp;" год"</f>
        <v>2029 год</v>
      </c>
      <c r="AW26" s="118" t="str">
        <f>god+4&amp;" год"</f>
        <v>2030 год</v>
      </c>
      <c r="AX26" s="118" t="str">
        <f>god+5&amp;" год"</f>
        <v>2031 год</v>
      </c>
      <c r="AY26" s="118" t="str">
        <f>god+6&amp;" год"</f>
        <v>2032 год</v>
      </c>
      <c r="AZ26" s="118" t="str">
        <f>god+7&amp;" год"</f>
        <v>2033 год</v>
      </c>
      <c r="BA26" s="118" t="str">
        <f>god+8&amp;" год"</f>
        <v>2034 год</v>
      </c>
      <c r="BB26" s="118" t="str">
        <f>god+9&amp;" год"</f>
        <v>2035 год</v>
      </c>
      <c r="BC26" s="1497" t="s">
        <v>618</v>
      </c>
    </row>
    <row r="27" spans="2:58" s="1151" customFormat="1" ht="74.650000000000006" customHeight="1" x14ac:dyDescent="0.15">
      <c r="B27" s="663"/>
      <c r="E27" s="674">
        <v>76.5</v>
      </c>
      <c r="G27" s="162"/>
      <c r="H27" s="162"/>
      <c r="I27" s="162"/>
      <c r="J27" s="162"/>
      <c r="K27" s="162"/>
      <c r="L27" s="162"/>
      <c r="M27" s="162"/>
      <c r="N27" s="162"/>
      <c r="O27" s="162"/>
      <c r="P27" s="162"/>
      <c r="Q27" s="162"/>
      <c r="R27" s="162"/>
      <c r="S27" s="162"/>
      <c r="AB27" s="1490"/>
      <c r="AC27" s="1497"/>
      <c r="AD27" s="1497"/>
      <c r="AE27" s="117" t="s">
        <v>2072</v>
      </c>
      <c r="AF27" s="117" t="s">
        <v>404</v>
      </c>
      <c r="AG27" s="117" t="s">
        <v>2072</v>
      </c>
      <c r="AH27" s="265" t="s">
        <v>404</v>
      </c>
      <c r="AI27" s="1132" t="s">
        <v>405</v>
      </c>
      <c r="AJ27" s="1132" t="s">
        <v>405</v>
      </c>
      <c r="AK27" s="1132" t="s">
        <v>405</v>
      </c>
      <c r="AL27" s="1132" t="s">
        <v>405</v>
      </c>
      <c r="AM27" s="1132" t="s">
        <v>405</v>
      </c>
      <c r="AN27" s="1132" t="s">
        <v>405</v>
      </c>
      <c r="AO27" s="1132" t="s">
        <v>405</v>
      </c>
      <c r="AP27" s="1132" t="s">
        <v>405</v>
      </c>
      <c r="AQ27" s="1132" t="s">
        <v>405</v>
      </c>
      <c r="AR27" s="1132" t="s">
        <v>405</v>
      </c>
      <c r="AS27" s="343" t="s">
        <v>404</v>
      </c>
      <c r="AT27" s="343" t="s">
        <v>404</v>
      </c>
      <c r="AU27" s="343" t="s">
        <v>404</v>
      </c>
      <c r="AV27" s="343" t="s">
        <v>404</v>
      </c>
      <c r="AW27" s="343" t="s">
        <v>404</v>
      </c>
      <c r="AX27" s="343" t="s">
        <v>404</v>
      </c>
      <c r="AY27" s="343" t="s">
        <v>404</v>
      </c>
      <c r="AZ27" s="343" t="s">
        <v>404</v>
      </c>
      <c r="BA27" s="343" t="s">
        <v>404</v>
      </c>
      <c r="BB27" s="343" t="s">
        <v>404</v>
      </c>
      <c r="BC27" s="1497"/>
      <c r="BF27" s="971"/>
    </row>
    <row r="28" spans="2:58" s="1151" customFormat="1" ht="16.5" hidden="1" customHeight="1" x14ac:dyDescent="0.15">
      <c r="B28" s="663"/>
      <c r="E28" s="674">
        <v>0</v>
      </c>
      <c r="G28" s="162"/>
      <c r="H28" s="162"/>
      <c r="I28" s="162"/>
      <c r="J28" s="162"/>
      <c r="K28" s="162"/>
      <c r="L28" s="162"/>
      <c r="M28" s="162"/>
      <c r="N28" s="162"/>
      <c r="O28" s="162"/>
      <c r="P28" s="162"/>
      <c r="Q28" s="162"/>
      <c r="R28" s="162"/>
      <c r="S28" s="162"/>
      <c r="AB28" s="312"/>
      <c r="AD28" s="436"/>
      <c r="AE28" s="436"/>
      <c r="AF28" s="436"/>
      <c r="AG28" s="436"/>
      <c r="AH28" s="436"/>
      <c r="BC28" s="436"/>
      <c r="BF28" s="971"/>
    </row>
    <row r="29" spans="2:58" ht="11.1" hidden="1" customHeight="1" x14ac:dyDescent="0.15">
      <c r="E29" s="668">
        <v>11.4</v>
      </c>
      <c r="F29" s="769" cm="1">
        <f t="array" ref="F29">X29</f>
        <v>0</v>
      </c>
      <c r="T29" s="679" t="b">
        <f>X29&gt;0</f>
        <v>0</v>
      </c>
      <c r="V29" s="123" t="s">
        <v>313</v>
      </c>
      <c r="X29" s="1485">
        <v>0</v>
      </c>
      <c r="Z29" s="1485"/>
      <c r="AB29" s="271" t="str" cm="1">
        <f t="array" ref="AB29">INDEX('Общие сведения'!$AG$169:$AG$202,MATCH($F29,'Общие сведения'!$Z$169:$Z$202,0))</f>
        <v xml:space="preserve">Тариф 0 (Теплоснабжение) - </v>
      </c>
      <c r="AC29" s="272"/>
      <c r="AD29" s="264"/>
      <c r="AE29" s="264"/>
      <c r="AF29" s="264"/>
      <c r="AG29" s="264"/>
      <c r="AH29" s="264"/>
      <c r="AI29" s="264"/>
      <c r="AJ29" s="264"/>
      <c r="AK29" s="264"/>
      <c r="AL29" s="264"/>
      <c r="AM29" s="264"/>
      <c r="AN29" s="264"/>
      <c r="AO29" s="264"/>
      <c r="AP29" s="264"/>
      <c r="AQ29" s="264"/>
      <c r="AR29" s="264"/>
      <c r="AS29" s="264"/>
      <c r="AT29" s="264"/>
      <c r="AU29" s="264"/>
      <c r="AV29" s="264"/>
      <c r="AW29" s="264"/>
      <c r="AX29" s="264"/>
      <c r="AY29" s="264"/>
      <c r="AZ29" s="264"/>
      <c r="BA29" s="264"/>
      <c r="BB29" s="264"/>
      <c r="BC29" s="264"/>
    </row>
    <row r="30" spans="2:58" s="262" customFormat="1" ht="22.15" hidden="1" customHeight="1" x14ac:dyDescent="0.15">
      <c r="E30" s="668">
        <v>22.8</v>
      </c>
      <c r="F30" s="769" cm="1">
        <f t="array" aca="1" ref="F30" ca="1">OFFSET(G30,-1,-1)</f>
        <v>0</v>
      </c>
      <c r="T30" s="679" t="b" cm="1">
        <f t="array" ref="T30">T29</f>
        <v>0</v>
      </c>
      <c r="X30" s="1578"/>
      <c r="Z30" s="1578"/>
      <c r="AB30" s="260"/>
      <c r="AC30" s="256" t="s">
        <v>2073</v>
      </c>
      <c r="AD30" s="261" t="s">
        <v>830</v>
      </c>
      <c r="AE30" s="252">
        <f t="shared" ref="AE30:BB30" si="1">AE31+AE40+AE44+AE48+AE39</f>
        <v>0</v>
      </c>
      <c r="AF30" s="252">
        <f t="shared" si="1"/>
        <v>0</v>
      </c>
      <c r="AG30" s="252">
        <f t="shared" si="1"/>
        <v>0</v>
      </c>
      <c r="AH30" s="252">
        <f t="shared" si="1"/>
        <v>0</v>
      </c>
      <c r="AI30" s="252">
        <f t="shared" si="1"/>
        <v>0</v>
      </c>
      <c r="AJ30" s="252">
        <f t="shared" si="1"/>
        <v>0</v>
      </c>
      <c r="AK30" s="252">
        <f t="shared" si="1"/>
        <v>0</v>
      </c>
      <c r="AL30" s="252">
        <f t="shared" si="1"/>
        <v>0</v>
      </c>
      <c r="AM30" s="252">
        <f t="shared" si="1"/>
        <v>0</v>
      </c>
      <c r="AN30" s="252">
        <f t="shared" si="1"/>
        <v>0</v>
      </c>
      <c r="AO30" s="252">
        <f t="shared" si="1"/>
        <v>0</v>
      </c>
      <c r="AP30" s="252">
        <f t="shared" si="1"/>
        <v>0</v>
      </c>
      <c r="AQ30" s="252">
        <f t="shared" si="1"/>
        <v>0</v>
      </c>
      <c r="AR30" s="252">
        <f t="shared" si="1"/>
        <v>0</v>
      </c>
      <c r="AS30" s="252">
        <f t="shared" si="1"/>
        <v>0</v>
      </c>
      <c r="AT30" s="252">
        <f t="shared" si="1"/>
        <v>0</v>
      </c>
      <c r="AU30" s="252">
        <f t="shared" si="1"/>
        <v>0</v>
      </c>
      <c r="AV30" s="252">
        <f t="shared" si="1"/>
        <v>0</v>
      </c>
      <c r="AW30" s="252">
        <f t="shared" si="1"/>
        <v>0</v>
      </c>
      <c r="AX30" s="252">
        <f t="shared" si="1"/>
        <v>0</v>
      </c>
      <c r="AY30" s="252">
        <f t="shared" si="1"/>
        <v>0</v>
      </c>
      <c r="AZ30" s="252">
        <f t="shared" si="1"/>
        <v>0</v>
      </c>
      <c r="BA30" s="252">
        <f t="shared" si="1"/>
        <v>0</v>
      </c>
      <c r="BB30" s="252">
        <f t="shared" si="1"/>
        <v>0</v>
      </c>
      <c r="BC30" s="25"/>
      <c r="BF30" s="971" t="s">
        <v>623</v>
      </c>
    </row>
    <row r="31" spans="2:58" ht="16.7" hidden="1" customHeight="1" x14ac:dyDescent="0.15">
      <c r="E31" s="668">
        <v>17.100000000000001</v>
      </c>
      <c r="F31" s="769" cm="1">
        <f t="array" aca="1" ref="F31" ca="1">OFFSET(G31,-1,-1)</f>
        <v>0</v>
      </c>
      <c r="T31" s="679" t="b" cm="1">
        <f t="array" ref="T31">T30</f>
        <v>0</v>
      </c>
      <c r="X31" s="1485"/>
      <c r="Z31" s="1485"/>
      <c r="AB31" s="117">
        <v>1</v>
      </c>
      <c r="AC31" s="258" t="s">
        <v>2074</v>
      </c>
      <c r="AD31" s="255" t="s">
        <v>830</v>
      </c>
      <c r="AE31" s="253">
        <f t="shared" ref="AE31:BB31" si="2">AE32+AE33+AE34+AE37+AE38</f>
        <v>0</v>
      </c>
      <c r="AF31" s="253">
        <f t="shared" si="2"/>
        <v>0</v>
      </c>
      <c r="AG31" s="253">
        <f t="shared" si="2"/>
        <v>0</v>
      </c>
      <c r="AH31" s="253">
        <f t="shared" si="2"/>
        <v>0</v>
      </c>
      <c r="AI31" s="253">
        <f t="shared" si="2"/>
        <v>0</v>
      </c>
      <c r="AJ31" s="253">
        <f t="shared" si="2"/>
        <v>0</v>
      </c>
      <c r="AK31" s="253">
        <f t="shared" si="2"/>
        <v>0</v>
      </c>
      <c r="AL31" s="253">
        <f t="shared" si="2"/>
        <v>0</v>
      </c>
      <c r="AM31" s="253">
        <f t="shared" si="2"/>
        <v>0</v>
      </c>
      <c r="AN31" s="253">
        <f t="shared" si="2"/>
        <v>0</v>
      </c>
      <c r="AO31" s="253">
        <f t="shared" si="2"/>
        <v>0</v>
      </c>
      <c r="AP31" s="253">
        <f t="shared" si="2"/>
        <v>0</v>
      </c>
      <c r="AQ31" s="253">
        <f t="shared" si="2"/>
        <v>0</v>
      </c>
      <c r="AR31" s="253">
        <f t="shared" si="2"/>
        <v>0</v>
      </c>
      <c r="AS31" s="253">
        <f t="shared" si="2"/>
        <v>0</v>
      </c>
      <c r="AT31" s="253">
        <f t="shared" si="2"/>
        <v>0</v>
      </c>
      <c r="AU31" s="253">
        <f t="shared" si="2"/>
        <v>0</v>
      </c>
      <c r="AV31" s="253">
        <f t="shared" si="2"/>
        <v>0</v>
      </c>
      <c r="AW31" s="253">
        <f t="shared" si="2"/>
        <v>0</v>
      </c>
      <c r="AX31" s="253">
        <f t="shared" si="2"/>
        <v>0</v>
      </c>
      <c r="AY31" s="253">
        <f t="shared" si="2"/>
        <v>0</v>
      </c>
      <c r="AZ31" s="253">
        <f t="shared" si="2"/>
        <v>0</v>
      </c>
      <c r="BA31" s="253">
        <f t="shared" si="2"/>
        <v>0</v>
      </c>
      <c r="BB31" s="253">
        <f t="shared" si="2"/>
        <v>0</v>
      </c>
      <c r="BC31" s="25"/>
      <c r="BF31" s="971" t="s">
        <v>637</v>
      </c>
    </row>
    <row r="32" spans="2:58" ht="22.15" hidden="1" customHeight="1" x14ac:dyDescent="0.15">
      <c r="E32" s="668">
        <v>22.8</v>
      </c>
      <c r="F32" s="769" cm="1">
        <f t="array" aca="1" ref="F32" ca="1">OFFSET(G32,-1,-1)</f>
        <v>0</v>
      </c>
      <c r="T32" s="679" t="b" cm="1">
        <f t="array" ref="T32">T31</f>
        <v>0</v>
      </c>
      <c r="X32" s="1485"/>
      <c r="Z32" s="1485"/>
      <c r="AB32" s="257" t="s">
        <v>473</v>
      </c>
      <c r="AC32" s="258" t="s">
        <v>2075</v>
      </c>
      <c r="AD32" s="255" t="s">
        <v>830</v>
      </c>
      <c r="AE32" s="50"/>
      <c r="AF32" s="50"/>
      <c r="AG32" s="50"/>
      <c r="AH32" s="50"/>
      <c r="AI32" s="254"/>
      <c r="AJ32" s="1260"/>
      <c r="AK32" s="1260"/>
      <c r="AL32" s="50"/>
      <c r="AM32" s="50"/>
      <c r="AN32" s="50"/>
      <c r="AO32" s="50"/>
      <c r="AP32" s="50"/>
      <c r="AQ32" s="50"/>
      <c r="AR32" s="50"/>
      <c r="AS32" s="254"/>
      <c r="AT32" s="1260"/>
      <c r="AU32" s="1260"/>
      <c r="AV32" s="50"/>
      <c r="AW32" s="50"/>
      <c r="AX32" s="50"/>
      <c r="AY32" s="50"/>
      <c r="AZ32" s="50"/>
      <c r="BA32" s="50"/>
      <c r="BB32" s="50"/>
      <c r="BC32" s="25"/>
      <c r="BF32" s="971" t="s">
        <v>1396</v>
      </c>
    </row>
    <row r="33" spans="5:58" ht="33.4" hidden="1" customHeight="1" x14ac:dyDescent="0.15">
      <c r="E33" s="668">
        <v>34.200000000000003</v>
      </c>
      <c r="F33" s="769" cm="1">
        <f t="array" aca="1" ref="F33" ca="1">OFFSET(G33,-1,-1)</f>
        <v>0</v>
      </c>
      <c r="T33" s="679" t="b" cm="1">
        <f t="array" ref="T33">T32</f>
        <v>0</v>
      </c>
      <c r="X33" s="1485"/>
      <c r="Z33" s="1485"/>
      <c r="AB33" s="257" t="s">
        <v>955</v>
      </c>
      <c r="AC33" s="258" t="s">
        <v>2076</v>
      </c>
      <c r="AD33" s="255" t="s">
        <v>830</v>
      </c>
      <c r="AE33" s="50"/>
      <c r="AF33" s="50"/>
      <c r="AG33" s="50"/>
      <c r="AH33" s="50"/>
      <c r="AI33" s="254"/>
      <c r="AJ33" s="1260"/>
      <c r="AK33" s="1260"/>
      <c r="AL33" s="50"/>
      <c r="AM33" s="50"/>
      <c r="AN33" s="50"/>
      <c r="AO33" s="50"/>
      <c r="AP33" s="50"/>
      <c r="AQ33" s="50"/>
      <c r="AR33" s="50"/>
      <c r="AS33" s="254"/>
      <c r="AT33" s="1260"/>
      <c r="AU33" s="1260"/>
      <c r="AV33" s="50"/>
      <c r="AW33" s="50"/>
      <c r="AX33" s="50"/>
      <c r="AY33" s="50"/>
      <c r="AZ33" s="50"/>
      <c r="BA33" s="50"/>
      <c r="BB33" s="50"/>
      <c r="BC33" s="25"/>
      <c r="BF33" s="971" t="s">
        <v>2077</v>
      </c>
    </row>
    <row r="34" spans="5:58" ht="16.7" hidden="1" customHeight="1" x14ac:dyDescent="0.15">
      <c r="E34" s="668">
        <v>17.100000000000001</v>
      </c>
      <c r="F34" s="769" cm="1">
        <f t="array" aca="1" ref="F34" ca="1">OFFSET(G34,-1,-1)</f>
        <v>0</v>
      </c>
      <c r="T34" s="679" t="b" cm="1">
        <f t="array" ref="T34">T33</f>
        <v>0</v>
      </c>
      <c r="X34" s="1485"/>
      <c r="Z34" s="1485"/>
      <c r="AB34" s="257" t="s">
        <v>957</v>
      </c>
      <c r="AC34" s="258" t="s">
        <v>2078</v>
      </c>
      <c r="AD34" s="255" t="s">
        <v>830</v>
      </c>
      <c r="AE34" s="50"/>
      <c r="AF34" s="50"/>
      <c r="AG34" s="50"/>
      <c r="AH34" s="50"/>
      <c r="AI34" s="254"/>
      <c r="AJ34" s="1260"/>
      <c r="AK34" s="1260"/>
      <c r="AL34" s="50"/>
      <c r="AM34" s="50"/>
      <c r="AN34" s="50"/>
      <c r="AO34" s="50"/>
      <c r="AP34" s="50"/>
      <c r="AQ34" s="50"/>
      <c r="AR34" s="50"/>
      <c r="AS34" s="254"/>
      <c r="AT34" s="1260"/>
      <c r="AU34" s="1260"/>
      <c r="AV34" s="50"/>
      <c r="AW34" s="50"/>
      <c r="AX34" s="50"/>
      <c r="AY34" s="50"/>
      <c r="AZ34" s="50"/>
      <c r="BA34" s="50"/>
      <c r="BB34" s="50"/>
      <c r="BC34" s="25"/>
      <c r="BF34" s="971" t="s">
        <v>1404</v>
      </c>
    </row>
    <row r="35" spans="5:58" ht="22.15" hidden="1" customHeight="1" x14ac:dyDescent="0.15">
      <c r="E35" s="668">
        <v>22.8</v>
      </c>
      <c r="F35" s="769" cm="1">
        <f t="array" aca="1" ref="F35" ca="1">OFFSET(G35,-1,-1)</f>
        <v>0</v>
      </c>
      <c r="T35" s="679" t="b" cm="1">
        <f t="array" ref="T35">T34</f>
        <v>0</v>
      </c>
      <c r="X35" s="1485"/>
      <c r="Z35" s="1485"/>
      <c r="AB35" s="257" t="s">
        <v>1190</v>
      </c>
      <c r="AC35" s="258" t="s">
        <v>2079</v>
      </c>
      <c r="AD35" s="255" t="s">
        <v>830</v>
      </c>
      <c r="AE35" s="50"/>
      <c r="AF35" s="50"/>
      <c r="AG35" s="50"/>
      <c r="AH35" s="50"/>
      <c r="AI35" s="254"/>
      <c r="AJ35" s="1260"/>
      <c r="AK35" s="1260"/>
      <c r="AL35" s="50"/>
      <c r="AM35" s="50"/>
      <c r="AN35" s="50"/>
      <c r="AO35" s="50"/>
      <c r="AP35" s="50"/>
      <c r="AQ35" s="50"/>
      <c r="AR35" s="50"/>
      <c r="AS35" s="254"/>
      <c r="AT35" s="1260"/>
      <c r="AU35" s="1260"/>
      <c r="AV35" s="50"/>
      <c r="AW35" s="50"/>
      <c r="AX35" s="50"/>
      <c r="AY35" s="50"/>
      <c r="AZ35" s="50"/>
      <c r="BA35" s="50"/>
      <c r="BB35" s="50"/>
      <c r="BC35" s="25"/>
      <c r="BF35" s="971" t="s">
        <v>2080</v>
      </c>
    </row>
    <row r="36" spans="5:58" ht="55.5" hidden="1" customHeight="1" x14ac:dyDescent="0.15">
      <c r="E36" s="668">
        <v>57</v>
      </c>
      <c r="F36" s="769" cm="1">
        <f t="array" aca="1" ref="F36" ca="1">OFFSET(G36,-1,-1)</f>
        <v>0</v>
      </c>
      <c r="T36" s="679" t="b" cm="1">
        <f t="array" ref="T36">T35</f>
        <v>0</v>
      </c>
      <c r="X36" s="1485"/>
      <c r="Z36" s="1485"/>
      <c r="AB36" s="257" t="s">
        <v>1194</v>
      </c>
      <c r="AC36" s="258" t="s">
        <v>2081</v>
      </c>
      <c r="AD36" s="255" t="s">
        <v>830</v>
      </c>
      <c r="AE36" s="50"/>
      <c r="AF36" s="50"/>
      <c r="AG36" s="50"/>
      <c r="AH36" s="50"/>
      <c r="AI36" s="254"/>
      <c r="AJ36" s="1260"/>
      <c r="AK36" s="1260"/>
      <c r="AL36" s="50"/>
      <c r="AM36" s="50"/>
      <c r="AN36" s="50"/>
      <c r="AO36" s="50"/>
      <c r="AP36" s="50"/>
      <c r="AQ36" s="50"/>
      <c r="AR36" s="50"/>
      <c r="AS36" s="254"/>
      <c r="AT36" s="1260"/>
      <c r="AU36" s="1260"/>
      <c r="AV36" s="50"/>
      <c r="AW36" s="50"/>
      <c r="AX36" s="50"/>
      <c r="AY36" s="50"/>
      <c r="AZ36" s="50"/>
      <c r="BA36" s="50"/>
      <c r="BB36" s="50"/>
      <c r="BC36" s="25"/>
      <c r="BF36" s="971" t="s">
        <v>2082</v>
      </c>
    </row>
    <row r="37" spans="5:58" ht="44.45" hidden="1" customHeight="1" x14ac:dyDescent="0.15">
      <c r="E37" s="668">
        <v>45.6</v>
      </c>
      <c r="F37" s="769" cm="1">
        <f t="array" aca="1" ref="F37" ca="1">OFFSET(G37,-1,-1)</f>
        <v>0</v>
      </c>
      <c r="T37" s="679" t="b" cm="1">
        <f t="array" ref="T37">T36</f>
        <v>0</v>
      </c>
      <c r="X37" s="1485"/>
      <c r="Z37" s="1485"/>
      <c r="AB37" s="257" t="s">
        <v>961</v>
      </c>
      <c r="AC37" s="258" t="s">
        <v>2083</v>
      </c>
      <c r="AD37" s="255" t="s">
        <v>830</v>
      </c>
      <c r="AE37" s="50"/>
      <c r="AF37" s="50"/>
      <c r="AG37" s="50"/>
      <c r="AH37" s="50"/>
      <c r="AI37" s="254"/>
      <c r="AJ37" s="1260"/>
      <c r="AK37" s="1260"/>
      <c r="AL37" s="50"/>
      <c r="AM37" s="50"/>
      <c r="AN37" s="50"/>
      <c r="AO37" s="50"/>
      <c r="AP37" s="50"/>
      <c r="AQ37" s="50"/>
      <c r="AR37" s="50"/>
      <c r="AS37" s="254"/>
      <c r="AT37" s="1260"/>
      <c r="AU37" s="1260"/>
      <c r="AV37" s="50"/>
      <c r="AW37" s="50"/>
      <c r="AX37" s="50"/>
      <c r="AY37" s="50"/>
      <c r="AZ37" s="50"/>
      <c r="BA37" s="50"/>
      <c r="BB37" s="50"/>
      <c r="BC37" s="25"/>
      <c r="BF37" s="971" t="s">
        <v>2084</v>
      </c>
    </row>
    <row r="38" spans="5:58" ht="22.15" hidden="1" customHeight="1" x14ac:dyDescent="0.15">
      <c r="E38" s="668">
        <v>22.8</v>
      </c>
      <c r="F38" s="769" cm="1">
        <f t="array" aca="1" ref="F38" ca="1">OFFSET(G38,-1,-1)</f>
        <v>0</v>
      </c>
      <c r="T38" s="679" t="b" cm="1">
        <f t="array" ref="T38">T37</f>
        <v>0</v>
      </c>
      <c r="X38" s="1485"/>
      <c r="Z38" s="1485"/>
      <c r="AB38" s="257" t="s">
        <v>1067</v>
      </c>
      <c r="AC38" s="258" t="s">
        <v>2085</v>
      </c>
      <c r="AD38" s="255" t="s">
        <v>830</v>
      </c>
      <c r="AE38" s="50"/>
      <c r="AF38" s="50"/>
      <c r="AG38" s="50"/>
      <c r="AH38" s="50"/>
      <c r="AI38" s="254"/>
      <c r="AJ38" s="1260"/>
      <c r="AK38" s="1260"/>
      <c r="AL38" s="50"/>
      <c r="AM38" s="50"/>
      <c r="AN38" s="50"/>
      <c r="AO38" s="50"/>
      <c r="AP38" s="50"/>
      <c r="AQ38" s="50"/>
      <c r="AR38" s="50"/>
      <c r="AS38" s="254"/>
      <c r="AT38" s="1260"/>
      <c r="AU38" s="1260"/>
      <c r="AV38" s="50"/>
      <c r="AW38" s="50"/>
      <c r="AX38" s="50"/>
      <c r="AY38" s="50"/>
      <c r="AZ38" s="50"/>
      <c r="BA38" s="50"/>
      <c r="BB38" s="50"/>
      <c r="BC38" s="25"/>
      <c r="BF38" s="971" t="s">
        <v>1188</v>
      </c>
    </row>
    <row r="39" spans="5:58" ht="22.15" hidden="1" customHeight="1" x14ac:dyDescent="0.15">
      <c r="E39" s="668">
        <v>22.8</v>
      </c>
      <c r="F39" s="769" cm="1">
        <f t="array" aca="1" ref="F39" ca="1">OFFSET(G39,-1,-1)</f>
        <v>0</v>
      </c>
      <c r="T39" s="679" t="b" cm="1">
        <f t="array" ref="T39">T38</f>
        <v>0</v>
      </c>
      <c r="X39" s="1485"/>
      <c r="Z39" s="1485"/>
      <c r="AB39" s="257" t="s">
        <v>426</v>
      </c>
      <c r="AC39" s="258" t="s">
        <v>2086</v>
      </c>
      <c r="AD39" s="255" t="s">
        <v>830</v>
      </c>
      <c r="AE39" s="50"/>
      <c r="AF39" s="50"/>
      <c r="AG39" s="50"/>
      <c r="AH39" s="50"/>
      <c r="AI39" s="254"/>
      <c r="AJ39" s="1260"/>
      <c r="AK39" s="1260"/>
      <c r="AL39" s="50"/>
      <c r="AM39" s="50"/>
      <c r="AN39" s="50"/>
      <c r="AO39" s="50"/>
      <c r="AP39" s="50"/>
      <c r="AQ39" s="50"/>
      <c r="AR39" s="50"/>
      <c r="AS39" s="254"/>
      <c r="AT39" s="1260"/>
      <c r="AU39" s="1260"/>
      <c r="AV39" s="50"/>
      <c r="AW39" s="50"/>
      <c r="AX39" s="50"/>
      <c r="AY39" s="50"/>
      <c r="AZ39" s="50"/>
      <c r="BA39" s="50"/>
      <c r="BB39" s="50"/>
      <c r="BC39" s="25"/>
      <c r="BF39" s="971" t="s">
        <v>1292</v>
      </c>
    </row>
    <row r="40" spans="5:58" ht="16.7" hidden="1" customHeight="1" x14ac:dyDescent="0.15">
      <c r="E40" s="668">
        <v>17.100000000000001</v>
      </c>
      <c r="F40" s="769" cm="1">
        <f t="array" aca="1" ref="F40" ca="1">OFFSET(G40,-1,-1)</f>
        <v>0</v>
      </c>
      <c r="T40" s="679" t="b" cm="1">
        <f t="array" ref="T40">T39</f>
        <v>0</v>
      </c>
      <c r="X40" s="1485"/>
      <c r="Z40" s="1485"/>
      <c r="AB40" s="257" t="s">
        <v>431</v>
      </c>
      <c r="AC40" s="258" t="s">
        <v>2087</v>
      </c>
      <c r="AD40" s="255" t="s">
        <v>830</v>
      </c>
      <c r="AE40" s="253">
        <f t="shared" ref="AE40:BB40" si="3">AE41+AE42+AE43</f>
        <v>0</v>
      </c>
      <c r="AF40" s="253">
        <f t="shared" si="3"/>
        <v>0</v>
      </c>
      <c r="AG40" s="253">
        <f t="shared" si="3"/>
        <v>0</v>
      </c>
      <c r="AH40" s="253">
        <f t="shared" si="3"/>
        <v>0</v>
      </c>
      <c r="AI40" s="253">
        <f t="shared" si="3"/>
        <v>0</v>
      </c>
      <c r="AJ40" s="253">
        <f t="shared" si="3"/>
        <v>0</v>
      </c>
      <c r="AK40" s="253">
        <f t="shared" si="3"/>
        <v>0</v>
      </c>
      <c r="AL40" s="253">
        <f t="shared" si="3"/>
        <v>0</v>
      </c>
      <c r="AM40" s="253">
        <f t="shared" si="3"/>
        <v>0</v>
      </c>
      <c r="AN40" s="253">
        <f t="shared" si="3"/>
        <v>0</v>
      </c>
      <c r="AO40" s="253">
        <f t="shared" si="3"/>
        <v>0</v>
      </c>
      <c r="AP40" s="253">
        <f t="shared" si="3"/>
        <v>0</v>
      </c>
      <c r="AQ40" s="253">
        <f t="shared" si="3"/>
        <v>0</v>
      </c>
      <c r="AR40" s="253">
        <f t="shared" si="3"/>
        <v>0</v>
      </c>
      <c r="AS40" s="253">
        <f t="shared" si="3"/>
        <v>0</v>
      </c>
      <c r="AT40" s="253">
        <f t="shared" si="3"/>
        <v>0</v>
      </c>
      <c r="AU40" s="253">
        <f t="shared" si="3"/>
        <v>0</v>
      </c>
      <c r="AV40" s="253">
        <f t="shared" si="3"/>
        <v>0</v>
      </c>
      <c r="AW40" s="253">
        <f t="shared" si="3"/>
        <v>0</v>
      </c>
      <c r="AX40" s="253">
        <f t="shared" si="3"/>
        <v>0</v>
      </c>
      <c r="AY40" s="253">
        <f t="shared" si="3"/>
        <v>0</v>
      </c>
      <c r="AZ40" s="253">
        <f t="shared" si="3"/>
        <v>0</v>
      </c>
      <c r="BA40" s="253">
        <f t="shared" si="3"/>
        <v>0</v>
      </c>
      <c r="BB40" s="253">
        <f t="shared" si="3"/>
        <v>0</v>
      </c>
      <c r="BC40" s="25"/>
      <c r="BF40" s="971" t="s">
        <v>2088</v>
      </c>
    </row>
    <row r="41" spans="5:58" ht="16.7" hidden="1" customHeight="1" x14ac:dyDescent="0.15">
      <c r="E41" s="668">
        <v>17.100000000000001</v>
      </c>
      <c r="F41" s="769" cm="1">
        <f t="array" aca="1" ref="F41" ca="1">OFFSET(G41,-1,-1)</f>
        <v>0</v>
      </c>
      <c r="T41" s="679" t="b" cm="1">
        <f t="array" ref="T41">T40</f>
        <v>0</v>
      </c>
      <c r="X41" s="1485"/>
      <c r="Z41" s="1485"/>
      <c r="AB41" s="257" t="s">
        <v>735</v>
      </c>
      <c r="AC41" s="259" t="s">
        <v>2089</v>
      </c>
      <c r="AD41" s="255" t="s">
        <v>830</v>
      </c>
      <c r="AE41" s="50"/>
      <c r="AF41" s="50"/>
      <c r="AG41" s="50"/>
      <c r="AH41" s="50"/>
      <c r="AI41" s="254"/>
      <c r="AJ41" s="1260"/>
      <c r="AK41" s="1260"/>
      <c r="AL41" s="50"/>
      <c r="AM41" s="50"/>
      <c r="AN41" s="50"/>
      <c r="AO41" s="50"/>
      <c r="AP41" s="50"/>
      <c r="AQ41" s="50"/>
      <c r="AR41" s="50"/>
      <c r="AS41" s="254"/>
      <c r="AT41" s="1260"/>
      <c r="AU41" s="1260"/>
      <c r="AV41" s="50"/>
      <c r="AW41" s="50"/>
      <c r="AX41" s="50"/>
      <c r="AY41" s="50"/>
      <c r="AZ41" s="50"/>
      <c r="BA41" s="50"/>
      <c r="BB41" s="50"/>
      <c r="BC41" s="25"/>
      <c r="BF41" s="971" t="s">
        <v>1398</v>
      </c>
    </row>
    <row r="42" spans="5:58" ht="16.7" hidden="1" customHeight="1" x14ac:dyDescent="0.15">
      <c r="E42" s="668">
        <v>17.100000000000001</v>
      </c>
      <c r="F42" s="769" cm="1">
        <f t="array" aca="1" ref="F42" ca="1">OFFSET(G42,-1,-1)</f>
        <v>0</v>
      </c>
      <c r="T42" s="679" t="b" cm="1">
        <f t="array" ref="T42">T41</f>
        <v>0</v>
      </c>
      <c r="X42" s="1485"/>
      <c r="Z42" s="1485"/>
      <c r="AB42" s="257" t="s">
        <v>738</v>
      </c>
      <c r="AC42" s="259" t="s">
        <v>2090</v>
      </c>
      <c r="AD42" s="255" t="s">
        <v>830</v>
      </c>
      <c r="AE42" s="50"/>
      <c r="AF42" s="50"/>
      <c r="AG42" s="50"/>
      <c r="AH42" s="50"/>
      <c r="AI42" s="254"/>
      <c r="AJ42" s="1260"/>
      <c r="AK42" s="1260"/>
      <c r="AL42" s="50"/>
      <c r="AM42" s="50"/>
      <c r="AN42" s="50"/>
      <c r="AO42" s="50"/>
      <c r="AP42" s="50"/>
      <c r="AQ42" s="50"/>
      <c r="AR42" s="50"/>
      <c r="AS42" s="254"/>
      <c r="AT42" s="1260"/>
      <c r="AU42" s="1260"/>
      <c r="AV42" s="50"/>
      <c r="AW42" s="50"/>
      <c r="AX42" s="50"/>
      <c r="AY42" s="50"/>
      <c r="AZ42" s="50"/>
      <c r="BA42" s="50"/>
      <c r="BB42" s="50"/>
      <c r="BC42" s="25"/>
      <c r="BF42" s="971" t="s">
        <v>2091</v>
      </c>
    </row>
    <row r="43" spans="5:58" ht="16.7" hidden="1" customHeight="1" x14ac:dyDescent="0.15">
      <c r="E43" s="668">
        <v>17.100000000000001</v>
      </c>
      <c r="F43" s="769" cm="1">
        <f t="array" aca="1" ref="F43" ca="1">OFFSET(G43,-1,-1)</f>
        <v>0</v>
      </c>
      <c r="T43" s="679" t="b" cm="1">
        <f t="array" ref="T43">T42</f>
        <v>0</v>
      </c>
      <c r="X43" s="1485"/>
      <c r="Z43" s="1485"/>
      <c r="AB43" s="257" t="s">
        <v>1932</v>
      </c>
      <c r="AC43" s="259" t="s">
        <v>2092</v>
      </c>
      <c r="AD43" s="255" t="s">
        <v>830</v>
      </c>
      <c r="AE43" s="50"/>
      <c r="AF43" s="50"/>
      <c r="AG43" s="50"/>
      <c r="AH43" s="50"/>
      <c r="AI43" s="254"/>
      <c r="AJ43" s="1260"/>
      <c r="AK43" s="1260"/>
      <c r="AL43" s="50"/>
      <c r="AM43" s="50"/>
      <c r="AN43" s="50"/>
      <c r="AO43" s="50"/>
      <c r="AP43" s="50"/>
      <c r="AQ43" s="50"/>
      <c r="AR43" s="50"/>
      <c r="AS43" s="254"/>
      <c r="AT43" s="1260"/>
      <c r="AU43" s="1260"/>
      <c r="AV43" s="50"/>
      <c r="AW43" s="50"/>
      <c r="AX43" s="50"/>
      <c r="AY43" s="50"/>
      <c r="AZ43" s="50"/>
      <c r="BA43" s="50"/>
      <c r="BB43" s="50"/>
      <c r="BC43" s="25"/>
      <c r="BF43" s="971" t="s">
        <v>2093</v>
      </c>
    </row>
    <row r="44" spans="5:58" ht="16.7" hidden="1" customHeight="1" x14ac:dyDescent="0.15">
      <c r="E44" s="668">
        <v>17.100000000000001</v>
      </c>
      <c r="F44" s="769" cm="1">
        <f t="array" aca="1" ref="F44" ca="1">OFFSET(G44,-1,-1)</f>
        <v>0</v>
      </c>
      <c r="T44" s="679" t="b" cm="1">
        <f t="array" ref="T44">T43</f>
        <v>0</v>
      </c>
      <c r="X44" s="1485"/>
      <c r="Z44" s="1485"/>
      <c r="AB44" s="257" t="s">
        <v>437</v>
      </c>
      <c r="AC44" s="258" t="s">
        <v>2094</v>
      </c>
      <c r="AD44" s="255" t="s">
        <v>830</v>
      </c>
      <c r="AE44" s="253">
        <f t="shared" ref="AE44:BB44" si="4">AE45+AE46+AE47</f>
        <v>0</v>
      </c>
      <c r="AF44" s="253">
        <f t="shared" si="4"/>
        <v>0</v>
      </c>
      <c r="AG44" s="253">
        <f t="shared" si="4"/>
        <v>0</v>
      </c>
      <c r="AH44" s="253">
        <f t="shared" si="4"/>
        <v>0</v>
      </c>
      <c r="AI44" s="253">
        <f t="shared" si="4"/>
        <v>0</v>
      </c>
      <c r="AJ44" s="253">
        <f t="shared" si="4"/>
        <v>0</v>
      </c>
      <c r="AK44" s="253">
        <f t="shared" si="4"/>
        <v>0</v>
      </c>
      <c r="AL44" s="253">
        <f t="shared" si="4"/>
        <v>0</v>
      </c>
      <c r="AM44" s="253">
        <f t="shared" si="4"/>
        <v>0</v>
      </c>
      <c r="AN44" s="253">
        <f t="shared" si="4"/>
        <v>0</v>
      </c>
      <c r="AO44" s="253">
        <f t="shared" si="4"/>
        <v>0</v>
      </c>
      <c r="AP44" s="253">
        <f t="shared" si="4"/>
        <v>0</v>
      </c>
      <c r="AQ44" s="253">
        <f t="shared" si="4"/>
        <v>0</v>
      </c>
      <c r="AR44" s="253">
        <f t="shared" si="4"/>
        <v>0</v>
      </c>
      <c r="AS44" s="253">
        <f t="shared" si="4"/>
        <v>0</v>
      </c>
      <c r="AT44" s="253">
        <f t="shared" si="4"/>
        <v>0</v>
      </c>
      <c r="AU44" s="253">
        <f t="shared" si="4"/>
        <v>0</v>
      </c>
      <c r="AV44" s="253">
        <f t="shared" si="4"/>
        <v>0</v>
      </c>
      <c r="AW44" s="253">
        <f t="shared" si="4"/>
        <v>0</v>
      </c>
      <c r="AX44" s="253">
        <f t="shared" si="4"/>
        <v>0</v>
      </c>
      <c r="AY44" s="253">
        <f t="shared" si="4"/>
        <v>0</v>
      </c>
      <c r="AZ44" s="253">
        <f t="shared" si="4"/>
        <v>0</v>
      </c>
      <c r="BA44" s="253">
        <f t="shared" si="4"/>
        <v>0</v>
      </c>
      <c r="BB44" s="253">
        <f t="shared" si="4"/>
        <v>0</v>
      </c>
      <c r="BC44" s="25"/>
      <c r="BF44" s="971" t="s">
        <v>1817</v>
      </c>
    </row>
    <row r="45" spans="5:58" ht="16.7" hidden="1" customHeight="1" x14ac:dyDescent="0.15">
      <c r="E45" s="668">
        <v>17.100000000000001</v>
      </c>
      <c r="F45" s="769" cm="1">
        <f t="array" aca="1" ref="F45" ca="1">OFFSET(G45,-1,-1)</f>
        <v>0</v>
      </c>
      <c r="T45" s="679" t="b" cm="1">
        <f t="array" ref="T45">T44</f>
        <v>0</v>
      </c>
      <c r="X45" s="1485"/>
      <c r="Z45" s="1485"/>
      <c r="AB45" s="257" t="s">
        <v>771</v>
      </c>
      <c r="AC45" s="259" t="s">
        <v>2095</v>
      </c>
      <c r="AD45" s="255" t="s">
        <v>830</v>
      </c>
      <c r="AE45" s="50"/>
      <c r="AF45" s="50"/>
      <c r="AG45" s="50"/>
      <c r="AH45" s="50"/>
      <c r="AI45" s="254"/>
      <c r="AJ45" s="1260"/>
      <c r="AK45" s="1260"/>
      <c r="AL45" s="50"/>
      <c r="AM45" s="50"/>
      <c r="AN45" s="50"/>
      <c r="AO45" s="50"/>
      <c r="AP45" s="50"/>
      <c r="AQ45" s="50"/>
      <c r="AR45" s="50"/>
      <c r="AS45" s="254"/>
      <c r="AT45" s="1260"/>
      <c r="AU45" s="1260"/>
      <c r="AV45" s="50"/>
      <c r="AW45" s="50"/>
      <c r="AX45" s="50"/>
      <c r="AY45" s="50"/>
      <c r="AZ45" s="50"/>
      <c r="BA45" s="50"/>
      <c r="BB45" s="50"/>
      <c r="BC45" s="25"/>
      <c r="BF45" s="971" t="s">
        <v>2096</v>
      </c>
    </row>
    <row r="46" spans="5:58" ht="16.7" hidden="1" customHeight="1" x14ac:dyDescent="0.15">
      <c r="E46" s="668">
        <v>17.100000000000001</v>
      </c>
      <c r="F46" s="769" cm="1">
        <f t="array" aca="1" ref="F46" ca="1">OFFSET(G46,-1,-1)</f>
        <v>0</v>
      </c>
      <c r="T46" s="679" t="b" cm="1">
        <f t="array" ref="T46">T45</f>
        <v>0</v>
      </c>
      <c r="X46" s="1485"/>
      <c r="Z46" s="1485"/>
      <c r="AB46" s="257" t="s">
        <v>1633</v>
      </c>
      <c r="AC46" s="259" t="s">
        <v>2097</v>
      </c>
      <c r="AD46" s="255" t="s">
        <v>830</v>
      </c>
      <c r="AE46" s="50"/>
      <c r="AF46" s="50"/>
      <c r="AG46" s="50"/>
      <c r="AH46" s="50"/>
      <c r="AI46" s="254"/>
      <c r="AJ46" s="1260"/>
      <c r="AK46" s="1260"/>
      <c r="AL46" s="50"/>
      <c r="AM46" s="50"/>
      <c r="AN46" s="50"/>
      <c r="AO46" s="50"/>
      <c r="AP46" s="50"/>
      <c r="AQ46" s="50"/>
      <c r="AR46" s="50"/>
      <c r="AS46" s="254"/>
      <c r="AT46" s="1260"/>
      <c r="AU46" s="1260"/>
      <c r="AV46" s="50"/>
      <c r="AW46" s="50"/>
      <c r="AX46" s="50"/>
      <c r="AY46" s="50"/>
      <c r="AZ46" s="50"/>
      <c r="BA46" s="50"/>
      <c r="BB46" s="50"/>
      <c r="BC46" s="25"/>
      <c r="BF46" s="971" t="s">
        <v>2098</v>
      </c>
    </row>
    <row r="47" spans="5:58" ht="16.7" hidden="1" customHeight="1" x14ac:dyDescent="0.15">
      <c r="E47" s="668">
        <v>17.100000000000001</v>
      </c>
      <c r="F47" s="769" cm="1">
        <f t="array" aca="1" ref="F47" ca="1">OFFSET(G47,-1,-1)</f>
        <v>0</v>
      </c>
      <c r="T47" s="679" t="b" cm="1">
        <f t="array" ref="T47">T46</f>
        <v>0</v>
      </c>
      <c r="X47" s="1485"/>
      <c r="Z47" s="1485"/>
      <c r="AB47" s="257" t="s">
        <v>1688</v>
      </c>
      <c r="AC47" s="259" t="s">
        <v>2099</v>
      </c>
      <c r="AD47" s="255" t="s">
        <v>830</v>
      </c>
      <c r="AE47" s="50"/>
      <c r="AF47" s="50"/>
      <c r="AG47" s="50"/>
      <c r="AH47" s="50"/>
      <c r="AI47" s="254"/>
      <c r="AJ47" s="1260"/>
      <c r="AK47" s="1260"/>
      <c r="AL47" s="50"/>
      <c r="AM47" s="50"/>
      <c r="AN47" s="50"/>
      <c r="AO47" s="50"/>
      <c r="AP47" s="50"/>
      <c r="AQ47" s="50"/>
      <c r="AR47" s="50"/>
      <c r="AS47" s="254"/>
      <c r="AT47" s="1260"/>
      <c r="AU47" s="1260"/>
      <c r="AV47" s="50"/>
      <c r="AW47" s="50"/>
      <c r="AX47" s="50"/>
      <c r="AY47" s="50"/>
      <c r="AZ47" s="50"/>
      <c r="BA47" s="50"/>
      <c r="BB47" s="50"/>
      <c r="BC47" s="25"/>
      <c r="BF47" s="971" t="s">
        <v>2100</v>
      </c>
    </row>
    <row r="48" spans="5:58" ht="16.7" hidden="1" customHeight="1" x14ac:dyDescent="0.15">
      <c r="E48" s="668">
        <v>17.100000000000001</v>
      </c>
      <c r="F48" s="769" cm="1">
        <f t="array" aca="1" ref="F48" ca="1">OFFSET(G48,-1,-1)</f>
        <v>0</v>
      </c>
      <c r="T48" s="679" t="b" cm="1">
        <f t="array" ref="T48">T47</f>
        <v>0</v>
      </c>
      <c r="X48" s="1485"/>
      <c r="Z48" s="1485"/>
      <c r="AB48" s="257" t="s">
        <v>441</v>
      </c>
      <c r="AC48" s="259" t="s">
        <v>2101</v>
      </c>
      <c r="AD48" s="255" t="s">
        <v>830</v>
      </c>
      <c r="AE48" s="50"/>
      <c r="AF48" s="50"/>
      <c r="AG48" s="50"/>
      <c r="AH48" s="50"/>
      <c r="AI48" s="254"/>
      <c r="AJ48" s="1260"/>
      <c r="AK48" s="1260"/>
      <c r="AL48" s="50"/>
      <c r="AM48" s="50"/>
      <c r="AN48" s="50"/>
      <c r="AO48" s="50"/>
      <c r="AP48" s="50"/>
      <c r="AQ48" s="50"/>
      <c r="AR48" s="50"/>
      <c r="AS48" s="254"/>
      <c r="AT48" s="1260"/>
      <c r="AU48" s="1260"/>
      <c r="AV48" s="50"/>
      <c r="AW48" s="50"/>
      <c r="AX48" s="50"/>
      <c r="AY48" s="50"/>
      <c r="AZ48" s="50"/>
      <c r="BA48" s="50"/>
      <c r="BB48" s="50"/>
      <c r="BC48" s="25"/>
      <c r="BF48" s="971" t="s">
        <v>2102</v>
      </c>
    </row>
    <row r="49" spans="1:58" s="1167" customFormat="1" ht="10.5" customHeight="1" x14ac:dyDescent="0.15">
      <c r="A49" s="1152"/>
      <c r="B49" s="773"/>
      <c r="C49" s="1152"/>
      <c r="D49" s="1152"/>
      <c r="E49" s="668">
        <v>11.4</v>
      </c>
      <c r="F49" s="769" t="str" cm="1">
        <f t="array" ref="F49">X49</f>
        <v>1</v>
      </c>
      <c r="G49" s="417"/>
      <c r="H49" s="417"/>
      <c r="I49" s="417"/>
      <c r="J49" s="417"/>
      <c r="K49" s="417"/>
      <c r="L49" s="417"/>
      <c r="M49" s="417"/>
      <c r="N49" s="417"/>
      <c r="O49" s="417"/>
      <c r="P49" s="417"/>
      <c r="Q49" s="417"/>
      <c r="R49" s="417"/>
      <c r="S49" s="417"/>
      <c r="T49" s="679" t="b">
        <f>X49&gt;0</f>
        <v>1</v>
      </c>
      <c r="U49" s="1152"/>
      <c r="V49" s="123" t="str" cm="1">
        <f t="array" ref="V49">'Калькуляция (МСА)'!$AB$54</f>
        <v>Тариф 1 (Теплоснабжение) - Тариф на тепловую энергию (мощность), поставляемую потребителям (Не определено)</v>
      </c>
      <c r="W49" s="1152"/>
      <c r="X49" s="1485" t="s">
        <v>339</v>
      </c>
      <c r="Y49" s="1152"/>
      <c r="Z49" s="1485"/>
      <c r="AA49" s="167"/>
      <c r="AB49" s="271" t="str" cm="1">
        <f t="array" ref="AB49">IF(ISBLANK('Калькуляция (МСА)'!$AB$54),"",'Калькуляция (МСА)'!$AB$54)</f>
        <v>Тариф 1 (Теплоснабжение) - Тариф на тепловую энергию (мощность), поставляемую потребителям (Не определено)</v>
      </c>
      <c r="AC49" s="272"/>
      <c r="AD49" s="264"/>
      <c r="AE49" s="264"/>
      <c r="AF49" s="264"/>
      <c r="AG49" s="264"/>
      <c r="AH49" s="264"/>
      <c r="AI49" s="264"/>
      <c r="AJ49" s="264"/>
      <c r="AK49" s="264"/>
      <c r="AL49" s="264"/>
      <c r="AM49" s="264"/>
      <c r="AN49" s="264"/>
      <c r="AO49" s="264"/>
      <c r="AP49" s="264"/>
      <c r="AQ49" s="264"/>
      <c r="AR49" s="264"/>
      <c r="AS49" s="264"/>
      <c r="AT49" s="264"/>
      <c r="AU49" s="264"/>
      <c r="AV49" s="264"/>
      <c r="AW49" s="264"/>
      <c r="AX49" s="264"/>
      <c r="AY49" s="264"/>
      <c r="AZ49" s="264"/>
      <c r="BA49" s="264"/>
      <c r="BB49" s="264"/>
      <c r="BC49" s="264"/>
      <c r="BD49" s="167"/>
      <c r="BE49" s="167"/>
      <c r="BF49" s="1005"/>
    </row>
    <row r="50" spans="1:58" s="1348" customFormat="1" ht="21.75" customHeight="1" x14ac:dyDescent="0.15">
      <c r="A50" s="262"/>
      <c r="B50" s="262"/>
      <c r="C50" s="262"/>
      <c r="D50" s="262"/>
      <c r="E50" s="668">
        <v>22.8</v>
      </c>
      <c r="F50" s="769" t="str" cm="1">
        <f t="array" aca="1" ref="F50" ca="1">OFFSET(G50,-1,-1)</f>
        <v>1</v>
      </c>
      <c r="G50" s="262"/>
      <c r="H50" s="262"/>
      <c r="I50" s="262"/>
      <c r="J50" s="262"/>
      <c r="K50" s="262"/>
      <c r="L50" s="262"/>
      <c r="M50" s="262"/>
      <c r="N50" s="262"/>
      <c r="O50" s="262"/>
      <c r="P50" s="262"/>
      <c r="Q50" s="262"/>
      <c r="R50" s="262"/>
      <c r="S50" s="262"/>
      <c r="T50" s="679" t="b" cm="1">
        <f t="array" ref="T50">T49</f>
        <v>1</v>
      </c>
      <c r="U50" s="262"/>
      <c r="V50" s="262"/>
      <c r="W50" s="262"/>
      <c r="X50" s="1578"/>
      <c r="Y50" s="262"/>
      <c r="Z50" s="1578"/>
      <c r="AA50" s="262"/>
      <c r="AB50" s="260"/>
      <c r="AC50" s="256" t="s">
        <v>2073</v>
      </c>
      <c r="AD50" s="261" t="s">
        <v>830</v>
      </c>
      <c r="AE50" s="252">
        <f t="shared" ref="AE50:BB50" si="5">AE51+AE60+AE64+AE68+AE59</f>
        <v>16061.32</v>
      </c>
      <c r="AF50" s="252">
        <f t="shared" si="5"/>
        <v>16061.32</v>
      </c>
      <c r="AG50" s="252">
        <f t="shared" si="5"/>
        <v>11135.7</v>
      </c>
      <c r="AH50" s="252">
        <f t="shared" si="5"/>
        <v>11135.7</v>
      </c>
      <c r="AI50" s="252">
        <f t="shared" si="5"/>
        <v>11942.2</v>
      </c>
      <c r="AJ50" s="252">
        <f t="shared" si="5"/>
        <v>0</v>
      </c>
      <c r="AK50" s="252">
        <f t="shared" si="5"/>
        <v>0</v>
      </c>
      <c r="AL50" s="252">
        <f t="shared" si="5"/>
        <v>0</v>
      </c>
      <c r="AM50" s="252">
        <f t="shared" si="5"/>
        <v>0</v>
      </c>
      <c r="AN50" s="252">
        <f t="shared" si="5"/>
        <v>0</v>
      </c>
      <c r="AO50" s="252">
        <f t="shared" si="5"/>
        <v>0</v>
      </c>
      <c r="AP50" s="252">
        <f t="shared" si="5"/>
        <v>0</v>
      </c>
      <c r="AQ50" s="252">
        <f t="shared" si="5"/>
        <v>0</v>
      </c>
      <c r="AR50" s="252">
        <f t="shared" si="5"/>
        <v>0</v>
      </c>
      <c r="AS50" s="252">
        <f t="shared" si="5"/>
        <v>11942.2</v>
      </c>
      <c r="AT50" s="252">
        <f t="shared" si="5"/>
        <v>0</v>
      </c>
      <c r="AU50" s="252">
        <f t="shared" si="5"/>
        <v>0</v>
      </c>
      <c r="AV50" s="252">
        <f t="shared" si="5"/>
        <v>0</v>
      </c>
      <c r="AW50" s="252">
        <f t="shared" si="5"/>
        <v>0</v>
      </c>
      <c r="AX50" s="252">
        <f t="shared" si="5"/>
        <v>0</v>
      </c>
      <c r="AY50" s="252">
        <f t="shared" si="5"/>
        <v>0</v>
      </c>
      <c r="AZ50" s="252">
        <f t="shared" si="5"/>
        <v>0</v>
      </c>
      <c r="BA50" s="252">
        <f t="shared" si="5"/>
        <v>0</v>
      </c>
      <c r="BB50" s="252">
        <f t="shared" si="5"/>
        <v>0</v>
      </c>
      <c r="BC50" s="1231"/>
      <c r="BD50" s="262"/>
      <c r="BE50" s="262"/>
      <c r="BF50" s="971" t="s">
        <v>623</v>
      </c>
    </row>
    <row r="51" spans="1:58" s="1167" customFormat="1" ht="16.5" customHeight="1" x14ac:dyDescent="0.15">
      <c r="A51" s="1152"/>
      <c r="B51" s="773"/>
      <c r="C51" s="1152"/>
      <c r="D51" s="1152"/>
      <c r="E51" s="668">
        <v>17.100000000000001</v>
      </c>
      <c r="F51" s="769" t="str" cm="1">
        <f t="array" aca="1" ref="F51" ca="1">OFFSET(G51,-1,-1)</f>
        <v>1</v>
      </c>
      <c r="G51" s="417"/>
      <c r="H51" s="417"/>
      <c r="I51" s="417"/>
      <c r="J51" s="417"/>
      <c r="K51" s="417"/>
      <c r="L51" s="417"/>
      <c r="M51" s="417"/>
      <c r="N51" s="417"/>
      <c r="O51" s="417"/>
      <c r="P51" s="417"/>
      <c r="Q51" s="417"/>
      <c r="R51" s="417"/>
      <c r="S51" s="417"/>
      <c r="T51" s="679" t="b" cm="1">
        <f t="array" ref="T51">T50</f>
        <v>1</v>
      </c>
      <c r="U51" s="1152"/>
      <c r="V51" s="1152"/>
      <c r="W51" s="1152"/>
      <c r="X51" s="1485"/>
      <c r="Y51" s="1152"/>
      <c r="Z51" s="1485"/>
      <c r="AA51" s="167"/>
      <c r="AB51" s="117">
        <v>1</v>
      </c>
      <c r="AC51" s="258" t="s">
        <v>2074</v>
      </c>
      <c r="AD51" s="255" t="s">
        <v>830</v>
      </c>
      <c r="AE51" s="253">
        <f t="shared" ref="AE51:BB51" si="6">AE52+AE53+AE54+AE57+AE58</f>
        <v>16061.32</v>
      </c>
      <c r="AF51" s="253">
        <f t="shared" si="6"/>
        <v>16061.32</v>
      </c>
      <c r="AG51" s="253">
        <f t="shared" si="6"/>
        <v>11135.7</v>
      </c>
      <c r="AH51" s="253">
        <f t="shared" si="6"/>
        <v>11135.7</v>
      </c>
      <c r="AI51" s="253">
        <f t="shared" si="6"/>
        <v>11942.2</v>
      </c>
      <c r="AJ51" s="253">
        <f t="shared" si="6"/>
        <v>0</v>
      </c>
      <c r="AK51" s="253">
        <f t="shared" si="6"/>
        <v>0</v>
      </c>
      <c r="AL51" s="253">
        <f t="shared" si="6"/>
        <v>0</v>
      </c>
      <c r="AM51" s="253">
        <f t="shared" si="6"/>
        <v>0</v>
      </c>
      <c r="AN51" s="253">
        <f t="shared" si="6"/>
        <v>0</v>
      </c>
      <c r="AO51" s="253">
        <f t="shared" si="6"/>
        <v>0</v>
      </c>
      <c r="AP51" s="253">
        <f t="shared" si="6"/>
        <v>0</v>
      </c>
      <c r="AQ51" s="253">
        <f t="shared" si="6"/>
        <v>0</v>
      </c>
      <c r="AR51" s="253">
        <f t="shared" si="6"/>
        <v>0</v>
      </c>
      <c r="AS51" s="253">
        <f t="shared" si="6"/>
        <v>11942.2</v>
      </c>
      <c r="AT51" s="253">
        <f t="shared" si="6"/>
        <v>0</v>
      </c>
      <c r="AU51" s="253">
        <f t="shared" si="6"/>
        <v>0</v>
      </c>
      <c r="AV51" s="253">
        <f t="shared" si="6"/>
        <v>0</v>
      </c>
      <c r="AW51" s="253">
        <f t="shared" si="6"/>
        <v>0</v>
      </c>
      <c r="AX51" s="253">
        <f t="shared" si="6"/>
        <v>0</v>
      </c>
      <c r="AY51" s="253">
        <f t="shared" si="6"/>
        <v>0</v>
      </c>
      <c r="AZ51" s="253">
        <f t="shared" si="6"/>
        <v>0</v>
      </c>
      <c r="BA51" s="253">
        <f t="shared" si="6"/>
        <v>0</v>
      </c>
      <c r="BB51" s="253">
        <f t="shared" si="6"/>
        <v>0</v>
      </c>
      <c r="BC51" s="1231"/>
      <c r="BD51" s="167"/>
      <c r="BE51" s="167"/>
      <c r="BF51" s="971" t="s">
        <v>637</v>
      </c>
    </row>
    <row r="52" spans="1:58" s="1167" customFormat="1" ht="21.75" customHeight="1" x14ac:dyDescent="0.15">
      <c r="A52" s="1152"/>
      <c r="B52" s="773"/>
      <c r="C52" s="1152"/>
      <c r="D52" s="1152"/>
      <c r="E52" s="668">
        <v>22.8</v>
      </c>
      <c r="F52" s="769" t="str" cm="1">
        <f t="array" aca="1" ref="F52" ca="1">OFFSET(G52,-1,-1)</f>
        <v>1</v>
      </c>
      <c r="G52" s="417"/>
      <c r="H52" s="417"/>
      <c r="I52" s="417"/>
      <c r="J52" s="417"/>
      <c r="K52" s="417"/>
      <c r="L52" s="417"/>
      <c r="M52" s="417"/>
      <c r="N52" s="417"/>
      <c r="O52" s="417"/>
      <c r="P52" s="417"/>
      <c r="Q52" s="417"/>
      <c r="R52" s="417"/>
      <c r="S52" s="417"/>
      <c r="T52" s="679" t="b" cm="1">
        <f t="array" ref="T52">T51</f>
        <v>1</v>
      </c>
      <c r="U52" s="1152"/>
      <c r="V52" s="1152"/>
      <c r="W52" s="1152"/>
      <c r="X52" s="1485"/>
      <c r="Y52" s="1152"/>
      <c r="Z52" s="1485"/>
      <c r="AA52" s="167"/>
      <c r="AB52" s="257" t="s">
        <v>473</v>
      </c>
      <c r="AC52" s="258" t="s">
        <v>2075</v>
      </c>
      <c r="AD52" s="255" t="s">
        <v>830</v>
      </c>
      <c r="AE52" s="1266">
        <v>14188.39</v>
      </c>
      <c r="AF52" s="1266">
        <v>14188.39</v>
      </c>
      <c r="AG52" s="1266">
        <v>11135.7</v>
      </c>
      <c r="AH52" s="1266">
        <v>11135.7</v>
      </c>
      <c r="AI52" s="254">
        <v>11942.2</v>
      </c>
      <c r="AJ52" s="1260"/>
      <c r="AK52" s="1260"/>
      <c r="AL52" s="1266"/>
      <c r="AM52" s="1266"/>
      <c r="AN52" s="1266"/>
      <c r="AO52" s="1266"/>
      <c r="AP52" s="1266"/>
      <c r="AQ52" s="1266"/>
      <c r="AR52" s="1266"/>
      <c r="AS52" s="254">
        <v>11942.2</v>
      </c>
      <c r="AT52" s="1260"/>
      <c r="AU52" s="1260"/>
      <c r="AV52" s="1266"/>
      <c r="AW52" s="1266"/>
      <c r="AX52" s="1266"/>
      <c r="AY52" s="1266"/>
      <c r="AZ52" s="1266"/>
      <c r="BA52" s="1266"/>
      <c r="BB52" s="1266"/>
      <c r="BC52" s="1231"/>
      <c r="BD52" s="167"/>
      <c r="BE52" s="167"/>
      <c r="BF52" s="971" t="s">
        <v>1396</v>
      </c>
    </row>
    <row r="53" spans="1:58" s="1167" customFormat="1" ht="33" customHeight="1" x14ac:dyDescent="0.15">
      <c r="A53" s="1152"/>
      <c r="B53" s="773"/>
      <c r="C53" s="1152"/>
      <c r="D53" s="1152"/>
      <c r="E53" s="668">
        <v>34.200000000000003</v>
      </c>
      <c r="F53" s="769" t="str" cm="1">
        <f t="array" aca="1" ref="F53" ca="1">OFFSET(G53,-1,-1)</f>
        <v>1</v>
      </c>
      <c r="G53" s="417"/>
      <c r="H53" s="417"/>
      <c r="I53" s="417"/>
      <c r="J53" s="417"/>
      <c r="K53" s="417"/>
      <c r="L53" s="417"/>
      <c r="M53" s="417"/>
      <c r="N53" s="417"/>
      <c r="O53" s="417"/>
      <c r="P53" s="417"/>
      <c r="Q53" s="417"/>
      <c r="R53" s="417"/>
      <c r="S53" s="417"/>
      <c r="T53" s="679" t="b" cm="1">
        <f t="array" ref="T53">T52</f>
        <v>1</v>
      </c>
      <c r="U53" s="1152"/>
      <c r="V53" s="1152"/>
      <c r="W53" s="1152"/>
      <c r="X53" s="1485"/>
      <c r="Y53" s="1152"/>
      <c r="Z53" s="1485"/>
      <c r="AA53" s="167"/>
      <c r="AB53" s="257" t="s">
        <v>955</v>
      </c>
      <c r="AC53" s="258" t="s">
        <v>2076</v>
      </c>
      <c r="AD53" s="255" t="s">
        <v>830</v>
      </c>
      <c r="AE53" s="1266">
        <v>1872.93</v>
      </c>
      <c r="AF53" s="1266">
        <v>1872.93</v>
      </c>
      <c r="AG53" s="1266">
        <v>0</v>
      </c>
      <c r="AH53" s="1266">
        <v>0</v>
      </c>
      <c r="AI53" s="254">
        <v>0</v>
      </c>
      <c r="AJ53" s="1260"/>
      <c r="AK53" s="1260"/>
      <c r="AL53" s="1266"/>
      <c r="AM53" s="1266"/>
      <c r="AN53" s="1266"/>
      <c r="AO53" s="1266"/>
      <c r="AP53" s="1266"/>
      <c r="AQ53" s="1266"/>
      <c r="AR53" s="1266"/>
      <c r="AS53" s="254">
        <v>0</v>
      </c>
      <c r="AT53" s="1260"/>
      <c r="AU53" s="1260"/>
      <c r="AV53" s="1266"/>
      <c r="AW53" s="1266"/>
      <c r="AX53" s="1266"/>
      <c r="AY53" s="1266"/>
      <c r="AZ53" s="1266"/>
      <c r="BA53" s="1266"/>
      <c r="BB53" s="1266"/>
      <c r="BC53" s="1231"/>
      <c r="BD53" s="167"/>
      <c r="BE53" s="167"/>
      <c r="BF53" s="971" t="s">
        <v>2077</v>
      </c>
    </row>
    <row r="54" spans="1:58" s="1167" customFormat="1" ht="16.5" customHeight="1" x14ac:dyDescent="0.15">
      <c r="A54" s="1152"/>
      <c r="B54" s="773"/>
      <c r="C54" s="1152"/>
      <c r="D54" s="1152"/>
      <c r="E54" s="668">
        <v>17.100000000000001</v>
      </c>
      <c r="F54" s="769" t="str" cm="1">
        <f t="array" aca="1" ref="F54" ca="1">OFFSET(G54,-1,-1)</f>
        <v>1</v>
      </c>
      <c r="G54" s="417"/>
      <c r="H54" s="417"/>
      <c r="I54" s="417"/>
      <c r="J54" s="417"/>
      <c r="K54" s="417"/>
      <c r="L54" s="417"/>
      <c r="M54" s="417"/>
      <c r="N54" s="417"/>
      <c r="O54" s="417"/>
      <c r="P54" s="417"/>
      <c r="Q54" s="417"/>
      <c r="R54" s="417"/>
      <c r="S54" s="417"/>
      <c r="T54" s="679" t="b" cm="1">
        <f t="array" ref="T54">T53</f>
        <v>1</v>
      </c>
      <c r="U54" s="1152"/>
      <c r="V54" s="1152"/>
      <c r="W54" s="1152"/>
      <c r="X54" s="1485"/>
      <c r="Y54" s="1152"/>
      <c r="Z54" s="1485"/>
      <c r="AA54" s="167"/>
      <c r="AB54" s="257" t="s">
        <v>957</v>
      </c>
      <c r="AC54" s="258" t="s">
        <v>2078</v>
      </c>
      <c r="AD54" s="255" t="s">
        <v>830</v>
      </c>
      <c r="AE54" s="1266"/>
      <c r="AF54" s="1266"/>
      <c r="AG54" s="1266"/>
      <c r="AH54" s="1266"/>
      <c r="AI54" s="254"/>
      <c r="AJ54" s="1260"/>
      <c r="AK54" s="1260"/>
      <c r="AL54" s="1266"/>
      <c r="AM54" s="1266"/>
      <c r="AN54" s="1266"/>
      <c r="AO54" s="1266"/>
      <c r="AP54" s="1266"/>
      <c r="AQ54" s="1266"/>
      <c r="AR54" s="1266"/>
      <c r="AS54" s="254"/>
      <c r="AT54" s="1260"/>
      <c r="AU54" s="1260"/>
      <c r="AV54" s="1266"/>
      <c r="AW54" s="1266"/>
      <c r="AX54" s="1266"/>
      <c r="AY54" s="1266"/>
      <c r="AZ54" s="1266"/>
      <c r="BA54" s="1266"/>
      <c r="BB54" s="1266"/>
      <c r="BC54" s="1231"/>
      <c r="BD54" s="167"/>
      <c r="BE54" s="167"/>
      <c r="BF54" s="971" t="s">
        <v>1404</v>
      </c>
    </row>
    <row r="55" spans="1:58" s="1167" customFormat="1" ht="21.75" customHeight="1" x14ac:dyDescent="0.15">
      <c r="A55" s="1152"/>
      <c r="B55" s="773"/>
      <c r="C55" s="1152"/>
      <c r="D55" s="1152"/>
      <c r="E55" s="668">
        <v>22.8</v>
      </c>
      <c r="F55" s="769" t="str" cm="1">
        <f t="array" aca="1" ref="F55" ca="1">OFFSET(G55,-1,-1)</f>
        <v>1</v>
      </c>
      <c r="G55" s="417"/>
      <c r="H55" s="417"/>
      <c r="I55" s="417"/>
      <c r="J55" s="417"/>
      <c r="K55" s="417"/>
      <c r="L55" s="417"/>
      <c r="M55" s="417"/>
      <c r="N55" s="417"/>
      <c r="O55" s="417"/>
      <c r="P55" s="417"/>
      <c r="Q55" s="417"/>
      <c r="R55" s="417"/>
      <c r="S55" s="417"/>
      <c r="T55" s="679" t="b" cm="1">
        <f t="array" ref="T55">T54</f>
        <v>1</v>
      </c>
      <c r="U55" s="1152"/>
      <c r="V55" s="1152"/>
      <c r="W55" s="1152"/>
      <c r="X55" s="1485"/>
      <c r="Y55" s="1152"/>
      <c r="Z55" s="1485"/>
      <c r="AA55" s="167"/>
      <c r="AB55" s="257" t="s">
        <v>1190</v>
      </c>
      <c r="AC55" s="258" t="s">
        <v>2079</v>
      </c>
      <c r="AD55" s="255" t="s">
        <v>830</v>
      </c>
      <c r="AE55" s="1266"/>
      <c r="AF55" s="1266"/>
      <c r="AG55" s="1266"/>
      <c r="AH55" s="1266"/>
      <c r="AI55" s="254"/>
      <c r="AJ55" s="1260"/>
      <c r="AK55" s="1260"/>
      <c r="AL55" s="1266"/>
      <c r="AM55" s="1266"/>
      <c r="AN55" s="1266"/>
      <c r="AO55" s="1266"/>
      <c r="AP55" s="1266"/>
      <c r="AQ55" s="1266"/>
      <c r="AR55" s="1266"/>
      <c r="AS55" s="254"/>
      <c r="AT55" s="1260"/>
      <c r="AU55" s="1260"/>
      <c r="AV55" s="1266"/>
      <c r="AW55" s="1266"/>
      <c r="AX55" s="1266"/>
      <c r="AY55" s="1266"/>
      <c r="AZ55" s="1266"/>
      <c r="BA55" s="1266"/>
      <c r="BB55" s="1266"/>
      <c r="BC55" s="1231"/>
      <c r="BD55" s="167"/>
      <c r="BE55" s="167"/>
      <c r="BF55" s="971" t="s">
        <v>2080</v>
      </c>
    </row>
    <row r="56" spans="1:58" s="1167" customFormat="1" ht="55.5" customHeight="1" x14ac:dyDescent="0.15">
      <c r="A56" s="1152"/>
      <c r="B56" s="773"/>
      <c r="C56" s="1152"/>
      <c r="D56" s="1152"/>
      <c r="E56" s="668">
        <v>57</v>
      </c>
      <c r="F56" s="769" t="str" cm="1">
        <f t="array" aca="1" ref="F56" ca="1">OFFSET(G56,-1,-1)</f>
        <v>1</v>
      </c>
      <c r="G56" s="417"/>
      <c r="H56" s="417"/>
      <c r="I56" s="417"/>
      <c r="J56" s="417"/>
      <c r="K56" s="417"/>
      <c r="L56" s="417"/>
      <c r="M56" s="417"/>
      <c r="N56" s="417"/>
      <c r="O56" s="417"/>
      <c r="P56" s="417"/>
      <c r="Q56" s="417"/>
      <c r="R56" s="417"/>
      <c r="S56" s="417"/>
      <c r="T56" s="679" t="b" cm="1">
        <f t="array" ref="T56">T55</f>
        <v>1</v>
      </c>
      <c r="U56" s="1152"/>
      <c r="V56" s="1152"/>
      <c r="W56" s="1152"/>
      <c r="X56" s="1485"/>
      <c r="Y56" s="1152"/>
      <c r="Z56" s="1485"/>
      <c r="AA56" s="167"/>
      <c r="AB56" s="257" t="s">
        <v>1194</v>
      </c>
      <c r="AC56" s="258" t="s">
        <v>2081</v>
      </c>
      <c r="AD56" s="255" t="s">
        <v>830</v>
      </c>
      <c r="AE56" s="1266"/>
      <c r="AF56" s="1266"/>
      <c r="AG56" s="1266"/>
      <c r="AH56" s="1266"/>
      <c r="AI56" s="254"/>
      <c r="AJ56" s="1260"/>
      <c r="AK56" s="1260"/>
      <c r="AL56" s="1266"/>
      <c r="AM56" s="1266"/>
      <c r="AN56" s="1266"/>
      <c r="AO56" s="1266"/>
      <c r="AP56" s="1266"/>
      <c r="AQ56" s="1266"/>
      <c r="AR56" s="1266"/>
      <c r="AS56" s="254"/>
      <c r="AT56" s="1260"/>
      <c r="AU56" s="1260"/>
      <c r="AV56" s="1266"/>
      <c r="AW56" s="1266"/>
      <c r="AX56" s="1266"/>
      <c r="AY56" s="1266"/>
      <c r="AZ56" s="1266"/>
      <c r="BA56" s="1266"/>
      <c r="BB56" s="1266"/>
      <c r="BC56" s="1231"/>
      <c r="BD56" s="167"/>
      <c r="BE56" s="167"/>
      <c r="BF56" s="971" t="s">
        <v>2082</v>
      </c>
    </row>
    <row r="57" spans="1:58" s="1167" customFormat="1" ht="44.25" customHeight="1" x14ac:dyDescent="0.15">
      <c r="A57" s="1152"/>
      <c r="B57" s="773"/>
      <c r="C57" s="1152"/>
      <c r="D57" s="1152"/>
      <c r="E57" s="668">
        <v>45.6</v>
      </c>
      <c r="F57" s="769" t="str" cm="1">
        <f t="array" aca="1" ref="F57" ca="1">OFFSET(G57,-1,-1)</f>
        <v>1</v>
      </c>
      <c r="G57" s="417"/>
      <c r="H57" s="417"/>
      <c r="I57" s="417"/>
      <c r="J57" s="417"/>
      <c r="K57" s="417"/>
      <c r="L57" s="417"/>
      <c r="M57" s="417"/>
      <c r="N57" s="417"/>
      <c r="O57" s="417"/>
      <c r="P57" s="417"/>
      <c r="Q57" s="417"/>
      <c r="R57" s="417"/>
      <c r="S57" s="417"/>
      <c r="T57" s="679" t="b" cm="1">
        <f t="array" ref="T57">T56</f>
        <v>1</v>
      </c>
      <c r="U57" s="1152"/>
      <c r="V57" s="1152"/>
      <c r="W57" s="1152"/>
      <c r="X57" s="1485"/>
      <c r="Y57" s="1152"/>
      <c r="Z57" s="1485"/>
      <c r="AA57" s="167"/>
      <c r="AB57" s="257" t="s">
        <v>961</v>
      </c>
      <c r="AC57" s="258" t="s">
        <v>2083</v>
      </c>
      <c r="AD57" s="255" t="s">
        <v>830</v>
      </c>
      <c r="AE57" s="1266"/>
      <c r="AF57" s="1266"/>
      <c r="AG57" s="1266"/>
      <c r="AH57" s="1266"/>
      <c r="AI57" s="254"/>
      <c r="AJ57" s="1260"/>
      <c r="AK57" s="1260"/>
      <c r="AL57" s="1266"/>
      <c r="AM57" s="1266"/>
      <c r="AN57" s="1266"/>
      <c r="AO57" s="1266"/>
      <c r="AP57" s="1266"/>
      <c r="AQ57" s="1266"/>
      <c r="AR57" s="1266"/>
      <c r="AS57" s="254"/>
      <c r="AT57" s="1260"/>
      <c r="AU57" s="1260"/>
      <c r="AV57" s="1266"/>
      <c r="AW57" s="1266"/>
      <c r="AX57" s="1266"/>
      <c r="AY57" s="1266"/>
      <c r="AZ57" s="1266"/>
      <c r="BA57" s="1266"/>
      <c r="BB57" s="1266"/>
      <c r="BC57" s="1231"/>
      <c r="BD57" s="167"/>
      <c r="BE57" s="167"/>
      <c r="BF57" s="971" t="s">
        <v>2084</v>
      </c>
    </row>
    <row r="58" spans="1:58" s="1167" customFormat="1" ht="21.75" customHeight="1" x14ac:dyDescent="0.15">
      <c r="A58" s="1152"/>
      <c r="B58" s="773"/>
      <c r="C58" s="1152"/>
      <c r="D58" s="1152"/>
      <c r="E58" s="668">
        <v>22.8</v>
      </c>
      <c r="F58" s="769" t="str" cm="1">
        <f t="array" aca="1" ref="F58" ca="1">OFFSET(G58,-1,-1)</f>
        <v>1</v>
      </c>
      <c r="G58" s="417"/>
      <c r="H58" s="417"/>
      <c r="I58" s="417"/>
      <c r="J58" s="417"/>
      <c r="K58" s="417"/>
      <c r="L58" s="417"/>
      <c r="M58" s="417"/>
      <c r="N58" s="417"/>
      <c r="O58" s="417"/>
      <c r="P58" s="417"/>
      <c r="Q58" s="417"/>
      <c r="R58" s="417"/>
      <c r="S58" s="417"/>
      <c r="T58" s="679" t="b" cm="1">
        <f t="array" ref="T58">T57</f>
        <v>1</v>
      </c>
      <c r="U58" s="1152"/>
      <c r="V58" s="1152"/>
      <c r="W58" s="1152"/>
      <c r="X58" s="1485"/>
      <c r="Y58" s="1152"/>
      <c r="Z58" s="1485"/>
      <c r="AA58" s="167"/>
      <c r="AB58" s="257" t="s">
        <v>1067</v>
      </c>
      <c r="AC58" s="258" t="s">
        <v>2085</v>
      </c>
      <c r="AD58" s="255" t="s">
        <v>830</v>
      </c>
      <c r="AE58" s="1266"/>
      <c r="AF58" s="1266"/>
      <c r="AG58" s="1266"/>
      <c r="AH58" s="1266"/>
      <c r="AI58" s="254"/>
      <c r="AJ58" s="1260"/>
      <c r="AK58" s="1260"/>
      <c r="AL58" s="1266"/>
      <c r="AM58" s="1266"/>
      <c r="AN58" s="1266"/>
      <c r="AO58" s="1266"/>
      <c r="AP58" s="1266"/>
      <c r="AQ58" s="1266"/>
      <c r="AR58" s="1266"/>
      <c r="AS58" s="254"/>
      <c r="AT58" s="1260"/>
      <c r="AU58" s="1260"/>
      <c r="AV58" s="1266"/>
      <c r="AW58" s="1266"/>
      <c r="AX58" s="1266"/>
      <c r="AY58" s="1266"/>
      <c r="AZ58" s="1266"/>
      <c r="BA58" s="1266"/>
      <c r="BB58" s="1266"/>
      <c r="BC58" s="1231"/>
      <c r="BD58" s="167"/>
      <c r="BE58" s="167"/>
      <c r="BF58" s="971" t="s">
        <v>1188</v>
      </c>
    </row>
    <row r="59" spans="1:58" s="1167" customFormat="1" ht="21.75" customHeight="1" x14ac:dyDescent="0.15">
      <c r="A59" s="1152"/>
      <c r="B59" s="773"/>
      <c r="C59" s="1152"/>
      <c r="D59" s="1152"/>
      <c r="E59" s="668">
        <v>22.8</v>
      </c>
      <c r="F59" s="769" t="str" cm="1">
        <f t="array" aca="1" ref="F59" ca="1">OFFSET(G59,-1,-1)</f>
        <v>1</v>
      </c>
      <c r="G59" s="417"/>
      <c r="H59" s="417"/>
      <c r="I59" s="417"/>
      <c r="J59" s="417"/>
      <c r="K59" s="417"/>
      <c r="L59" s="417"/>
      <c r="M59" s="417"/>
      <c r="N59" s="417"/>
      <c r="O59" s="417"/>
      <c r="P59" s="417"/>
      <c r="Q59" s="417"/>
      <c r="R59" s="417"/>
      <c r="S59" s="417"/>
      <c r="T59" s="679" t="b" cm="1">
        <f t="array" ref="T59">T58</f>
        <v>1</v>
      </c>
      <c r="U59" s="1152"/>
      <c r="V59" s="1152"/>
      <c r="W59" s="1152"/>
      <c r="X59" s="1485"/>
      <c r="Y59" s="1152"/>
      <c r="Z59" s="1485"/>
      <c r="AA59" s="167"/>
      <c r="AB59" s="257" t="s">
        <v>426</v>
      </c>
      <c r="AC59" s="258" t="s">
        <v>2086</v>
      </c>
      <c r="AD59" s="255" t="s">
        <v>830</v>
      </c>
      <c r="AE59" s="1266"/>
      <c r="AF59" s="1266"/>
      <c r="AG59" s="1266"/>
      <c r="AH59" s="1266"/>
      <c r="AI59" s="254"/>
      <c r="AJ59" s="1260"/>
      <c r="AK59" s="1260"/>
      <c r="AL59" s="1266"/>
      <c r="AM59" s="1266"/>
      <c r="AN59" s="1266"/>
      <c r="AO59" s="1266"/>
      <c r="AP59" s="1266"/>
      <c r="AQ59" s="1266"/>
      <c r="AR59" s="1266"/>
      <c r="AS59" s="254"/>
      <c r="AT59" s="1260"/>
      <c r="AU59" s="1260"/>
      <c r="AV59" s="1266"/>
      <c r="AW59" s="1266"/>
      <c r="AX59" s="1266"/>
      <c r="AY59" s="1266"/>
      <c r="AZ59" s="1266"/>
      <c r="BA59" s="1266"/>
      <c r="BB59" s="1266"/>
      <c r="BC59" s="1231"/>
      <c r="BD59" s="167"/>
      <c r="BE59" s="167"/>
      <c r="BF59" s="971" t="s">
        <v>1292</v>
      </c>
    </row>
    <row r="60" spans="1:58" s="1167" customFormat="1" ht="16.5" customHeight="1" x14ac:dyDescent="0.15">
      <c r="A60" s="1152"/>
      <c r="B60" s="773"/>
      <c r="C60" s="1152"/>
      <c r="D60" s="1152"/>
      <c r="E60" s="668">
        <v>17.100000000000001</v>
      </c>
      <c r="F60" s="769" t="str" cm="1">
        <f t="array" aca="1" ref="F60" ca="1">OFFSET(G60,-1,-1)</f>
        <v>1</v>
      </c>
      <c r="G60" s="417"/>
      <c r="H60" s="417"/>
      <c r="I60" s="417"/>
      <c r="J60" s="417"/>
      <c r="K60" s="417"/>
      <c r="L60" s="417"/>
      <c r="M60" s="417"/>
      <c r="N60" s="417"/>
      <c r="O60" s="417"/>
      <c r="P60" s="417"/>
      <c r="Q60" s="417"/>
      <c r="R60" s="417"/>
      <c r="S60" s="417"/>
      <c r="T60" s="679" t="b" cm="1">
        <f t="array" ref="T60">T59</f>
        <v>1</v>
      </c>
      <c r="U60" s="1152"/>
      <c r="V60" s="1152"/>
      <c r="W60" s="1152"/>
      <c r="X60" s="1485"/>
      <c r="Y60" s="1152"/>
      <c r="Z60" s="1485"/>
      <c r="AA60" s="167"/>
      <c r="AB60" s="257" t="s">
        <v>431</v>
      </c>
      <c r="AC60" s="258" t="s">
        <v>2087</v>
      </c>
      <c r="AD60" s="255" t="s">
        <v>830</v>
      </c>
      <c r="AE60" s="253">
        <f t="shared" ref="AE60:BB60" si="7">AE61+AE62+AE63</f>
        <v>0</v>
      </c>
      <c r="AF60" s="253">
        <f t="shared" si="7"/>
        <v>0</v>
      </c>
      <c r="AG60" s="253">
        <f t="shared" si="7"/>
        <v>0</v>
      </c>
      <c r="AH60" s="253">
        <f t="shared" si="7"/>
        <v>0</v>
      </c>
      <c r="AI60" s="253">
        <f t="shared" si="7"/>
        <v>0</v>
      </c>
      <c r="AJ60" s="253">
        <f t="shared" si="7"/>
        <v>0</v>
      </c>
      <c r="AK60" s="253">
        <f t="shared" si="7"/>
        <v>0</v>
      </c>
      <c r="AL60" s="253">
        <f t="shared" si="7"/>
        <v>0</v>
      </c>
      <c r="AM60" s="253">
        <f t="shared" si="7"/>
        <v>0</v>
      </c>
      <c r="AN60" s="253">
        <f t="shared" si="7"/>
        <v>0</v>
      </c>
      <c r="AO60" s="253">
        <f t="shared" si="7"/>
        <v>0</v>
      </c>
      <c r="AP60" s="253">
        <f t="shared" si="7"/>
        <v>0</v>
      </c>
      <c r="AQ60" s="253">
        <f t="shared" si="7"/>
        <v>0</v>
      </c>
      <c r="AR60" s="253">
        <f t="shared" si="7"/>
        <v>0</v>
      </c>
      <c r="AS60" s="253">
        <f t="shared" si="7"/>
        <v>0</v>
      </c>
      <c r="AT60" s="253">
        <f t="shared" si="7"/>
        <v>0</v>
      </c>
      <c r="AU60" s="253">
        <f t="shared" si="7"/>
        <v>0</v>
      </c>
      <c r="AV60" s="253">
        <f t="shared" si="7"/>
        <v>0</v>
      </c>
      <c r="AW60" s="253">
        <f t="shared" si="7"/>
        <v>0</v>
      </c>
      <c r="AX60" s="253">
        <f t="shared" si="7"/>
        <v>0</v>
      </c>
      <c r="AY60" s="253">
        <f t="shared" si="7"/>
        <v>0</v>
      </c>
      <c r="AZ60" s="253">
        <f t="shared" si="7"/>
        <v>0</v>
      </c>
      <c r="BA60" s="253">
        <f t="shared" si="7"/>
        <v>0</v>
      </c>
      <c r="BB60" s="253">
        <f t="shared" si="7"/>
        <v>0</v>
      </c>
      <c r="BC60" s="1231"/>
      <c r="BD60" s="167"/>
      <c r="BE60" s="167"/>
      <c r="BF60" s="971" t="s">
        <v>2088</v>
      </c>
    </row>
    <row r="61" spans="1:58" s="1167" customFormat="1" ht="16.5" customHeight="1" x14ac:dyDescent="0.15">
      <c r="A61" s="1152"/>
      <c r="B61" s="773"/>
      <c r="C61" s="1152"/>
      <c r="D61" s="1152"/>
      <c r="E61" s="668">
        <v>17.100000000000001</v>
      </c>
      <c r="F61" s="769" t="str" cm="1">
        <f t="array" aca="1" ref="F61" ca="1">OFFSET(G61,-1,-1)</f>
        <v>1</v>
      </c>
      <c r="G61" s="417"/>
      <c r="H61" s="417"/>
      <c r="I61" s="417"/>
      <c r="J61" s="417"/>
      <c r="K61" s="417"/>
      <c r="L61" s="417"/>
      <c r="M61" s="417"/>
      <c r="N61" s="417"/>
      <c r="O61" s="417"/>
      <c r="P61" s="417"/>
      <c r="Q61" s="417"/>
      <c r="R61" s="417"/>
      <c r="S61" s="417"/>
      <c r="T61" s="679" t="b" cm="1">
        <f t="array" ref="T61">T60</f>
        <v>1</v>
      </c>
      <c r="U61" s="1152"/>
      <c r="V61" s="1152"/>
      <c r="W61" s="1152"/>
      <c r="X61" s="1485"/>
      <c r="Y61" s="1152"/>
      <c r="Z61" s="1485"/>
      <c r="AA61" s="167"/>
      <c r="AB61" s="257" t="s">
        <v>735</v>
      </c>
      <c r="AC61" s="259" t="s">
        <v>2089</v>
      </c>
      <c r="AD61" s="255" t="s">
        <v>830</v>
      </c>
      <c r="AE61" s="1266"/>
      <c r="AF61" s="1266"/>
      <c r="AG61" s="1266"/>
      <c r="AH61" s="1266"/>
      <c r="AI61" s="254"/>
      <c r="AJ61" s="1260"/>
      <c r="AK61" s="1260"/>
      <c r="AL61" s="1266"/>
      <c r="AM61" s="1266"/>
      <c r="AN61" s="1266"/>
      <c r="AO61" s="1266"/>
      <c r="AP61" s="1266"/>
      <c r="AQ61" s="1266"/>
      <c r="AR61" s="1266"/>
      <c r="AS61" s="254"/>
      <c r="AT61" s="1260"/>
      <c r="AU61" s="1260"/>
      <c r="AV61" s="1266"/>
      <c r="AW61" s="1266"/>
      <c r="AX61" s="1266"/>
      <c r="AY61" s="1266"/>
      <c r="AZ61" s="1266"/>
      <c r="BA61" s="1266"/>
      <c r="BB61" s="1266"/>
      <c r="BC61" s="1231"/>
      <c r="BD61" s="167"/>
      <c r="BE61" s="167"/>
      <c r="BF61" s="971" t="s">
        <v>1398</v>
      </c>
    </row>
    <row r="62" spans="1:58" s="1167" customFormat="1" ht="16.5" customHeight="1" x14ac:dyDescent="0.15">
      <c r="A62" s="1152"/>
      <c r="B62" s="773"/>
      <c r="C62" s="1152"/>
      <c r="D62" s="1152"/>
      <c r="E62" s="668">
        <v>17.100000000000001</v>
      </c>
      <c r="F62" s="769" t="str" cm="1">
        <f t="array" aca="1" ref="F62" ca="1">OFFSET(G62,-1,-1)</f>
        <v>1</v>
      </c>
      <c r="G62" s="417"/>
      <c r="H62" s="417"/>
      <c r="I62" s="417"/>
      <c r="J62" s="417"/>
      <c r="K62" s="417"/>
      <c r="L62" s="417"/>
      <c r="M62" s="417"/>
      <c r="N62" s="417"/>
      <c r="O62" s="417"/>
      <c r="P62" s="417"/>
      <c r="Q62" s="417"/>
      <c r="R62" s="417"/>
      <c r="S62" s="417"/>
      <c r="T62" s="679" t="b" cm="1">
        <f t="array" ref="T62">T61</f>
        <v>1</v>
      </c>
      <c r="U62" s="1152"/>
      <c r="V62" s="1152"/>
      <c r="W62" s="1152"/>
      <c r="X62" s="1485"/>
      <c r="Y62" s="1152"/>
      <c r="Z62" s="1485"/>
      <c r="AA62" s="167"/>
      <c r="AB62" s="257" t="s">
        <v>738</v>
      </c>
      <c r="AC62" s="259" t="s">
        <v>2090</v>
      </c>
      <c r="AD62" s="255" t="s">
        <v>830</v>
      </c>
      <c r="AE62" s="1266"/>
      <c r="AF62" s="1266"/>
      <c r="AG62" s="1266"/>
      <c r="AH62" s="1266"/>
      <c r="AI62" s="254"/>
      <c r="AJ62" s="1260"/>
      <c r="AK62" s="1260"/>
      <c r="AL62" s="1266"/>
      <c r="AM62" s="1266"/>
      <c r="AN62" s="1266"/>
      <c r="AO62" s="1266"/>
      <c r="AP62" s="1266"/>
      <c r="AQ62" s="1266"/>
      <c r="AR62" s="1266"/>
      <c r="AS62" s="254"/>
      <c r="AT62" s="1260"/>
      <c r="AU62" s="1260"/>
      <c r="AV62" s="1266"/>
      <c r="AW62" s="1266"/>
      <c r="AX62" s="1266"/>
      <c r="AY62" s="1266"/>
      <c r="AZ62" s="1266"/>
      <c r="BA62" s="1266"/>
      <c r="BB62" s="1266"/>
      <c r="BC62" s="1231"/>
      <c r="BD62" s="167"/>
      <c r="BE62" s="167"/>
      <c r="BF62" s="971" t="s">
        <v>2091</v>
      </c>
    </row>
    <row r="63" spans="1:58" s="1167" customFormat="1" ht="16.5" customHeight="1" x14ac:dyDescent="0.15">
      <c r="A63" s="1152"/>
      <c r="B63" s="773"/>
      <c r="C63" s="1152"/>
      <c r="D63" s="1152"/>
      <c r="E63" s="668">
        <v>17.100000000000001</v>
      </c>
      <c r="F63" s="769" t="str" cm="1">
        <f t="array" aca="1" ref="F63" ca="1">OFFSET(G63,-1,-1)</f>
        <v>1</v>
      </c>
      <c r="G63" s="417"/>
      <c r="H63" s="417"/>
      <c r="I63" s="417"/>
      <c r="J63" s="417"/>
      <c r="K63" s="417"/>
      <c r="L63" s="417"/>
      <c r="M63" s="417"/>
      <c r="N63" s="417"/>
      <c r="O63" s="417"/>
      <c r="P63" s="417"/>
      <c r="Q63" s="417"/>
      <c r="R63" s="417"/>
      <c r="S63" s="417"/>
      <c r="T63" s="679" t="b" cm="1">
        <f t="array" ref="T63">T62</f>
        <v>1</v>
      </c>
      <c r="U63" s="1152"/>
      <c r="V63" s="1152"/>
      <c r="W63" s="1152"/>
      <c r="X63" s="1485"/>
      <c r="Y63" s="1152"/>
      <c r="Z63" s="1485"/>
      <c r="AA63" s="167"/>
      <c r="AB63" s="257" t="s">
        <v>1932</v>
      </c>
      <c r="AC63" s="259" t="s">
        <v>2092</v>
      </c>
      <c r="AD63" s="255" t="s">
        <v>830</v>
      </c>
      <c r="AE63" s="1266"/>
      <c r="AF63" s="1266"/>
      <c r="AG63" s="1266"/>
      <c r="AH63" s="1266"/>
      <c r="AI63" s="254"/>
      <c r="AJ63" s="1260"/>
      <c r="AK63" s="1260"/>
      <c r="AL63" s="1266"/>
      <c r="AM63" s="1266"/>
      <c r="AN63" s="1266"/>
      <c r="AO63" s="1266"/>
      <c r="AP63" s="1266"/>
      <c r="AQ63" s="1266"/>
      <c r="AR63" s="1266"/>
      <c r="AS63" s="254"/>
      <c r="AT63" s="1260"/>
      <c r="AU63" s="1260"/>
      <c r="AV63" s="1266"/>
      <c r="AW63" s="1266"/>
      <c r="AX63" s="1266"/>
      <c r="AY63" s="1266"/>
      <c r="AZ63" s="1266"/>
      <c r="BA63" s="1266"/>
      <c r="BB63" s="1266"/>
      <c r="BC63" s="1231"/>
      <c r="BD63" s="167"/>
      <c r="BE63" s="167"/>
      <c r="BF63" s="971" t="s">
        <v>2093</v>
      </c>
    </row>
    <row r="64" spans="1:58" s="1167" customFormat="1" ht="16.5" customHeight="1" x14ac:dyDescent="0.15">
      <c r="A64" s="1152"/>
      <c r="B64" s="773"/>
      <c r="C64" s="1152"/>
      <c r="D64" s="1152"/>
      <c r="E64" s="668">
        <v>17.100000000000001</v>
      </c>
      <c r="F64" s="769" t="str" cm="1">
        <f t="array" aca="1" ref="F64" ca="1">OFFSET(G64,-1,-1)</f>
        <v>1</v>
      </c>
      <c r="G64" s="417"/>
      <c r="H64" s="417"/>
      <c r="I64" s="417"/>
      <c r="J64" s="417"/>
      <c r="K64" s="417"/>
      <c r="L64" s="417"/>
      <c r="M64" s="417"/>
      <c r="N64" s="417"/>
      <c r="O64" s="417"/>
      <c r="P64" s="417"/>
      <c r="Q64" s="417"/>
      <c r="R64" s="417"/>
      <c r="S64" s="417"/>
      <c r="T64" s="679" t="b" cm="1">
        <f t="array" ref="T64">T63</f>
        <v>1</v>
      </c>
      <c r="U64" s="1152"/>
      <c r="V64" s="1152"/>
      <c r="W64" s="1152"/>
      <c r="X64" s="1485"/>
      <c r="Y64" s="1152"/>
      <c r="Z64" s="1485"/>
      <c r="AA64" s="167"/>
      <c r="AB64" s="257" t="s">
        <v>437</v>
      </c>
      <c r="AC64" s="258" t="s">
        <v>2094</v>
      </c>
      <c r="AD64" s="255" t="s">
        <v>830</v>
      </c>
      <c r="AE64" s="253">
        <f t="shared" ref="AE64:BB64" si="8">AE65+AE66+AE67</f>
        <v>0</v>
      </c>
      <c r="AF64" s="253">
        <f t="shared" si="8"/>
        <v>0</v>
      </c>
      <c r="AG64" s="253">
        <f t="shared" si="8"/>
        <v>0</v>
      </c>
      <c r="AH64" s="253">
        <f t="shared" si="8"/>
        <v>0</v>
      </c>
      <c r="AI64" s="253">
        <f t="shared" si="8"/>
        <v>0</v>
      </c>
      <c r="AJ64" s="253">
        <f t="shared" si="8"/>
        <v>0</v>
      </c>
      <c r="AK64" s="253">
        <f t="shared" si="8"/>
        <v>0</v>
      </c>
      <c r="AL64" s="253">
        <f t="shared" si="8"/>
        <v>0</v>
      </c>
      <c r="AM64" s="253">
        <f t="shared" si="8"/>
        <v>0</v>
      </c>
      <c r="AN64" s="253">
        <f t="shared" si="8"/>
        <v>0</v>
      </c>
      <c r="AO64" s="253">
        <f t="shared" si="8"/>
        <v>0</v>
      </c>
      <c r="AP64" s="253">
        <f t="shared" si="8"/>
        <v>0</v>
      </c>
      <c r="AQ64" s="253">
        <f t="shared" si="8"/>
        <v>0</v>
      </c>
      <c r="AR64" s="253">
        <f t="shared" si="8"/>
        <v>0</v>
      </c>
      <c r="AS64" s="253">
        <f t="shared" si="8"/>
        <v>0</v>
      </c>
      <c r="AT64" s="253">
        <f t="shared" si="8"/>
        <v>0</v>
      </c>
      <c r="AU64" s="253">
        <f t="shared" si="8"/>
        <v>0</v>
      </c>
      <c r="AV64" s="253">
        <f t="shared" si="8"/>
        <v>0</v>
      </c>
      <c r="AW64" s="253">
        <f t="shared" si="8"/>
        <v>0</v>
      </c>
      <c r="AX64" s="253">
        <f t="shared" si="8"/>
        <v>0</v>
      </c>
      <c r="AY64" s="253">
        <f t="shared" si="8"/>
        <v>0</v>
      </c>
      <c r="AZ64" s="253">
        <f t="shared" si="8"/>
        <v>0</v>
      </c>
      <c r="BA64" s="253">
        <f t="shared" si="8"/>
        <v>0</v>
      </c>
      <c r="BB64" s="253">
        <f t="shared" si="8"/>
        <v>0</v>
      </c>
      <c r="BC64" s="1231"/>
      <c r="BD64" s="167"/>
      <c r="BE64" s="167"/>
      <c r="BF64" s="971" t="s">
        <v>1817</v>
      </c>
    </row>
    <row r="65" spans="1:58" s="1167" customFormat="1" ht="16.5" customHeight="1" x14ac:dyDescent="0.15">
      <c r="A65" s="1152"/>
      <c r="B65" s="773"/>
      <c r="C65" s="1152"/>
      <c r="D65" s="1152"/>
      <c r="E65" s="668">
        <v>17.100000000000001</v>
      </c>
      <c r="F65" s="769" t="str" cm="1">
        <f t="array" aca="1" ref="F65" ca="1">OFFSET(G65,-1,-1)</f>
        <v>1</v>
      </c>
      <c r="G65" s="417"/>
      <c r="H65" s="417"/>
      <c r="I65" s="417"/>
      <c r="J65" s="417"/>
      <c r="K65" s="417"/>
      <c r="L65" s="417"/>
      <c r="M65" s="417"/>
      <c r="N65" s="417"/>
      <c r="O65" s="417"/>
      <c r="P65" s="417"/>
      <c r="Q65" s="417"/>
      <c r="R65" s="417"/>
      <c r="S65" s="417"/>
      <c r="T65" s="679" t="b" cm="1">
        <f t="array" ref="T65">T64</f>
        <v>1</v>
      </c>
      <c r="U65" s="1152"/>
      <c r="V65" s="1152"/>
      <c r="W65" s="1152"/>
      <c r="X65" s="1485"/>
      <c r="Y65" s="1152"/>
      <c r="Z65" s="1485"/>
      <c r="AA65" s="167"/>
      <c r="AB65" s="257" t="s">
        <v>771</v>
      </c>
      <c r="AC65" s="259" t="s">
        <v>2095</v>
      </c>
      <c r="AD65" s="255" t="s">
        <v>830</v>
      </c>
      <c r="AE65" s="1266"/>
      <c r="AF65" s="1266"/>
      <c r="AG65" s="1266"/>
      <c r="AH65" s="1266"/>
      <c r="AI65" s="254"/>
      <c r="AJ65" s="1260"/>
      <c r="AK65" s="1260"/>
      <c r="AL65" s="1266"/>
      <c r="AM65" s="1266"/>
      <c r="AN65" s="1266"/>
      <c r="AO65" s="1266"/>
      <c r="AP65" s="1266"/>
      <c r="AQ65" s="1266"/>
      <c r="AR65" s="1266"/>
      <c r="AS65" s="254"/>
      <c r="AT65" s="1260"/>
      <c r="AU65" s="1260"/>
      <c r="AV65" s="1266"/>
      <c r="AW65" s="1266"/>
      <c r="AX65" s="1266"/>
      <c r="AY65" s="1266"/>
      <c r="AZ65" s="1266"/>
      <c r="BA65" s="1266"/>
      <c r="BB65" s="1266"/>
      <c r="BC65" s="1231"/>
      <c r="BD65" s="167"/>
      <c r="BE65" s="167"/>
      <c r="BF65" s="971" t="s">
        <v>2096</v>
      </c>
    </row>
    <row r="66" spans="1:58" s="1167" customFormat="1" ht="16.5" customHeight="1" x14ac:dyDescent="0.15">
      <c r="A66" s="1152"/>
      <c r="B66" s="773"/>
      <c r="C66" s="1152"/>
      <c r="D66" s="1152"/>
      <c r="E66" s="668">
        <v>17.100000000000001</v>
      </c>
      <c r="F66" s="769" t="str" cm="1">
        <f t="array" aca="1" ref="F66" ca="1">OFFSET(G66,-1,-1)</f>
        <v>1</v>
      </c>
      <c r="G66" s="417"/>
      <c r="H66" s="417"/>
      <c r="I66" s="417"/>
      <c r="J66" s="417"/>
      <c r="K66" s="417"/>
      <c r="L66" s="417"/>
      <c r="M66" s="417"/>
      <c r="N66" s="417"/>
      <c r="O66" s="417"/>
      <c r="P66" s="417"/>
      <c r="Q66" s="417"/>
      <c r="R66" s="417"/>
      <c r="S66" s="417"/>
      <c r="T66" s="679" t="b" cm="1">
        <f t="array" ref="T66">T65</f>
        <v>1</v>
      </c>
      <c r="U66" s="1152"/>
      <c r="V66" s="1152"/>
      <c r="W66" s="1152"/>
      <c r="X66" s="1485"/>
      <c r="Y66" s="1152"/>
      <c r="Z66" s="1485"/>
      <c r="AA66" s="167"/>
      <c r="AB66" s="257" t="s">
        <v>1633</v>
      </c>
      <c r="AC66" s="259" t="s">
        <v>2097</v>
      </c>
      <c r="AD66" s="255" t="s">
        <v>830</v>
      </c>
      <c r="AE66" s="1266"/>
      <c r="AF66" s="1266"/>
      <c r="AG66" s="1266"/>
      <c r="AH66" s="1266"/>
      <c r="AI66" s="254"/>
      <c r="AJ66" s="1260"/>
      <c r="AK66" s="1260"/>
      <c r="AL66" s="1266"/>
      <c r="AM66" s="1266"/>
      <c r="AN66" s="1266"/>
      <c r="AO66" s="1266"/>
      <c r="AP66" s="1266"/>
      <c r="AQ66" s="1266"/>
      <c r="AR66" s="1266"/>
      <c r="AS66" s="254"/>
      <c r="AT66" s="1260"/>
      <c r="AU66" s="1260"/>
      <c r="AV66" s="1266"/>
      <c r="AW66" s="1266"/>
      <c r="AX66" s="1266"/>
      <c r="AY66" s="1266"/>
      <c r="AZ66" s="1266"/>
      <c r="BA66" s="1266"/>
      <c r="BB66" s="1266"/>
      <c r="BC66" s="1231"/>
      <c r="BD66" s="167"/>
      <c r="BE66" s="167"/>
      <c r="BF66" s="971" t="s">
        <v>2098</v>
      </c>
    </row>
    <row r="67" spans="1:58" s="1167" customFormat="1" ht="16.5" customHeight="1" x14ac:dyDescent="0.15">
      <c r="A67" s="1152"/>
      <c r="B67" s="773"/>
      <c r="C67" s="1152"/>
      <c r="D67" s="1152"/>
      <c r="E67" s="668">
        <v>17.100000000000001</v>
      </c>
      <c r="F67" s="769" t="str" cm="1">
        <f t="array" aca="1" ref="F67" ca="1">OFFSET(G67,-1,-1)</f>
        <v>1</v>
      </c>
      <c r="G67" s="417"/>
      <c r="H67" s="417"/>
      <c r="I67" s="417"/>
      <c r="J67" s="417"/>
      <c r="K67" s="417"/>
      <c r="L67" s="417"/>
      <c r="M67" s="417"/>
      <c r="N67" s="417"/>
      <c r="O67" s="417"/>
      <c r="P67" s="417"/>
      <c r="Q67" s="417"/>
      <c r="R67" s="417"/>
      <c r="S67" s="417"/>
      <c r="T67" s="679" t="b" cm="1">
        <f t="array" ref="T67">T66</f>
        <v>1</v>
      </c>
      <c r="U67" s="1152"/>
      <c r="V67" s="1152"/>
      <c r="W67" s="1152"/>
      <c r="X67" s="1485"/>
      <c r="Y67" s="1152"/>
      <c r="Z67" s="1485"/>
      <c r="AA67" s="167"/>
      <c r="AB67" s="257" t="s">
        <v>1688</v>
      </c>
      <c r="AC67" s="259" t="s">
        <v>2099</v>
      </c>
      <c r="AD67" s="255" t="s">
        <v>830</v>
      </c>
      <c r="AE67" s="1266"/>
      <c r="AF67" s="1266"/>
      <c r="AG67" s="1266"/>
      <c r="AH67" s="1266"/>
      <c r="AI67" s="254"/>
      <c r="AJ67" s="1260"/>
      <c r="AK67" s="1260"/>
      <c r="AL67" s="1266"/>
      <c r="AM67" s="1266"/>
      <c r="AN67" s="1266"/>
      <c r="AO67" s="1266"/>
      <c r="AP67" s="1266"/>
      <c r="AQ67" s="1266"/>
      <c r="AR67" s="1266"/>
      <c r="AS67" s="254"/>
      <c r="AT67" s="1260"/>
      <c r="AU67" s="1260"/>
      <c r="AV67" s="1266"/>
      <c r="AW67" s="1266"/>
      <c r="AX67" s="1266"/>
      <c r="AY67" s="1266"/>
      <c r="AZ67" s="1266"/>
      <c r="BA67" s="1266"/>
      <c r="BB67" s="1266"/>
      <c r="BC67" s="1231"/>
      <c r="BD67" s="167"/>
      <c r="BE67" s="167"/>
      <c r="BF67" s="971" t="s">
        <v>2100</v>
      </c>
    </row>
    <row r="68" spans="1:58" s="1167" customFormat="1" ht="16.5" customHeight="1" x14ac:dyDescent="0.15">
      <c r="A68" s="1152"/>
      <c r="B68" s="773"/>
      <c r="C68" s="1152"/>
      <c r="D68" s="1152"/>
      <c r="E68" s="668">
        <v>17.100000000000001</v>
      </c>
      <c r="F68" s="769" t="str" cm="1">
        <f t="array" aca="1" ref="F68" ca="1">OFFSET(G68,-1,-1)</f>
        <v>1</v>
      </c>
      <c r="G68" s="417"/>
      <c r="H68" s="417"/>
      <c r="I68" s="417"/>
      <c r="J68" s="417"/>
      <c r="K68" s="417"/>
      <c r="L68" s="417"/>
      <c r="M68" s="417"/>
      <c r="N68" s="417"/>
      <c r="O68" s="417"/>
      <c r="P68" s="417"/>
      <c r="Q68" s="417"/>
      <c r="R68" s="417"/>
      <c r="S68" s="417"/>
      <c r="T68" s="679" t="b" cm="1">
        <f t="array" ref="T68">T67</f>
        <v>1</v>
      </c>
      <c r="U68" s="1152"/>
      <c r="V68" s="1152"/>
      <c r="W68" s="1152"/>
      <c r="X68" s="1485"/>
      <c r="Y68" s="1152"/>
      <c r="Z68" s="1485"/>
      <c r="AA68" s="167"/>
      <c r="AB68" s="257" t="s">
        <v>441</v>
      </c>
      <c r="AC68" s="259" t="s">
        <v>2101</v>
      </c>
      <c r="AD68" s="255" t="s">
        <v>830</v>
      </c>
      <c r="AE68" s="1266"/>
      <c r="AF68" s="1266"/>
      <c r="AG68" s="1266"/>
      <c r="AH68" s="1266"/>
      <c r="AI68" s="254"/>
      <c r="AJ68" s="1260"/>
      <c r="AK68" s="1260"/>
      <c r="AL68" s="1266"/>
      <c r="AM68" s="1266"/>
      <c r="AN68" s="1266"/>
      <c r="AO68" s="1266"/>
      <c r="AP68" s="1266"/>
      <c r="AQ68" s="1266"/>
      <c r="AR68" s="1266"/>
      <c r="AS68" s="254"/>
      <c r="AT68" s="1260"/>
      <c r="AU68" s="1260"/>
      <c r="AV68" s="1266"/>
      <c r="AW68" s="1266"/>
      <c r="AX68" s="1266"/>
      <c r="AY68" s="1266"/>
      <c r="AZ68" s="1266"/>
      <c r="BA68" s="1266"/>
      <c r="BB68" s="1266"/>
      <c r="BC68" s="1231"/>
      <c r="BD68" s="167"/>
      <c r="BE68" s="167"/>
      <c r="BF68" s="971" t="s">
        <v>2102</v>
      </c>
    </row>
    <row r="69" spans="1:58" ht="11.65" customHeight="1" x14ac:dyDescent="0.15">
      <c r="E69" s="668">
        <v>12</v>
      </c>
      <c r="U69" s="126" t="s">
        <v>239</v>
      </c>
      <c r="V69" s="119" t="s">
        <v>2103</v>
      </c>
      <c r="AC69" s="160"/>
    </row>
    <row r="70" spans="1:58" ht="12.75" hidden="1" customHeight="1" x14ac:dyDescent="0.15">
      <c r="E70" s="668">
        <v>0</v>
      </c>
      <c r="AC70" s="160"/>
    </row>
    <row r="71" spans="1:58" ht="14.65" customHeight="1" x14ac:dyDescent="0.15">
      <c r="E71" s="668">
        <v>15</v>
      </c>
      <c r="AB71" s="1558" t="s">
        <v>725</v>
      </c>
      <c r="AC71" s="1611"/>
      <c r="AD71" s="1611"/>
      <c r="AE71" s="1611"/>
      <c r="AF71" s="1611"/>
      <c r="AG71" s="1611"/>
      <c r="AH71" s="1611"/>
      <c r="AI71" s="1611"/>
      <c r="AJ71" s="1611"/>
      <c r="AK71" s="1611"/>
      <c r="AL71" s="1611"/>
      <c r="AM71" s="1611"/>
      <c r="AN71" s="1611"/>
      <c r="AO71" s="1611"/>
      <c r="AP71" s="1611"/>
      <c r="AQ71" s="1611"/>
      <c r="AR71" s="1611"/>
      <c r="AS71" s="1611"/>
      <c r="AT71" s="1611"/>
      <c r="AU71" s="1611"/>
      <c r="AV71" s="1611"/>
      <c r="AW71" s="1611"/>
      <c r="AX71" s="1611"/>
      <c r="AY71" s="1611"/>
      <c r="AZ71" s="1611"/>
      <c r="BA71" s="1611"/>
      <c r="BB71" s="1611"/>
      <c r="BC71" s="1611"/>
    </row>
    <row r="72" spans="1:58" ht="14.65" customHeight="1" x14ac:dyDescent="0.15">
      <c r="E72" s="668">
        <v>15</v>
      </c>
      <c r="AA72" s="768"/>
      <c r="AB72" s="1579"/>
      <c r="AC72" s="1579"/>
      <c r="AD72" s="1579"/>
      <c r="AE72" s="1579"/>
      <c r="AF72" s="1579"/>
      <c r="AG72" s="1579"/>
      <c r="AH72" s="1579"/>
      <c r="AI72" s="1579"/>
      <c r="AJ72" s="1575"/>
      <c r="AK72" s="1575"/>
      <c r="AL72" s="1575"/>
      <c r="AM72" s="1575"/>
      <c r="AN72" s="1575"/>
      <c r="AO72" s="1575"/>
      <c r="AP72" s="1575"/>
      <c r="AQ72" s="1575"/>
      <c r="AR72" s="1575"/>
      <c r="AS72" s="1579"/>
      <c r="AT72" s="1575"/>
      <c r="AU72" s="1575"/>
      <c r="AV72" s="1575"/>
      <c r="AW72" s="1575"/>
      <c r="AX72" s="1575"/>
      <c r="AY72" s="1575"/>
      <c r="AZ72" s="1575"/>
      <c r="BA72" s="1575"/>
      <c r="BB72" s="1575"/>
      <c r="BC72" s="1579"/>
    </row>
    <row r="73" spans="1:58" ht="14.65" hidden="1" customHeight="1" x14ac:dyDescent="0.15">
      <c r="E73" s="668">
        <v>15</v>
      </c>
      <c r="T73" s="679" t="b">
        <f>ROW(W73)&gt;ROW(W$73)</f>
        <v>0</v>
      </c>
      <c r="W73" s="123" t="s">
        <v>237</v>
      </c>
      <c r="AA73" s="764" t="s">
        <v>218</v>
      </c>
      <c r="AB73" s="1575"/>
      <c r="AC73" s="1575"/>
      <c r="AD73" s="1575"/>
      <c r="AE73" s="1575"/>
      <c r="AF73" s="1575"/>
      <c r="AG73" s="1575"/>
      <c r="AH73" s="1575"/>
      <c r="AI73" s="1579"/>
      <c r="AJ73" s="1575"/>
      <c r="AK73" s="1575"/>
      <c r="AL73" s="1575"/>
      <c r="AM73" s="1575"/>
      <c r="AN73" s="1575"/>
      <c r="AO73" s="1575"/>
      <c r="AP73" s="1575"/>
      <c r="AQ73" s="1575"/>
      <c r="AR73" s="1575"/>
      <c r="AS73" s="1579"/>
      <c r="AT73" s="1575"/>
      <c r="AU73" s="1575"/>
      <c r="AV73" s="1575"/>
      <c r="AW73" s="1575"/>
      <c r="AX73" s="1575"/>
      <c r="AY73" s="1575"/>
      <c r="AZ73" s="1575"/>
      <c r="BA73" s="1575"/>
      <c r="BB73" s="1575"/>
      <c r="BC73" s="1575"/>
    </row>
    <row r="74" spans="1:58" ht="14.65" customHeight="1" x14ac:dyDescent="0.15">
      <c r="E74" s="668">
        <v>15</v>
      </c>
      <c r="W74" s="119" t="s">
        <v>238</v>
      </c>
      <c r="AA74" s="160"/>
      <c r="AB74" s="1500" t="s">
        <v>726</v>
      </c>
      <c r="AC74" s="1501"/>
      <c r="AD74" s="317"/>
      <c r="AE74" s="317"/>
      <c r="AF74" s="317"/>
      <c r="AG74" s="317"/>
      <c r="AH74" s="317"/>
      <c r="AI74" s="317"/>
      <c r="AJ74" s="317"/>
      <c r="AK74" s="317"/>
      <c r="AL74" s="317"/>
      <c r="AM74" s="317"/>
      <c r="AN74" s="317"/>
      <c r="AO74" s="317"/>
      <c r="AP74" s="317"/>
      <c r="AQ74" s="317"/>
      <c r="AR74" s="317"/>
      <c r="AS74" s="317"/>
      <c r="AT74" s="317"/>
      <c r="AU74" s="317"/>
      <c r="AV74" s="317"/>
      <c r="AW74" s="317"/>
      <c r="AX74" s="317"/>
      <c r="AY74" s="317"/>
      <c r="AZ74" s="317"/>
      <c r="BA74" s="317"/>
      <c r="BB74" s="317"/>
      <c r="BC74" s="290"/>
    </row>
    <row r="75" spans="1:58" ht="11.25" customHeight="1" x14ac:dyDescent="0.15">
      <c r="BD75" s="148"/>
    </row>
  </sheetData>
  <sheetProtection formatColumns="0" formatRows="0" insertRows="0" deleteColumns="0" deleteRows="0" sort="0" autoFilter="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xr:uid="{00000000-0002-0000-1F00-000000000000}">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534D7-9548-4468-46B4-4B724648D6C3}">
  <sheetPr>
    <tabColor rgb="FF002060"/>
    <outlinePr summaryBelow="0" summaryRight="0"/>
  </sheetPr>
  <dimension ref="A1:GD126"/>
  <sheetViews>
    <sheetView showGridLines="0" tabSelected="1" workbookViewId="0">
      <pane xSplit="29" ySplit="27" topLeftCell="AD74" activePane="bottomRight" state="frozen"/>
      <selection pane="topRight" activeCell="AD1" sqref="AD1"/>
      <selection pane="bottomLeft" activeCell="A28" sqref="A28"/>
      <selection pane="bottomRight" activeCell="AE87" sqref="AE87"/>
    </sheetView>
  </sheetViews>
  <sheetFormatPr defaultColWidth="9.140625" defaultRowHeight="11.25" customHeight="1" x14ac:dyDescent="0.15"/>
  <cols>
    <col min="1" max="1" width="3.5703125" style="1152" hidden="1" customWidth="1"/>
    <col min="2" max="2" width="8.5703125" style="773" hidden="1" customWidth="1"/>
    <col min="3" max="3" width="13.28515625" style="1108" hidden="1" customWidth="1"/>
    <col min="4" max="4" width="12.28515625" style="1077" hidden="1" customWidth="1"/>
    <col min="5" max="5" width="8.42578125" style="772" hidden="1" customWidth="1"/>
    <col min="6" max="6" width="6.42578125" style="1152" hidden="1" customWidth="1"/>
    <col min="7" max="9" width="3.5703125" style="417" hidden="1" customWidth="1"/>
    <col min="10" max="16" width="14.42578125" style="1100" hidden="1" customWidth="1"/>
    <col min="17" max="17" width="14.42578125" style="1147" hidden="1" customWidth="1"/>
    <col min="18" max="18" width="14.140625" style="774" hidden="1" customWidth="1"/>
    <col min="19" max="19" width="8.140625" style="417" hidden="1" customWidth="1"/>
    <col min="20" max="20" width="8" style="1152" hidden="1" customWidth="1"/>
    <col min="21" max="21" width="6" style="1152" hidden="1" customWidth="1"/>
    <col min="22" max="23" width="6.28515625" style="1152" hidden="1" customWidth="1"/>
    <col min="24" max="24" width="5.85546875" style="1152" hidden="1" customWidth="1"/>
    <col min="25" max="25" width="5.7109375" style="1152" hidden="1" customWidth="1"/>
    <col min="26" max="26" width="5.42578125" style="1152" hidden="1" customWidth="1"/>
    <col min="27" max="27" width="3" style="417" customWidth="1"/>
    <col min="28" max="28" width="90" style="273" customWidth="1"/>
    <col min="29" max="29" width="23.5703125" style="162" customWidth="1"/>
    <col min="30" max="32" width="14.28515625" style="417" customWidth="1"/>
    <col min="33" max="179" width="14.28515625" style="417" hidden="1" customWidth="1"/>
    <col min="180" max="180" width="3" style="417" customWidth="1"/>
    <col min="181" max="181" width="9.140625" style="417" hidden="1"/>
    <col min="182" max="182" width="8.5703125" style="1005" hidden="1" customWidth="1"/>
    <col min="183" max="186" width="8.5703125" style="1148" hidden="1" customWidth="1"/>
  </cols>
  <sheetData>
    <row r="1" spans="1:186" s="1152" customFormat="1" ht="12" hidden="1" customHeight="1" x14ac:dyDescent="0.15">
      <c r="B1" s="659"/>
      <c r="C1" s="1108" t="s">
        <v>84</v>
      </c>
      <c r="D1" s="1077" t="s">
        <v>85</v>
      </c>
      <c r="E1" s="659"/>
      <c r="F1" s="690" t="s">
        <v>83</v>
      </c>
      <c r="G1" s="160"/>
      <c r="H1" s="160"/>
      <c r="I1" s="160"/>
      <c r="J1" s="1082" t="s">
        <v>2104</v>
      </c>
      <c r="K1" s="1082" t="s">
        <v>1592</v>
      </c>
      <c r="L1" s="1082" t="s">
        <v>2105</v>
      </c>
      <c r="M1" s="1082" t="s">
        <v>1593</v>
      </c>
      <c r="N1" s="1082" t="s">
        <v>2106</v>
      </c>
      <c r="O1" s="1082" t="s">
        <v>2021</v>
      </c>
      <c r="P1" s="1082" t="s">
        <v>2107</v>
      </c>
      <c r="Q1" s="1100" t="s">
        <v>94</v>
      </c>
      <c r="R1" s="612"/>
      <c r="S1" s="160"/>
      <c r="T1" s="679" t="s">
        <v>86</v>
      </c>
      <c r="U1" s="679" t="s">
        <v>91</v>
      </c>
      <c r="V1" s="679" t="s">
        <v>87</v>
      </c>
      <c r="W1" s="679" t="s">
        <v>88</v>
      </c>
      <c r="X1" s="679" t="s">
        <v>89</v>
      </c>
      <c r="Y1" s="690" t="s">
        <v>374</v>
      </c>
      <c r="Z1" s="679" t="s">
        <v>93</v>
      </c>
      <c r="AA1" s="690" t="s">
        <v>90</v>
      </c>
      <c r="AB1" s="690" t="s">
        <v>92</v>
      </c>
      <c r="AC1" s="119"/>
      <c r="FZ1" s="971" t="s">
        <v>375</v>
      </c>
      <c r="GA1" s="1005" t="s">
        <v>376</v>
      </c>
      <c r="GB1" s="1005" t="s">
        <v>377</v>
      </c>
      <c r="GC1" s="1005" t="s">
        <v>380</v>
      </c>
      <c r="GD1" s="1005" t="s">
        <v>381</v>
      </c>
    </row>
    <row r="2" spans="1:186" s="773" customFormat="1" ht="12" hidden="1" customHeight="1" x14ac:dyDescent="0.15">
      <c r="B2" s="758" t="s">
        <v>15</v>
      </c>
      <c r="C2" s="1109"/>
      <c r="D2" s="1040"/>
      <c r="G2" s="776"/>
      <c r="H2" s="776"/>
      <c r="I2" s="776"/>
      <c r="J2" s="1081"/>
      <c r="K2" s="1081"/>
      <c r="L2" s="1081"/>
      <c r="M2" s="1081"/>
      <c r="N2" s="1081"/>
      <c r="O2" s="1081"/>
      <c r="P2" s="1081"/>
      <c r="Q2" s="1115"/>
      <c r="R2" s="776"/>
      <c r="S2" s="776"/>
      <c r="AB2" s="663"/>
      <c r="AC2" s="663"/>
      <c r="AG2" s="680" t="b">
        <f t="shared" ref="AG2:BL2" si="0">AG6&lt;=last_year_vis</f>
        <v>0</v>
      </c>
      <c r="AH2" s="680" t="b">
        <f t="shared" si="0"/>
        <v>0</v>
      </c>
      <c r="AI2" s="680" t="b">
        <f t="shared" si="0"/>
        <v>0</v>
      </c>
      <c r="AJ2" s="680" t="b">
        <f t="shared" si="0"/>
        <v>0</v>
      </c>
      <c r="AK2" s="680" t="b">
        <f t="shared" si="0"/>
        <v>0</v>
      </c>
      <c r="AL2" s="680" t="b">
        <f t="shared" si="0"/>
        <v>0</v>
      </c>
      <c r="AM2" s="680" t="b">
        <f t="shared" si="0"/>
        <v>0</v>
      </c>
      <c r="AN2" s="680" t="b">
        <f t="shared" si="0"/>
        <v>0</v>
      </c>
      <c r="AO2" s="680" t="b">
        <f t="shared" si="0"/>
        <v>0</v>
      </c>
      <c r="AP2" s="680" t="b">
        <f t="shared" si="0"/>
        <v>0</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AY2" s="680" t="b">
        <f t="shared" si="0"/>
        <v>0</v>
      </c>
      <c r="AZ2" s="680" t="b">
        <f t="shared" si="0"/>
        <v>0</v>
      </c>
      <c r="BA2" s="680" t="b">
        <f t="shared" si="0"/>
        <v>0</v>
      </c>
      <c r="BB2" s="680" t="b">
        <f t="shared" si="0"/>
        <v>0</v>
      </c>
      <c r="BC2" s="680" t="b">
        <f t="shared" si="0"/>
        <v>0</v>
      </c>
      <c r="BD2" s="680" t="b">
        <f t="shared" si="0"/>
        <v>0</v>
      </c>
      <c r="BE2" s="680" t="b">
        <f t="shared" si="0"/>
        <v>0</v>
      </c>
      <c r="BF2" s="680" t="b">
        <f t="shared" si="0"/>
        <v>0</v>
      </c>
      <c r="BG2" s="680" t="b">
        <f t="shared" si="0"/>
        <v>0</v>
      </c>
      <c r="BH2" s="680" t="b">
        <f t="shared" si="0"/>
        <v>0</v>
      </c>
      <c r="BI2" s="680" t="b">
        <f t="shared" si="0"/>
        <v>0</v>
      </c>
      <c r="BJ2" s="680" t="b">
        <f t="shared" si="0"/>
        <v>0</v>
      </c>
      <c r="BK2" s="680" t="b">
        <f t="shared" si="0"/>
        <v>0</v>
      </c>
      <c r="BL2" s="680" t="b">
        <f t="shared" si="0"/>
        <v>0</v>
      </c>
      <c r="BM2" s="680" t="b">
        <f t="shared" ref="BM2:CR2" si="1">BM6&lt;=last_year_vis</f>
        <v>0</v>
      </c>
      <c r="BN2" s="680" t="b">
        <f t="shared" si="1"/>
        <v>0</v>
      </c>
      <c r="BO2" s="680" t="b">
        <f t="shared" si="1"/>
        <v>0</v>
      </c>
      <c r="BP2" s="680" t="b">
        <f t="shared" si="1"/>
        <v>0</v>
      </c>
      <c r="BQ2" s="680" t="b">
        <f t="shared" si="1"/>
        <v>0</v>
      </c>
      <c r="BR2" s="680" t="b">
        <f t="shared" si="1"/>
        <v>0</v>
      </c>
      <c r="BS2" s="680" t="b">
        <f t="shared" si="1"/>
        <v>0</v>
      </c>
      <c r="BT2" s="680" t="b">
        <f t="shared" si="1"/>
        <v>0</v>
      </c>
      <c r="BU2" s="680" t="b">
        <f t="shared" si="1"/>
        <v>0</v>
      </c>
      <c r="BV2" s="680" t="b">
        <f t="shared" si="1"/>
        <v>0</v>
      </c>
      <c r="BW2" s="680" t="b">
        <f t="shared" si="1"/>
        <v>0</v>
      </c>
      <c r="BX2" s="680" t="b">
        <f t="shared" si="1"/>
        <v>0</v>
      </c>
      <c r="BY2" s="680" t="b">
        <f t="shared" si="1"/>
        <v>0</v>
      </c>
      <c r="BZ2" s="680" t="b">
        <f t="shared" si="1"/>
        <v>0</v>
      </c>
      <c r="CA2" s="680" t="b">
        <f t="shared" si="1"/>
        <v>0</v>
      </c>
      <c r="CB2" s="680" t="b">
        <f t="shared" si="1"/>
        <v>0</v>
      </c>
      <c r="CC2" s="680" t="b">
        <f t="shared" si="1"/>
        <v>0</v>
      </c>
      <c r="CD2" s="680" t="b">
        <f t="shared" si="1"/>
        <v>0</v>
      </c>
      <c r="CE2" s="680" t="b">
        <f t="shared" si="1"/>
        <v>0</v>
      </c>
      <c r="CF2" s="680" t="b">
        <f t="shared" si="1"/>
        <v>0</v>
      </c>
      <c r="CG2" s="680" t="b">
        <f t="shared" si="1"/>
        <v>0</v>
      </c>
      <c r="CH2" s="680" t="b">
        <f t="shared" si="1"/>
        <v>0</v>
      </c>
      <c r="CI2" s="680" t="b">
        <f t="shared" si="1"/>
        <v>0</v>
      </c>
      <c r="CJ2" s="680" t="b">
        <f t="shared" si="1"/>
        <v>0</v>
      </c>
      <c r="CK2" s="680" t="b">
        <f t="shared" si="1"/>
        <v>0</v>
      </c>
      <c r="CL2" s="680" t="b">
        <f t="shared" si="1"/>
        <v>0</v>
      </c>
      <c r="CM2" s="680" t="b">
        <f t="shared" si="1"/>
        <v>0</v>
      </c>
      <c r="CN2" s="680" t="b">
        <f t="shared" si="1"/>
        <v>0</v>
      </c>
      <c r="CO2" s="680" t="b">
        <f t="shared" si="1"/>
        <v>0</v>
      </c>
      <c r="CP2" s="680" t="b">
        <f t="shared" si="1"/>
        <v>0</v>
      </c>
      <c r="CQ2" s="680" t="b">
        <f t="shared" si="1"/>
        <v>0</v>
      </c>
      <c r="CR2" s="680" t="b">
        <f t="shared" si="1"/>
        <v>0</v>
      </c>
      <c r="CS2" s="680" t="b">
        <f t="shared" ref="CS2:DX2" si="2">CS6&lt;=last_year_vis</f>
        <v>0</v>
      </c>
      <c r="CT2" s="680" t="b">
        <f t="shared" si="2"/>
        <v>0</v>
      </c>
      <c r="CU2" s="680" t="b">
        <f t="shared" si="2"/>
        <v>0</v>
      </c>
      <c r="CV2" s="680" t="b">
        <f t="shared" si="2"/>
        <v>0</v>
      </c>
      <c r="CW2" s="680" t="b">
        <f t="shared" si="2"/>
        <v>0</v>
      </c>
      <c r="CX2" s="680" t="b">
        <f t="shared" si="2"/>
        <v>0</v>
      </c>
      <c r="CY2" s="680" t="b">
        <f t="shared" si="2"/>
        <v>0</v>
      </c>
      <c r="CZ2" s="680" t="b">
        <f t="shared" si="2"/>
        <v>0</v>
      </c>
      <c r="DA2" s="680" t="b">
        <f t="shared" si="2"/>
        <v>0</v>
      </c>
      <c r="DB2" s="680" t="b">
        <f t="shared" si="2"/>
        <v>0</v>
      </c>
      <c r="DC2" s="680" t="b">
        <f t="shared" si="2"/>
        <v>0</v>
      </c>
      <c r="DD2" s="680" t="b">
        <f t="shared" si="2"/>
        <v>0</v>
      </c>
      <c r="DE2" s="680" t="b">
        <f t="shared" si="2"/>
        <v>0</v>
      </c>
      <c r="DF2" s="680" t="b">
        <f t="shared" si="2"/>
        <v>0</v>
      </c>
      <c r="DG2" s="680" t="b">
        <f t="shared" si="2"/>
        <v>0</v>
      </c>
      <c r="DH2" s="680" t="b">
        <f t="shared" si="2"/>
        <v>0</v>
      </c>
      <c r="DI2" s="680" t="b">
        <f t="shared" si="2"/>
        <v>0</v>
      </c>
      <c r="DJ2" s="680" t="b">
        <f t="shared" si="2"/>
        <v>0</v>
      </c>
      <c r="DK2" s="680" t="b">
        <f t="shared" si="2"/>
        <v>0</v>
      </c>
      <c r="DL2" s="680" t="b">
        <f t="shared" si="2"/>
        <v>0</v>
      </c>
      <c r="DM2" s="680" t="b">
        <f t="shared" si="2"/>
        <v>0</v>
      </c>
      <c r="DN2" s="680" t="b">
        <f t="shared" si="2"/>
        <v>0</v>
      </c>
      <c r="DO2" s="680" t="b">
        <f t="shared" si="2"/>
        <v>0</v>
      </c>
      <c r="DP2" s="680" t="b">
        <f t="shared" si="2"/>
        <v>0</v>
      </c>
      <c r="DQ2" s="680" t="b">
        <f t="shared" si="2"/>
        <v>0</v>
      </c>
      <c r="DR2" s="680" t="b">
        <f t="shared" si="2"/>
        <v>0</v>
      </c>
      <c r="DS2" s="680" t="b">
        <f t="shared" si="2"/>
        <v>0</v>
      </c>
      <c r="DT2" s="680" t="b">
        <f t="shared" si="2"/>
        <v>0</v>
      </c>
      <c r="DU2" s="680" t="b">
        <f t="shared" si="2"/>
        <v>0</v>
      </c>
      <c r="DV2" s="680" t="b">
        <f t="shared" si="2"/>
        <v>0</v>
      </c>
      <c r="DW2" s="680" t="b">
        <f t="shared" si="2"/>
        <v>0</v>
      </c>
      <c r="DX2" s="680" t="b">
        <f t="shared" si="2"/>
        <v>0</v>
      </c>
      <c r="DY2" s="680" t="b">
        <f t="shared" ref="DY2:FD2" si="3">DY6&lt;=last_year_vis</f>
        <v>0</v>
      </c>
      <c r="DZ2" s="680" t="b">
        <f t="shared" si="3"/>
        <v>0</v>
      </c>
      <c r="EA2" s="680" t="b">
        <f t="shared" si="3"/>
        <v>0</v>
      </c>
      <c r="EB2" s="680" t="b">
        <f t="shared" si="3"/>
        <v>0</v>
      </c>
      <c r="EC2" s="680" t="b">
        <f t="shared" si="3"/>
        <v>0</v>
      </c>
      <c r="ED2" s="680" t="b">
        <f t="shared" si="3"/>
        <v>0</v>
      </c>
      <c r="EE2" s="680" t="b">
        <f t="shared" si="3"/>
        <v>0</v>
      </c>
      <c r="EF2" s="680" t="b">
        <f t="shared" si="3"/>
        <v>0</v>
      </c>
      <c r="EG2" s="680" t="b">
        <f t="shared" si="3"/>
        <v>0</v>
      </c>
      <c r="EH2" s="680" t="b">
        <f t="shared" si="3"/>
        <v>0</v>
      </c>
      <c r="EI2" s="680" t="b">
        <f t="shared" si="3"/>
        <v>0</v>
      </c>
      <c r="EJ2" s="680" t="b">
        <f t="shared" si="3"/>
        <v>0</v>
      </c>
      <c r="EK2" s="680" t="b">
        <f t="shared" si="3"/>
        <v>0</v>
      </c>
      <c r="EL2" s="680" t="b">
        <f t="shared" si="3"/>
        <v>0</v>
      </c>
      <c r="EM2" s="680" t="b">
        <f t="shared" si="3"/>
        <v>0</v>
      </c>
      <c r="EN2" s="680" t="b">
        <f t="shared" si="3"/>
        <v>0</v>
      </c>
      <c r="EO2" s="680" t="b">
        <f t="shared" si="3"/>
        <v>0</v>
      </c>
      <c r="EP2" s="680" t="b">
        <f t="shared" si="3"/>
        <v>0</v>
      </c>
      <c r="EQ2" s="680" t="b">
        <f t="shared" si="3"/>
        <v>0</v>
      </c>
      <c r="ER2" s="680" t="b">
        <f t="shared" si="3"/>
        <v>0</v>
      </c>
      <c r="ES2" s="680" t="b">
        <f t="shared" si="3"/>
        <v>0</v>
      </c>
      <c r="ET2" s="680" t="b">
        <f t="shared" si="3"/>
        <v>0</v>
      </c>
      <c r="EU2" s="680" t="b">
        <f t="shared" si="3"/>
        <v>0</v>
      </c>
      <c r="EV2" s="680" t="b">
        <f t="shared" si="3"/>
        <v>0</v>
      </c>
      <c r="EW2" s="680" t="b">
        <f t="shared" si="3"/>
        <v>0</v>
      </c>
      <c r="EX2" s="680" t="b">
        <f t="shared" si="3"/>
        <v>0</v>
      </c>
      <c r="EY2" s="680" t="b">
        <f t="shared" si="3"/>
        <v>0</v>
      </c>
      <c r="EZ2" s="680" t="b">
        <f t="shared" si="3"/>
        <v>0</v>
      </c>
      <c r="FA2" s="680" t="b">
        <f t="shared" si="3"/>
        <v>0</v>
      </c>
      <c r="FB2" s="680" t="b">
        <f t="shared" si="3"/>
        <v>0</v>
      </c>
      <c r="FC2" s="680" t="b">
        <f t="shared" si="3"/>
        <v>0</v>
      </c>
      <c r="FD2" s="680" t="b">
        <f t="shared" si="3"/>
        <v>0</v>
      </c>
      <c r="FE2" s="680" t="b">
        <f t="shared" ref="FE2:FW2" si="4">FE6&lt;=last_year_vis</f>
        <v>0</v>
      </c>
      <c r="FF2" s="680" t="b">
        <f t="shared" si="4"/>
        <v>0</v>
      </c>
      <c r="FG2" s="680" t="b">
        <f t="shared" si="4"/>
        <v>0</v>
      </c>
      <c r="FH2" s="680" t="b">
        <f t="shared" si="4"/>
        <v>0</v>
      </c>
      <c r="FI2" s="680" t="b">
        <f t="shared" si="4"/>
        <v>0</v>
      </c>
      <c r="FJ2" s="680" t="b">
        <f t="shared" si="4"/>
        <v>0</v>
      </c>
      <c r="FK2" s="680" t="b">
        <f t="shared" si="4"/>
        <v>0</v>
      </c>
      <c r="FL2" s="680" t="b">
        <f t="shared" si="4"/>
        <v>0</v>
      </c>
      <c r="FM2" s="680" t="b">
        <f t="shared" si="4"/>
        <v>0</v>
      </c>
      <c r="FN2" s="680" t="b">
        <f t="shared" si="4"/>
        <v>0</v>
      </c>
      <c r="FO2" s="680" t="b">
        <f t="shared" si="4"/>
        <v>0</v>
      </c>
      <c r="FP2" s="680" t="b">
        <f t="shared" si="4"/>
        <v>0</v>
      </c>
      <c r="FQ2" s="680" t="b">
        <f t="shared" si="4"/>
        <v>0</v>
      </c>
      <c r="FR2" s="680" t="b">
        <f t="shared" si="4"/>
        <v>0</v>
      </c>
      <c r="FS2" s="680" t="b">
        <f t="shared" si="4"/>
        <v>0</v>
      </c>
      <c r="FT2" s="680" t="b">
        <f t="shared" si="4"/>
        <v>0</v>
      </c>
      <c r="FU2" s="680" t="b">
        <f t="shared" si="4"/>
        <v>0</v>
      </c>
      <c r="FV2" s="680" t="b">
        <f t="shared" si="4"/>
        <v>0</v>
      </c>
      <c r="FW2" s="680" t="b">
        <f t="shared" si="4"/>
        <v>0</v>
      </c>
      <c r="FZ2" s="963"/>
      <c r="GA2" s="1008"/>
      <c r="GB2" s="1008"/>
      <c r="GC2" s="1008"/>
      <c r="GD2" s="1008"/>
    </row>
    <row r="3" spans="1:186" s="1152" customFormat="1" ht="12" hidden="1" customHeight="1" x14ac:dyDescent="0.15">
      <c r="B3" s="659"/>
      <c r="C3" s="1108"/>
      <c r="D3" s="1077"/>
      <c r="E3" s="659"/>
      <c r="G3" s="160"/>
      <c r="H3" s="160"/>
      <c r="I3" s="160"/>
      <c r="J3" s="1082"/>
      <c r="K3" s="1082"/>
      <c r="L3" s="1082"/>
      <c r="M3" s="1082"/>
      <c r="N3" s="1082"/>
      <c r="O3" s="1082"/>
      <c r="P3" s="1082"/>
      <c r="Q3" s="1100"/>
      <c r="R3" s="612"/>
      <c r="S3" s="160"/>
      <c r="AB3" s="119"/>
      <c r="AC3" s="119"/>
      <c r="FZ3" s="971"/>
      <c r="GA3" s="1005"/>
      <c r="GB3" s="1005"/>
      <c r="GC3" s="1005"/>
      <c r="GD3" s="1005"/>
    </row>
    <row r="4" spans="1:186" s="1152" customFormat="1" ht="12" hidden="1" customHeight="1" x14ac:dyDescent="0.15">
      <c r="B4" s="659"/>
      <c r="C4" s="1108"/>
      <c r="D4" s="1077"/>
      <c r="E4" s="659"/>
      <c r="G4" s="160"/>
      <c r="H4" s="160"/>
      <c r="I4" s="160"/>
      <c r="J4" s="1082"/>
      <c r="K4" s="1082"/>
      <c r="L4" s="1082"/>
      <c r="M4" s="1082"/>
      <c r="N4" s="1082"/>
      <c r="O4" s="1082"/>
      <c r="P4" s="1082"/>
      <c r="Q4" s="1100"/>
      <c r="R4" s="612"/>
      <c r="S4" s="160"/>
      <c r="AB4" s="119"/>
      <c r="AC4" s="119"/>
      <c r="FZ4" s="971"/>
      <c r="GA4" s="1005"/>
      <c r="GB4" s="1005"/>
      <c r="GC4" s="1005"/>
      <c r="GD4" s="1005"/>
    </row>
    <row r="5" spans="1:186" s="772" customFormat="1" ht="12" hidden="1" customHeight="1" x14ac:dyDescent="0.15">
      <c r="A5" s="659"/>
      <c r="B5" s="659"/>
      <c r="C5" s="1109"/>
      <c r="D5" s="1040"/>
      <c r="E5" s="668" t="s">
        <v>16</v>
      </c>
      <c r="G5" s="777"/>
      <c r="H5" s="777"/>
      <c r="I5" s="777"/>
      <c r="J5" s="1081"/>
      <c r="K5" s="1081"/>
      <c r="L5" s="1081"/>
      <c r="M5" s="1081"/>
      <c r="N5" s="1081"/>
      <c r="O5" s="1081"/>
      <c r="P5" s="1081"/>
      <c r="Q5" s="1115"/>
      <c r="R5" s="777"/>
      <c r="S5" s="777"/>
      <c r="AA5" s="668">
        <v>3</v>
      </c>
      <c r="AB5" s="674">
        <v>90</v>
      </c>
      <c r="AC5" s="674">
        <v>23.63</v>
      </c>
      <c r="AD5" s="668">
        <v>14.25</v>
      </c>
      <c r="AE5" s="668">
        <v>14.25</v>
      </c>
      <c r="AF5" s="668">
        <v>14.25</v>
      </c>
      <c r="AG5" s="668">
        <v>14.25</v>
      </c>
      <c r="AH5" s="668">
        <v>14.25</v>
      </c>
      <c r="AI5" s="668">
        <v>14.25</v>
      </c>
      <c r="AJ5" s="668">
        <v>14.25</v>
      </c>
      <c r="AK5" s="668">
        <v>14.25</v>
      </c>
      <c r="AL5" s="668">
        <v>14.25</v>
      </c>
      <c r="AM5" s="668">
        <v>14.25</v>
      </c>
      <c r="AN5" s="668">
        <v>14.25</v>
      </c>
      <c r="AO5" s="668">
        <v>14.25</v>
      </c>
      <c r="AP5" s="668">
        <v>14.25</v>
      </c>
      <c r="AQ5" s="668">
        <v>14.25</v>
      </c>
      <c r="AR5" s="668">
        <v>14.25</v>
      </c>
      <c r="AS5" s="668">
        <v>14.25</v>
      </c>
      <c r="AT5" s="668">
        <v>14.25</v>
      </c>
      <c r="AU5" s="668">
        <v>14.25</v>
      </c>
      <c r="AV5" s="668">
        <v>14.25</v>
      </c>
      <c r="AW5" s="668">
        <v>14.25</v>
      </c>
      <c r="AX5" s="668">
        <v>14.25</v>
      </c>
      <c r="AY5" s="668">
        <v>14.25</v>
      </c>
      <c r="AZ5" s="668">
        <v>14.25</v>
      </c>
      <c r="BA5" s="668">
        <v>14.25</v>
      </c>
      <c r="BB5" s="668">
        <v>14.25</v>
      </c>
      <c r="BC5" s="668">
        <v>14.25</v>
      </c>
      <c r="BD5" s="668">
        <v>14.25</v>
      </c>
      <c r="BE5" s="668">
        <v>14.25</v>
      </c>
      <c r="BF5" s="668">
        <v>14.25</v>
      </c>
      <c r="BG5" s="668">
        <v>14.25</v>
      </c>
      <c r="BH5" s="668">
        <v>14.25</v>
      </c>
      <c r="BI5" s="668">
        <v>14.25</v>
      </c>
      <c r="BJ5" s="668">
        <v>14.25</v>
      </c>
      <c r="BK5" s="668">
        <v>14.25</v>
      </c>
      <c r="BL5" s="668">
        <v>14.25</v>
      </c>
      <c r="BM5" s="668">
        <v>14.25</v>
      </c>
      <c r="BN5" s="668">
        <v>14.25</v>
      </c>
      <c r="BO5" s="668">
        <v>14.25</v>
      </c>
      <c r="BP5" s="668">
        <v>14.25</v>
      </c>
      <c r="BQ5" s="668">
        <v>14.25</v>
      </c>
      <c r="BR5" s="668">
        <v>14.25</v>
      </c>
      <c r="BS5" s="668">
        <v>14.25</v>
      </c>
      <c r="BT5" s="668">
        <v>14.25</v>
      </c>
      <c r="BU5" s="668">
        <v>14.25</v>
      </c>
      <c r="BV5" s="668">
        <v>14.25</v>
      </c>
      <c r="BW5" s="668">
        <v>14.25</v>
      </c>
      <c r="BX5" s="668">
        <v>14.25</v>
      </c>
      <c r="BY5" s="668">
        <v>14.25</v>
      </c>
      <c r="BZ5" s="668">
        <v>14.25</v>
      </c>
      <c r="CA5" s="668">
        <v>14.25</v>
      </c>
      <c r="CB5" s="668">
        <v>14.25</v>
      </c>
      <c r="CC5" s="668">
        <v>14.25</v>
      </c>
      <c r="CD5" s="668">
        <v>14.25</v>
      </c>
      <c r="CE5" s="668">
        <v>14.25</v>
      </c>
      <c r="CF5" s="668">
        <v>14.25</v>
      </c>
      <c r="CG5" s="668">
        <v>14.25</v>
      </c>
      <c r="CH5" s="668">
        <v>14.25</v>
      </c>
      <c r="CI5" s="668">
        <v>14.25</v>
      </c>
      <c r="CJ5" s="668">
        <v>14.25</v>
      </c>
      <c r="CK5" s="668">
        <v>14.25</v>
      </c>
      <c r="CL5" s="668">
        <v>14.25</v>
      </c>
      <c r="CM5" s="668">
        <v>14.25</v>
      </c>
      <c r="CN5" s="668">
        <v>14.25</v>
      </c>
      <c r="CO5" s="668">
        <v>14.25</v>
      </c>
      <c r="CP5" s="668">
        <v>14.25</v>
      </c>
      <c r="CQ5" s="668">
        <v>14.25</v>
      </c>
      <c r="CR5" s="668">
        <v>14.25</v>
      </c>
      <c r="CS5" s="668">
        <v>14.25</v>
      </c>
      <c r="CT5" s="668">
        <v>14.25</v>
      </c>
      <c r="CU5" s="668">
        <v>14.25</v>
      </c>
      <c r="CV5" s="668">
        <v>14.25</v>
      </c>
      <c r="CW5" s="668">
        <v>14.25</v>
      </c>
      <c r="CX5" s="668">
        <v>14.25</v>
      </c>
      <c r="CY5" s="668">
        <v>14.25</v>
      </c>
      <c r="CZ5" s="668">
        <v>14.25</v>
      </c>
      <c r="DA5" s="668">
        <v>14.25</v>
      </c>
      <c r="DB5" s="668">
        <v>14.25</v>
      </c>
      <c r="DC5" s="668">
        <v>14.25</v>
      </c>
      <c r="DD5" s="668">
        <v>14.25</v>
      </c>
      <c r="DE5" s="668">
        <v>14.25</v>
      </c>
      <c r="DF5" s="668">
        <v>14.25</v>
      </c>
      <c r="DG5" s="668">
        <v>14.25</v>
      </c>
      <c r="DH5" s="668">
        <v>14.25</v>
      </c>
      <c r="DI5" s="668">
        <v>14.25</v>
      </c>
      <c r="DJ5" s="668">
        <v>14.25</v>
      </c>
      <c r="DK5" s="668">
        <v>14.25</v>
      </c>
      <c r="DL5" s="668">
        <v>14.25</v>
      </c>
      <c r="DM5" s="668">
        <v>14.25</v>
      </c>
      <c r="DN5" s="668">
        <v>14.25</v>
      </c>
      <c r="DO5" s="668">
        <v>14.25</v>
      </c>
      <c r="DP5" s="668">
        <v>14.25</v>
      </c>
      <c r="DQ5" s="668">
        <v>14.25</v>
      </c>
      <c r="DR5" s="668">
        <v>14.25</v>
      </c>
      <c r="DS5" s="668">
        <v>14.25</v>
      </c>
      <c r="DT5" s="668">
        <v>14.25</v>
      </c>
      <c r="DU5" s="668">
        <v>14.25</v>
      </c>
      <c r="DV5" s="668">
        <v>14.25</v>
      </c>
      <c r="DW5" s="668">
        <v>14.25</v>
      </c>
      <c r="DX5" s="668">
        <v>14.25</v>
      </c>
      <c r="DY5" s="668">
        <v>14.25</v>
      </c>
      <c r="DZ5" s="668">
        <v>14.25</v>
      </c>
      <c r="EA5" s="668">
        <v>14.25</v>
      </c>
      <c r="EB5" s="668">
        <v>14.25</v>
      </c>
      <c r="EC5" s="668">
        <v>14.25</v>
      </c>
      <c r="ED5" s="668">
        <v>14.25</v>
      </c>
      <c r="EE5" s="668">
        <v>14.25</v>
      </c>
      <c r="EF5" s="668">
        <v>14.25</v>
      </c>
      <c r="EG5" s="668">
        <v>14.25</v>
      </c>
      <c r="EH5" s="668">
        <v>14.25</v>
      </c>
      <c r="EI5" s="668">
        <v>14.25</v>
      </c>
      <c r="EJ5" s="668">
        <v>14.25</v>
      </c>
      <c r="EK5" s="668">
        <v>14.25</v>
      </c>
      <c r="EL5" s="668">
        <v>14.25</v>
      </c>
      <c r="EM5" s="668">
        <v>14.25</v>
      </c>
      <c r="EN5" s="668">
        <v>14.25</v>
      </c>
      <c r="EO5" s="668">
        <v>14.25</v>
      </c>
      <c r="EP5" s="668">
        <v>14.25</v>
      </c>
      <c r="EQ5" s="668">
        <v>14.25</v>
      </c>
      <c r="ER5" s="668">
        <v>14.25</v>
      </c>
      <c r="ES5" s="668">
        <v>14.25</v>
      </c>
      <c r="ET5" s="668">
        <v>14.25</v>
      </c>
      <c r="EU5" s="668">
        <v>14.25</v>
      </c>
      <c r="EV5" s="668">
        <v>14.25</v>
      </c>
      <c r="EW5" s="668">
        <v>14.25</v>
      </c>
      <c r="EX5" s="668">
        <v>14.25</v>
      </c>
      <c r="EY5" s="668">
        <v>14.25</v>
      </c>
      <c r="EZ5" s="668">
        <v>14.25</v>
      </c>
      <c r="FA5" s="668">
        <v>14.25</v>
      </c>
      <c r="FB5" s="668">
        <v>14.25</v>
      </c>
      <c r="FC5" s="668">
        <v>14.25</v>
      </c>
      <c r="FD5" s="668">
        <v>14.25</v>
      </c>
      <c r="FE5" s="668">
        <v>14.25</v>
      </c>
      <c r="FF5" s="668">
        <v>14.25</v>
      </c>
      <c r="FG5" s="668">
        <v>14.25</v>
      </c>
      <c r="FH5" s="668">
        <v>14.25</v>
      </c>
      <c r="FI5" s="668">
        <v>14.25</v>
      </c>
      <c r="FJ5" s="668">
        <v>14.25</v>
      </c>
      <c r="FK5" s="668">
        <v>14.25</v>
      </c>
      <c r="FL5" s="668">
        <v>14.25</v>
      </c>
      <c r="FM5" s="668">
        <v>14.25</v>
      </c>
      <c r="FN5" s="668">
        <v>14.25</v>
      </c>
      <c r="FO5" s="668">
        <v>14.25</v>
      </c>
      <c r="FP5" s="668">
        <v>14.25</v>
      </c>
      <c r="FQ5" s="668">
        <v>14.25</v>
      </c>
      <c r="FR5" s="668">
        <v>14.25</v>
      </c>
      <c r="FS5" s="668">
        <v>14.25</v>
      </c>
      <c r="FT5" s="668">
        <v>14.25</v>
      </c>
      <c r="FU5" s="668">
        <v>14.25</v>
      </c>
      <c r="FV5" s="668">
        <v>14.25</v>
      </c>
      <c r="FW5" s="668">
        <v>14.25</v>
      </c>
      <c r="FX5" s="668">
        <v>3</v>
      </c>
      <c r="FZ5" s="963"/>
      <c r="GA5" s="1008"/>
      <c r="GB5" s="1008"/>
      <c r="GC5" s="1008"/>
      <c r="GD5" s="1008"/>
    </row>
    <row r="6" spans="1:186" s="1152" customFormat="1" ht="12" hidden="1" customHeight="1" x14ac:dyDescent="0.15">
      <c r="B6" s="659"/>
      <c r="C6" s="1108"/>
      <c r="D6" s="1077"/>
      <c r="E6" s="668"/>
      <c r="G6" s="160"/>
      <c r="H6" s="160"/>
      <c r="I6" s="160"/>
      <c r="J6" s="1082"/>
      <c r="K6" s="1082"/>
      <c r="L6" s="1082"/>
      <c r="M6" s="1082"/>
      <c r="N6" s="1082"/>
      <c r="O6" s="1082"/>
      <c r="P6" s="1082"/>
      <c r="Q6" s="1100"/>
      <c r="R6" s="612"/>
      <c r="S6" s="160"/>
      <c r="AB6" s="119"/>
      <c r="AC6" s="119"/>
      <c r="AD6" s="123" cm="1">
        <f t="array" ref="AD6">god</f>
        <v>2026</v>
      </c>
      <c r="AE6" s="123" cm="1">
        <f t="array" ref="AE6">god</f>
        <v>2026</v>
      </c>
      <c r="AF6" s="123" cm="1">
        <f t="array" ref="AF6">god</f>
        <v>2026</v>
      </c>
      <c r="AG6" s="123">
        <f>god+1</f>
        <v>2027</v>
      </c>
      <c r="AH6" s="123">
        <f>god+1</f>
        <v>2027</v>
      </c>
      <c r="AI6" s="123">
        <f>god+1</f>
        <v>2027</v>
      </c>
      <c r="AJ6" s="123">
        <f>god+2</f>
        <v>2028</v>
      </c>
      <c r="AK6" s="123">
        <f>god+2</f>
        <v>2028</v>
      </c>
      <c r="AL6" s="123">
        <f>god+2</f>
        <v>2028</v>
      </c>
      <c r="AM6" s="123">
        <f>god+3</f>
        <v>2029</v>
      </c>
      <c r="AN6" s="123">
        <f>god+3</f>
        <v>2029</v>
      </c>
      <c r="AO6" s="123">
        <f>god+3</f>
        <v>2029</v>
      </c>
      <c r="AP6" s="123">
        <f>god+4</f>
        <v>2030</v>
      </c>
      <c r="AQ6" s="123">
        <f>god+4</f>
        <v>2030</v>
      </c>
      <c r="AR6" s="123">
        <f>god+4</f>
        <v>2030</v>
      </c>
      <c r="AS6" s="123">
        <f>god+5</f>
        <v>2031</v>
      </c>
      <c r="AT6" s="123">
        <f>god+5</f>
        <v>2031</v>
      </c>
      <c r="AU6" s="123">
        <f>god+5</f>
        <v>2031</v>
      </c>
      <c r="AV6" s="123">
        <f>god+6</f>
        <v>2032</v>
      </c>
      <c r="AW6" s="123">
        <f>god+6</f>
        <v>2032</v>
      </c>
      <c r="AX6" s="123">
        <f>god+6</f>
        <v>2032</v>
      </c>
      <c r="AY6" s="123">
        <f>god+7</f>
        <v>2033</v>
      </c>
      <c r="AZ6" s="123">
        <f>god+7</f>
        <v>2033</v>
      </c>
      <c r="BA6" s="123">
        <f>god+7</f>
        <v>2033</v>
      </c>
      <c r="BB6" s="123">
        <f>god+8</f>
        <v>2034</v>
      </c>
      <c r="BC6" s="123">
        <f>god+8</f>
        <v>2034</v>
      </c>
      <c r="BD6" s="123">
        <f>god+8</f>
        <v>2034</v>
      </c>
      <c r="BE6" s="123">
        <f>god+9</f>
        <v>2035</v>
      </c>
      <c r="BF6" s="123">
        <f>god+9</f>
        <v>2035</v>
      </c>
      <c r="BG6" s="123">
        <f>god+9</f>
        <v>2035</v>
      </c>
      <c r="BH6" s="123">
        <f>god+10</f>
        <v>2036</v>
      </c>
      <c r="BI6" s="123">
        <f>god+10</f>
        <v>2036</v>
      </c>
      <c r="BJ6" s="123">
        <f>god+10</f>
        <v>2036</v>
      </c>
      <c r="BK6" s="123">
        <f>god+11</f>
        <v>2037</v>
      </c>
      <c r="BL6" s="123">
        <f>god+11</f>
        <v>2037</v>
      </c>
      <c r="BM6" s="123">
        <f>god+11</f>
        <v>2037</v>
      </c>
      <c r="BN6" s="123">
        <f>god+12</f>
        <v>2038</v>
      </c>
      <c r="BO6" s="123">
        <f>god+12</f>
        <v>2038</v>
      </c>
      <c r="BP6" s="123">
        <f>god+12</f>
        <v>2038</v>
      </c>
      <c r="BQ6" s="123">
        <f>god+13</f>
        <v>2039</v>
      </c>
      <c r="BR6" s="123">
        <f>god+13</f>
        <v>2039</v>
      </c>
      <c r="BS6" s="123">
        <f>god+13</f>
        <v>2039</v>
      </c>
      <c r="BT6" s="123">
        <f>god+14</f>
        <v>2040</v>
      </c>
      <c r="BU6" s="123">
        <f>god+14</f>
        <v>2040</v>
      </c>
      <c r="BV6" s="123">
        <f>god+14</f>
        <v>2040</v>
      </c>
      <c r="BW6" s="123">
        <f>god+15</f>
        <v>2041</v>
      </c>
      <c r="BX6" s="123">
        <f>god+15</f>
        <v>2041</v>
      </c>
      <c r="BY6" s="123">
        <f>god+15</f>
        <v>2041</v>
      </c>
      <c r="BZ6" s="123">
        <f>god+16</f>
        <v>2042</v>
      </c>
      <c r="CA6" s="123">
        <f>god+16</f>
        <v>2042</v>
      </c>
      <c r="CB6" s="123">
        <f>god+16</f>
        <v>2042</v>
      </c>
      <c r="CC6" s="123">
        <f>god+17</f>
        <v>2043</v>
      </c>
      <c r="CD6" s="123">
        <f>god+17</f>
        <v>2043</v>
      </c>
      <c r="CE6" s="123">
        <f>god+17</f>
        <v>2043</v>
      </c>
      <c r="CF6" s="123">
        <f>god+18</f>
        <v>2044</v>
      </c>
      <c r="CG6" s="123">
        <f>god+18</f>
        <v>2044</v>
      </c>
      <c r="CH6" s="123">
        <f>god+18</f>
        <v>2044</v>
      </c>
      <c r="CI6" s="123">
        <f>god+19</f>
        <v>2045</v>
      </c>
      <c r="CJ6" s="123">
        <f>god+19</f>
        <v>2045</v>
      </c>
      <c r="CK6" s="123">
        <f>god+19</f>
        <v>2045</v>
      </c>
      <c r="CL6" s="123">
        <f>god+20</f>
        <v>2046</v>
      </c>
      <c r="CM6" s="123">
        <f>god+20</f>
        <v>2046</v>
      </c>
      <c r="CN6" s="123">
        <f>god+20</f>
        <v>2046</v>
      </c>
      <c r="CO6" s="123">
        <f>god+21</f>
        <v>2047</v>
      </c>
      <c r="CP6" s="123">
        <f>god+21</f>
        <v>2047</v>
      </c>
      <c r="CQ6" s="123">
        <f>god+21</f>
        <v>2047</v>
      </c>
      <c r="CR6" s="123">
        <f>god+22</f>
        <v>2048</v>
      </c>
      <c r="CS6" s="123">
        <f>god+22</f>
        <v>2048</v>
      </c>
      <c r="CT6" s="123">
        <f>god+22</f>
        <v>2048</v>
      </c>
      <c r="CU6" s="123">
        <f>god+23</f>
        <v>2049</v>
      </c>
      <c r="CV6" s="123">
        <f>god+23</f>
        <v>2049</v>
      </c>
      <c r="CW6" s="123">
        <f>god+23</f>
        <v>2049</v>
      </c>
      <c r="CX6" s="123">
        <f>god+24</f>
        <v>2050</v>
      </c>
      <c r="CY6" s="123">
        <f>god+24</f>
        <v>2050</v>
      </c>
      <c r="CZ6" s="123">
        <f>god+24</f>
        <v>2050</v>
      </c>
      <c r="DA6" s="123">
        <f>god+25</f>
        <v>2051</v>
      </c>
      <c r="DB6" s="123">
        <f>god+25</f>
        <v>2051</v>
      </c>
      <c r="DC6" s="123">
        <f>god+25</f>
        <v>2051</v>
      </c>
      <c r="DD6" s="123">
        <f>god+26</f>
        <v>2052</v>
      </c>
      <c r="DE6" s="123">
        <f>god+26</f>
        <v>2052</v>
      </c>
      <c r="DF6" s="123">
        <f>god+26</f>
        <v>2052</v>
      </c>
      <c r="DG6" s="123">
        <f>god+27</f>
        <v>2053</v>
      </c>
      <c r="DH6" s="123">
        <f>god+27</f>
        <v>2053</v>
      </c>
      <c r="DI6" s="123">
        <f>god+27</f>
        <v>2053</v>
      </c>
      <c r="DJ6" s="123">
        <f>god+28</f>
        <v>2054</v>
      </c>
      <c r="DK6" s="123">
        <f>god+28</f>
        <v>2054</v>
      </c>
      <c r="DL6" s="123">
        <f>god+28</f>
        <v>2054</v>
      </c>
      <c r="DM6" s="123">
        <f>god+29</f>
        <v>2055</v>
      </c>
      <c r="DN6" s="123">
        <f>god+29</f>
        <v>2055</v>
      </c>
      <c r="DO6" s="123">
        <f>god+29</f>
        <v>2055</v>
      </c>
      <c r="DP6" s="123">
        <f>god+30</f>
        <v>2056</v>
      </c>
      <c r="DQ6" s="123">
        <f>god+30</f>
        <v>2056</v>
      </c>
      <c r="DR6" s="123">
        <f>god+30</f>
        <v>2056</v>
      </c>
      <c r="DS6" s="123">
        <f>god+31</f>
        <v>2057</v>
      </c>
      <c r="DT6" s="123">
        <f>god+31</f>
        <v>2057</v>
      </c>
      <c r="DU6" s="123">
        <f>god+31</f>
        <v>2057</v>
      </c>
      <c r="DV6" s="123">
        <f>god+32</f>
        <v>2058</v>
      </c>
      <c r="DW6" s="123">
        <f>god+32</f>
        <v>2058</v>
      </c>
      <c r="DX6" s="123">
        <f>god+32</f>
        <v>2058</v>
      </c>
      <c r="DY6" s="123">
        <f>god+33</f>
        <v>2059</v>
      </c>
      <c r="DZ6" s="123">
        <f>god+33</f>
        <v>2059</v>
      </c>
      <c r="EA6" s="123">
        <f>god+33</f>
        <v>2059</v>
      </c>
      <c r="EB6" s="123">
        <f>god+34</f>
        <v>2060</v>
      </c>
      <c r="EC6" s="123">
        <f>god+34</f>
        <v>2060</v>
      </c>
      <c r="ED6" s="123">
        <f>god+34</f>
        <v>2060</v>
      </c>
      <c r="EE6" s="123">
        <f>god+35</f>
        <v>2061</v>
      </c>
      <c r="EF6" s="123">
        <f>god+35</f>
        <v>2061</v>
      </c>
      <c r="EG6" s="123">
        <f>god+35</f>
        <v>2061</v>
      </c>
      <c r="EH6" s="123">
        <f>god+36</f>
        <v>2062</v>
      </c>
      <c r="EI6" s="123">
        <f>god+36</f>
        <v>2062</v>
      </c>
      <c r="EJ6" s="123">
        <f>god+36</f>
        <v>2062</v>
      </c>
      <c r="EK6" s="123">
        <f>god+37</f>
        <v>2063</v>
      </c>
      <c r="EL6" s="123">
        <f>god+37</f>
        <v>2063</v>
      </c>
      <c r="EM6" s="123">
        <f>god+37</f>
        <v>2063</v>
      </c>
      <c r="EN6" s="123">
        <f>god+38</f>
        <v>2064</v>
      </c>
      <c r="EO6" s="123">
        <f>god+38</f>
        <v>2064</v>
      </c>
      <c r="EP6" s="123">
        <f>god+38</f>
        <v>2064</v>
      </c>
      <c r="EQ6" s="123">
        <f>god+39</f>
        <v>2065</v>
      </c>
      <c r="ER6" s="123">
        <f>god+39</f>
        <v>2065</v>
      </c>
      <c r="ES6" s="123">
        <f>god+39</f>
        <v>2065</v>
      </c>
      <c r="ET6" s="123">
        <f>god+40</f>
        <v>2066</v>
      </c>
      <c r="EU6" s="123">
        <f>god+40</f>
        <v>2066</v>
      </c>
      <c r="EV6" s="123">
        <f>god+40</f>
        <v>2066</v>
      </c>
      <c r="EW6" s="123">
        <f>god+41</f>
        <v>2067</v>
      </c>
      <c r="EX6" s="123">
        <f>god+41</f>
        <v>2067</v>
      </c>
      <c r="EY6" s="123">
        <f>god+41</f>
        <v>2067</v>
      </c>
      <c r="EZ6" s="123">
        <f>god+42</f>
        <v>2068</v>
      </c>
      <c r="FA6" s="123">
        <f>god+42</f>
        <v>2068</v>
      </c>
      <c r="FB6" s="123">
        <f>god+42</f>
        <v>2068</v>
      </c>
      <c r="FC6" s="123">
        <f>god+43</f>
        <v>2069</v>
      </c>
      <c r="FD6" s="123">
        <f>god+43</f>
        <v>2069</v>
      </c>
      <c r="FE6" s="123">
        <f>god+43</f>
        <v>2069</v>
      </c>
      <c r="FF6" s="123">
        <f>god+44</f>
        <v>2070</v>
      </c>
      <c r="FG6" s="123">
        <f>god+44</f>
        <v>2070</v>
      </c>
      <c r="FH6" s="123">
        <f>god+44</f>
        <v>2070</v>
      </c>
      <c r="FI6" s="123">
        <f>god+45</f>
        <v>2071</v>
      </c>
      <c r="FJ6" s="123">
        <f>god+45</f>
        <v>2071</v>
      </c>
      <c r="FK6" s="123">
        <f>god+45</f>
        <v>2071</v>
      </c>
      <c r="FL6" s="123">
        <f>god+46</f>
        <v>2072</v>
      </c>
      <c r="FM6" s="123">
        <f>god+46</f>
        <v>2072</v>
      </c>
      <c r="FN6" s="123">
        <f>god+46</f>
        <v>2072</v>
      </c>
      <c r="FO6" s="123">
        <f>god+47</f>
        <v>2073</v>
      </c>
      <c r="FP6" s="123">
        <f>god+47</f>
        <v>2073</v>
      </c>
      <c r="FQ6" s="123">
        <f>god+47</f>
        <v>2073</v>
      </c>
      <c r="FR6" s="123">
        <f>god+48</f>
        <v>2074</v>
      </c>
      <c r="FS6" s="123">
        <f>god+48</f>
        <v>2074</v>
      </c>
      <c r="FT6" s="123">
        <f>god+48</f>
        <v>2074</v>
      </c>
      <c r="FU6" s="123">
        <f>god+49</f>
        <v>2075</v>
      </c>
      <c r="FV6" s="123">
        <f>god+49</f>
        <v>2075</v>
      </c>
      <c r="FW6" s="123">
        <f>god+49</f>
        <v>2075</v>
      </c>
      <c r="FZ6" s="971"/>
      <c r="GA6" s="1005"/>
      <c r="GB6" s="1005"/>
      <c r="GC6" s="1005"/>
      <c r="GD6" s="1005"/>
    </row>
    <row r="7" spans="1:186" ht="12" hidden="1" customHeight="1" x14ac:dyDescent="0.15">
      <c r="F7" s="160"/>
      <c r="Q7" s="1100"/>
      <c r="T7" s="160"/>
      <c r="U7" s="160"/>
      <c r="V7" s="160"/>
      <c r="W7" s="160"/>
      <c r="X7" s="160"/>
      <c r="Y7" s="160"/>
      <c r="Z7" s="160"/>
      <c r="AB7" s="162"/>
      <c r="AD7" s="160" t="str" cm="1">
        <f t="array" ref="AD7">AD26</f>
        <v>Предложение организации</v>
      </c>
      <c r="AE7" s="160" t="str" cm="1">
        <f t="array" ref="AE7">AE26</f>
        <v>Принято органом регулирования</v>
      </c>
      <c r="AF7" s="160" t="str" cm="1">
        <f t="array" ref="AF7">AF26</f>
        <v>Отклонение, %</v>
      </c>
      <c r="AG7" s="160" t="str" cm="1">
        <f t="array" ref="AG7">AG26</f>
        <v>Предложение организации</v>
      </c>
      <c r="AH7" s="160" t="str" cm="1">
        <f t="array" ref="AH7">AH26</f>
        <v>Принято органом регулирования</v>
      </c>
      <c r="AI7" s="160" t="str" cm="1">
        <f t="array" ref="AI7">AI26</f>
        <v>Отклонение, %</v>
      </c>
      <c r="AJ7" s="160" t="str" cm="1">
        <f t="array" ref="AJ7">AJ26</f>
        <v>Предложение организации</v>
      </c>
      <c r="AK7" s="160" t="str" cm="1">
        <f t="array" ref="AK7">AK26</f>
        <v>Принято органом регулирования</v>
      </c>
      <c r="AL7" s="160" t="str" cm="1">
        <f t="array" ref="AL7">AL26</f>
        <v>Отклонение, %</v>
      </c>
      <c r="AM7" s="160" t="str" cm="1">
        <f t="array" ref="AM7">AM26</f>
        <v>Предложение организации</v>
      </c>
      <c r="AN7" s="160" t="str" cm="1">
        <f t="array" ref="AN7">AN26</f>
        <v>Принято органом регулирования</v>
      </c>
      <c r="AO7" s="160" t="str" cm="1">
        <f t="array" ref="AO7">AO26</f>
        <v>Отклонение, %</v>
      </c>
      <c r="AP7" s="160" t="str" cm="1">
        <f t="array" ref="AP7">AP26</f>
        <v>Предложение организации</v>
      </c>
      <c r="AQ7" s="160" t="str" cm="1">
        <f t="array" ref="AQ7">AQ26</f>
        <v>Принято органом регулирования</v>
      </c>
      <c r="AR7" s="160" t="str" cm="1">
        <f t="array" ref="AR7">AR26</f>
        <v>Отклонение, %</v>
      </c>
      <c r="AS7" s="160" t="str" cm="1">
        <f t="array" ref="AS7">AS26</f>
        <v>Предложение организации</v>
      </c>
      <c r="AT7" s="160" t="str" cm="1">
        <f t="array" ref="AT7">AT26</f>
        <v>Принято органом регулирования</v>
      </c>
      <c r="AU7" s="160" t="str" cm="1">
        <f t="array" ref="AU7">AU26</f>
        <v>Отклонение, %</v>
      </c>
      <c r="AV7" s="160" t="str" cm="1">
        <f t="array" ref="AV7">AV26</f>
        <v>Предложение организации</v>
      </c>
      <c r="AW7" s="160" t="str" cm="1">
        <f t="array" ref="AW7">AW26</f>
        <v>Принято органом регулирования</v>
      </c>
      <c r="AX7" s="160" t="str" cm="1">
        <f t="array" ref="AX7">AX26</f>
        <v>Отклонение, %</v>
      </c>
      <c r="AY7" s="160" t="str" cm="1">
        <f t="array" ref="AY7">AY26</f>
        <v>Предложение организации</v>
      </c>
      <c r="AZ7" s="160" t="str" cm="1">
        <f t="array" ref="AZ7">AZ26</f>
        <v>Принято органом регулирования</v>
      </c>
      <c r="BA7" s="160" t="str" cm="1">
        <f t="array" ref="BA7">BA26</f>
        <v>Отклонение, %</v>
      </c>
      <c r="BB7" s="160" t="str" cm="1">
        <f t="array" ref="BB7">BB26</f>
        <v>Предложение организации</v>
      </c>
      <c r="BC7" s="160" t="str" cm="1">
        <f t="array" ref="BC7">BC26</f>
        <v>Принято органом регулирования</v>
      </c>
      <c r="BD7" s="160" t="str" cm="1">
        <f t="array" ref="BD7">BD26</f>
        <v>Отклонение, %</v>
      </c>
      <c r="BE7" s="160" t="str" cm="1">
        <f t="array" ref="BE7">BE26</f>
        <v>Предложение организации</v>
      </c>
      <c r="BF7" s="160" t="str" cm="1">
        <f t="array" ref="BF7">BF26</f>
        <v>Принято органом регулирования</v>
      </c>
      <c r="BG7" s="160" t="str" cm="1">
        <f t="array" ref="BG7">BG26</f>
        <v>Отклонение, %</v>
      </c>
      <c r="BH7" s="160" t="str" cm="1">
        <f t="array" ref="BH7">BH26</f>
        <v>Предложение организации</v>
      </c>
      <c r="BI7" s="160" t="str" cm="1">
        <f t="array" ref="BI7">BI26</f>
        <v>Принято органом регулирования</v>
      </c>
      <c r="BJ7" s="160" t="str" cm="1">
        <f t="array" ref="BJ7">BJ26</f>
        <v>Отклонение, %</v>
      </c>
      <c r="BK7" s="160" t="str" cm="1">
        <f t="array" ref="BK7">BK26</f>
        <v>Предложение организации</v>
      </c>
      <c r="BL7" s="160" t="str" cm="1">
        <f t="array" ref="BL7">BL26</f>
        <v>Принято органом регулирования</v>
      </c>
      <c r="BM7" s="160" t="str" cm="1">
        <f t="array" ref="BM7">BM26</f>
        <v>Отклонение, %</v>
      </c>
      <c r="BN7" s="160" t="str" cm="1">
        <f t="array" ref="BN7">BN26</f>
        <v>Предложение организации</v>
      </c>
      <c r="BO7" s="160" t="str" cm="1">
        <f t="array" ref="BO7">BO26</f>
        <v>Принято органом регулирования</v>
      </c>
      <c r="BP7" s="160" t="str" cm="1">
        <f t="array" ref="BP7">BP26</f>
        <v>Отклонение, %</v>
      </c>
      <c r="BQ7" s="160" t="str" cm="1">
        <f t="array" ref="BQ7">BQ26</f>
        <v>Предложение организации</v>
      </c>
      <c r="BR7" s="160" t="str" cm="1">
        <f t="array" ref="BR7">BR26</f>
        <v>Принято органом регулирования</v>
      </c>
      <c r="BS7" s="160" t="str" cm="1">
        <f t="array" ref="BS7">BS26</f>
        <v>Отклонение, %</v>
      </c>
      <c r="BT7" s="160" t="str" cm="1">
        <f t="array" ref="BT7">BT26</f>
        <v>Предложение организации</v>
      </c>
      <c r="BU7" s="160" t="str" cm="1">
        <f t="array" ref="BU7">BU26</f>
        <v>Принято органом регулирования</v>
      </c>
      <c r="BV7" s="160" t="str" cm="1">
        <f t="array" ref="BV7">BV26</f>
        <v>Отклонение, %</v>
      </c>
      <c r="BW7" s="160" t="str" cm="1">
        <f t="array" ref="BW7">BW26</f>
        <v>Предложение организации</v>
      </c>
      <c r="BX7" s="160" t="str" cm="1">
        <f t="array" ref="BX7">BX26</f>
        <v>Принято органом регулирования</v>
      </c>
      <c r="BY7" s="160" t="str" cm="1">
        <f t="array" ref="BY7">BY26</f>
        <v>Отклонение, %</v>
      </c>
      <c r="BZ7" s="160" t="str" cm="1">
        <f t="array" ref="BZ7">BZ26</f>
        <v>Предложение организации</v>
      </c>
      <c r="CA7" s="160" t="str" cm="1">
        <f t="array" ref="CA7">CA26</f>
        <v>Принято органом регулирования</v>
      </c>
      <c r="CB7" s="160" t="str" cm="1">
        <f t="array" ref="CB7">CB26</f>
        <v>Отклонение, %</v>
      </c>
      <c r="CC7" s="160" t="str" cm="1">
        <f t="array" ref="CC7">CC26</f>
        <v>Предложение организации</v>
      </c>
      <c r="CD7" s="160" t="str" cm="1">
        <f t="array" ref="CD7">CD26</f>
        <v>Принято органом регулирования</v>
      </c>
      <c r="CE7" s="160" t="str" cm="1">
        <f t="array" ref="CE7">CE26</f>
        <v>Отклонение, %</v>
      </c>
      <c r="CF7" s="160" t="str" cm="1">
        <f t="array" ref="CF7">CF26</f>
        <v>Предложение организации</v>
      </c>
      <c r="CG7" s="160" t="str" cm="1">
        <f t="array" ref="CG7">CG26</f>
        <v>Принято органом регулирования</v>
      </c>
      <c r="CH7" s="160" t="str" cm="1">
        <f t="array" ref="CH7">CH26</f>
        <v>Отклонение, %</v>
      </c>
      <c r="CI7" s="160" t="str" cm="1">
        <f t="array" ref="CI7">CI26</f>
        <v>Предложение организации</v>
      </c>
      <c r="CJ7" s="160" t="str" cm="1">
        <f t="array" ref="CJ7">CJ26</f>
        <v>Принято органом регулирования</v>
      </c>
      <c r="CK7" s="160" t="str" cm="1">
        <f t="array" ref="CK7">CK26</f>
        <v>Отклонение, %</v>
      </c>
      <c r="CL7" s="160" t="str" cm="1">
        <f t="array" ref="CL7">CL26</f>
        <v>Предложение организации</v>
      </c>
      <c r="CM7" s="160" t="str" cm="1">
        <f t="array" ref="CM7">CM26</f>
        <v>Принято органом регулирования</v>
      </c>
      <c r="CN7" s="160" t="str" cm="1">
        <f t="array" ref="CN7">CN26</f>
        <v>Отклонение, %</v>
      </c>
      <c r="CO7" s="160" t="str" cm="1">
        <f t="array" ref="CO7">CO26</f>
        <v>Предложение организации</v>
      </c>
      <c r="CP7" s="160" t="str" cm="1">
        <f t="array" ref="CP7">CP26</f>
        <v>Принято органом регулирования</v>
      </c>
      <c r="CQ7" s="160" t="str" cm="1">
        <f t="array" ref="CQ7">CQ26</f>
        <v>Отклонение, %</v>
      </c>
      <c r="CR7" s="160" t="str" cm="1">
        <f t="array" ref="CR7">CR26</f>
        <v>Предложение организации</v>
      </c>
      <c r="CS7" s="160" t="str" cm="1">
        <f t="array" ref="CS7">CS26</f>
        <v>Принято органом регулирования</v>
      </c>
      <c r="CT7" s="160" t="str" cm="1">
        <f t="array" ref="CT7">CT26</f>
        <v>Отклонение, %</v>
      </c>
      <c r="CU7" s="160" t="str" cm="1">
        <f t="array" ref="CU7">CU26</f>
        <v>Предложение организации</v>
      </c>
      <c r="CV7" s="160" t="str" cm="1">
        <f t="array" ref="CV7">CV26</f>
        <v>Принято органом регулирования</v>
      </c>
      <c r="CW7" s="160" t="str" cm="1">
        <f t="array" ref="CW7">CW26</f>
        <v>Отклонение, %</v>
      </c>
      <c r="CX7" s="160" t="str" cm="1">
        <f t="array" ref="CX7">CX26</f>
        <v>Предложение организации</v>
      </c>
      <c r="CY7" s="160" t="str" cm="1">
        <f t="array" ref="CY7">CY26</f>
        <v>Принято органом регулирования</v>
      </c>
      <c r="CZ7" s="160" t="str" cm="1">
        <f t="array" ref="CZ7">CZ26</f>
        <v>Отклонение, %</v>
      </c>
      <c r="DA7" s="160" t="str" cm="1">
        <f t="array" ref="DA7">DA26</f>
        <v>Предложение организации</v>
      </c>
      <c r="DB7" s="160" t="str" cm="1">
        <f t="array" ref="DB7">DB26</f>
        <v>Принято органом регулирования</v>
      </c>
      <c r="DC7" s="160" t="str" cm="1">
        <f t="array" ref="DC7">DC26</f>
        <v>Отклонение, %</v>
      </c>
      <c r="DD7" s="160" t="str" cm="1">
        <f t="array" ref="DD7">DD26</f>
        <v>Предложение организации</v>
      </c>
      <c r="DE7" s="160" t="str" cm="1">
        <f t="array" ref="DE7">DE26</f>
        <v>Принято органом регулирования</v>
      </c>
      <c r="DF7" s="160" t="str" cm="1">
        <f t="array" ref="DF7">DF26</f>
        <v>Отклонение, %</v>
      </c>
      <c r="DG7" s="160" t="str" cm="1">
        <f t="array" ref="DG7">DG26</f>
        <v>Предложение организации</v>
      </c>
      <c r="DH7" s="160" t="str" cm="1">
        <f t="array" ref="DH7">DH26</f>
        <v>Принято органом регулирования</v>
      </c>
      <c r="DI7" s="160" t="str" cm="1">
        <f t="array" ref="DI7">DI26</f>
        <v>Отклонение, %</v>
      </c>
      <c r="DJ7" s="160" t="str" cm="1">
        <f t="array" ref="DJ7">DJ26</f>
        <v>Предложение организации</v>
      </c>
      <c r="DK7" s="160" t="str" cm="1">
        <f t="array" ref="DK7">DK26</f>
        <v>Принято органом регулирования</v>
      </c>
      <c r="DL7" s="160" t="str" cm="1">
        <f t="array" ref="DL7">DL26</f>
        <v>Отклонение, %</v>
      </c>
      <c r="DM7" s="160" t="str" cm="1">
        <f t="array" ref="DM7">DM26</f>
        <v>Предложение организации</v>
      </c>
      <c r="DN7" s="160" t="str" cm="1">
        <f t="array" ref="DN7">DN26</f>
        <v>Принято органом регулирования</v>
      </c>
      <c r="DO7" s="160" t="str" cm="1">
        <f t="array" ref="DO7">DO26</f>
        <v>Отклонение, %</v>
      </c>
      <c r="DP7" s="160" t="str" cm="1">
        <f t="array" ref="DP7">DP26</f>
        <v>Предложение организации</v>
      </c>
      <c r="DQ7" s="160" t="str" cm="1">
        <f t="array" ref="DQ7">DQ26</f>
        <v>Принято органом регулирования</v>
      </c>
      <c r="DR7" s="160" t="str" cm="1">
        <f t="array" ref="DR7">DR26</f>
        <v>Отклонение, %</v>
      </c>
      <c r="DS7" s="160" t="str" cm="1">
        <f t="array" ref="DS7">DS26</f>
        <v>Предложение организации</v>
      </c>
      <c r="DT7" s="160" t="str" cm="1">
        <f t="array" ref="DT7">DT26</f>
        <v>Принято органом регулирования</v>
      </c>
      <c r="DU7" s="160" t="str" cm="1">
        <f t="array" ref="DU7">DU26</f>
        <v>Отклонение, %</v>
      </c>
      <c r="DV7" s="160" t="str" cm="1">
        <f t="array" ref="DV7">DV26</f>
        <v>Предложение организации</v>
      </c>
      <c r="DW7" s="160" t="str" cm="1">
        <f t="array" ref="DW7">DW26</f>
        <v>Принято органом регулирования</v>
      </c>
      <c r="DX7" s="160" t="str" cm="1">
        <f t="array" ref="DX7">DX26</f>
        <v>Отклонение, %</v>
      </c>
      <c r="DY7" s="160" t="str" cm="1">
        <f t="array" ref="DY7">DY26</f>
        <v>Предложение организации</v>
      </c>
      <c r="DZ7" s="160" t="str" cm="1">
        <f t="array" ref="DZ7">DZ26</f>
        <v>Принято органом регулирования</v>
      </c>
      <c r="EA7" s="160" t="str" cm="1">
        <f t="array" ref="EA7">EA26</f>
        <v>Отклонение, %</v>
      </c>
      <c r="EB7" s="160" t="str" cm="1">
        <f t="array" ref="EB7">EB26</f>
        <v>Предложение организации</v>
      </c>
      <c r="EC7" s="160" t="str" cm="1">
        <f t="array" ref="EC7">EC26</f>
        <v>Принято органом регулирования</v>
      </c>
      <c r="ED7" s="160" t="str" cm="1">
        <f t="array" ref="ED7">ED26</f>
        <v>Отклонение, %</v>
      </c>
      <c r="EE7" s="160" t="str" cm="1">
        <f t="array" ref="EE7">EE26</f>
        <v>Предложение организации</v>
      </c>
      <c r="EF7" s="160" t="str" cm="1">
        <f t="array" ref="EF7">EF26</f>
        <v>Принято органом регулирования</v>
      </c>
      <c r="EG7" s="160" t="str" cm="1">
        <f t="array" ref="EG7">EG26</f>
        <v>Отклонение, %</v>
      </c>
      <c r="EH7" s="160" t="str" cm="1">
        <f t="array" ref="EH7">EH26</f>
        <v>Предложение организации</v>
      </c>
      <c r="EI7" s="160" t="str" cm="1">
        <f t="array" ref="EI7">EI26</f>
        <v>Принято органом регулирования</v>
      </c>
      <c r="EJ7" s="160" t="str" cm="1">
        <f t="array" ref="EJ7">EJ26</f>
        <v>Отклонение, %</v>
      </c>
      <c r="EK7" s="160" t="str" cm="1">
        <f t="array" ref="EK7">EK26</f>
        <v>Предложение организации</v>
      </c>
      <c r="EL7" s="160" t="str" cm="1">
        <f t="array" ref="EL7">EL26</f>
        <v>Принято органом регулирования</v>
      </c>
      <c r="EM7" s="160" t="str" cm="1">
        <f t="array" ref="EM7">EM26</f>
        <v>Отклонение, %</v>
      </c>
      <c r="EN7" s="160" t="str" cm="1">
        <f t="array" ref="EN7">EN26</f>
        <v>Предложение организации</v>
      </c>
      <c r="EO7" s="160" t="str" cm="1">
        <f t="array" ref="EO7">EO26</f>
        <v>Принято органом регулирования</v>
      </c>
      <c r="EP7" s="160" t="str" cm="1">
        <f t="array" ref="EP7">EP26</f>
        <v>Отклонение, %</v>
      </c>
      <c r="EQ7" s="160" t="str" cm="1">
        <f t="array" ref="EQ7">EQ26</f>
        <v>Предложение организации</v>
      </c>
      <c r="ER7" s="160" t="str" cm="1">
        <f t="array" ref="ER7">ER26</f>
        <v>Принято органом регулирования</v>
      </c>
      <c r="ES7" s="160" t="str" cm="1">
        <f t="array" ref="ES7">ES26</f>
        <v>Отклонение, %</v>
      </c>
      <c r="ET7" s="160" t="str" cm="1">
        <f t="array" ref="ET7">ET26</f>
        <v>Предложение организации</v>
      </c>
      <c r="EU7" s="160" t="str" cm="1">
        <f t="array" ref="EU7">EU26</f>
        <v>Принято органом регулирования</v>
      </c>
      <c r="EV7" s="160" t="str" cm="1">
        <f t="array" ref="EV7">EV26</f>
        <v>Отклонение, %</v>
      </c>
      <c r="EW7" s="160" t="str" cm="1">
        <f t="array" ref="EW7">EW26</f>
        <v>Предложение организации</v>
      </c>
      <c r="EX7" s="160" t="str" cm="1">
        <f t="array" ref="EX7">EX26</f>
        <v>Принято органом регулирования</v>
      </c>
      <c r="EY7" s="160" t="str" cm="1">
        <f t="array" ref="EY7">EY26</f>
        <v>Отклонение, %</v>
      </c>
      <c r="EZ7" s="160" t="str" cm="1">
        <f t="array" ref="EZ7">EZ26</f>
        <v>Предложение организации</v>
      </c>
      <c r="FA7" s="160" t="str" cm="1">
        <f t="array" ref="FA7">FA26</f>
        <v>Принято органом регулирования</v>
      </c>
      <c r="FB7" s="160" t="str" cm="1">
        <f t="array" ref="FB7">FB26</f>
        <v>Отклонение, %</v>
      </c>
      <c r="FC7" s="160" t="str" cm="1">
        <f t="array" ref="FC7">FC26</f>
        <v>Предложение организации</v>
      </c>
      <c r="FD7" s="160" t="str" cm="1">
        <f t="array" ref="FD7">FD26</f>
        <v>Принято органом регулирования</v>
      </c>
      <c r="FE7" s="160" t="str" cm="1">
        <f t="array" ref="FE7">FE26</f>
        <v>Отклонение, %</v>
      </c>
      <c r="FF7" s="160" t="str" cm="1">
        <f t="array" ref="FF7">FF26</f>
        <v>Предложение организации</v>
      </c>
      <c r="FG7" s="160" t="str" cm="1">
        <f t="array" ref="FG7">FG26</f>
        <v>Принято органом регулирования</v>
      </c>
      <c r="FH7" s="160" t="str" cm="1">
        <f t="array" ref="FH7">FH26</f>
        <v>Отклонение, %</v>
      </c>
      <c r="FI7" s="160" t="str" cm="1">
        <f t="array" ref="FI7">FI26</f>
        <v>Предложение организации</v>
      </c>
      <c r="FJ7" s="160" t="str" cm="1">
        <f t="array" ref="FJ7">FJ26</f>
        <v>Принято органом регулирования</v>
      </c>
      <c r="FK7" s="160" t="str" cm="1">
        <f t="array" ref="FK7">FK26</f>
        <v>Отклонение, %</v>
      </c>
      <c r="FL7" s="160" t="str" cm="1">
        <f t="array" ref="FL7">FL26</f>
        <v>Предложение организации</v>
      </c>
      <c r="FM7" s="160" t="str" cm="1">
        <f t="array" ref="FM7">FM26</f>
        <v>Принято органом регулирования</v>
      </c>
      <c r="FN7" s="160" t="str" cm="1">
        <f t="array" ref="FN7">FN26</f>
        <v>Отклонение, %</v>
      </c>
      <c r="FO7" s="160" t="str" cm="1">
        <f t="array" ref="FO7">FO26</f>
        <v>Предложение организации</v>
      </c>
      <c r="FP7" s="160" t="str" cm="1">
        <f t="array" ref="FP7">FP26</f>
        <v>Принято органом регулирования</v>
      </c>
      <c r="FQ7" s="160" t="str" cm="1">
        <f t="array" ref="FQ7">FQ26</f>
        <v>Отклонение, %</v>
      </c>
      <c r="FR7" s="160" t="str" cm="1">
        <f t="array" ref="FR7">FR26</f>
        <v>Предложение организации</v>
      </c>
      <c r="FS7" s="160" t="str" cm="1">
        <f t="array" ref="FS7">FS26</f>
        <v>Принято органом регулирования</v>
      </c>
      <c r="FT7" s="160" t="str" cm="1">
        <f t="array" ref="FT7">FT26</f>
        <v>Отклонение, %</v>
      </c>
      <c r="FU7" s="160" t="str" cm="1">
        <f t="array" ref="FU7">FU26</f>
        <v>Предложение организации</v>
      </c>
      <c r="FV7" s="160" t="str" cm="1">
        <f t="array" ref="FV7">FV26</f>
        <v>Принято органом регулирования</v>
      </c>
      <c r="FW7" s="160" t="str" cm="1">
        <f t="array" ref="FW7">FW26</f>
        <v>Отклонение, %</v>
      </c>
      <c r="GA7" s="1005"/>
      <c r="GB7" s="1005"/>
      <c r="GC7" s="1005"/>
      <c r="GD7" s="1005"/>
    </row>
    <row r="8" spans="1:186" ht="12" hidden="1" customHeight="1" x14ac:dyDescent="0.15">
      <c r="F8" s="160"/>
      <c r="Q8" s="1100"/>
      <c r="T8" s="160"/>
      <c r="U8" s="160"/>
      <c r="V8" s="160"/>
      <c r="W8" s="160"/>
      <c r="X8" s="160"/>
      <c r="Y8" s="160"/>
      <c r="Z8" s="160"/>
      <c r="AB8" s="162"/>
      <c r="AD8" s="160" t="str">
        <f t="shared" ref="AD8:BI8" si="5">AD6&amp;AD7</f>
        <v>2026Предложение организации</v>
      </c>
      <c r="AE8" s="160" t="str">
        <f t="shared" si="5"/>
        <v>2026Принято органом регулирования</v>
      </c>
      <c r="AF8" s="160" t="str">
        <f t="shared" si="5"/>
        <v>2026Отклонение, %</v>
      </c>
      <c r="AG8" s="160" t="str">
        <f t="shared" si="5"/>
        <v>2027Предложение организации</v>
      </c>
      <c r="AH8" s="160" t="str">
        <f t="shared" si="5"/>
        <v>2027Принято органом регулирования</v>
      </c>
      <c r="AI8" s="160" t="str">
        <f t="shared" si="5"/>
        <v>2027Отклонение, %</v>
      </c>
      <c r="AJ8" s="160" t="str">
        <f t="shared" si="5"/>
        <v>2028Предложение организации</v>
      </c>
      <c r="AK8" s="160" t="str">
        <f t="shared" si="5"/>
        <v>2028Принято органом регулирования</v>
      </c>
      <c r="AL8" s="160" t="str">
        <f t="shared" si="5"/>
        <v>2028Отклонение, %</v>
      </c>
      <c r="AM8" s="160" t="str">
        <f t="shared" si="5"/>
        <v>2029Предложение организации</v>
      </c>
      <c r="AN8" s="160" t="str">
        <f t="shared" si="5"/>
        <v>2029Принято органом регулирования</v>
      </c>
      <c r="AO8" s="160" t="str">
        <f t="shared" si="5"/>
        <v>2029Отклонение, %</v>
      </c>
      <c r="AP8" s="160" t="str">
        <f t="shared" si="5"/>
        <v>2030Предложение организации</v>
      </c>
      <c r="AQ8" s="160" t="str">
        <f t="shared" si="5"/>
        <v>2030Принято органом регулирования</v>
      </c>
      <c r="AR8" s="160" t="str">
        <f t="shared" si="5"/>
        <v>2030Отклонение, %</v>
      </c>
      <c r="AS8" s="160" t="str">
        <f t="shared" si="5"/>
        <v>2031Предложение организации</v>
      </c>
      <c r="AT8" s="160" t="str">
        <f t="shared" si="5"/>
        <v>2031Принято органом регулирования</v>
      </c>
      <c r="AU8" s="160" t="str">
        <f t="shared" si="5"/>
        <v>2031Отклонение, %</v>
      </c>
      <c r="AV8" s="160" t="str">
        <f t="shared" si="5"/>
        <v>2032Предложение организации</v>
      </c>
      <c r="AW8" s="160" t="str">
        <f t="shared" si="5"/>
        <v>2032Принято органом регулирования</v>
      </c>
      <c r="AX8" s="160" t="str">
        <f t="shared" si="5"/>
        <v>2032Отклонение, %</v>
      </c>
      <c r="AY8" s="160" t="str">
        <f t="shared" si="5"/>
        <v>2033Предложение организации</v>
      </c>
      <c r="AZ8" s="160" t="str">
        <f t="shared" si="5"/>
        <v>2033Принято органом регулирования</v>
      </c>
      <c r="BA8" s="160" t="str">
        <f t="shared" si="5"/>
        <v>2033Отклонение, %</v>
      </c>
      <c r="BB8" s="160" t="str">
        <f t="shared" si="5"/>
        <v>2034Предложение организации</v>
      </c>
      <c r="BC8" s="160" t="str">
        <f t="shared" si="5"/>
        <v>2034Принято органом регулирования</v>
      </c>
      <c r="BD8" s="160" t="str">
        <f t="shared" si="5"/>
        <v>2034Отклонение, %</v>
      </c>
      <c r="BE8" s="160" t="str">
        <f t="shared" si="5"/>
        <v>2035Предложение организации</v>
      </c>
      <c r="BF8" s="160" t="str">
        <f t="shared" si="5"/>
        <v>2035Принято органом регулирования</v>
      </c>
      <c r="BG8" s="160" t="str">
        <f t="shared" si="5"/>
        <v>2035Отклонение, %</v>
      </c>
      <c r="BH8" s="160" t="str">
        <f t="shared" si="5"/>
        <v>2036Предложение организации</v>
      </c>
      <c r="BI8" s="160" t="str">
        <f t="shared" si="5"/>
        <v>2036Принято органом регулирования</v>
      </c>
      <c r="BJ8" s="160" t="str">
        <f t="shared" ref="BJ8:CO8" si="6">BJ6&amp;BJ7</f>
        <v>2036Отклонение, %</v>
      </c>
      <c r="BK8" s="160" t="str">
        <f t="shared" si="6"/>
        <v>2037Предложение организации</v>
      </c>
      <c r="BL8" s="160" t="str">
        <f t="shared" si="6"/>
        <v>2037Принято органом регулирования</v>
      </c>
      <c r="BM8" s="160" t="str">
        <f t="shared" si="6"/>
        <v>2037Отклонение, %</v>
      </c>
      <c r="BN8" s="160" t="str">
        <f t="shared" si="6"/>
        <v>2038Предложение организации</v>
      </c>
      <c r="BO8" s="160" t="str">
        <f t="shared" si="6"/>
        <v>2038Принято органом регулирования</v>
      </c>
      <c r="BP8" s="160" t="str">
        <f t="shared" si="6"/>
        <v>2038Отклонение, %</v>
      </c>
      <c r="BQ8" s="160" t="str">
        <f t="shared" si="6"/>
        <v>2039Предложение организации</v>
      </c>
      <c r="BR8" s="160" t="str">
        <f t="shared" si="6"/>
        <v>2039Принято органом регулирования</v>
      </c>
      <c r="BS8" s="160" t="str">
        <f t="shared" si="6"/>
        <v>2039Отклонение, %</v>
      </c>
      <c r="BT8" s="160" t="str">
        <f t="shared" si="6"/>
        <v>2040Предложение организации</v>
      </c>
      <c r="BU8" s="160" t="str">
        <f t="shared" si="6"/>
        <v>2040Принято органом регулирования</v>
      </c>
      <c r="BV8" s="160" t="str">
        <f t="shared" si="6"/>
        <v>2040Отклонение, %</v>
      </c>
      <c r="BW8" s="160" t="str">
        <f t="shared" si="6"/>
        <v>2041Предложение организации</v>
      </c>
      <c r="BX8" s="160" t="str">
        <f t="shared" si="6"/>
        <v>2041Принято органом регулирования</v>
      </c>
      <c r="BY8" s="160" t="str">
        <f t="shared" si="6"/>
        <v>2041Отклонение, %</v>
      </c>
      <c r="BZ8" s="160" t="str">
        <f t="shared" si="6"/>
        <v>2042Предложение организации</v>
      </c>
      <c r="CA8" s="160" t="str">
        <f t="shared" si="6"/>
        <v>2042Принято органом регулирования</v>
      </c>
      <c r="CB8" s="160" t="str">
        <f t="shared" si="6"/>
        <v>2042Отклонение, %</v>
      </c>
      <c r="CC8" s="160" t="str">
        <f t="shared" si="6"/>
        <v>2043Предложение организации</v>
      </c>
      <c r="CD8" s="160" t="str">
        <f t="shared" si="6"/>
        <v>2043Принято органом регулирования</v>
      </c>
      <c r="CE8" s="160" t="str">
        <f t="shared" si="6"/>
        <v>2043Отклонение, %</v>
      </c>
      <c r="CF8" s="160" t="str">
        <f t="shared" si="6"/>
        <v>2044Предложение организации</v>
      </c>
      <c r="CG8" s="160" t="str">
        <f t="shared" si="6"/>
        <v>2044Принято органом регулирования</v>
      </c>
      <c r="CH8" s="160" t="str">
        <f t="shared" si="6"/>
        <v>2044Отклонение, %</v>
      </c>
      <c r="CI8" s="160" t="str">
        <f t="shared" si="6"/>
        <v>2045Предложение организации</v>
      </c>
      <c r="CJ8" s="160" t="str">
        <f t="shared" si="6"/>
        <v>2045Принято органом регулирования</v>
      </c>
      <c r="CK8" s="160" t="str">
        <f t="shared" si="6"/>
        <v>2045Отклонение, %</v>
      </c>
      <c r="CL8" s="160" t="str">
        <f t="shared" si="6"/>
        <v>2046Предложение организации</v>
      </c>
      <c r="CM8" s="160" t="str">
        <f t="shared" si="6"/>
        <v>2046Принято органом регулирования</v>
      </c>
      <c r="CN8" s="160" t="str">
        <f t="shared" si="6"/>
        <v>2046Отклонение, %</v>
      </c>
      <c r="CO8" s="160" t="str">
        <f t="shared" si="6"/>
        <v>2047Предложение организации</v>
      </c>
      <c r="CP8" s="160" t="str">
        <f t="shared" ref="CP8:DU8" si="7">CP6&amp;CP7</f>
        <v>2047Принято органом регулирования</v>
      </c>
      <c r="CQ8" s="160" t="str">
        <f t="shared" si="7"/>
        <v>2047Отклонение, %</v>
      </c>
      <c r="CR8" s="160" t="str">
        <f t="shared" si="7"/>
        <v>2048Предложение организации</v>
      </c>
      <c r="CS8" s="160" t="str">
        <f t="shared" si="7"/>
        <v>2048Принято органом регулирования</v>
      </c>
      <c r="CT8" s="160" t="str">
        <f t="shared" si="7"/>
        <v>2048Отклонение, %</v>
      </c>
      <c r="CU8" s="160" t="str">
        <f t="shared" si="7"/>
        <v>2049Предложение организации</v>
      </c>
      <c r="CV8" s="160" t="str">
        <f t="shared" si="7"/>
        <v>2049Принято органом регулирования</v>
      </c>
      <c r="CW8" s="160" t="str">
        <f t="shared" si="7"/>
        <v>2049Отклонение, %</v>
      </c>
      <c r="CX8" s="160" t="str">
        <f t="shared" si="7"/>
        <v>2050Предложение организации</v>
      </c>
      <c r="CY8" s="160" t="str">
        <f t="shared" si="7"/>
        <v>2050Принято органом регулирования</v>
      </c>
      <c r="CZ8" s="160" t="str">
        <f t="shared" si="7"/>
        <v>2050Отклонение, %</v>
      </c>
      <c r="DA8" s="160" t="str">
        <f t="shared" si="7"/>
        <v>2051Предложение организации</v>
      </c>
      <c r="DB8" s="160" t="str">
        <f t="shared" si="7"/>
        <v>2051Принято органом регулирования</v>
      </c>
      <c r="DC8" s="160" t="str">
        <f t="shared" si="7"/>
        <v>2051Отклонение, %</v>
      </c>
      <c r="DD8" s="160" t="str">
        <f t="shared" si="7"/>
        <v>2052Предложение организации</v>
      </c>
      <c r="DE8" s="160" t="str">
        <f t="shared" si="7"/>
        <v>2052Принято органом регулирования</v>
      </c>
      <c r="DF8" s="160" t="str">
        <f t="shared" si="7"/>
        <v>2052Отклонение, %</v>
      </c>
      <c r="DG8" s="160" t="str">
        <f t="shared" si="7"/>
        <v>2053Предложение организации</v>
      </c>
      <c r="DH8" s="160" t="str">
        <f t="shared" si="7"/>
        <v>2053Принято органом регулирования</v>
      </c>
      <c r="DI8" s="160" t="str">
        <f t="shared" si="7"/>
        <v>2053Отклонение, %</v>
      </c>
      <c r="DJ8" s="160" t="str">
        <f t="shared" si="7"/>
        <v>2054Предложение организации</v>
      </c>
      <c r="DK8" s="160" t="str">
        <f t="shared" si="7"/>
        <v>2054Принято органом регулирования</v>
      </c>
      <c r="DL8" s="160" t="str">
        <f t="shared" si="7"/>
        <v>2054Отклонение, %</v>
      </c>
      <c r="DM8" s="160" t="str">
        <f t="shared" si="7"/>
        <v>2055Предложение организации</v>
      </c>
      <c r="DN8" s="160" t="str">
        <f t="shared" si="7"/>
        <v>2055Принято органом регулирования</v>
      </c>
      <c r="DO8" s="160" t="str">
        <f t="shared" si="7"/>
        <v>2055Отклонение, %</v>
      </c>
      <c r="DP8" s="160" t="str">
        <f t="shared" si="7"/>
        <v>2056Предложение организации</v>
      </c>
      <c r="DQ8" s="160" t="str">
        <f t="shared" si="7"/>
        <v>2056Принято органом регулирования</v>
      </c>
      <c r="DR8" s="160" t="str">
        <f t="shared" si="7"/>
        <v>2056Отклонение, %</v>
      </c>
      <c r="DS8" s="160" t="str">
        <f t="shared" si="7"/>
        <v>2057Предложение организации</v>
      </c>
      <c r="DT8" s="160" t="str">
        <f t="shared" si="7"/>
        <v>2057Принято органом регулирования</v>
      </c>
      <c r="DU8" s="160" t="str">
        <f t="shared" si="7"/>
        <v>2057Отклонение, %</v>
      </c>
      <c r="DV8" s="160" t="str">
        <f t="shared" ref="DV8:FA8" si="8">DV6&amp;DV7</f>
        <v>2058Предложение организации</v>
      </c>
      <c r="DW8" s="160" t="str">
        <f t="shared" si="8"/>
        <v>2058Принято органом регулирования</v>
      </c>
      <c r="DX8" s="160" t="str">
        <f t="shared" si="8"/>
        <v>2058Отклонение, %</v>
      </c>
      <c r="DY8" s="160" t="str">
        <f t="shared" si="8"/>
        <v>2059Предложение организации</v>
      </c>
      <c r="DZ8" s="160" t="str">
        <f t="shared" si="8"/>
        <v>2059Принято органом регулирования</v>
      </c>
      <c r="EA8" s="160" t="str">
        <f t="shared" si="8"/>
        <v>2059Отклонение, %</v>
      </c>
      <c r="EB8" s="160" t="str">
        <f t="shared" si="8"/>
        <v>2060Предложение организации</v>
      </c>
      <c r="EC8" s="160" t="str">
        <f t="shared" si="8"/>
        <v>2060Принято органом регулирования</v>
      </c>
      <c r="ED8" s="160" t="str">
        <f t="shared" si="8"/>
        <v>2060Отклонение, %</v>
      </c>
      <c r="EE8" s="160" t="str">
        <f t="shared" si="8"/>
        <v>2061Предложение организации</v>
      </c>
      <c r="EF8" s="160" t="str">
        <f t="shared" si="8"/>
        <v>2061Принято органом регулирования</v>
      </c>
      <c r="EG8" s="160" t="str">
        <f t="shared" si="8"/>
        <v>2061Отклонение, %</v>
      </c>
      <c r="EH8" s="160" t="str">
        <f t="shared" si="8"/>
        <v>2062Предложение организации</v>
      </c>
      <c r="EI8" s="160" t="str">
        <f t="shared" si="8"/>
        <v>2062Принято органом регулирования</v>
      </c>
      <c r="EJ8" s="160" t="str">
        <f t="shared" si="8"/>
        <v>2062Отклонение, %</v>
      </c>
      <c r="EK8" s="160" t="str">
        <f t="shared" si="8"/>
        <v>2063Предложение организации</v>
      </c>
      <c r="EL8" s="160" t="str">
        <f t="shared" si="8"/>
        <v>2063Принято органом регулирования</v>
      </c>
      <c r="EM8" s="160" t="str">
        <f t="shared" si="8"/>
        <v>2063Отклонение, %</v>
      </c>
      <c r="EN8" s="160" t="str">
        <f t="shared" si="8"/>
        <v>2064Предложение организации</v>
      </c>
      <c r="EO8" s="160" t="str">
        <f t="shared" si="8"/>
        <v>2064Принято органом регулирования</v>
      </c>
      <c r="EP8" s="160" t="str">
        <f t="shared" si="8"/>
        <v>2064Отклонение, %</v>
      </c>
      <c r="EQ8" s="160" t="str">
        <f t="shared" si="8"/>
        <v>2065Предложение организации</v>
      </c>
      <c r="ER8" s="160" t="str">
        <f t="shared" si="8"/>
        <v>2065Принято органом регулирования</v>
      </c>
      <c r="ES8" s="160" t="str">
        <f t="shared" si="8"/>
        <v>2065Отклонение, %</v>
      </c>
      <c r="ET8" s="160" t="str">
        <f t="shared" si="8"/>
        <v>2066Предложение организации</v>
      </c>
      <c r="EU8" s="160" t="str">
        <f t="shared" si="8"/>
        <v>2066Принято органом регулирования</v>
      </c>
      <c r="EV8" s="160" t="str">
        <f t="shared" si="8"/>
        <v>2066Отклонение, %</v>
      </c>
      <c r="EW8" s="160" t="str">
        <f t="shared" si="8"/>
        <v>2067Предложение организации</v>
      </c>
      <c r="EX8" s="160" t="str">
        <f t="shared" si="8"/>
        <v>2067Принято органом регулирования</v>
      </c>
      <c r="EY8" s="160" t="str">
        <f t="shared" si="8"/>
        <v>2067Отклонение, %</v>
      </c>
      <c r="EZ8" s="160" t="str">
        <f t="shared" si="8"/>
        <v>2068Предложение организации</v>
      </c>
      <c r="FA8" s="160" t="str">
        <f t="shared" si="8"/>
        <v>2068Принято органом регулирования</v>
      </c>
      <c r="FB8" s="160" t="str">
        <f t="shared" ref="FB8:FW8" si="9">FB6&amp;FB7</f>
        <v>2068Отклонение, %</v>
      </c>
      <c r="FC8" s="160" t="str">
        <f t="shared" si="9"/>
        <v>2069Предложение организации</v>
      </c>
      <c r="FD8" s="160" t="str">
        <f t="shared" si="9"/>
        <v>2069Принято органом регулирования</v>
      </c>
      <c r="FE8" s="160" t="str">
        <f t="shared" si="9"/>
        <v>2069Отклонение, %</v>
      </c>
      <c r="FF8" s="160" t="str">
        <f t="shared" si="9"/>
        <v>2070Предложение организации</v>
      </c>
      <c r="FG8" s="160" t="str">
        <f t="shared" si="9"/>
        <v>2070Принято органом регулирования</v>
      </c>
      <c r="FH8" s="160" t="str">
        <f t="shared" si="9"/>
        <v>2070Отклонение, %</v>
      </c>
      <c r="FI8" s="160" t="str">
        <f t="shared" si="9"/>
        <v>2071Предложение организации</v>
      </c>
      <c r="FJ8" s="160" t="str">
        <f t="shared" si="9"/>
        <v>2071Принято органом регулирования</v>
      </c>
      <c r="FK8" s="160" t="str">
        <f t="shared" si="9"/>
        <v>2071Отклонение, %</v>
      </c>
      <c r="FL8" s="160" t="str">
        <f t="shared" si="9"/>
        <v>2072Предложение организации</v>
      </c>
      <c r="FM8" s="160" t="str">
        <f t="shared" si="9"/>
        <v>2072Принято органом регулирования</v>
      </c>
      <c r="FN8" s="160" t="str">
        <f t="shared" si="9"/>
        <v>2072Отклонение, %</v>
      </c>
      <c r="FO8" s="160" t="str">
        <f t="shared" si="9"/>
        <v>2073Предложение организации</v>
      </c>
      <c r="FP8" s="160" t="str">
        <f t="shared" si="9"/>
        <v>2073Принято органом регулирования</v>
      </c>
      <c r="FQ8" s="160" t="str">
        <f t="shared" si="9"/>
        <v>2073Отклонение, %</v>
      </c>
      <c r="FR8" s="160" t="str">
        <f t="shared" si="9"/>
        <v>2074Предложение организации</v>
      </c>
      <c r="FS8" s="160" t="str">
        <f t="shared" si="9"/>
        <v>2074Принято органом регулирования</v>
      </c>
      <c r="FT8" s="160" t="str">
        <f t="shared" si="9"/>
        <v>2074Отклонение, %</v>
      </c>
      <c r="FU8" s="160" t="str">
        <f t="shared" si="9"/>
        <v>2075Предложение организации</v>
      </c>
      <c r="FV8" s="160" t="str">
        <f t="shared" si="9"/>
        <v>2075Принято органом регулирования</v>
      </c>
      <c r="FW8" s="160" t="str">
        <f t="shared" si="9"/>
        <v>2075Отклонение, %</v>
      </c>
      <c r="GA8" s="1005"/>
      <c r="GB8" s="1005"/>
      <c r="GC8" s="1005"/>
      <c r="GD8" s="1005"/>
    </row>
    <row r="9" spans="1:186" s="1003" customFormat="1" ht="12" hidden="1" customHeight="1" x14ac:dyDescent="0.15">
      <c r="A9" s="948" t="s">
        <v>461</v>
      </c>
      <c r="B9" s="941"/>
      <c r="C9" s="1108"/>
      <c r="D9" s="1077"/>
      <c r="E9" s="941"/>
      <c r="J9" s="1056"/>
      <c r="K9" s="1056"/>
      <c r="L9" s="1056"/>
      <c r="M9" s="1056"/>
      <c r="N9" s="1056"/>
      <c r="O9" s="1056"/>
      <c r="P9" s="1056"/>
      <c r="Q9" s="1065"/>
      <c r="R9" s="950"/>
      <c r="AD9" s="949" cm="1">
        <f t="array" ref="AD9">god</f>
        <v>2026</v>
      </c>
      <c r="AE9" s="949" cm="1">
        <f t="array" ref="AE9">god</f>
        <v>2026</v>
      </c>
      <c r="AF9" s="949" cm="1">
        <f t="array" ref="AF9">god</f>
        <v>2026</v>
      </c>
      <c r="AG9" s="949">
        <f>god+1</f>
        <v>2027</v>
      </c>
      <c r="AH9" s="949">
        <f>god+1</f>
        <v>2027</v>
      </c>
      <c r="AI9" s="949">
        <f>god+1</f>
        <v>2027</v>
      </c>
      <c r="AJ9" s="949">
        <f>god+2</f>
        <v>2028</v>
      </c>
      <c r="AK9" s="949">
        <f>god+2</f>
        <v>2028</v>
      </c>
      <c r="AL9" s="949">
        <f>god+2</f>
        <v>2028</v>
      </c>
      <c r="AM9" s="949">
        <f>god+3</f>
        <v>2029</v>
      </c>
      <c r="AN9" s="949">
        <f>god+3</f>
        <v>2029</v>
      </c>
      <c r="AO9" s="949">
        <f>god+3</f>
        <v>2029</v>
      </c>
      <c r="AP9" s="949">
        <f>god+4</f>
        <v>2030</v>
      </c>
      <c r="AQ9" s="949">
        <f>god+4</f>
        <v>2030</v>
      </c>
      <c r="AR9" s="949">
        <f>god+4</f>
        <v>2030</v>
      </c>
      <c r="AS9" s="949">
        <f>god+5</f>
        <v>2031</v>
      </c>
      <c r="AT9" s="949">
        <f>god+5</f>
        <v>2031</v>
      </c>
      <c r="AU9" s="949">
        <f>god+5</f>
        <v>2031</v>
      </c>
      <c r="AV9" s="949">
        <f>god+6</f>
        <v>2032</v>
      </c>
      <c r="AW9" s="949">
        <f>god+6</f>
        <v>2032</v>
      </c>
      <c r="AX9" s="949">
        <f>god+6</f>
        <v>2032</v>
      </c>
      <c r="AY9" s="949">
        <f>god+7</f>
        <v>2033</v>
      </c>
      <c r="AZ9" s="949">
        <f>god+7</f>
        <v>2033</v>
      </c>
      <c r="BA9" s="949">
        <f>god+7</f>
        <v>2033</v>
      </c>
      <c r="BB9" s="949">
        <f>god+8</f>
        <v>2034</v>
      </c>
      <c r="BC9" s="949">
        <f>god+8</f>
        <v>2034</v>
      </c>
      <c r="BD9" s="949">
        <f>god+8</f>
        <v>2034</v>
      </c>
      <c r="BE9" s="949">
        <f>god+9</f>
        <v>2035</v>
      </c>
      <c r="BF9" s="949">
        <f>god+9</f>
        <v>2035</v>
      </c>
      <c r="BG9" s="949">
        <f>god+9</f>
        <v>2035</v>
      </c>
      <c r="BH9" s="949">
        <f>god+10</f>
        <v>2036</v>
      </c>
      <c r="BI9" s="949">
        <f>god+10</f>
        <v>2036</v>
      </c>
      <c r="BJ9" s="949">
        <f>god+10</f>
        <v>2036</v>
      </c>
      <c r="BK9" s="949">
        <f>god+11</f>
        <v>2037</v>
      </c>
      <c r="BL9" s="949">
        <f>god+11</f>
        <v>2037</v>
      </c>
      <c r="BM9" s="949">
        <f>god+11</f>
        <v>2037</v>
      </c>
      <c r="BN9" s="949">
        <f>god+12</f>
        <v>2038</v>
      </c>
      <c r="BO9" s="949">
        <f>god+12</f>
        <v>2038</v>
      </c>
      <c r="BP9" s="949">
        <f>god+12</f>
        <v>2038</v>
      </c>
      <c r="BQ9" s="949">
        <f>god+13</f>
        <v>2039</v>
      </c>
      <c r="BR9" s="949">
        <f>god+13</f>
        <v>2039</v>
      </c>
      <c r="BS9" s="949">
        <f>god+13</f>
        <v>2039</v>
      </c>
      <c r="BT9" s="949">
        <f>god+14</f>
        <v>2040</v>
      </c>
      <c r="BU9" s="949">
        <f>god+14</f>
        <v>2040</v>
      </c>
      <c r="BV9" s="949">
        <f>god+14</f>
        <v>2040</v>
      </c>
      <c r="BW9" s="949">
        <f>god+15</f>
        <v>2041</v>
      </c>
      <c r="BX9" s="949">
        <f>god+15</f>
        <v>2041</v>
      </c>
      <c r="BY9" s="949">
        <f>god+15</f>
        <v>2041</v>
      </c>
      <c r="BZ9" s="949">
        <f>god+16</f>
        <v>2042</v>
      </c>
      <c r="CA9" s="949">
        <f>god+16</f>
        <v>2042</v>
      </c>
      <c r="CB9" s="949">
        <f>god+16</f>
        <v>2042</v>
      </c>
      <c r="CC9" s="949">
        <f>god+17</f>
        <v>2043</v>
      </c>
      <c r="CD9" s="949">
        <f>god+17</f>
        <v>2043</v>
      </c>
      <c r="CE9" s="949">
        <f>god+17</f>
        <v>2043</v>
      </c>
      <c r="CF9" s="949">
        <f>god+18</f>
        <v>2044</v>
      </c>
      <c r="CG9" s="949">
        <f>god+18</f>
        <v>2044</v>
      </c>
      <c r="CH9" s="949">
        <f>god+18</f>
        <v>2044</v>
      </c>
      <c r="CI9" s="949">
        <f>god+19</f>
        <v>2045</v>
      </c>
      <c r="CJ9" s="949">
        <f>god+19</f>
        <v>2045</v>
      </c>
      <c r="CK9" s="949">
        <f>god+19</f>
        <v>2045</v>
      </c>
      <c r="CL9" s="949">
        <f>god+20</f>
        <v>2046</v>
      </c>
      <c r="CM9" s="949">
        <f>god+20</f>
        <v>2046</v>
      </c>
      <c r="CN9" s="949">
        <f>god+20</f>
        <v>2046</v>
      </c>
      <c r="CO9" s="949">
        <f>god+21</f>
        <v>2047</v>
      </c>
      <c r="CP9" s="949">
        <f>god+21</f>
        <v>2047</v>
      </c>
      <c r="CQ9" s="949">
        <f>god+21</f>
        <v>2047</v>
      </c>
      <c r="CR9" s="949">
        <f>god+22</f>
        <v>2048</v>
      </c>
      <c r="CS9" s="949">
        <f>god+22</f>
        <v>2048</v>
      </c>
      <c r="CT9" s="949">
        <f>god+22</f>
        <v>2048</v>
      </c>
      <c r="CU9" s="949">
        <f>god+23</f>
        <v>2049</v>
      </c>
      <c r="CV9" s="949">
        <f>god+23</f>
        <v>2049</v>
      </c>
      <c r="CW9" s="949">
        <f>god+23</f>
        <v>2049</v>
      </c>
      <c r="CX9" s="949">
        <f>god+24</f>
        <v>2050</v>
      </c>
      <c r="CY9" s="949">
        <f>god+24</f>
        <v>2050</v>
      </c>
      <c r="CZ9" s="949">
        <f>god+24</f>
        <v>2050</v>
      </c>
      <c r="DA9" s="949">
        <f>god+25</f>
        <v>2051</v>
      </c>
      <c r="DB9" s="949">
        <f>god+25</f>
        <v>2051</v>
      </c>
      <c r="DC9" s="949">
        <f>god+25</f>
        <v>2051</v>
      </c>
      <c r="DD9" s="949">
        <f>god+26</f>
        <v>2052</v>
      </c>
      <c r="DE9" s="949">
        <f>god+26</f>
        <v>2052</v>
      </c>
      <c r="DF9" s="949">
        <f>god+26</f>
        <v>2052</v>
      </c>
      <c r="DG9" s="949">
        <f>god+27</f>
        <v>2053</v>
      </c>
      <c r="DH9" s="949">
        <f>god+27</f>
        <v>2053</v>
      </c>
      <c r="DI9" s="949">
        <f>god+27</f>
        <v>2053</v>
      </c>
      <c r="DJ9" s="949">
        <f>god+28</f>
        <v>2054</v>
      </c>
      <c r="DK9" s="949">
        <f>god+28</f>
        <v>2054</v>
      </c>
      <c r="DL9" s="949">
        <f>god+28</f>
        <v>2054</v>
      </c>
      <c r="DM9" s="949">
        <f>god+29</f>
        <v>2055</v>
      </c>
      <c r="DN9" s="949">
        <f>god+29</f>
        <v>2055</v>
      </c>
      <c r="DO9" s="949">
        <f>god+29</f>
        <v>2055</v>
      </c>
      <c r="DP9" s="949">
        <f>god+30</f>
        <v>2056</v>
      </c>
      <c r="DQ9" s="949">
        <f>god+30</f>
        <v>2056</v>
      </c>
      <c r="DR9" s="949">
        <f>god+30</f>
        <v>2056</v>
      </c>
      <c r="DS9" s="949">
        <f>god+31</f>
        <v>2057</v>
      </c>
      <c r="DT9" s="949">
        <f>god+31</f>
        <v>2057</v>
      </c>
      <c r="DU9" s="949">
        <f>god+31</f>
        <v>2057</v>
      </c>
      <c r="DV9" s="949">
        <f>god+32</f>
        <v>2058</v>
      </c>
      <c r="DW9" s="949">
        <f>god+32</f>
        <v>2058</v>
      </c>
      <c r="DX9" s="949">
        <f>god+32</f>
        <v>2058</v>
      </c>
      <c r="DY9" s="949">
        <f>god+33</f>
        <v>2059</v>
      </c>
      <c r="DZ9" s="949">
        <f>god+33</f>
        <v>2059</v>
      </c>
      <c r="EA9" s="949">
        <f>god+33</f>
        <v>2059</v>
      </c>
      <c r="EB9" s="949">
        <f>god+34</f>
        <v>2060</v>
      </c>
      <c r="EC9" s="949">
        <f>god+34</f>
        <v>2060</v>
      </c>
      <c r="ED9" s="949">
        <f>god+34</f>
        <v>2060</v>
      </c>
      <c r="EE9" s="949">
        <f>god+35</f>
        <v>2061</v>
      </c>
      <c r="EF9" s="949">
        <f>god+35</f>
        <v>2061</v>
      </c>
      <c r="EG9" s="949">
        <f>god+35</f>
        <v>2061</v>
      </c>
      <c r="EH9" s="949">
        <f>god+36</f>
        <v>2062</v>
      </c>
      <c r="EI9" s="949">
        <f>god+36</f>
        <v>2062</v>
      </c>
      <c r="EJ9" s="949">
        <f>god+36</f>
        <v>2062</v>
      </c>
      <c r="EK9" s="949">
        <f>god+37</f>
        <v>2063</v>
      </c>
      <c r="EL9" s="949">
        <f>god+37</f>
        <v>2063</v>
      </c>
      <c r="EM9" s="949">
        <f>god+37</f>
        <v>2063</v>
      </c>
      <c r="EN9" s="949">
        <f>god+38</f>
        <v>2064</v>
      </c>
      <c r="EO9" s="949">
        <f>god+38</f>
        <v>2064</v>
      </c>
      <c r="EP9" s="949">
        <f>god+38</f>
        <v>2064</v>
      </c>
      <c r="EQ9" s="949">
        <f>god+39</f>
        <v>2065</v>
      </c>
      <c r="ER9" s="949">
        <f>god+39</f>
        <v>2065</v>
      </c>
      <c r="ES9" s="949">
        <f>god+39</f>
        <v>2065</v>
      </c>
      <c r="ET9" s="949">
        <f>god+40</f>
        <v>2066</v>
      </c>
      <c r="EU9" s="949">
        <f>god+40</f>
        <v>2066</v>
      </c>
      <c r="EV9" s="949">
        <f>god+40</f>
        <v>2066</v>
      </c>
      <c r="EW9" s="949">
        <f>god+41</f>
        <v>2067</v>
      </c>
      <c r="EX9" s="949">
        <f>god+41</f>
        <v>2067</v>
      </c>
      <c r="EY9" s="949">
        <f>god+41</f>
        <v>2067</v>
      </c>
      <c r="EZ9" s="949">
        <f>god+42</f>
        <v>2068</v>
      </c>
      <c r="FA9" s="949">
        <f>god+42</f>
        <v>2068</v>
      </c>
      <c r="FB9" s="949">
        <f>god+42</f>
        <v>2068</v>
      </c>
      <c r="FC9" s="949">
        <f>god+43</f>
        <v>2069</v>
      </c>
      <c r="FD9" s="949">
        <f>god+43</f>
        <v>2069</v>
      </c>
      <c r="FE9" s="949">
        <f>god+43</f>
        <v>2069</v>
      </c>
      <c r="FF9" s="949">
        <f>god+44</f>
        <v>2070</v>
      </c>
      <c r="FG9" s="949">
        <f>god+44</f>
        <v>2070</v>
      </c>
      <c r="FH9" s="949">
        <f>god+44</f>
        <v>2070</v>
      </c>
      <c r="FI9" s="949">
        <f>god+45</f>
        <v>2071</v>
      </c>
      <c r="FJ9" s="949">
        <f>god+45</f>
        <v>2071</v>
      </c>
      <c r="FK9" s="949">
        <f>god+45</f>
        <v>2071</v>
      </c>
      <c r="FL9" s="949">
        <f>god+46</f>
        <v>2072</v>
      </c>
      <c r="FM9" s="949">
        <f>god+46</f>
        <v>2072</v>
      </c>
      <c r="FN9" s="949">
        <f>god+46</f>
        <v>2072</v>
      </c>
      <c r="FO9" s="949">
        <f>god+47</f>
        <v>2073</v>
      </c>
      <c r="FP9" s="949">
        <f>god+47</f>
        <v>2073</v>
      </c>
      <c r="FQ9" s="949">
        <f>god+47</f>
        <v>2073</v>
      </c>
      <c r="FR9" s="949">
        <f>god+48</f>
        <v>2074</v>
      </c>
      <c r="FS9" s="949">
        <f>god+48</f>
        <v>2074</v>
      </c>
      <c r="FT9" s="949">
        <f>god+48</f>
        <v>2074</v>
      </c>
      <c r="FU9" s="949">
        <f>god+49</f>
        <v>2075</v>
      </c>
      <c r="FV9" s="949">
        <f>god+49</f>
        <v>2075</v>
      </c>
      <c r="FW9" s="949">
        <f>god+49</f>
        <v>2075</v>
      </c>
      <c r="FZ9" s="971"/>
      <c r="GA9" s="1005"/>
      <c r="GB9" s="1005"/>
      <c r="GC9" s="1005"/>
      <c r="GD9" s="1005"/>
    </row>
    <row r="10" spans="1:186" s="1003" customFormat="1" ht="12" hidden="1" customHeight="1" x14ac:dyDescent="0.15">
      <c r="A10" s="948" t="s">
        <v>462</v>
      </c>
      <c r="B10" s="941"/>
      <c r="C10" s="1108"/>
      <c r="D10" s="1077"/>
      <c r="E10" s="941"/>
      <c r="J10" s="1056"/>
      <c r="K10" s="1056"/>
      <c r="L10" s="1056"/>
      <c r="M10" s="1056"/>
      <c r="N10" s="1056"/>
      <c r="O10" s="1056"/>
      <c r="P10" s="1056"/>
      <c r="Q10" s="1065"/>
      <c r="R10" s="950"/>
      <c r="AD10" s="949" t="str" cm="1">
        <f t="array" ref="AD10">AD26</f>
        <v>Предложение организации</v>
      </c>
      <c r="AE10" s="949" t="str" cm="1">
        <f t="array" ref="AE10">AE26</f>
        <v>Принято органом регулирования</v>
      </c>
      <c r="AF10" s="949" t="str" cm="1">
        <f t="array" ref="AF10">AF26</f>
        <v>Отклонение, %</v>
      </c>
      <c r="AG10" s="949" t="str" cm="1">
        <f t="array" ref="AG10">AG26</f>
        <v>Предложение организации</v>
      </c>
      <c r="AH10" s="949" t="str" cm="1">
        <f t="array" ref="AH10">AH26</f>
        <v>Принято органом регулирования</v>
      </c>
      <c r="AI10" s="949" t="str" cm="1">
        <f t="array" ref="AI10">AI26</f>
        <v>Отклонение, %</v>
      </c>
      <c r="AJ10" s="949" t="str" cm="1">
        <f t="array" ref="AJ10">AJ26</f>
        <v>Предложение организации</v>
      </c>
      <c r="AK10" s="949" t="str" cm="1">
        <f t="array" ref="AK10">AK26</f>
        <v>Принято органом регулирования</v>
      </c>
      <c r="AL10" s="949" t="str" cm="1">
        <f t="array" ref="AL10">AL26</f>
        <v>Отклонение, %</v>
      </c>
      <c r="AM10" s="949" t="str" cm="1">
        <f t="array" ref="AM10">AM26</f>
        <v>Предложение организации</v>
      </c>
      <c r="AN10" s="949" t="str" cm="1">
        <f t="array" ref="AN10">AN26</f>
        <v>Принято органом регулирования</v>
      </c>
      <c r="AO10" s="949" t="str" cm="1">
        <f t="array" ref="AO10">AO26</f>
        <v>Отклонение, %</v>
      </c>
      <c r="AP10" s="949" t="str" cm="1">
        <f t="array" ref="AP10">AP26</f>
        <v>Предложение организации</v>
      </c>
      <c r="AQ10" s="949" t="str" cm="1">
        <f t="array" ref="AQ10">AQ26</f>
        <v>Принято органом регулирования</v>
      </c>
      <c r="AR10" s="949" t="str" cm="1">
        <f t="array" ref="AR10">AR26</f>
        <v>Отклонение, %</v>
      </c>
      <c r="AS10" s="949" t="str" cm="1">
        <f t="array" ref="AS10">AS26</f>
        <v>Предложение организации</v>
      </c>
      <c r="AT10" s="949" t="str" cm="1">
        <f t="array" ref="AT10">AT26</f>
        <v>Принято органом регулирования</v>
      </c>
      <c r="AU10" s="949" t="str" cm="1">
        <f t="array" ref="AU10">AU26</f>
        <v>Отклонение, %</v>
      </c>
      <c r="AV10" s="949" t="str" cm="1">
        <f t="array" ref="AV10">AV26</f>
        <v>Предложение организации</v>
      </c>
      <c r="AW10" s="949" t="str" cm="1">
        <f t="array" ref="AW10">AW26</f>
        <v>Принято органом регулирования</v>
      </c>
      <c r="AX10" s="949" t="str" cm="1">
        <f t="array" ref="AX10">AX26</f>
        <v>Отклонение, %</v>
      </c>
      <c r="AY10" s="949" t="str" cm="1">
        <f t="array" ref="AY10">AY26</f>
        <v>Предложение организации</v>
      </c>
      <c r="AZ10" s="949" t="str" cm="1">
        <f t="array" ref="AZ10">AZ26</f>
        <v>Принято органом регулирования</v>
      </c>
      <c r="BA10" s="949" t="str" cm="1">
        <f t="array" ref="BA10">BA26</f>
        <v>Отклонение, %</v>
      </c>
      <c r="BB10" s="949" t="str" cm="1">
        <f t="array" ref="BB10">BB26</f>
        <v>Предложение организации</v>
      </c>
      <c r="BC10" s="949" t="str" cm="1">
        <f t="array" ref="BC10">BC26</f>
        <v>Принято органом регулирования</v>
      </c>
      <c r="BD10" s="949" t="str" cm="1">
        <f t="array" ref="BD10">BD26</f>
        <v>Отклонение, %</v>
      </c>
      <c r="BE10" s="949" t="str" cm="1">
        <f t="array" ref="BE10">BE26</f>
        <v>Предложение организации</v>
      </c>
      <c r="BF10" s="949" t="str" cm="1">
        <f t="array" ref="BF10">BF26</f>
        <v>Принято органом регулирования</v>
      </c>
      <c r="BG10" s="949" t="str" cm="1">
        <f t="array" ref="BG10">BG26</f>
        <v>Отклонение, %</v>
      </c>
      <c r="BH10" s="949" t="str" cm="1">
        <f t="array" ref="BH10">BH26</f>
        <v>Предложение организации</v>
      </c>
      <c r="BI10" s="949" t="str" cm="1">
        <f t="array" ref="BI10">BI26</f>
        <v>Принято органом регулирования</v>
      </c>
      <c r="BJ10" s="949" t="str" cm="1">
        <f t="array" ref="BJ10">BJ26</f>
        <v>Отклонение, %</v>
      </c>
      <c r="BK10" s="949" t="str" cm="1">
        <f t="array" ref="BK10">BK26</f>
        <v>Предложение организации</v>
      </c>
      <c r="BL10" s="949" t="str" cm="1">
        <f t="array" ref="BL10">BL26</f>
        <v>Принято органом регулирования</v>
      </c>
      <c r="BM10" s="949" t="str" cm="1">
        <f t="array" ref="BM10">BM26</f>
        <v>Отклонение, %</v>
      </c>
      <c r="BN10" s="949" t="str" cm="1">
        <f t="array" ref="BN10">BN26</f>
        <v>Предложение организации</v>
      </c>
      <c r="BO10" s="949" t="str" cm="1">
        <f t="array" ref="BO10">BO26</f>
        <v>Принято органом регулирования</v>
      </c>
      <c r="BP10" s="949" t="str" cm="1">
        <f t="array" ref="BP10">BP26</f>
        <v>Отклонение, %</v>
      </c>
      <c r="BQ10" s="949" t="str" cm="1">
        <f t="array" ref="BQ10">BQ26</f>
        <v>Предложение организации</v>
      </c>
      <c r="BR10" s="949" t="str" cm="1">
        <f t="array" ref="BR10">BR26</f>
        <v>Принято органом регулирования</v>
      </c>
      <c r="BS10" s="949" t="str" cm="1">
        <f t="array" ref="BS10">BS26</f>
        <v>Отклонение, %</v>
      </c>
      <c r="BT10" s="949" t="str" cm="1">
        <f t="array" ref="BT10">BT26</f>
        <v>Предложение организации</v>
      </c>
      <c r="BU10" s="949" t="str" cm="1">
        <f t="array" ref="BU10">BU26</f>
        <v>Принято органом регулирования</v>
      </c>
      <c r="BV10" s="949" t="str" cm="1">
        <f t="array" ref="BV10">BV26</f>
        <v>Отклонение, %</v>
      </c>
      <c r="BW10" s="949" t="str" cm="1">
        <f t="array" ref="BW10">BW26</f>
        <v>Предложение организации</v>
      </c>
      <c r="BX10" s="949" t="str" cm="1">
        <f t="array" ref="BX10">BX26</f>
        <v>Принято органом регулирования</v>
      </c>
      <c r="BY10" s="949" t="str" cm="1">
        <f t="array" ref="BY10">BY26</f>
        <v>Отклонение, %</v>
      </c>
      <c r="BZ10" s="949" t="str" cm="1">
        <f t="array" ref="BZ10">BZ26</f>
        <v>Предложение организации</v>
      </c>
      <c r="CA10" s="949" t="str" cm="1">
        <f t="array" ref="CA10">CA26</f>
        <v>Принято органом регулирования</v>
      </c>
      <c r="CB10" s="949" t="str" cm="1">
        <f t="array" ref="CB10">CB26</f>
        <v>Отклонение, %</v>
      </c>
      <c r="CC10" s="949" t="str" cm="1">
        <f t="array" ref="CC10">CC26</f>
        <v>Предложение организации</v>
      </c>
      <c r="CD10" s="949" t="str" cm="1">
        <f t="array" ref="CD10">CD26</f>
        <v>Принято органом регулирования</v>
      </c>
      <c r="CE10" s="949" t="str" cm="1">
        <f t="array" ref="CE10">CE26</f>
        <v>Отклонение, %</v>
      </c>
      <c r="CF10" s="949" t="str" cm="1">
        <f t="array" ref="CF10">CF26</f>
        <v>Предложение организации</v>
      </c>
      <c r="CG10" s="949" t="str" cm="1">
        <f t="array" ref="CG10">CG26</f>
        <v>Принято органом регулирования</v>
      </c>
      <c r="CH10" s="949" t="str" cm="1">
        <f t="array" ref="CH10">CH26</f>
        <v>Отклонение, %</v>
      </c>
      <c r="CI10" s="949" t="str" cm="1">
        <f t="array" ref="CI10">CI26</f>
        <v>Предложение организации</v>
      </c>
      <c r="CJ10" s="949" t="str" cm="1">
        <f t="array" ref="CJ10">CJ26</f>
        <v>Принято органом регулирования</v>
      </c>
      <c r="CK10" s="949" t="str" cm="1">
        <f t="array" ref="CK10">CK26</f>
        <v>Отклонение, %</v>
      </c>
      <c r="CL10" s="949" t="str" cm="1">
        <f t="array" ref="CL10">CL26</f>
        <v>Предложение организации</v>
      </c>
      <c r="CM10" s="949" t="str" cm="1">
        <f t="array" ref="CM10">CM26</f>
        <v>Принято органом регулирования</v>
      </c>
      <c r="CN10" s="949" t="str" cm="1">
        <f t="array" ref="CN10">CN26</f>
        <v>Отклонение, %</v>
      </c>
      <c r="CO10" s="949" t="str" cm="1">
        <f t="array" ref="CO10">CO26</f>
        <v>Предложение организации</v>
      </c>
      <c r="CP10" s="949" t="str" cm="1">
        <f t="array" ref="CP10">CP26</f>
        <v>Принято органом регулирования</v>
      </c>
      <c r="CQ10" s="949" t="str" cm="1">
        <f t="array" ref="CQ10">CQ26</f>
        <v>Отклонение, %</v>
      </c>
      <c r="CR10" s="949" t="str" cm="1">
        <f t="array" ref="CR10">CR26</f>
        <v>Предложение организации</v>
      </c>
      <c r="CS10" s="949" t="str" cm="1">
        <f t="array" ref="CS10">CS26</f>
        <v>Принято органом регулирования</v>
      </c>
      <c r="CT10" s="949" t="str" cm="1">
        <f t="array" ref="CT10">CT26</f>
        <v>Отклонение, %</v>
      </c>
      <c r="CU10" s="949" t="str" cm="1">
        <f t="array" ref="CU10">CU26</f>
        <v>Предложение организации</v>
      </c>
      <c r="CV10" s="949" t="str" cm="1">
        <f t="array" ref="CV10">CV26</f>
        <v>Принято органом регулирования</v>
      </c>
      <c r="CW10" s="949" t="str" cm="1">
        <f t="array" ref="CW10">CW26</f>
        <v>Отклонение, %</v>
      </c>
      <c r="CX10" s="949" t="str" cm="1">
        <f t="array" ref="CX10">CX26</f>
        <v>Предложение организации</v>
      </c>
      <c r="CY10" s="949" t="str" cm="1">
        <f t="array" ref="CY10">CY26</f>
        <v>Принято органом регулирования</v>
      </c>
      <c r="CZ10" s="949" t="str" cm="1">
        <f t="array" ref="CZ10">CZ26</f>
        <v>Отклонение, %</v>
      </c>
      <c r="DA10" s="949" t="str" cm="1">
        <f t="array" ref="DA10">DA26</f>
        <v>Предложение организации</v>
      </c>
      <c r="DB10" s="949" t="str" cm="1">
        <f t="array" ref="DB10">DB26</f>
        <v>Принято органом регулирования</v>
      </c>
      <c r="DC10" s="949" t="str" cm="1">
        <f t="array" ref="DC10">DC26</f>
        <v>Отклонение, %</v>
      </c>
      <c r="DD10" s="949" t="str" cm="1">
        <f t="array" ref="DD10">DD26</f>
        <v>Предложение организации</v>
      </c>
      <c r="DE10" s="949" t="str" cm="1">
        <f t="array" ref="DE10">DE26</f>
        <v>Принято органом регулирования</v>
      </c>
      <c r="DF10" s="949" t="str" cm="1">
        <f t="array" ref="DF10">DF26</f>
        <v>Отклонение, %</v>
      </c>
      <c r="DG10" s="949" t="str" cm="1">
        <f t="array" ref="DG10">DG26</f>
        <v>Предложение организации</v>
      </c>
      <c r="DH10" s="949" t="str" cm="1">
        <f t="array" ref="DH10">DH26</f>
        <v>Принято органом регулирования</v>
      </c>
      <c r="DI10" s="949" t="str" cm="1">
        <f t="array" ref="DI10">DI26</f>
        <v>Отклонение, %</v>
      </c>
      <c r="DJ10" s="949" t="str" cm="1">
        <f t="array" ref="DJ10">DJ26</f>
        <v>Предложение организации</v>
      </c>
      <c r="DK10" s="949" t="str" cm="1">
        <f t="array" ref="DK10">DK26</f>
        <v>Принято органом регулирования</v>
      </c>
      <c r="DL10" s="949" t="str" cm="1">
        <f t="array" ref="DL10">DL26</f>
        <v>Отклонение, %</v>
      </c>
      <c r="DM10" s="949" t="str" cm="1">
        <f t="array" ref="DM10">DM26</f>
        <v>Предложение организации</v>
      </c>
      <c r="DN10" s="949" t="str" cm="1">
        <f t="array" ref="DN10">DN26</f>
        <v>Принято органом регулирования</v>
      </c>
      <c r="DO10" s="949" t="str" cm="1">
        <f t="array" ref="DO10">DO26</f>
        <v>Отклонение, %</v>
      </c>
      <c r="DP10" s="949" t="str" cm="1">
        <f t="array" ref="DP10">DP26</f>
        <v>Предложение организации</v>
      </c>
      <c r="DQ10" s="949" t="str" cm="1">
        <f t="array" ref="DQ10">DQ26</f>
        <v>Принято органом регулирования</v>
      </c>
      <c r="DR10" s="949" t="str" cm="1">
        <f t="array" ref="DR10">DR26</f>
        <v>Отклонение, %</v>
      </c>
      <c r="DS10" s="949" t="str" cm="1">
        <f t="array" ref="DS10">DS26</f>
        <v>Предложение организации</v>
      </c>
      <c r="DT10" s="949" t="str" cm="1">
        <f t="array" ref="DT10">DT26</f>
        <v>Принято органом регулирования</v>
      </c>
      <c r="DU10" s="949" t="str" cm="1">
        <f t="array" ref="DU10">DU26</f>
        <v>Отклонение, %</v>
      </c>
      <c r="DV10" s="949" t="str" cm="1">
        <f t="array" ref="DV10">DV26</f>
        <v>Предложение организации</v>
      </c>
      <c r="DW10" s="949" t="str" cm="1">
        <f t="array" ref="DW10">DW26</f>
        <v>Принято органом регулирования</v>
      </c>
      <c r="DX10" s="949" t="str" cm="1">
        <f t="array" ref="DX10">DX26</f>
        <v>Отклонение, %</v>
      </c>
      <c r="DY10" s="949" t="str" cm="1">
        <f t="array" ref="DY10">DY26</f>
        <v>Предложение организации</v>
      </c>
      <c r="DZ10" s="949" t="str" cm="1">
        <f t="array" ref="DZ10">DZ26</f>
        <v>Принято органом регулирования</v>
      </c>
      <c r="EA10" s="949" t="str" cm="1">
        <f t="array" ref="EA10">EA26</f>
        <v>Отклонение, %</v>
      </c>
      <c r="EB10" s="949" t="str" cm="1">
        <f t="array" ref="EB10">EB26</f>
        <v>Предложение организации</v>
      </c>
      <c r="EC10" s="949" t="str" cm="1">
        <f t="array" ref="EC10">EC26</f>
        <v>Принято органом регулирования</v>
      </c>
      <c r="ED10" s="949" t="str" cm="1">
        <f t="array" ref="ED10">ED26</f>
        <v>Отклонение, %</v>
      </c>
      <c r="EE10" s="949" t="str" cm="1">
        <f t="array" ref="EE10">EE26</f>
        <v>Предложение организации</v>
      </c>
      <c r="EF10" s="949" t="str" cm="1">
        <f t="array" ref="EF10">EF26</f>
        <v>Принято органом регулирования</v>
      </c>
      <c r="EG10" s="949" t="str" cm="1">
        <f t="array" ref="EG10">EG26</f>
        <v>Отклонение, %</v>
      </c>
      <c r="EH10" s="949" t="str" cm="1">
        <f t="array" ref="EH10">EH26</f>
        <v>Предложение организации</v>
      </c>
      <c r="EI10" s="949" t="str" cm="1">
        <f t="array" ref="EI10">EI26</f>
        <v>Принято органом регулирования</v>
      </c>
      <c r="EJ10" s="949" t="str" cm="1">
        <f t="array" ref="EJ10">EJ26</f>
        <v>Отклонение, %</v>
      </c>
      <c r="EK10" s="949" t="str" cm="1">
        <f t="array" ref="EK10">EK26</f>
        <v>Предложение организации</v>
      </c>
      <c r="EL10" s="949" t="str" cm="1">
        <f t="array" ref="EL10">EL26</f>
        <v>Принято органом регулирования</v>
      </c>
      <c r="EM10" s="949" t="str" cm="1">
        <f t="array" ref="EM10">EM26</f>
        <v>Отклонение, %</v>
      </c>
      <c r="EN10" s="949" t="str" cm="1">
        <f t="array" ref="EN10">EN26</f>
        <v>Предложение организации</v>
      </c>
      <c r="EO10" s="949" t="str" cm="1">
        <f t="array" ref="EO10">EO26</f>
        <v>Принято органом регулирования</v>
      </c>
      <c r="EP10" s="949" t="str" cm="1">
        <f t="array" ref="EP10">EP26</f>
        <v>Отклонение, %</v>
      </c>
      <c r="EQ10" s="949" t="str" cm="1">
        <f t="array" ref="EQ10">EQ26</f>
        <v>Предложение организации</v>
      </c>
      <c r="ER10" s="949" t="str" cm="1">
        <f t="array" ref="ER10">ER26</f>
        <v>Принято органом регулирования</v>
      </c>
      <c r="ES10" s="949" t="str" cm="1">
        <f t="array" ref="ES10">ES26</f>
        <v>Отклонение, %</v>
      </c>
      <c r="ET10" s="949" t="str" cm="1">
        <f t="array" ref="ET10">ET26</f>
        <v>Предложение организации</v>
      </c>
      <c r="EU10" s="949" t="str" cm="1">
        <f t="array" ref="EU10">EU26</f>
        <v>Принято органом регулирования</v>
      </c>
      <c r="EV10" s="949" t="str" cm="1">
        <f t="array" ref="EV10">EV26</f>
        <v>Отклонение, %</v>
      </c>
      <c r="EW10" s="949" t="str" cm="1">
        <f t="array" ref="EW10">EW26</f>
        <v>Предложение организации</v>
      </c>
      <c r="EX10" s="949" t="str" cm="1">
        <f t="array" ref="EX10">EX26</f>
        <v>Принято органом регулирования</v>
      </c>
      <c r="EY10" s="949" t="str" cm="1">
        <f t="array" ref="EY10">EY26</f>
        <v>Отклонение, %</v>
      </c>
      <c r="EZ10" s="949" t="str" cm="1">
        <f t="array" ref="EZ10">EZ26</f>
        <v>Предложение организации</v>
      </c>
      <c r="FA10" s="949" t="str" cm="1">
        <f t="array" ref="FA10">FA26</f>
        <v>Принято органом регулирования</v>
      </c>
      <c r="FB10" s="949" t="str" cm="1">
        <f t="array" ref="FB10">FB26</f>
        <v>Отклонение, %</v>
      </c>
      <c r="FC10" s="949" t="str" cm="1">
        <f t="array" ref="FC10">FC26</f>
        <v>Предложение организации</v>
      </c>
      <c r="FD10" s="949" t="str" cm="1">
        <f t="array" ref="FD10">FD26</f>
        <v>Принято органом регулирования</v>
      </c>
      <c r="FE10" s="949" t="str" cm="1">
        <f t="array" ref="FE10">FE26</f>
        <v>Отклонение, %</v>
      </c>
      <c r="FF10" s="949" t="str" cm="1">
        <f t="array" ref="FF10">FF26</f>
        <v>Предложение организации</v>
      </c>
      <c r="FG10" s="949" t="str" cm="1">
        <f t="array" ref="FG10">FG26</f>
        <v>Принято органом регулирования</v>
      </c>
      <c r="FH10" s="949" t="str" cm="1">
        <f t="array" ref="FH10">FH26</f>
        <v>Отклонение, %</v>
      </c>
      <c r="FI10" s="949" t="str" cm="1">
        <f t="array" ref="FI10">FI26</f>
        <v>Предложение организации</v>
      </c>
      <c r="FJ10" s="949" t="str" cm="1">
        <f t="array" ref="FJ10">FJ26</f>
        <v>Принято органом регулирования</v>
      </c>
      <c r="FK10" s="949" t="str" cm="1">
        <f t="array" ref="FK10">FK26</f>
        <v>Отклонение, %</v>
      </c>
      <c r="FL10" s="949" t="str" cm="1">
        <f t="array" ref="FL10">FL26</f>
        <v>Предложение организации</v>
      </c>
      <c r="FM10" s="949" t="str" cm="1">
        <f t="array" ref="FM10">FM26</f>
        <v>Принято органом регулирования</v>
      </c>
      <c r="FN10" s="949" t="str" cm="1">
        <f t="array" ref="FN10">FN26</f>
        <v>Отклонение, %</v>
      </c>
      <c r="FO10" s="949" t="str" cm="1">
        <f t="array" ref="FO10">FO26</f>
        <v>Предложение организации</v>
      </c>
      <c r="FP10" s="949" t="str" cm="1">
        <f t="array" ref="FP10">FP26</f>
        <v>Принято органом регулирования</v>
      </c>
      <c r="FQ10" s="949" t="str" cm="1">
        <f t="array" ref="FQ10">FQ26</f>
        <v>Отклонение, %</v>
      </c>
      <c r="FR10" s="949" t="str" cm="1">
        <f t="array" ref="FR10">FR26</f>
        <v>Предложение организации</v>
      </c>
      <c r="FS10" s="949" t="str" cm="1">
        <f t="array" ref="FS10">FS26</f>
        <v>Принято органом регулирования</v>
      </c>
      <c r="FT10" s="949" t="str" cm="1">
        <f t="array" ref="FT10">FT26</f>
        <v>Отклонение, %</v>
      </c>
      <c r="FU10" s="949" t="str" cm="1">
        <f t="array" ref="FU10">FU26</f>
        <v>Предложение организации</v>
      </c>
      <c r="FV10" s="949" t="str" cm="1">
        <f t="array" ref="FV10">FV26</f>
        <v>Принято органом регулирования</v>
      </c>
      <c r="FW10" s="949" t="str" cm="1">
        <f t="array" ref="FW10">FW26</f>
        <v>Отклонение, %</v>
      </c>
      <c r="FZ10" s="971"/>
      <c r="GA10" s="1005"/>
      <c r="GB10" s="1005"/>
      <c r="GC10" s="1005"/>
      <c r="GD10" s="1005"/>
    </row>
    <row r="11" spans="1:186" s="1065" customFormat="1" ht="12" hidden="1" customHeight="1" x14ac:dyDescent="0.15">
      <c r="A11" s="1059" t="s">
        <v>103</v>
      </c>
      <c r="B11" s="1041"/>
      <c r="C11" s="1110"/>
      <c r="E11" s="1041"/>
      <c r="G11" s="1082"/>
      <c r="H11" s="1082"/>
      <c r="I11" s="1082"/>
      <c r="J11" s="1082"/>
      <c r="K11" s="1082"/>
      <c r="L11" s="1082"/>
      <c r="M11" s="1082"/>
      <c r="N11" s="1082"/>
      <c r="O11" s="1082"/>
      <c r="P11" s="1082"/>
      <c r="Q11" s="1100"/>
      <c r="R11" s="1094"/>
      <c r="S11" s="1082"/>
      <c r="AB11" s="1095"/>
      <c r="AC11" s="1095"/>
      <c r="AD11" s="1056" t="s">
        <v>1597</v>
      </c>
      <c r="AE11" s="1056" t="s">
        <v>1597</v>
      </c>
      <c r="AF11" s="1056" t="s">
        <v>1597</v>
      </c>
      <c r="AG11" s="1056" t="s">
        <v>1597</v>
      </c>
      <c r="AH11" s="1056" t="s">
        <v>1597</v>
      </c>
      <c r="AI11" s="1056" t="s">
        <v>1597</v>
      </c>
      <c r="AJ11" s="1056" t="s">
        <v>1597</v>
      </c>
      <c r="AK11" s="1056" t="s">
        <v>1597</v>
      </c>
      <c r="AL11" s="1056" t="s">
        <v>1597</v>
      </c>
      <c r="AM11" s="1056" t="s">
        <v>1597</v>
      </c>
      <c r="AN11" s="1056" t="s">
        <v>1597</v>
      </c>
      <c r="AO11" s="1056" t="s">
        <v>1597</v>
      </c>
      <c r="AP11" s="1056" t="s">
        <v>1597</v>
      </c>
      <c r="AQ11" s="1056" t="s">
        <v>1597</v>
      </c>
      <c r="AR11" s="1056" t="s">
        <v>1597</v>
      </c>
      <c r="AS11" s="1056" t="s">
        <v>1597</v>
      </c>
      <c r="AT11" s="1056" t="s">
        <v>1597</v>
      </c>
      <c r="AU11" s="1056" t="s">
        <v>1597</v>
      </c>
      <c r="AV11" s="1056" t="s">
        <v>1597</v>
      </c>
      <c r="AW11" s="1056" t="s">
        <v>1597</v>
      </c>
      <c r="AX11" s="1056" t="s">
        <v>1597</v>
      </c>
      <c r="AY11" s="1056" t="s">
        <v>1597</v>
      </c>
      <c r="AZ11" s="1056" t="s">
        <v>1597</v>
      </c>
      <c r="BA11" s="1056" t="s">
        <v>1597</v>
      </c>
      <c r="BB11" s="1056" t="s">
        <v>1597</v>
      </c>
      <c r="BC11" s="1056" t="s">
        <v>1597</v>
      </c>
      <c r="BD11" s="1056" t="s">
        <v>1597</v>
      </c>
      <c r="BE11" s="1056" t="s">
        <v>1597</v>
      </c>
      <c r="BF11" s="1056" t="s">
        <v>1597</v>
      </c>
      <c r="BG11" s="1056" t="s">
        <v>1597</v>
      </c>
      <c r="BH11" s="1056" t="s">
        <v>1597</v>
      </c>
      <c r="BI11" s="1056" t="s">
        <v>1597</v>
      </c>
      <c r="BJ11" s="1056" t="s">
        <v>1597</v>
      </c>
      <c r="BK11" s="1056" t="s">
        <v>1597</v>
      </c>
      <c r="BL11" s="1056" t="s">
        <v>1597</v>
      </c>
      <c r="BM11" s="1056" t="s">
        <v>1597</v>
      </c>
      <c r="BN11" s="1056" t="s">
        <v>1597</v>
      </c>
      <c r="BO11" s="1056" t="s">
        <v>1597</v>
      </c>
      <c r="BP11" s="1056" t="s">
        <v>1597</v>
      </c>
      <c r="BQ11" s="1056" t="s">
        <v>1597</v>
      </c>
      <c r="BR11" s="1056" t="s">
        <v>1597</v>
      </c>
      <c r="BS11" s="1056" t="s">
        <v>1597</v>
      </c>
      <c r="BT11" s="1056" t="s">
        <v>1597</v>
      </c>
      <c r="BU11" s="1056" t="s">
        <v>1597</v>
      </c>
      <c r="BV11" s="1056" t="s">
        <v>1597</v>
      </c>
      <c r="BW11" s="1056" t="s">
        <v>1597</v>
      </c>
      <c r="BX11" s="1056" t="s">
        <v>1597</v>
      </c>
      <c r="BY11" s="1056" t="s">
        <v>1597</v>
      </c>
      <c r="BZ11" s="1056" t="s">
        <v>1597</v>
      </c>
      <c r="CA11" s="1056" t="s">
        <v>1597</v>
      </c>
      <c r="CB11" s="1056" t="s">
        <v>1597</v>
      </c>
      <c r="CC11" s="1056" t="s">
        <v>1597</v>
      </c>
      <c r="CD11" s="1056" t="s">
        <v>1597</v>
      </c>
      <c r="CE11" s="1056" t="s">
        <v>1597</v>
      </c>
      <c r="CF11" s="1056" t="s">
        <v>1597</v>
      </c>
      <c r="CG11" s="1056" t="s">
        <v>1597</v>
      </c>
      <c r="CH11" s="1056" t="s">
        <v>1597</v>
      </c>
      <c r="CI11" s="1056" t="s">
        <v>1597</v>
      </c>
      <c r="CJ11" s="1056" t="s">
        <v>1597</v>
      </c>
      <c r="CK11" s="1056" t="s">
        <v>1597</v>
      </c>
      <c r="CL11" s="1056" t="s">
        <v>1597</v>
      </c>
      <c r="CM11" s="1056" t="s">
        <v>1597</v>
      </c>
      <c r="CN11" s="1056" t="s">
        <v>1597</v>
      </c>
      <c r="CO11" s="1056" t="s">
        <v>1597</v>
      </c>
      <c r="CP11" s="1056" t="s">
        <v>1597</v>
      </c>
      <c r="CQ11" s="1056" t="s">
        <v>1597</v>
      </c>
      <c r="CR11" s="1056" t="s">
        <v>1597</v>
      </c>
      <c r="CS11" s="1056" t="s">
        <v>1597</v>
      </c>
      <c r="CT11" s="1056" t="s">
        <v>1597</v>
      </c>
      <c r="CU11" s="1056" t="s">
        <v>1597</v>
      </c>
      <c r="CV11" s="1056" t="s">
        <v>1597</v>
      </c>
      <c r="CW11" s="1056" t="s">
        <v>1597</v>
      </c>
      <c r="CX11" s="1056" t="s">
        <v>1597</v>
      </c>
      <c r="CY11" s="1056" t="s">
        <v>1597</v>
      </c>
      <c r="CZ11" s="1056" t="s">
        <v>1597</v>
      </c>
      <c r="DA11" s="1056" t="s">
        <v>1597</v>
      </c>
      <c r="DB11" s="1056" t="s">
        <v>1597</v>
      </c>
      <c r="DC11" s="1056" t="s">
        <v>1597</v>
      </c>
      <c r="DD11" s="1056" t="s">
        <v>1597</v>
      </c>
      <c r="DE11" s="1056" t="s">
        <v>1597</v>
      </c>
      <c r="DF11" s="1056" t="s">
        <v>1597</v>
      </c>
      <c r="DG11" s="1056" t="s">
        <v>1597</v>
      </c>
      <c r="DH11" s="1056" t="s">
        <v>1597</v>
      </c>
      <c r="DI11" s="1056" t="s">
        <v>1597</v>
      </c>
      <c r="DJ11" s="1056" t="s">
        <v>1597</v>
      </c>
      <c r="DK11" s="1056" t="s">
        <v>1597</v>
      </c>
      <c r="DL11" s="1056" t="s">
        <v>1597</v>
      </c>
      <c r="DM11" s="1056" t="s">
        <v>1597</v>
      </c>
      <c r="DN11" s="1056" t="s">
        <v>1597</v>
      </c>
      <c r="DO11" s="1056" t="s">
        <v>1597</v>
      </c>
      <c r="DP11" s="1056" t="s">
        <v>1597</v>
      </c>
      <c r="DQ11" s="1056" t="s">
        <v>1597</v>
      </c>
      <c r="DR11" s="1056" t="s">
        <v>1597</v>
      </c>
      <c r="DS11" s="1056" t="s">
        <v>1597</v>
      </c>
      <c r="DT11" s="1056" t="s">
        <v>1597</v>
      </c>
      <c r="DU11" s="1056" t="s">
        <v>1597</v>
      </c>
      <c r="DV11" s="1056" t="s">
        <v>1597</v>
      </c>
      <c r="DW11" s="1056" t="s">
        <v>1597</v>
      </c>
      <c r="DX11" s="1056" t="s">
        <v>1597</v>
      </c>
      <c r="DY11" s="1056" t="s">
        <v>1597</v>
      </c>
      <c r="DZ11" s="1056" t="s">
        <v>1597</v>
      </c>
      <c r="EA11" s="1056" t="s">
        <v>1597</v>
      </c>
      <c r="EB11" s="1056" t="s">
        <v>1597</v>
      </c>
      <c r="EC11" s="1056" t="s">
        <v>1597</v>
      </c>
      <c r="ED11" s="1056" t="s">
        <v>1597</v>
      </c>
      <c r="EE11" s="1056" t="s">
        <v>1597</v>
      </c>
      <c r="EF11" s="1056" t="s">
        <v>1597</v>
      </c>
      <c r="EG11" s="1056" t="s">
        <v>1597</v>
      </c>
      <c r="EH11" s="1056" t="s">
        <v>1597</v>
      </c>
      <c r="EI11" s="1056" t="s">
        <v>1597</v>
      </c>
      <c r="EJ11" s="1056" t="s">
        <v>1597</v>
      </c>
      <c r="EK11" s="1056" t="s">
        <v>1597</v>
      </c>
      <c r="EL11" s="1056" t="s">
        <v>1597</v>
      </c>
      <c r="EM11" s="1056" t="s">
        <v>1597</v>
      </c>
      <c r="EN11" s="1056" t="s">
        <v>1597</v>
      </c>
      <c r="EO11" s="1056" t="s">
        <v>1597</v>
      </c>
      <c r="EP11" s="1056" t="s">
        <v>1597</v>
      </c>
      <c r="EQ11" s="1056" t="s">
        <v>1597</v>
      </c>
      <c r="ER11" s="1056" t="s">
        <v>1597</v>
      </c>
      <c r="ES11" s="1056" t="s">
        <v>1597</v>
      </c>
      <c r="ET11" s="1056" t="s">
        <v>1597</v>
      </c>
      <c r="EU11" s="1056" t="s">
        <v>1597</v>
      </c>
      <c r="EV11" s="1056" t="s">
        <v>1597</v>
      </c>
      <c r="EW11" s="1056" t="s">
        <v>1597</v>
      </c>
      <c r="EX11" s="1056" t="s">
        <v>1597</v>
      </c>
      <c r="EY11" s="1056" t="s">
        <v>1597</v>
      </c>
      <c r="EZ11" s="1056" t="s">
        <v>1597</v>
      </c>
      <c r="FA11" s="1056" t="s">
        <v>1597</v>
      </c>
      <c r="FB11" s="1056" t="s">
        <v>1597</v>
      </c>
      <c r="FC11" s="1056" t="s">
        <v>1597</v>
      </c>
      <c r="FD11" s="1056" t="s">
        <v>1597</v>
      </c>
      <c r="FE11" s="1056" t="s">
        <v>1597</v>
      </c>
      <c r="FF11" s="1056" t="s">
        <v>1597</v>
      </c>
      <c r="FG11" s="1056" t="s">
        <v>1597</v>
      </c>
      <c r="FH11" s="1056" t="s">
        <v>1597</v>
      </c>
      <c r="FI11" s="1056" t="s">
        <v>1597</v>
      </c>
      <c r="FJ11" s="1056" t="s">
        <v>1597</v>
      </c>
      <c r="FK11" s="1056" t="s">
        <v>1597</v>
      </c>
      <c r="FL11" s="1056" t="s">
        <v>1597</v>
      </c>
      <c r="FM11" s="1056" t="s">
        <v>1597</v>
      </c>
      <c r="FN11" s="1056" t="s">
        <v>1597</v>
      </c>
      <c r="FO11" s="1056" t="s">
        <v>1597</v>
      </c>
      <c r="FP11" s="1056" t="s">
        <v>1597</v>
      </c>
      <c r="FQ11" s="1056" t="s">
        <v>1597</v>
      </c>
      <c r="FR11" s="1056" t="s">
        <v>1597</v>
      </c>
      <c r="FS11" s="1056" t="s">
        <v>1597</v>
      </c>
      <c r="FT11" s="1056" t="s">
        <v>1597</v>
      </c>
      <c r="FU11" s="1056" t="s">
        <v>1597</v>
      </c>
      <c r="FV11" s="1056" t="s">
        <v>1597</v>
      </c>
      <c r="FW11" s="1056" t="s">
        <v>1597</v>
      </c>
      <c r="FZ11" s="1096"/>
      <c r="GA11" s="1096"/>
      <c r="GB11" s="1096"/>
      <c r="GC11" s="1096"/>
      <c r="GD11" s="1096"/>
    </row>
    <row r="12" spans="1:186" s="1065" customFormat="1" ht="12" hidden="1" customHeight="1" x14ac:dyDescent="0.15">
      <c r="A12" s="1059" t="s">
        <v>1598</v>
      </c>
      <c r="B12" s="1041"/>
      <c r="C12" s="1110"/>
      <c r="E12" s="1041"/>
      <c r="G12" s="1082"/>
      <c r="H12" s="1082"/>
      <c r="I12" s="1082"/>
      <c r="J12" s="1082"/>
      <c r="K12" s="1082"/>
      <c r="L12" s="1082"/>
      <c r="M12" s="1082"/>
      <c r="N12" s="1082"/>
      <c r="O12" s="1082"/>
      <c r="P12" s="1082"/>
      <c r="Q12" s="1100"/>
      <c r="R12" s="1094"/>
      <c r="S12" s="1082"/>
      <c r="AB12" s="1095"/>
      <c r="AC12" s="1095"/>
      <c r="AD12" s="1056" cm="1">
        <f t="array" ref="AD12">AD6</f>
        <v>2026</v>
      </c>
      <c r="AE12" s="1056" cm="1">
        <f t="array" ref="AE12">AE6</f>
        <v>2026</v>
      </c>
      <c r="AF12" s="1056" cm="1">
        <f t="array" ref="AF12">AF6</f>
        <v>2026</v>
      </c>
      <c r="AG12" s="1056" cm="1">
        <f t="array" ref="AG12">AG6</f>
        <v>2027</v>
      </c>
      <c r="AH12" s="1056" cm="1">
        <f t="array" ref="AH12">AH6</f>
        <v>2027</v>
      </c>
      <c r="AI12" s="1056" cm="1">
        <f t="array" ref="AI12">AI6</f>
        <v>2027</v>
      </c>
      <c r="AJ12" s="1056" cm="1">
        <f t="array" ref="AJ12">AJ6</f>
        <v>2028</v>
      </c>
      <c r="AK12" s="1056" cm="1">
        <f t="array" ref="AK12">AK6</f>
        <v>2028</v>
      </c>
      <c r="AL12" s="1056" cm="1">
        <f t="array" ref="AL12">AL6</f>
        <v>2028</v>
      </c>
      <c r="AM12" s="1056" cm="1">
        <f t="array" ref="AM12">AM6</f>
        <v>2029</v>
      </c>
      <c r="AN12" s="1056" cm="1">
        <f t="array" ref="AN12">AN6</f>
        <v>2029</v>
      </c>
      <c r="AO12" s="1056" cm="1">
        <f t="array" ref="AO12">AO6</f>
        <v>2029</v>
      </c>
      <c r="AP12" s="1056" cm="1">
        <f t="array" ref="AP12">AP6</f>
        <v>2030</v>
      </c>
      <c r="AQ12" s="1056" cm="1">
        <f t="array" ref="AQ12">AQ6</f>
        <v>2030</v>
      </c>
      <c r="AR12" s="1056" cm="1">
        <f t="array" ref="AR12">AR6</f>
        <v>2030</v>
      </c>
      <c r="AS12" s="1056" cm="1">
        <f t="array" ref="AS12">AS6</f>
        <v>2031</v>
      </c>
      <c r="AT12" s="1056" cm="1">
        <f t="array" ref="AT12">AT6</f>
        <v>2031</v>
      </c>
      <c r="AU12" s="1056" cm="1">
        <f t="array" ref="AU12">AU6</f>
        <v>2031</v>
      </c>
      <c r="AV12" s="1056" cm="1">
        <f t="array" ref="AV12">AV6</f>
        <v>2032</v>
      </c>
      <c r="AW12" s="1056" cm="1">
        <f t="array" ref="AW12">AW6</f>
        <v>2032</v>
      </c>
      <c r="AX12" s="1056" cm="1">
        <f t="array" ref="AX12">AX6</f>
        <v>2032</v>
      </c>
      <c r="AY12" s="1056" cm="1">
        <f t="array" ref="AY12">AY6</f>
        <v>2033</v>
      </c>
      <c r="AZ12" s="1056" cm="1">
        <f t="array" ref="AZ12">AZ6</f>
        <v>2033</v>
      </c>
      <c r="BA12" s="1056" cm="1">
        <f t="array" ref="BA12">BA6</f>
        <v>2033</v>
      </c>
      <c r="BB12" s="1056" cm="1">
        <f t="array" ref="BB12">BB6</f>
        <v>2034</v>
      </c>
      <c r="BC12" s="1056" cm="1">
        <f t="array" ref="BC12">BC6</f>
        <v>2034</v>
      </c>
      <c r="BD12" s="1056" cm="1">
        <f t="array" ref="BD12">BD6</f>
        <v>2034</v>
      </c>
      <c r="BE12" s="1056" cm="1">
        <f t="array" ref="BE12">BE6</f>
        <v>2035</v>
      </c>
      <c r="BF12" s="1056" cm="1">
        <f t="array" ref="BF12">BF6</f>
        <v>2035</v>
      </c>
      <c r="BG12" s="1056" cm="1">
        <f t="array" ref="BG12">BG6</f>
        <v>2035</v>
      </c>
      <c r="BH12" s="1056" cm="1">
        <f t="array" ref="BH12">BH6</f>
        <v>2036</v>
      </c>
      <c r="BI12" s="1056" cm="1">
        <f t="array" ref="BI12">BI6</f>
        <v>2036</v>
      </c>
      <c r="BJ12" s="1056" cm="1">
        <f t="array" ref="BJ12">BJ6</f>
        <v>2036</v>
      </c>
      <c r="BK12" s="1056" cm="1">
        <f t="array" ref="BK12">BK6</f>
        <v>2037</v>
      </c>
      <c r="BL12" s="1056" cm="1">
        <f t="array" ref="BL12">BL6</f>
        <v>2037</v>
      </c>
      <c r="BM12" s="1056" cm="1">
        <f t="array" ref="BM12">BM6</f>
        <v>2037</v>
      </c>
      <c r="BN12" s="1056" cm="1">
        <f t="array" ref="BN12">BN6</f>
        <v>2038</v>
      </c>
      <c r="BO12" s="1056" cm="1">
        <f t="array" ref="BO12">BO6</f>
        <v>2038</v>
      </c>
      <c r="BP12" s="1056" cm="1">
        <f t="array" ref="BP12">BP6</f>
        <v>2038</v>
      </c>
      <c r="BQ12" s="1056" cm="1">
        <f t="array" ref="BQ12">BQ6</f>
        <v>2039</v>
      </c>
      <c r="BR12" s="1056" cm="1">
        <f t="array" ref="BR12">BR6</f>
        <v>2039</v>
      </c>
      <c r="BS12" s="1056" cm="1">
        <f t="array" ref="BS12">BS6</f>
        <v>2039</v>
      </c>
      <c r="BT12" s="1056" cm="1">
        <f t="array" ref="BT12">BT6</f>
        <v>2040</v>
      </c>
      <c r="BU12" s="1056" cm="1">
        <f t="array" ref="BU12">BU6</f>
        <v>2040</v>
      </c>
      <c r="BV12" s="1056" cm="1">
        <f t="array" ref="BV12">BV6</f>
        <v>2040</v>
      </c>
      <c r="BW12" s="1056" cm="1">
        <f t="array" ref="BW12">BW6</f>
        <v>2041</v>
      </c>
      <c r="BX12" s="1056" cm="1">
        <f t="array" ref="BX12">BX6</f>
        <v>2041</v>
      </c>
      <c r="BY12" s="1056" cm="1">
        <f t="array" ref="BY12">BY6</f>
        <v>2041</v>
      </c>
      <c r="BZ12" s="1056" cm="1">
        <f t="array" ref="BZ12">BZ6</f>
        <v>2042</v>
      </c>
      <c r="CA12" s="1056" cm="1">
        <f t="array" ref="CA12">CA6</f>
        <v>2042</v>
      </c>
      <c r="CB12" s="1056" cm="1">
        <f t="array" ref="CB12">CB6</f>
        <v>2042</v>
      </c>
      <c r="CC12" s="1056" cm="1">
        <f t="array" ref="CC12">CC6</f>
        <v>2043</v>
      </c>
      <c r="CD12" s="1056" cm="1">
        <f t="array" ref="CD12">CD6</f>
        <v>2043</v>
      </c>
      <c r="CE12" s="1056" cm="1">
        <f t="array" ref="CE12">CE6</f>
        <v>2043</v>
      </c>
      <c r="CF12" s="1056" cm="1">
        <f t="array" ref="CF12">CF6</f>
        <v>2044</v>
      </c>
      <c r="CG12" s="1056" cm="1">
        <f t="array" ref="CG12">CG6</f>
        <v>2044</v>
      </c>
      <c r="CH12" s="1056" cm="1">
        <f t="array" ref="CH12">CH6</f>
        <v>2044</v>
      </c>
      <c r="CI12" s="1056" cm="1">
        <f t="array" ref="CI12">CI6</f>
        <v>2045</v>
      </c>
      <c r="CJ12" s="1056" cm="1">
        <f t="array" ref="CJ12">CJ6</f>
        <v>2045</v>
      </c>
      <c r="CK12" s="1056" cm="1">
        <f t="array" ref="CK12">CK6</f>
        <v>2045</v>
      </c>
      <c r="CL12" s="1056" cm="1">
        <f t="array" ref="CL12">CL6</f>
        <v>2046</v>
      </c>
      <c r="CM12" s="1056" cm="1">
        <f t="array" ref="CM12">CM6</f>
        <v>2046</v>
      </c>
      <c r="CN12" s="1056" cm="1">
        <f t="array" ref="CN12">CN6</f>
        <v>2046</v>
      </c>
      <c r="CO12" s="1056" cm="1">
        <f t="array" ref="CO12">CO6</f>
        <v>2047</v>
      </c>
      <c r="CP12" s="1056" cm="1">
        <f t="array" ref="CP12">CP6</f>
        <v>2047</v>
      </c>
      <c r="CQ12" s="1056" cm="1">
        <f t="array" ref="CQ12">CQ6</f>
        <v>2047</v>
      </c>
      <c r="CR12" s="1056" cm="1">
        <f t="array" ref="CR12">CR6</f>
        <v>2048</v>
      </c>
      <c r="CS12" s="1056" cm="1">
        <f t="array" ref="CS12">CS6</f>
        <v>2048</v>
      </c>
      <c r="CT12" s="1056" cm="1">
        <f t="array" ref="CT12">CT6</f>
        <v>2048</v>
      </c>
      <c r="CU12" s="1056" cm="1">
        <f t="array" ref="CU12">CU6</f>
        <v>2049</v>
      </c>
      <c r="CV12" s="1056" cm="1">
        <f t="array" ref="CV12">CV6</f>
        <v>2049</v>
      </c>
      <c r="CW12" s="1056" cm="1">
        <f t="array" ref="CW12">CW6</f>
        <v>2049</v>
      </c>
      <c r="CX12" s="1056" cm="1">
        <f t="array" ref="CX12">CX6</f>
        <v>2050</v>
      </c>
      <c r="CY12" s="1056" cm="1">
        <f t="array" ref="CY12">CY6</f>
        <v>2050</v>
      </c>
      <c r="CZ12" s="1056" cm="1">
        <f t="array" ref="CZ12">CZ6</f>
        <v>2050</v>
      </c>
      <c r="DA12" s="1056" cm="1">
        <f t="array" ref="DA12">DA6</f>
        <v>2051</v>
      </c>
      <c r="DB12" s="1056" cm="1">
        <f t="array" ref="DB12">DB6</f>
        <v>2051</v>
      </c>
      <c r="DC12" s="1056" cm="1">
        <f t="array" ref="DC12">DC6</f>
        <v>2051</v>
      </c>
      <c r="DD12" s="1056" cm="1">
        <f t="array" ref="DD12">DD6</f>
        <v>2052</v>
      </c>
      <c r="DE12" s="1056" cm="1">
        <f t="array" ref="DE12">DE6</f>
        <v>2052</v>
      </c>
      <c r="DF12" s="1056" cm="1">
        <f t="array" ref="DF12">DF6</f>
        <v>2052</v>
      </c>
      <c r="DG12" s="1056" cm="1">
        <f t="array" ref="DG12">DG6</f>
        <v>2053</v>
      </c>
      <c r="DH12" s="1056" cm="1">
        <f t="array" ref="DH12">DH6</f>
        <v>2053</v>
      </c>
      <c r="DI12" s="1056" cm="1">
        <f t="array" ref="DI12">DI6</f>
        <v>2053</v>
      </c>
      <c r="DJ12" s="1056" cm="1">
        <f t="array" ref="DJ12">DJ6</f>
        <v>2054</v>
      </c>
      <c r="DK12" s="1056" cm="1">
        <f t="array" ref="DK12">DK6</f>
        <v>2054</v>
      </c>
      <c r="DL12" s="1056" cm="1">
        <f t="array" ref="DL12">DL6</f>
        <v>2054</v>
      </c>
      <c r="DM12" s="1056" cm="1">
        <f t="array" ref="DM12">DM6</f>
        <v>2055</v>
      </c>
      <c r="DN12" s="1056" cm="1">
        <f t="array" ref="DN12">DN6</f>
        <v>2055</v>
      </c>
      <c r="DO12" s="1056" cm="1">
        <f t="array" ref="DO12">DO6</f>
        <v>2055</v>
      </c>
      <c r="DP12" s="1056" cm="1">
        <f t="array" ref="DP12">DP6</f>
        <v>2056</v>
      </c>
      <c r="DQ12" s="1056" cm="1">
        <f t="array" ref="DQ12">DQ6</f>
        <v>2056</v>
      </c>
      <c r="DR12" s="1056" cm="1">
        <f t="array" ref="DR12">DR6</f>
        <v>2056</v>
      </c>
      <c r="DS12" s="1056" cm="1">
        <f t="array" ref="DS12">DS6</f>
        <v>2057</v>
      </c>
      <c r="DT12" s="1056" cm="1">
        <f t="array" ref="DT12">DT6</f>
        <v>2057</v>
      </c>
      <c r="DU12" s="1056" cm="1">
        <f t="array" ref="DU12">DU6</f>
        <v>2057</v>
      </c>
      <c r="DV12" s="1056" cm="1">
        <f t="array" ref="DV12">DV6</f>
        <v>2058</v>
      </c>
      <c r="DW12" s="1056" cm="1">
        <f t="array" ref="DW12">DW6</f>
        <v>2058</v>
      </c>
      <c r="DX12" s="1056" cm="1">
        <f t="array" ref="DX12">DX6</f>
        <v>2058</v>
      </c>
      <c r="DY12" s="1056" cm="1">
        <f t="array" ref="DY12">DY6</f>
        <v>2059</v>
      </c>
      <c r="DZ12" s="1056" cm="1">
        <f t="array" ref="DZ12">DZ6</f>
        <v>2059</v>
      </c>
      <c r="EA12" s="1056" cm="1">
        <f t="array" ref="EA12">EA6</f>
        <v>2059</v>
      </c>
      <c r="EB12" s="1056" cm="1">
        <f t="array" ref="EB12">EB6</f>
        <v>2060</v>
      </c>
      <c r="EC12" s="1056" cm="1">
        <f t="array" ref="EC12">EC6</f>
        <v>2060</v>
      </c>
      <c r="ED12" s="1056" cm="1">
        <f t="array" ref="ED12">ED6</f>
        <v>2060</v>
      </c>
      <c r="EE12" s="1056" cm="1">
        <f t="array" ref="EE12">EE6</f>
        <v>2061</v>
      </c>
      <c r="EF12" s="1056" cm="1">
        <f t="array" ref="EF12">EF6</f>
        <v>2061</v>
      </c>
      <c r="EG12" s="1056" cm="1">
        <f t="array" ref="EG12">EG6</f>
        <v>2061</v>
      </c>
      <c r="EH12" s="1056" cm="1">
        <f t="array" ref="EH12">EH6</f>
        <v>2062</v>
      </c>
      <c r="EI12" s="1056" cm="1">
        <f t="array" ref="EI12">EI6</f>
        <v>2062</v>
      </c>
      <c r="EJ12" s="1056" cm="1">
        <f t="array" ref="EJ12">EJ6</f>
        <v>2062</v>
      </c>
      <c r="EK12" s="1056" cm="1">
        <f t="array" ref="EK12">EK6</f>
        <v>2063</v>
      </c>
      <c r="EL12" s="1056" cm="1">
        <f t="array" ref="EL12">EL6</f>
        <v>2063</v>
      </c>
      <c r="EM12" s="1056" cm="1">
        <f t="array" ref="EM12">EM6</f>
        <v>2063</v>
      </c>
      <c r="EN12" s="1056" cm="1">
        <f t="array" ref="EN12">EN6</f>
        <v>2064</v>
      </c>
      <c r="EO12" s="1056" cm="1">
        <f t="array" ref="EO12">EO6</f>
        <v>2064</v>
      </c>
      <c r="EP12" s="1056" cm="1">
        <f t="array" ref="EP12">EP6</f>
        <v>2064</v>
      </c>
      <c r="EQ12" s="1056" cm="1">
        <f t="array" ref="EQ12">EQ6</f>
        <v>2065</v>
      </c>
      <c r="ER12" s="1056" cm="1">
        <f t="array" ref="ER12">ER6</f>
        <v>2065</v>
      </c>
      <c r="ES12" s="1056" cm="1">
        <f t="array" ref="ES12">ES6</f>
        <v>2065</v>
      </c>
      <c r="ET12" s="1056" cm="1">
        <f t="array" ref="ET12">ET6</f>
        <v>2066</v>
      </c>
      <c r="EU12" s="1056" cm="1">
        <f t="array" ref="EU12">EU6</f>
        <v>2066</v>
      </c>
      <c r="EV12" s="1056" cm="1">
        <f t="array" ref="EV12">EV6</f>
        <v>2066</v>
      </c>
      <c r="EW12" s="1056" cm="1">
        <f t="array" ref="EW12">EW6</f>
        <v>2067</v>
      </c>
      <c r="EX12" s="1056" cm="1">
        <f t="array" ref="EX12">EX6</f>
        <v>2067</v>
      </c>
      <c r="EY12" s="1056" cm="1">
        <f t="array" ref="EY12">EY6</f>
        <v>2067</v>
      </c>
      <c r="EZ12" s="1056" cm="1">
        <f t="array" ref="EZ12">EZ6</f>
        <v>2068</v>
      </c>
      <c r="FA12" s="1056" cm="1">
        <f t="array" ref="FA12">FA6</f>
        <v>2068</v>
      </c>
      <c r="FB12" s="1056" cm="1">
        <f t="array" ref="FB12">FB6</f>
        <v>2068</v>
      </c>
      <c r="FC12" s="1056" cm="1">
        <f t="array" ref="FC12">FC6</f>
        <v>2069</v>
      </c>
      <c r="FD12" s="1056" cm="1">
        <f t="array" ref="FD12">FD6</f>
        <v>2069</v>
      </c>
      <c r="FE12" s="1056" cm="1">
        <f t="array" ref="FE12">FE6</f>
        <v>2069</v>
      </c>
      <c r="FF12" s="1056" cm="1">
        <f t="array" ref="FF12">FF6</f>
        <v>2070</v>
      </c>
      <c r="FG12" s="1056" cm="1">
        <f t="array" ref="FG12">FG6</f>
        <v>2070</v>
      </c>
      <c r="FH12" s="1056" cm="1">
        <f t="array" ref="FH12">FH6</f>
        <v>2070</v>
      </c>
      <c r="FI12" s="1056" cm="1">
        <f t="array" ref="FI12">FI6</f>
        <v>2071</v>
      </c>
      <c r="FJ12" s="1056" cm="1">
        <f t="array" ref="FJ12">FJ6</f>
        <v>2071</v>
      </c>
      <c r="FK12" s="1056" cm="1">
        <f t="array" ref="FK12">FK6</f>
        <v>2071</v>
      </c>
      <c r="FL12" s="1056" cm="1">
        <f t="array" ref="FL12">FL6</f>
        <v>2072</v>
      </c>
      <c r="FM12" s="1056" cm="1">
        <f t="array" ref="FM12">FM6</f>
        <v>2072</v>
      </c>
      <c r="FN12" s="1056" cm="1">
        <f t="array" ref="FN12">FN6</f>
        <v>2072</v>
      </c>
      <c r="FO12" s="1056" cm="1">
        <f t="array" ref="FO12">FO6</f>
        <v>2073</v>
      </c>
      <c r="FP12" s="1056" cm="1">
        <f t="array" ref="FP12">FP6</f>
        <v>2073</v>
      </c>
      <c r="FQ12" s="1056" cm="1">
        <f t="array" ref="FQ12">FQ6</f>
        <v>2073</v>
      </c>
      <c r="FR12" s="1056" cm="1">
        <f t="array" ref="FR12">FR6</f>
        <v>2074</v>
      </c>
      <c r="FS12" s="1056" cm="1">
        <f t="array" ref="FS12">FS6</f>
        <v>2074</v>
      </c>
      <c r="FT12" s="1056" cm="1">
        <f t="array" ref="FT12">FT6</f>
        <v>2074</v>
      </c>
      <c r="FU12" s="1056" cm="1">
        <f t="array" ref="FU12">FU6</f>
        <v>2075</v>
      </c>
      <c r="FV12" s="1056" cm="1">
        <f t="array" ref="FV12">FV6</f>
        <v>2075</v>
      </c>
      <c r="FW12" s="1056" cm="1">
        <f t="array" ref="FW12">FW6</f>
        <v>2075</v>
      </c>
      <c r="FZ12" s="1096"/>
      <c r="GA12" s="1096"/>
      <c r="GB12" s="1096"/>
      <c r="GC12" s="1096"/>
      <c r="GD12" s="1096"/>
    </row>
    <row r="13" spans="1:186" s="1065" customFormat="1" ht="12" hidden="1" customHeight="1" x14ac:dyDescent="0.15">
      <c r="A13" s="1059" t="s">
        <v>1599</v>
      </c>
      <c r="B13" s="1041"/>
      <c r="C13" s="1110"/>
      <c r="E13" s="1041"/>
      <c r="G13" s="1082"/>
      <c r="H13" s="1082"/>
      <c r="I13" s="1082"/>
      <c r="J13" s="1082"/>
      <c r="K13" s="1082"/>
      <c r="L13" s="1082"/>
      <c r="M13" s="1082"/>
      <c r="N13" s="1082"/>
      <c r="O13" s="1082"/>
      <c r="P13" s="1082"/>
      <c r="Q13" s="1100"/>
      <c r="R13" s="1094"/>
      <c r="S13" s="1082"/>
      <c r="AB13" s="1095"/>
      <c r="AC13" s="1095"/>
      <c r="AD13" s="1056" t="s">
        <v>1601</v>
      </c>
      <c r="AE13" s="1056" t="s">
        <v>1600</v>
      </c>
      <c r="AF13" s="1056" t="s">
        <v>1602</v>
      </c>
      <c r="AG13" s="1056" t="s">
        <v>1601</v>
      </c>
      <c r="AH13" s="1056" t="s">
        <v>1600</v>
      </c>
      <c r="AI13" s="1056" t="s">
        <v>1602</v>
      </c>
      <c r="AJ13" s="1056" t="s">
        <v>1601</v>
      </c>
      <c r="AK13" s="1056" t="s">
        <v>1600</v>
      </c>
      <c r="AL13" s="1056" t="s">
        <v>1602</v>
      </c>
      <c r="AM13" s="1056" t="s">
        <v>1601</v>
      </c>
      <c r="AN13" s="1056" t="s">
        <v>1600</v>
      </c>
      <c r="AO13" s="1056" t="s">
        <v>1602</v>
      </c>
      <c r="AP13" s="1056" t="s">
        <v>1601</v>
      </c>
      <c r="AQ13" s="1056" t="s">
        <v>1600</v>
      </c>
      <c r="AR13" s="1056" t="s">
        <v>1602</v>
      </c>
      <c r="AS13" s="1056" t="s">
        <v>1601</v>
      </c>
      <c r="AT13" s="1056" t="s">
        <v>1600</v>
      </c>
      <c r="AU13" s="1056" t="s">
        <v>1602</v>
      </c>
      <c r="AV13" s="1056" t="s">
        <v>1601</v>
      </c>
      <c r="AW13" s="1056" t="s">
        <v>1600</v>
      </c>
      <c r="AX13" s="1056" t="s">
        <v>1602</v>
      </c>
      <c r="AY13" s="1056" t="s">
        <v>1601</v>
      </c>
      <c r="AZ13" s="1056" t="s">
        <v>1600</v>
      </c>
      <c r="BA13" s="1056" t="s">
        <v>1602</v>
      </c>
      <c r="BB13" s="1056" t="s">
        <v>1601</v>
      </c>
      <c r="BC13" s="1056" t="s">
        <v>1600</v>
      </c>
      <c r="BD13" s="1056" t="s">
        <v>1602</v>
      </c>
      <c r="BE13" s="1056" t="s">
        <v>1601</v>
      </c>
      <c r="BF13" s="1056" t="s">
        <v>1600</v>
      </c>
      <c r="BG13" s="1056" t="s">
        <v>1602</v>
      </c>
      <c r="BH13" s="1056" t="s">
        <v>1601</v>
      </c>
      <c r="BI13" s="1056" t="s">
        <v>1600</v>
      </c>
      <c r="BJ13" s="1056" t="s">
        <v>1602</v>
      </c>
      <c r="BK13" s="1056" t="s">
        <v>1601</v>
      </c>
      <c r="BL13" s="1056" t="s">
        <v>1600</v>
      </c>
      <c r="BM13" s="1056" t="s">
        <v>1602</v>
      </c>
      <c r="BN13" s="1056" t="s">
        <v>1601</v>
      </c>
      <c r="BO13" s="1056" t="s">
        <v>1600</v>
      </c>
      <c r="BP13" s="1056" t="s">
        <v>1602</v>
      </c>
      <c r="BQ13" s="1056" t="s">
        <v>1601</v>
      </c>
      <c r="BR13" s="1056" t="s">
        <v>1600</v>
      </c>
      <c r="BS13" s="1056" t="s">
        <v>1602</v>
      </c>
      <c r="BT13" s="1056" t="s">
        <v>1601</v>
      </c>
      <c r="BU13" s="1056" t="s">
        <v>1600</v>
      </c>
      <c r="BV13" s="1056" t="s">
        <v>1602</v>
      </c>
      <c r="BW13" s="1056" t="s">
        <v>1601</v>
      </c>
      <c r="BX13" s="1056" t="s">
        <v>1600</v>
      </c>
      <c r="BY13" s="1056" t="s">
        <v>1602</v>
      </c>
      <c r="BZ13" s="1056" t="s">
        <v>1601</v>
      </c>
      <c r="CA13" s="1056" t="s">
        <v>1600</v>
      </c>
      <c r="CB13" s="1056" t="s">
        <v>1602</v>
      </c>
      <c r="CC13" s="1056" t="s">
        <v>1601</v>
      </c>
      <c r="CD13" s="1056" t="s">
        <v>1600</v>
      </c>
      <c r="CE13" s="1056" t="s">
        <v>1602</v>
      </c>
      <c r="CF13" s="1056" t="s">
        <v>1601</v>
      </c>
      <c r="CG13" s="1056" t="s">
        <v>1600</v>
      </c>
      <c r="CH13" s="1056" t="s">
        <v>1602</v>
      </c>
      <c r="CI13" s="1056" t="s">
        <v>1601</v>
      </c>
      <c r="CJ13" s="1056" t="s">
        <v>1600</v>
      </c>
      <c r="CK13" s="1056" t="s">
        <v>1602</v>
      </c>
      <c r="CL13" s="1056" t="s">
        <v>1601</v>
      </c>
      <c r="CM13" s="1056" t="s">
        <v>1600</v>
      </c>
      <c r="CN13" s="1056" t="s">
        <v>1602</v>
      </c>
      <c r="CO13" s="1056" t="s">
        <v>1601</v>
      </c>
      <c r="CP13" s="1056" t="s">
        <v>1600</v>
      </c>
      <c r="CQ13" s="1056" t="s">
        <v>1602</v>
      </c>
      <c r="CR13" s="1056" t="s">
        <v>1601</v>
      </c>
      <c r="CS13" s="1056" t="s">
        <v>1600</v>
      </c>
      <c r="CT13" s="1056" t="s">
        <v>1602</v>
      </c>
      <c r="CU13" s="1056" t="s">
        <v>1601</v>
      </c>
      <c r="CV13" s="1056" t="s">
        <v>1600</v>
      </c>
      <c r="CW13" s="1056" t="s">
        <v>1602</v>
      </c>
      <c r="CX13" s="1056" t="s">
        <v>1601</v>
      </c>
      <c r="CY13" s="1056" t="s">
        <v>1600</v>
      </c>
      <c r="CZ13" s="1056" t="s">
        <v>1602</v>
      </c>
      <c r="DA13" s="1056" t="s">
        <v>1601</v>
      </c>
      <c r="DB13" s="1056" t="s">
        <v>1600</v>
      </c>
      <c r="DC13" s="1056" t="s">
        <v>1602</v>
      </c>
      <c r="DD13" s="1056" t="s">
        <v>1601</v>
      </c>
      <c r="DE13" s="1056" t="s">
        <v>1600</v>
      </c>
      <c r="DF13" s="1056" t="s">
        <v>1602</v>
      </c>
      <c r="DG13" s="1056" t="s">
        <v>1601</v>
      </c>
      <c r="DH13" s="1056" t="s">
        <v>1600</v>
      </c>
      <c r="DI13" s="1056" t="s">
        <v>1602</v>
      </c>
      <c r="DJ13" s="1056" t="s">
        <v>1601</v>
      </c>
      <c r="DK13" s="1056" t="s">
        <v>1600</v>
      </c>
      <c r="DL13" s="1056" t="s">
        <v>1602</v>
      </c>
      <c r="DM13" s="1056" t="s">
        <v>1601</v>
      </c>
      <c r="DN13" s="1056" t="s">
        <v>1600</v>
      </c>
      <c r="DO13" s="1056" t="s">
        <v>1602</v>
      </c>
      <c r="DP13" s="1056" t="s">
        <v>1601</v>
      </c>
      <c r="DQ13" s="1056" t="s">
        <v>1600</v>
      </c>
      <c r="DR13" s="1056" t="s">
        <v>1602</v>
      </c>
      <c r="DS13" s="1056" t="s">
        <v>1601</v>
      </c>
      <c r="DT13" s="1056" t="s">
        <v>1600</v>
      </c>
      <c r="DU13" s="1056" t="s">
        <v>1602</v>
      </c>
      <c r="DV13" s="1056" t="s">
        <v>1601</v>
      </c>
      <c r="DW13" s="1056" t="s">
        <v>1600</v>
      </c>
      <c r="DX13" s="1056" t="s">
        <v>1602</v>
      </c>
      <c r="DY13" s="1056" t="s">
        <v>1601</v>
      </c>
      <c r="DZ13" s="1056" t="s">
        <v>1600</v>
      </c>
      <c r="EA13" s="1056" t="s">
        <v>1602</v>
      </c>
      <c r="EB13" s="1056" t="s">
        <v>1601</v>
      </c>
      <c r="EC13" s="1056" t="s">
        <v>1600</v>
      </c>
      <c r="ED13" s="1056" t="s">
        <v>1602</v>
      </c>
      <c r="EE13" s="1056" t="s">
        <v>1601</v>
      </c>
      <c r="EF13" s="1056" t="s">
        <v>1600</v>
      </c>
      <c r="EG13" s="1056" t="s">
        <v>1602</v>
      </c>
      <c r="EH13" s="1056" t="s">
        <v>1601</v>
      </c>
      <c r="EI13" s="1056" t="s">
        <v>1600</v>
      </c>
      <c r="EJ13" s="1056" t="s">
        <v>1602</v>
      </c>
      <c r="EK13" s="1056" t="s">
        <v>1601</v>
      </c>
      <c r="EL13" s="1056" t="s">
        <v>1600</v>
      </c>
      <c r="EM13" s="1056" t="s">
        <v>1602</v>
      </c>
      <c r="EN13" s="1056" t="s">
        <v>1601</v>
      </c>
      <c r="EO13" s="1056" t="s">
        <v>1600</v>
      </c>
      <c r="EP13" s="1056" t="s">
        <v>1602</v>
      </c>
      <c r="EQ13" s="1056" t="s">
        <v>1601</v>
      </c>
      <c r="ER13" s="1056" t="s">
        <v>1600</v>
      </c>
      <c r="ES13" s="1056" t="s">
        <v>1602</v>
      </c>
      <c r="ET13" s="1056" t="s">
        <v>1601</v>
      </c>
      <c r="EU13" s="1056" t="s">
        <v>1600</v>
      </c>
      <c r="EV13" s="1056" t="s">
        <v>1602</v>
      </c>
      <c r="EW13" s="1056" t="s">
        <v>1601</v>
      </c>
      <c r="EX13" s="1056" t="s">
        <v>1600</v>
      </c>
      <c r="EY13" s="1056" t="s">
        <v>1602</v>
      </c>
      <c r="EZ13" s="1056" t="s">
        <v>1601</v>
      </c>
      <c r="FA13" s="1056" t="s">
        <v>1600</v>
      </c>
      <c r="FB13" s="1056" t="s">
        <v>1602</v>
      </c>
      <c r="FC13" s="1056" t="s">
        <v>1601</v>
      </c>
      <c r="FD13" s="1056" t="s">
        <v>1600</v>
      </c>
      <c r="FE13" s="1056" t="s">
        <v>1602</v>
      </c>
      <c r="FF13" s="1056" t="s">
        <v>1601</v>
      </c>
      <c r="FG13" s="1056" t="s">
        <v>1600</v>
      </c>
      <c r="FH13" s="1056" t="s">
        <v>1602</v>
      </c>
      <c r="FI13" s="1056" t="s">
        <v>1601</v>
      </c>
      <c r="FJ13" s="1056" t="s">
        <v>1600</v>
      </c>
      <c r="FK13" s="1056" t="s">
        <v>1602</v>
      </c>
      <c r="FL13" s="1056" t="s">
        <v>1601</v>
      </c>
      <c r="FM13" s="1056" t="s">
        <v>1600</v>
      </c>
      <c r="FN13" s="1056" t="s">
        <v>1602</v>
      </c>
      <c r="FO13" s="1056" t="s">
        <v>1601</v>
      </c>
      <c r="FP13" s="1056" t="s">
        <v>1600</v>
      </c>
      <c r="FQ13" s="1056" t="s">
        <v>1602</v>
      </c>
      <c r="FR13" s="1056" t="s">
        <v>1601</v>
      </c>
      <c r="FS13" s="1056" t="s">
        <v>1600</v>
      </c>
      <c r="FT13" s="1056" t="s">
        <v>1602</v>
      </c>
      <c r="FU13" s="1056" t="s">
        <v>1601</v>
      </c>
      <c r="FV13" s="1056" t="s">
        <v>1600</v>
      </c>
      <c r="FW13" s="1056" t="s">
        <v>1602</v>
      </c>
      <c r="FZ13" s="1096"/>
      <c r="GA13" s="1096"/>
      <c r="GB13" s="1096"/>
      <c r="GC13" s="1096"/>
      <c r="GD13" s="1096"/>
    </row>
    <row r="14" spans="1:186" s="1145" customFormat="1" ht="12" hidden="1" customHeight="1" x14ac:dyDescent="0.15">
      <c r="A14" s="1001" t="s">
        <v>386</v>
      </c>
      <c r="B14" s="1002"/>
      <c r="C14" s="1108"/>
      <c r="D14" s="1077"/>
      <c r="E14" s="1002"/>
      <c r="F14" s="1003"/>
      <c r="G14" s="1003"/>
      <c r="H14" s="1003"/>
      <c r="I14" s="1003"/>
      <c r="J14" s="1065"/>
      <c r="K14" s="1065"/>
      <c r="L14" s="1065"/>
      <c r="M14" s="1065"/>
      <c r="N14" s="1065"/>
      <c r="O14" s="1065"/>
      <c r="P14" s="1065"/>
      <c r="Q14" s="1065"/>
      <c r="R14" s="1004"/>
      <c r="S14" s="1003"/>
      <c r="T14" s="1003"/>
      <c r="U14" s="1003"/>
      <c r="V14" s="1003"/>
      <c r="W14" s="1003"/>
      <c r="X14" s="1003"/>
      <c r="Y14" s="1003"/>
      <c r="Z14" s="1003"/>
      <c r="AA14" s="1003"/>
      <c r="AB14" s="1003" t="s">
        <v>377</v>
      </c>
      <c r="AC14" s="1003"/>
      <c r="AD14" s="1003"/>
      <c r="AE14" s="1003"/>
      <c r="AF14" s="1003"/>
      <c r="AG14" s="1003"/>
      <c r="AH14" s="1003"/>
      <c r="AI14" s="1003"/>
      <c r="AJ14" s="1003"/>
      <c r="AK14" s="1003"/>
      <c r="AL14" s="1003"/>
      <c r="AM14" s="1003"/>
      <c r="AN14" s="1003"/>
      <c r="AO14" s="1003"/>
      <c r="AP14" s="1003"/>
      <c r="AQ14" s="1003"/>
      <c r="AR14" s="1003"/>
      <c r="AS14" s="1003"/>
      <c r="AT14" s="1003"/>
      <c r="AU14" s="1003"/>
      <c r="AV14" s="1003"/>
      <c r="AW14" s="1003"/>
      <c r="AX14" s="1003"/>
      <c r="AY14" s="1003"/>
      <c r="AZ14" s="1003"/>
      <c r="BA14" s="1003"/>
      <c r="BB14" s="1003"/>
      <c r="BC14" s="1003"/>
      <c r="BD14" s="1003"/>
      <c r="BE14" s="1003"/>
      <c r="BF14" s="1003"/>
      <c r="BG14" s="1003"/>
      <c r="BH14" s="1003"/>
      <c r="BI14" s="1003"/>
      <c r="BJ14" s="1003"/>
      <c r="BK14" s="1003"/>
      <c r="BL14" s="1003"/>
      <c r="BM14" s="1003"/>
      <c r="BN14" s="1003"/>
      <c r="BO14" s="1003"/>
      <c r="BP14" s="1003"/>
      <c r="BQ14" s="1003"/>
      <c r="BR14" s="1003"/>
      <c r="BS14" s="1003"/>
      <c r="BT14" s="1003"/>
      <c r="BU14" s="1003"/>
      <c r="BV14" s="1003"/>
      <c r="BW14" s="1003"/>
      <c r="BX14" s="1003"/>
      <c r="BY14" s="1003"/>
      <c r="BZ14" s="1003"/>
      <c r="CA14" s="1003"/>
      <c r="CB14" s="1003"/>
      <c r="CC14" s="1003"/>
      <c r="CD14" s="1003"/>
      <c r="CE14" s="1003"/>
      <c r="CF14" s="1003"/>
      <c r="CG14" s="1003"/>
      <c r="CH14" s="1003"/>
      <c r="CI14" s="1003"/>
      <c r="CJ14" s="1003"/>
      <c r="CK14" s="1003"/>
      <c r="CL14" s="1003"/>
      <c r="CM14" s="1003"/>
      <c r="CN14" s="1003"/>
      <c r="CO14" s="1003"/>
      <c r="CP14" s="1003"/>
      <c r="CQ14" s="1003"/>
      <c r="CR14" s="1003"/>
      <c r="CS14" s="1003"/>
      <c r="CT14" s="1003"/>
      <c r="CU14" s="1003"/>
      <c r="CV14" s="1003"/>
      <c r="CW14" s="1003"/>
      <c r="CX14" s="1003"/>
      <c r="CY14" s="1003"/>
      <c r="CZ14" s="1003"/>
      <c r="DA14" s="1003"/>
      <c r="DB14" s="1003"/>
      <c r="DC14" s="1003"/>
      <c r="DD14" s="1003"/>
      <c r="DE14" s="1003"/>
      <c r="DF14" s="1003"/>
      <c r="DG14" s="1003"/>
      <c r="DH14" s="1003"/>
      <c r="DI14" s="1003"/>
      <c r="DJ14" s="1003"/>
      <c r="DK14" s="1003"/>
      <c r="DL14" s="1003"/>
      <c r="DM14" s="1003"/>
      <c r="DN14" s="1003"/>
      <c r="DO14" s="1003"/>
      <c r="DP14" s="1003"/>
      <c r="DQ14" s="1003"/>
      <c r="DR14" s="1003"/>
      <c r="DS14" s="1003"/>
      <c r="DT14" s="1003"/>
      <c r="DU14" s="1003"/>
      <c r="DV14" s="1003"/>
      <c r="DW14" s="1003"/>
      <c r="DX14" s="1003"/>
      <c r="DY14" s="1003"/>
      <c r="DZ14" s="1003"/>
      <c r="EA14" s="1003"/>
      <c r="EB14" s="1003"/>
      <c r="EC14" s="1003"/>
      <c r="ED14" s="1003"/>
      <c r="EE14" s="1003"/>
      <c r="EF14" s="1003"/>
      <c r="EG14" s="1003"/>
      <c r="EH14" s="1003"/>
      <c r="EI14" s="1003"/>
      <c r="EJ14" s="1003"/>
      <c r="EK14" s="1003"/>
      <c r="EL14" s="1003"/>
      <c r="EM14" s="1003"/>
      <c r="EN14" s="1003"/>
      <c r="EO14" s="1003"/>
      <c r="EP14" s="1003"/>
      <c r="EQ14" s="1003"/>
      <c r="ER14" s="1003"/>
      <c r="ES14" s="1003"/>
      <c r="ET14" s="1003"/>
      <c r="EU14" s="1003"/>
      <c r="EV14" s="1003"/>
      <c r="EW14" s="1003"/>
      <c r="EX14" s="1003"/>
      <c r="EY14" s="1003"/>
      <c r="EZ14" s="1003"/>
      <c r="FA14" s="1003"/>
      <c r="FB14" s="1003"/>
      <c r="FC14" s="1003"/>
      <c r="FD14" s="1003"/>
      <c r="FE14" s="1003"/>
      <c r="FF14" s="1003"/>
      <c r="FG14" s="1003"/>
      <c r="FH14" s="1003"/>
      <c r="FI14" s="1003"/>
      <c r="FJ14" s="1003"/>
      <c r="FK14" s="1003"/>
      <c r="FL14" s="1003"/>
      <c r="FM14" s="1003"/>
      <c r="FN14" s="1003"/>
      <c r="FO14" s="1003"/>
      <c r="FP14" s="1003"/>
      <c r="FQ14" s="1003"/>
      <c r="FR14" s="1003"/>
      <c r="FS14" s="1003"/>
      <c r="FT14" s="1003"/>
      <c r="FU14" s="1003"/>
      <c r="FV14" s="1003"/>
      <c r="FW14" s="1003"/>
      <c r="FX14" s="1003"/>
      <c r="FY14" s="1003"/>
      <c r="FZ14" s="1005"/>
      <c r="GA14" s="1005"/>
      <c r="GB14" s="1005"/>
      <c r="GC14" s="1005"/>
      <c r="GD14" s="1005"/>
    </row>
    <row r="15" spans="1:186" s="1152" customFormat="1" ht="12" hidden="1" customHeight="1" x14ac:dyDescent="0.15">
      <c r="B15" s="659"/>
      <c r="C15" s="1108"/>
      <c r="D15" s="1077"/>
      <c r="E15" s="668"/>
      <c r="G15" s="160"/>
      <c r="H15" s="160"/>
      <c r="I15" s="160"/>
      <c r="J15" s="1082"/>
      <c r="K15" s="1082"/>
      <c r="L15" s="1082"/>
      <c r="M15" s="1082"/>
      <c r="N15" s="1082"/>
      <c r="O15" s="1082"/>
      <c r="P15" s="1082"/>
      <c r="Q15" s="1100"/>
      <c r="R15" s="612"/>
      <c r="S15" s="160"/>
      <c r="AB15" s="119"/>
      <c r="AC15" s="119"/>
      <c r="FZ15" s="971"/>
      <c r="GA15" s="1005"/>
      <c r="GB15" s="1005"/>
      <c r="GC15" s="1005"/>
      <c r="GD15" s="1005"/>
    </row>
    <row r="16" spans="1:186" s="1152" customFormat="1" ht="12" hidden="1" customHeight="1" x14ac:dyDescent="0.15">
      <c r="B16" s="659"/>
      <c r="C16" s="1108"/>
      <c r="D16" s="1077"/>
      <c r="E16" s="668"/>
      <c r="G16" s="160"/>
      <c r="H16" s="160"/>
      <c r="I16" s="160"/>
      <c r="J16" s="1082"/>
      <c r="K16" s="1082"/>
      <c r="L16" s="1082"/>
      <c r="M16" s="1082"/>
      <c r="N16" s="1082"/>
      <c r="O16" s="1082"/>
      <c r="P16" s="1082"/>
      <c r="Q16" s="1100"/>
      <c r="R16" s="612"/>
      <c r="S16" s="160"/>
      <c r="AB16" s="119"/>
      <c r="AC16" s="119"/>
      <c r="FZ16" s="971"/>
      <c r="GA16" s="1005"/>
      <c r="GB16" s="1005"/>
      <c r="GC16" s="1005"/>
      <c r="GD16" s="1005"/>
    </row>
    <row r="17" spans="1:186" s="1152" customFormat="1" ht="12" hidden="1" customHeight="1" x14ac:dyDescent="0.15">
      <c r="B17" s="659"/>
      <c r="C17" s="1108"/>
      <c r="D17" s="1077"/>
      <c r="E17" s="668"/>
      <c r="G17" s="160"/>
      <c r="H17" s="160"/>
      <c r="I17" s="160"/>
      <c r="J17" s="1082"/>
      <c r="K17" s="1082"/>
      <c r="L17" s="1082"/>
      <c r="M17" s="1082"/>
      <c r="N17" s="1082"/>
      <c r="O17" s="1082"/>
      <c r="P17" s="1082"/>
      <c r="Q17" s="1100"/>
      <c r="R17" s="612"/>
      <c r="S17" s="160"/>
      <c r="AB17" s="119"/>
      <c r="AC17" s="119"/>
      <c r="FZ17" s="971"/>
      <c r="GA17" s="1005"/>
      <c r="GB17" s="1005"/>
      <c r="GC17" s="1005"/>
      <c r="GD17" s="1005"/>
    </row>
    <row r="18" spans="1:186" s="1152" customFormat="1" ht="12" hidden="1" customHeight="1" x14ac:dyDescent="0.15">
      <c r="B18" s="659"/>
      <c r="C18" s="1108"/>
      <c r="D18" s="1077"/>
      <c r="E18" s="668"/>
      <c r="G18" s="160"/>
      <c r="H18" s="160"/>
      <c r="I18" s="160"/>
      <c r="J18" s="1082"/>
      <c r="K18" s="1082"/>
      <c r="L18" s="1082"/>
      <c r="M18" s="1082"/>
      <c r="N18" s="1082"/>
      <c r="O18" s="1082"/>
      <c r="P18" s="1082"/>
      <c r="Q18" s="1100"/>
      <c r="R18" s="612"/>
      <c r="S18" s="160"/>
      <c r="AB18" s="119"/>
      <c r="AC18" s="119"/>
      <c r="FZ18" s="971"/>
      <c r="GA18" s="1005"/>
      <c r="GB18" s="1005"/>
      <c r="GC18" s="1005"/>
      <c r="GD18" s="1005"/>
    </row>
    <row r="19" spans="1:186" s="1152" customFormat="1" ht="12" hidden="1" customHeight="1" x14ac:dyDescent="0.15">
      <c r="B19" s="659"/>
      <c r="C19" s="1108"/>
      <c r="D19" s="1077"/>
      <c r="E19" s="668"/>
      <c r="G19" s="160"/>
      <c r="H19" s="160"/>
      <c r="I19" s="160"/>
      <c r="J19" s="1082"/>
      <c r="K19" s="1082"/>
      <c r="L19" s="1082"/>
      <c r="M19" s="1082"/>
      <c r="N19" s="1082"/>
      <c r="O19" s="1082"/>
      <c r="P19" s="1082"/>
      <c r="Q19" s="1100"/>
      <c r="R19" s="612"/>
      <c r="S19" s="160"/>
      <c r="AB19" s="119"/>
      <c r="AC19" s="119"/>
      <c r="FZ19" s="971"/>
      <c r="GA19" s="1005"/>
      <c r="GB19" s="1005"/>
      <c r="GC19" s="1005"/>
      <c r="GD19" s="1005"/>
    </row>
    <row r="20" spans="1:186" s="1152" customFormat="1" ht="12" hidden="1" customHeight="1" x14ac:dyDescent="0.15">
      <c r="B20" s="659"/>
      <c r="C20" s="1108"/>
      <c r="D20" s="1077"/>
      <c r="E20" s="668"/>
      <c r="G20" s="160"/>
      <c r="H20" s="160"/>
      <c r="I20" s="160"/>
      <c r="J20" s="1082"/>
      <c r="K20" s="1082"/>
      <c r="L20" s="1082"/>
      <c r="M20" s="1082"/>
      <c r="N20" s="1082"/>
      <c r="O20" s="1082"/>
      <c r="P20" s="1082"/>
      <c r="Q20" s="1100"/>
      <c r="R20" s="612"/>
      <c r="S20" s="160"/>
      <c r="AB20" s="119"/>
      <c r="AC20" s="119"/>
      <c r="FZ20" s="971"/>
      <c r="GA20" s="1005"/>
      <c r="GB20" s="1005"/>
      <c r="GC20" s="1005"/>
      <c r="GD20" s="1005"/>
    </row>
    <row r="21" spans="1:186" ht="14.65" customHeight="1" x14ac:dyDescent="0.15">
      <c r="E21" s="668">
        <v>15</v>
      </c>
      <c r="Q21" s="1100"/>
      <c r="AA21" s="691"/>
      <c r="AB21" s="784" t="str" cm="1">
        <f t="array" ref="AB21">tpl_title</f>
        <v>Кемеровская область / 2026 / ООО ХК "СДС - Энерго" (ИНН:4250003450, КПП:420501001) / ДПР: 2024-2028</v>
      </c>
      <c r="GA21" s="1005"/>
      <c r="GB21" s="1005"/>
      <c r="GC21" s="1005"/>
      <c r="GD21" s="1005"/>
    </row>
    <row r="22" spans="1:186" s="804" customFormat="1" ht="23.45" customHeight="1" x14ac:dyDescent="0.15">
      <c r="A22" s="126"/>
      <c r="B22" s="659"/>
      <c r="C22" s="1111"/>
      <c r="D22" s="1038"/>
      <c r="E22" s="668">
        <v>24</v>
      </c>
      <c r="F22" s="126"/>
      <c r="J22" s="1097"/>
      <c r="K22" s="1097"/>
      <c r="L22" s="1097"/>
      <c r="M22" s="1097"/>
      <c r="N22" s="1097"/>
      <c r="O22" s="1097"/>
      <c r="P22" s="1097"/>
      <c r="Q22" s="1097"/>
      <c r="R22" s="612"/>
      <c r="T22" s="126"/>
      <c r="U22" s="126"/>
      <c r="V22" s="126"/>
      <c r="W22" s="126"/>
      <c r="X22" s="126"/>
      <c r="Y22" s="126"/>
      <c r="Z22" s="126"/>
      <c r="AB22" s="325" t="s">
        <v>77</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c r="DJ22" s="292"/>
      <c r="DK22" s="292"/>
      <c r="DL22" s="292"/>
      <c r="DM22" s="292"/>
      <c r="DN22" s="292"/>
      <c r="DO22" s="292"/>
      <c r="DP22" s="292"/>
      <c r="DQ22" s="292"/>
      <c r="DR22" s="292"/>
      <c r="DS22" s="292"/>
      <c r="DT22" s="292"/>
      <c r="DU22" s="292"/>
      <c r="DV22" s="292"/>
      <c r="DW22" s="292"/>
      <c r="DX22" s="292"/>
      <c r="DY22" s="292"/>
      <c r="DZ22" s="292"/>
      <c r="EA22" s="292"/>
      <c r="EB22" s="292"/>
      <c r="EC22" s="292"/>
      <c r="ED22" s="292"/>
      <c r="EE22" s="292"/>
      <c r="EF22" s="292"/>
      <c r="EG22" s="292"/>
      <c r="EH22" s="292"/>
      <c r="EI22" s="292"/>
      <c r="EJ22" s="292"/>
      <c r="EK22" s="292"/>
      <c r="EL22" s="292"/>
      <c r="EM22" s="292"/>
      <c r="EN22" s="292"/>
      <c r="EO22" s="292"/>
      <c r="EP22" s="292"/>
      <c r="EQ22" s="292"/>
      <c r="ER22" s="292"/>
      <c r="ES22" s="292"/>
      <c r="ET22" s="292"/>
      <c r="EU22" s="292"/>
      <c r="EV22" s="292"/>
      <c r="EW22" s="292"/>
      <c r="EX22" s="292"/>
      <c r="EY22" s="292"/>
      <c r="EZ22" s="292"/>
      <c r="FA22" s="292"/>
      <c r="FB22" s="292"/>
      <c r="FC22" s="292"/>
      <c r="FD22" s="292"/>
      <c r="FE22" s="292"/>
      <c r="FF22" s="292"/>
      <c r="FG22" s="292"/>
      <c r="FH22" s="292"/>
      <c r="FI22" s="292"/>
      <c r="FJ22" s="292"/>
      <c r="FK22" s="292"/>
      <c r="FL22" s="292"/>
      <c r="FM22" s="292"/>
      <c r="FN22" s="292"/>
      <c r="FO22" s="292"/>
      <c r="FP22" s="292"/>
      <c r="FQ22" s="292"/>
      <c r="FR22" s="292"/>
      <c r="FS22" s="292"/>
      <c r="FT22" s="292"/>
      <c r="FU22" s="292"/>
      <c r="FV22" s="292"/>
      <c r="FW22" s="292"/>
      <c r="FZ22" s="960"/>
      <c r="GA22" s="967"/>
      <c r="GB22" s="967"/>
      <c r="GC22" s="967"/>
      <c r="GD22" s="967"/>
    </row>
    <row r="23" spans="1:186" ht="21.95" customHeight="1" x14ac:dyDescent="0.15">
      <c r="E23" s="668">
        <v>22.5</v>
      </c>
      <c r="Q23" s="1100"/>
      <c r="AB23" s="162"/>
      <c r="AD23" s="162"/>
      <c r="GA23" s="1005"/>
      <c r="GB23" s="1005"/>
      <c r="GC23" s="1005"/>
      <c r="GD23" s="1005"/>
    </row>
    <row r="24" spans="1:186" s="804" customFormat="1" ht="21.95" customHeight="1" x14ac:dyDescent="0.15">
      <c r="A24" s="126"/>
      <c r="B24" s="659"/>
      <c r="C24" s="1111"/>
      <c r="D24" s="1038"/>
      <c r="E24" s="668">
        <v>22.5</v>
      </c>
      <c r="F24" s="126"/>
      <c r="J24" s="1097"/>
      <c r="K24" s="1097"/>
      <c r="L24" s="1097"/>
      <c r="M24" s="1097"/>
      <c r="N24" s="1097"/>
      <c r="O24" s="1097"/>
      <c r="P24" s="1097"/>
      <c r="Q24" s="1097"/>
      <c r="S24" s="161" t="b">
        <f>OR(hasVS,hasVO)</f>
        <v>0</v>
      </c>
      <c r="T24" s="126"/>
      <c r="U24" s="126"/>
      <c r="V24" s="126"/>
      <c r="W24" s="126"/>
      <c r="X24" s="126"/>
      <c r="Y24" s="126"/>
      <c r="Z24" s="126"/>
      <c r="AA24" s="356"/>
      <c r="AB24" s="388" t="s">
        <v>77</v>
      </c>
      <c r="AC24" s="348"/>
      <c r="AD24" s="348"/>
      <c r="AE24" s="348"/>
      <c r="AF24" s="348"/>
      <c r="AG24" s="348"/>
      <c r="AH24" s="348"/>
      <c r="AI24" s="348"/>
      <c r="AJ24" s="348"/>
      <c r="AK24" s="348"/>
      <c r="AL24" s="348"/>
      <c r="AM24" s="348"/>
      <c r="AN24" s="348"/>
      <c r="AO24" s="348"/>
      <c r="AP24" s="348"/>
      <c r="AQ24" s="348"/>
      <c r="AR24" s="348"/>
      <c r="AS24" s="348"/>
      <c r="AT24" s="348"/>
      <c r="AU24" s="348"/>
      <c r="AV24" s="348"/>
      <c r="AW24" s="348"/>
      <c r="AX24" s="348"/>
      <c r="AY24" s="348"/>
      <c r="AZ24" s="348"/>
      <c r="BA24" s="348"/>
      <c r="BB24" s="348"/>
      <c r="BC24" s="348"/>
      <c r="BD24" s="348"/>
      <c r="BE24" s="348"/>
      <c r="BF24" s="348"/>
      <c r="BG24" s="349"/>
      <c r="BH24" s="349"/>
      <c r="BI24" s="349"/>
      <c r="BJ24" s="349"/>
      <c r="BK24" s="349"/>
      <c r="BL24" s="349"/>
      <c r="BM24" s="349"/>
      <c r="BN24" s="349"/>
      <c r="BO24" s="349"/>
      <c r="BP24" s="349"/>
      <c r="BQ24" s="349"/>
      <c r="BR24" s="349"/>
      <c r="BS24" s="349"/>
      <c r="BT24" s="349"/>
      <c r="BU24" s="349"/>
      <c r="BV24" s="349"/>
      <c r="BW24" s="349"/>
      <c r="BX24" s="349"/>
      <c r="BY24" s="349"/>
      <c r="BZ24" s="349"/>
      <c r="CA24" s="349"/>
      <c r="CB24" s="349"/>
      <c r="CC24" s="349"/>
      <c r="CD24" s="349"/>
      <c r="CE24" s="349"/>
      <c r="CF24" s="349"/>
      <c r="CG24" s="349"/>
      <c r="CH24" s="349"/>
      <c r="CI24" s="349"/>
      <c r="CJ24" s="349"/>
      <c r="CK24" s="349"/>
      <c r="CL24" s="349"/>
      <c r="CM24" s="349"/>
      <c r="CN24" s="349"/>
      <c r="CO24" s="349"/>
      <c r="CP24" s="349"/>
      <c r="CQ24" s="349"/>
      <c r="CR24" s="349"/>
      <c r="CS24" s="349"/>
      <c r="CT24" s="349"/>
      <c r="CU24" s="349"/>
      <c r="CV24" s="349"/>
      <c r="CW24" s="349"/>
      <c r="CX24" s="349"/>
      <c r="CY24" s="349"/>
      <c r="CZ24" s="349"/>
      <c r="DA24" s="349"/>
      <c r="DB24" s="349"/>
      <c r="DC24" s="349"/>
      <c r="DD24" s="349"/>
      <c r="DE24" s="349"/>
      <c r="DF24" s="349"/>
      <c r="DG24" s="349"/>
      <c r="DH24" s="349"/>
      <c r="DI24" s="349"/>
      <c r="DJ24" s="349"/>
      <c r="DK24" s="349"/>
      <c r="DL24" s="349"/>
      <c r="DM24" s="349"/>
      <c r="DN24" s="349"/>
      <c r="DO24" s="349"/>
      <c r="DP24" s="349"/>
      <c r="DQ24" s="349"/>
      <c r="DR24" s="349"/>
      <c r="DS24" s="349"/>
      <c r="DT24" s="349"/>
      <c r="DU24" s="349"/>
      <c r="DV24" s="349"/>
      <c r="DW24" s="349"/>
      <c r="DX24" s="349"/>
      <c r="DY24" s="349"/>
      <c r="DZ24" s="349"/>
      <c r="EA24" s="349"/>
      <c r="EB24" s="349"/>
      <c r="EC24" s="349"/>
      <c r="ED24" s="349"/>
      <c r="EE24" s="349"/>
      <c r="EF24" s="349"/>
      <c r="EG24" s="349"/>
      <c r="EH24" s="349"/>
      <c r="EI24" s="349"/>
      <c r="EJ24" s="349"/>
      <c r="EK24" s="349"/>
      <c r="EL24" s="349"/>
      <c r="EM24" s="349"/>
      <c r="EN24" s="349"/>
      <c r="EO24" s="349"/>
      <c r="EP24" s="349"/>
      <c r="EQ24" s="349"/>
      <c r="ER24" s="349"/>
      <c r="ES24" s="349"/>
      <c r="ET24" s="349"/>
      <c r="EU24" s="349"/>
      <c r="EV24" s="349"/>
      <c r="EW24" s="349"/>
      <c r="EX24" s="349"/>
      <c r="EY24" s="349"/>
      <c r="EZ24" s="349"/>
      <c r="FA24" s="349"/>
      <c r="FB24" s="349"/>
      <c r="FC24" s="349"/>
      <c r="FD24" s="349"/>
      <c r="FE24" s="349"/>
      <c r="FF24" s="349"/>
      <c r="FG24" s="349"/>
      <c r="FH24" s="349"/>
      <c r="FI24" s="349"/>
      <c r="FJ24" s="349"/>
      <c r="FK24" s="349"/>
      <c r="FL24" s="349"/>
      <c r="FM24" s="349"/>
      <c r="FN24" s="349"/>
      <c r="FO24" s="349"/>
      <c r="FP24" s="349"/>
      <c r="FQ24" s="349"/>
      <c r="FR24" s="349"/>
      <c r="FS24" s="349"/>
      <c r="FT24" s="349"/>
      <c r="FU24" s="349"/>
      <c r="FV24" s="349"/>
      <c r="FW24" s="349"/>
      <c r="FZ24" s="960"/>
      <c r="GA24" s="967"/>
      <c r="GB24" s="967"/>
      <c r="GC24" s="967"/>
      <c r="GD24" s="967"/>
    </row>
    <row r="25" spans="1:186" ht="21.95" customHeight="1" x14ac:dyDescent="0.15">
      <c r="E25" s="668">
        <v>22.5</v>
      </c>
      <c r="Q25" s="1100"/>
      <c r="R25" s="160"/>
      <c r="S25" s="161" t="b">
        <f>OR(hasVS,hasVO)</f>
        <v>0</v>
      </c>
      <c r="AB25" s="1490" t="s">
        <v>464</v>
      </c>
      <c r="AC25" s="1490" t="s">
        <v>465</v>
      </c>
      <c r="AD25" s="1492" t="str">
        <f>AD6&amp;" год"</f>
        <v>2026 год</v>
      </c>
      <c r="AE25" s="1615"/>
      <c r="AF25" s="1616"/>
      <c r="AG25" s="1492" t="str">
        <f>AG6&amp;" год"</f>
        <v>2027 год</v>
      </c>
      <c r="AH25" s="1615"/>
      <c r="AI25" s="1616"/>
      <c r="AJ25" s="1492" t="str">
        <f>AJ6&amp;" год"</f>
        <v>2028 год</v>
      </c>
      <c r="AK25" s="1615"/>
      <c r="AL25" s="1616"/>
      <c r="AM25" s="1492" t="str">
        <f>AM6&amp;" год"</f>
        <v>2029 год</v>
      </c>
      <c r="AN25" s="1615"/>
      <c r="AO25" s="1616"/>
      <c r="AP25" s="1492" t="str">
        <f>AP6&amp;" год"</f>
        <v>2030 год</v>
      </c>
      <c r="AQ25" s="1615"/>
      <c r="AR25" s="1616"/>
      <c r="AS25" s="1492" t="str">
        <f>AS6&amp;" год"</f>
        <v>2031 год</v>
      </c>
      <c r="AT25" s="1615"/>
      <c r="AU25" s="1616"/>
      <c r="AV25" s="1492" t="str">
        <f>AV6&amp;" год"</f>
        <v>2032 год</v>
      </c>
      <c r="AW25" s="1615"/>
      <c r="AX25" s="1616"/>
      <c r="AY25" s="1492" t="str">
        <f>AY6&amp;" год"</f>
        <v>2033 год</v>
      </c>
      <c r="AZ25" s="1615"/>
      <c r="BA25" s="1616"/>
      <c r="BB25" s="1492" t="str">
        <f>BB6&amp;" год"</f>
        <v>2034 год</v>
      </c>
      <c r="BC25" s="1615"/>
      <c r="BD25" s="1616"/>
      <c r="BE25" s="1492" t="str">
        <f>BE6&amp;" год"</f>
        <v>2035 год</v>
      </c>
      <c r="BF25" s="1615"/>
      <c r="BG25" s="1616"/>
      <c r="BH25" s="1492" t="str">
        <f>BH6&amp;" год"</f>
        <v>2036 год</v>
      </c>
      <c r="BI25" s="1615"/>
      <c r="BJ25" s="1616"/>
      <c r="BK25" s="1492" t="str">
        <f>BK6&amp;" год"</f>
        <v>2037 год</v>
      </c>
      <c r="BL25" s="1615"/>
      <c r="BM25" s="1616"/>
      <c r="BN25" s="1492" t="str">
        <f>BN6&amp;" год"</f>
        <v>2038 год</v>
      </c>
      <c r="BO25" s="1615"/>
      <c r="BP25" s="1616"/>
      <c r="BQ25" s="1492" t="str">
        <f>BQ6&amp;" год"</f>
        <v>2039 год</v>
      </c>
      <c r="BR25" s="1615"/>
      <c r="BS25" s="1616"/>
      <c r="BT25" s="1492" t="str">
        <f>BT6&amp;" год"</f>
        <v>2040 год</v>
      </c>
      <c r="BU25" s="1615"/>
      <c r="BV25" s="1616"/>
      <c r="BW25" s="1492" t="str">
        <f>BW6&amp;" год"</f>
        <v>2041 год</v>
      </c>
      <c r="BX25" s="1615"/>
      <c r="BY25" s="1616"/>
      <c r="BZ25" s="1492" t="str">
        <f>BZ6&amp;" год"</f>
        <v>2042 год</v>
      </c>
      <c r="CA25" s="1615"/>
      <c r="CB25" s="1616"/>
      <c r="CC25" s="1492" t="str">
        <f>CC6&amp;" год"</f>
        <v>2043 год</v>
      </c>
      <c r="CD25" s="1615"/>
      <c r="CE25" s="1616"/>
      <c r="CF25" s="1492" t="str">
        <f>CF6&amp;" год"</f>
        <v>2044 год</v>
      </c>
      <c r="CG25" s="1615"/>
      <c r="CH25" s="1616"/>
      <c r="CI25" s="1492" t="str">
        <f>CI6&amp;" год"</f>
        <v>2045 год</v>
      </c>
      <c r="CJ25" s="1615"/>
      <c r="CK25" s="1616"/>
      <c r="CL25" s="1492" t="str">
        <f>CL6&amp;" год"</f>
        <v>2046 год</v>
      </c>
      <c r="CM25" s="1615"/>
      <c r="CN25" s="1616"/>
      <c r="CO25" s="1492" t="str">
        <f>CO6&amp;" год"</f>
        <v>2047 год</v>
      </c>
      <c r="CP25" s="1615"/>
      <c r="CQ25" s="1616"/>
      <c r="CR25" s="1492" t="str">
        <f>CR6&amp;" год"</f>
        <v>2048 год</v>
      </c>
      <c r="CS25" s="1615"/>
      <c r="CT25" s="1616"/>
      <c r="CU25" s="1492" t="str">
        <f>CU6&amp;" год"</f>
        <v>2049 год</v>
      </c>
      <c r="CV25" s="1615"/>
      <c r="CW25" s="1616"/>
      <c r="CX25" s="1492" t="str">
        <f>CX6&amp;" год"</f>
        <v>2050 год</v>
      </c>
      <c r="CY25" s="1615"/>
      <c r="CZ25" s="1616"/>
      <c r="DA25" s="1492" t="str">
        <f>DA6&amp;" год"</f>
        <v>2051 год</v>
      </c>
      <c r="DB25" s="1615"/>
      <c r="DC25" s="1616"/>
      <c r="DD25" s="1492" t="str">
        <f>DD6&amp;" год"</f>
        <v>2052 год</v>
      </c>
      <c r="DE25" s="1615"/>
      <c r="DF25" s="1616"/>
      <c r="DG25" s="1492" t="str">
        <f>DG6&amp;" год"</f>
        <v>2053 год</v>
      </c>
      <c r="DH25" s="1615"/>
      <c r="DI25" s="1616"/>
      <c r="DJ25" s="1492" t="str">
        <f>DJ6&amp;" год"</f>
        <v>2054 год</v>
      </c>
      <c r="DK25" s="1615"/>
      <c r="DL25" s="1616"/>
      <c r="DM25" s="1492" t="str">
        <f>DM6&amp;" год"</f>
        <v>2055 год</v>
      </c>
      <c r="DN25" s="1615"/>
      <c r="DO25" s="1616"/>
      <c r="DP25" s="1492" t="str">
        <f>DP6&amp;" год"</f>
        <v>2056 год</v>
      </c>
      <c r="DQ25" s="1615"/>
      <c r="DR25" s="1616"/>
      <c r="DS25" s="1492" t="str">
        <f>DS6&amp;" год"</f>
        <v>2057 год</v>
      </c>
      <c r="DT25" s="1615"/>
      <c r="DU25" s="1616"/>
      <c r="DV25" s="1492" t="str">
        <f>DV6&amp;" год"</f>
        <v>2058 год</v>
      </c>
      <c r="DW25" s="1615"/>
      <c r="DX25" s="1616"/>
      <c r="DY25" s="1492" t="str">
        <f>DY6&amp;" год"</f>
        <v>2059 год</v>
      </c>
      <c r="DZ25" s="1615"/>
      <c r="EA25" s="1616"/>
      <c r="EB25" s="1492" t="str">
        <f>EB6&amp;" год"</f>
        <v>2060 год</v>
      </c>
      <c r="EC25" s="1615"/>
      <c r="ED25" s="1616"/>
      <c r="EE25" s="1492" t="str">
        <f>EE6&amp;" год"</f>
        <v>2061 год</v>
      </c>
      <c r="EF25" s="1615"/>
      <c r="EG25" s="1616"/>
      <c r="EH25" s="1492" t="str">
        <f>EH6&amp;" год"</f>
        <v>2062 год</v>
      </c>
      <c r="EI25" s="1615"/>
      <c r="EJ25" s="1616"/>
      <c r="EK25" s="1492" t="str">
        <f>EK6&amp;" год"</f>
        <v>2063 год</v>
      </c>
      <c r="EL25" s="1615"/>
      <c r="EM25" s="1616"/>
      <c r="EN25" s="1492" t="str">
        <f>EN6&amp;" год"</f>
        <v>2064 год</v>
      </c>
      <c r="EO25" s="1615"/>
      <c r="EP25" s="1616"/>
      <c r="EQ25" s="1492" t="str">
        <f>EQ6&amp;" год"</f>
        <v>2065 год</v>
      </c>
      <c r="ER25" s="1615"/>
      <c r="ES25" s="1616"/>
      <c r="ET25" s="1492" t="str">
        <f>ET6&amp;" год"</f>
        <v>2066 год</v>
      </c>
      <c r="EU25" s="1615"/>
      <c r="EV25" s="1616"/>
      <c r="EW25" s="1492" t="str">
        <f>EW6&amp;" год"</f>
        <v>2067 год</v>
      </c>
      <c r="EX25" s="1615"/>
      <c r="EY25" s="1616"/>
      <c r="EZ25" s="1492" t="str">
        <f>EZ6&amp;" год"</f>
        <v>2068 год</v>
      </c>
      <c r="FA25" s="1615"/>
      <c r="FB25" s="1616"/>
      <c r="FC25" s="1492" t="str">
        <f>FC6&amp;" год"</f>
        <v>2069 год</v>
      </c>
      <c r="FD25" s="1615"/>
      <c r="FE25" s="1616"/>
      <c r="FF25" s="1492" t="str">
        <f>FF6&amp;" год"</f>
        <v>2070 год</v>
      </c>
      <c r="FG25" s="1615"/>
      <c r="FH25" s="1616"/>
      <c r="FI25" s="1492" t="str">
        <f>FI6&amp;" год"</f>
        <v>2071 год</v>
      </c>
      <c r="FJ25" s="1615"/>
      <c r="FK25" s="1616"/>
      <c r="FL25" s="1492" t="str">
        <f>FL6&amp;" год"</f>
        <v>2072 год</v>
      </c>
      <c r="FM25" s="1615"/>
      <c r="FN25" s="1616"/>
      <c r="FO25" s="1492" t="str">
        <f>FO6&amp;" год"</f>
        <v>2073 год</v>
      </c>
      <c r="FP25" s="1615"/>
      <c r="FQ25" s="1616"/>
      <c r="FR25" s="1492" t="str">
        <f>FR6&amp;" год"</f>
        <v>2074 год</v>
      </c>
      <c r="FS25" s="1615"/>
      <c r="FT25" s="1616"/>
      <c r="FU25" s="1492" t="str">
        <f>FU6&amp;" год"</f>
        <v>2075 год</v>
      </c>
      <c r="FV25" s="1615"/>
      <c r="FW25" s="1616"/>
      <c r="GA25" s="1005"/>
      <c r="GB25" s="1005"/>
      <c r="GC25" s="1005"/>
      <c r="GD25" s="1005"/>
    </row>
    <row r="26" spans="1:186" ht="42.4" customHeight="1" x14ac:dyDescent="0.15">
      <c r="E26" s="668">
        <v>43.5</v>
      </c>
      <c r="Q26" s="1100"/>
      <c r="R26" s="160"/>
      <c r="S26" s="161" t="b">
        <f>OR(hasVS,hasVO)</f>
        <v>0</v>
      </c>
      <c r="AB26" s="1490"/>
      <c r="AC26" s="1490"/>
      <c r="AD26" s="1132" t="s">
        <v>405</v>
      </c>
      <c r="AE26" s="120" t="s">
        <v>404</v>
      </c>
      <c r="AF26" s="120" t="s">
        <v>2108</v>
      </c>
      <c r="AG26" s="1135" t="s">
        <v>405</v>
      </c>
      <c r="AH26" s="120" t="s">
        <v>404</v>
      </c>
      <c r="AI26" s="120" t="s">
        <v>2108</v>
      </c>
      <c r="AJ26" s="1135" t="s">
        <v>405</v>
      </c>
      <c r="AK26" s="120" t="s">
        <v>404</v>
      </c>
      <c r="AL26" s="120" t="s">
        <v>2108</v>
      </c>
      <c r="AM26" s="1135" t="s">
        <v>405</v>
      </c>
      <c r="AN26" s="120" t="s">
        <v>404</v>
      </c>
      <c r="AO26" s="120" t="s">
        <v>2108</v>
      </c>
      <c r="AP26" s="1135" t="s">
        <v>405</v>
      </c>
      <c r="AQ26" s="120" t="s">
        <v>404</v>
      </c>
      <c r="AR26" s="120" t="s">
        <v>2108</v>
      </c>
      <c r="AS26" s="1135" t="s">
        <v>405</v>
      </c>
      <c r="AT26" s="120" t="s">
        <v>404</v>
      </c>
      <c r="AU26" s="120" t="s">
        <v>2108</v>
      </c>
      <c r="AV26" s="1135" t="s">
        <v>405</v>
      </c>
      <c r="AW26" s="120" t="s">
        <v>404</v>
      </c>
      <c r="AX26" s="120" t="s">
        <v>2108</v>
      </c>
      <c r="AY26" s="1135" t="s">
        <v>405</v>
      </c>
      <c r="AZ26" s="120" t="s">
        <v>404</v>
      </c>
      <c r="BA26" s="120" t="s">
        <v>2108</v>
      </c>
      <c r="BB26" s="1135" t="s">
        <v>405</v>
      </c>
      <c r="BC26" s="120" t="s">
        <v>404</v>
      </c>
      <c r="BD26" s="120" t="s">
        <v>2108</v>
      </c>
      <c r="BE26" s="1135" t="s">
        <v>405</v>
      </c>
      <c r="BF26" s="120" t="s">
        <v>404</v>
      </c>
      <c r="BG26" s="120" t="s">
        <v>2108</v>
      </c>
      <c r="BH26" s="1135" t="s">
        <v>405</v>
      </c>
      <c r="BI26" s="120" t="s">
        <v>404</v>
      </c>
      <c r="BJ26" s="120" t="s">
        <v>2108</v>
      </c>
      <c r="BK26" s="1135" t="s">
        <v>405</v>
      </c>
      <c r="BL26" s="120" t="s">
        <v>404</v>
      </c>
      <c r="BM26" s="120" t="s">
        <v>2108</v>
      </c>
      <c r="BN26" s="1135" t="s">
        <v>405</v>
      </c>
      <c r="BO26" s="120" t="s">
        <v>404</v>
      </c>
      <c r="BP26" s="120" t="s">
        <v>2108</v>
      </c>
      <c r="BQ26" s="1135" t="s">
        <v>405</v>
      </c>
      <c r="BR26" s="120" t="s">
        <v>404</v>
      </c>
      <c r="BS26" s="120" t="s">
        <v>2108</v>
      </c>
      <c r="BT26" s="1135" t="s">
        <v>405</v>
      </c>
      <c r="BU26" s="120" t="s">
        <v>404</v>
      </c>
      <c r="BV26" s="120" t="s">
        <v>2108</v>
      </c>
      <c r="BW26" s="120" t="s">
        <v>405</v>
      </c>
      <c r="BX26" s="120" t="s">
        <v>404</v>
      </c>
      <c r="BY26" s="120" t="s">
        <v>2108</v>
      </c>
      <c r="BZ26" s="120" t="s">
        <v>405</v>
      </c>
      <c r="CA26" s="120" t="s">
        <v>404</v>
      </c>
      <c r="CB26" s="120" t="s">
        <v>2108</v>
      </c>
      <c r="CC26" s="120" t="s">
        <v>405</v>
      </c>
      <c r="CD26" s="120" t="s">
        <v>404</v>
      </c>
      <c r="CE26" s="120" t="s">
        <v>2108</v>
      </c>
      <c r="CF26" s="120" t="s">
        <v>405</v>
      </c>
      <c r="CG26" s="120" t="s">
        <v>404</v>
      </c>
      <c r="CH26" s="120" t="s">
        <v>2108</v>
      </c>
      <c r="CI26" s="120" t="s">
        <v>405</v>
      </c>
      <c r="CJ26" s="120" t="s">
        <v>404</v>
      </c>
      <c r="CK26" s="120" t="s">
        <v>2108</v>
      </c>
      <c r="CL26" s="120" t="s">
        <v>405</v>
      </c>
      <c r="CM26" s="120" t="s">
        <v>404</v>
      </c>
      <c r="CN26" s="120" t="s">
        <v>2108</v>
      </c>
      <c r="CO26" s="120" t="s">
        <v>405</v>
      </c>
      <c r="CP26" s="120" t="s">
        <v>404</v>
      </c>
      <c r="CQ26" s="120" t="s">
        <v>2108</v>
      </c>
      <c r="CR26" s="120" t="s">
        <v>405</v>
      </c>
      <c r="CS26" s="120" t="s">
        <v>404</v>
      </c>
      <c r="CT26" s="120" t="s">
        <v>2108</v>
      </c>
      <c r="CU26" s="120" t="s">
        <v>405</v>
      </c>
      <c r="CV26" s="120" t="s">
        <v>404</v>
      </c>
      <c r="CW26" s="120" t="s">
        <v>2108</v>
      </c>
      <c r="CX26" s="120" t="s">
        <v>405</v>
      </c>
      <c r="CY26" s="120" t="s">
        <v>404</v>
      </c>
      <c r="CZ26" s="120" t="s">
        <v>2108</v>
      </c>
      <c r="DA26" s="120" t="s">
        <v>405</v>
      </c>
      <c r="DB26" s="120" t="s">
        <v>404</v>
      </c>
      <c r="DC26" s="120" t="s">
        <v>2108</v>
      </c>
      <c r="DD26" s="120" t="s">
        <v>405</v>
      </c>
      <c r="DE26" s="120" t="s">
        <v>404</v>
      </c>
      <c r="DF26" s="120" t="s">
        <v>2108</v>
      </c>
      <c r="DG26" s="120" t="s">
        <v>405</v>
      </c>
      <c r="DH26" s="120" t="s">
        <v>404</v>
      </c>
      <c r="DI26" s="120" t="s">
        <v>2108</v>
      </c>
      <c r="DJ26" s="120" t="s">
        <v>405</v>
      </c>
      <c r="DK26" s="120" t="s">
        <v>404</v>
      </c>
      <c r="DL26" s="120" t="s">
        <v>2108</v>
      </c>
      <c r="DM26" s="120" t="s">
        <v>405</v>
      </c>
      <c r="DN26" s="120" t="s">
        <v>404</v>
      </c>
      <c r="DO26" s="120" t="s">
        <v>2108</v>
      </c>
      <c r="DP26" s="120" t="s">
        <v>405</v>
      </c>
      <c r="DQ26" s="120" t="s">
        <v>404</v>
      </c>
      <c r="DR26" s="120" t="s">
        <v>2108</v>
      </c>
      <c r="DS26" s="120" t="s">
        <v>405</v>
      </c>
      <c r="DT26" s="120" t="s">
        <v>404</v>
      </c>
      <c r="DU26" s="120" t="s">
        <v>2108</v>
      </c>
      <c r="DV26" s="120" t="s">
        <v>405</v>
      </c>
      <c r="DW26" s="120" t="s">
        <v>404</v>
      </c>
      <c r="DX26" s="120" t="s">
        <v>2108</v>
      </c>
      <c r="DY26" s="120" t="s">
        <v>405</v>
      </c>
      <c r="DZ26" s="120" t="s">
        <v>404</v>
      </c>
      <c r="EA26" s="120" t="s">
        <v>2108</v>
      </c>
      <c r="EB26" s="120" t="s">
        <v>405</v>
      </c>
      <c r="EC26" s="120" t="s">
        <v>404</v>
      </c>
      <c r="ED26" s="120" t="s">
        <v>2108</v>
      </c>
      <c r="EE26" s="120" t="s">
        <v>405</v>
      </c>
      <c r="EF26" s="120" t="s">
        <v>404</v>
      </c>
      <c r="EG26" s="120" t="s">
        <v>2108</v>
      </c>
      <c r="EH26" s="120" t="s">
        <v>405</v>
      </c>
      <c r="EI26" s="120" t="s">
        <v>404</v>
      </c>
      <c r="EJ26" s="120" t="s">
        <v>2108</v>
      </c>
      <c r="EK26" s="120" t="s">
        <v>405</v>
      </c>
      <c r="EL26" s="120" t="s">
        <v>404</v>
      </c>
      <c r="EM26" s="120" t="s">
        <v>2108</v>
      </c>
      <c r="EN26" s="120" t="s">
        <v>405</v>
      </c>
      <c r="EO26" s="120" t="s">
        <v>404</v>
      </c>
      <c r="EP26" s="120" t="s">
        <v>2108</v>
      </c>
      <c r="EQ26" s="120" t="s">
        <v>405</v>
      </c>
      <c r="ER26" s="120" t="s">
        <v>404</v>
      </c>
      <c r="ES26" s="120" t="s">
        <v>2108</v>
      </c>
      <c r="ET26" s="120" t="s">
        <v>405</v>
      </c>
      <c r="EU26" s="120" t="s">
        <v>404</v>
      </c>
      <c r="EV26" s="120" t="s">
        <v>2108</v>
      </c>
      <c r="EW26" s="120" t="s">
        <v>405</v>
      </c>
      <c r="EX26" s="120" t="s">
        <v>404</v>
      </c>
      <c r="EY26" s="120" t="s">
        <v>2108</v>
      </c>
      <c r="EZ26" s="120" t="s">
        <v>405</v>
      </c>
      <c r="FA26" s="120" t="s">
        <v>404</v>
      </c>
      <c r="FB26" s="120" t="s">
        <v>2108</v>
      </c>
      <c r="FC26" s="120" t="s">
        <v>405</v>
      </c>
      <c r="FD26" s="120" t="s">
        <v>404</v>
      </c>
      <c r="FE26" s="120" t="s">
        <v>2108</v>
      </c>
      <c r="FF26" s="120" t="s">
        <v>405</v>
      </c>
      <c r="FG26" s="120" t="s">
        <v>404</v>
      </c>
      <c r="FH26" s="120" t="s">
        <v>2108</v>
      </c>
      <c r="FI26" s="120" t="s">
        <v>405</v>
      </c>
      <c r="FJ26" s="120" t="s">
        <v>404</v>
      </c>
      <c r="FK26" s="120" t="s">
        <v>2108</v>
      </c>
      <c r="FL26" s="120" t="s">
        <v>405</v>
      </c>
      <c r="FM26" s="120" t="s">
        <v>404</v>
      </c>
      <c r="FN26" s="120" t="s">
        <v>2108</v>
      </c>
      <c r="FO26" s="120" t="s">
        <v>405</v>
      </c>
      <c r="FP26" s="120" t="s">
        <v>404</v>
      </c>
      <c r="FQ26" s="120" t="s">
        <v>2108</v>
      </c>
      <c r="FR26" s="120" t="s">
        <v>405</v>
      </c>
      <c r="FS26" s="120" t="s">
        <v>404</v>
      </c>
      <c r="FT26" s="120" t="s">
        <v>2108</v>
      </c>
      <c r="FU26" s="120" t="s">
        <v>405</v>
      </c>
      <c r="FV26" s="120" t="s">
        <v>404</v>
      </c>
      <c r="FW26" s="120" t="s">
        <v>2108</v>
      </c>
      <c r="GA26" s="1005"/>
      <c r="GB26" s="1005"/>
      <c r="GC26" s="1005"/>
      <c r="GD26" s="1005"/>
    </row>
    <row r="27" spans="1:186" ht="43.5" hidden="1" customHeight="1" x14ac:dyDescent="0.15">
      <c r="E27" s="668">
        <v>0</v>
      </c>
      <c r="Q27" s="1100"/>
      <c r="R27" s="160"/>
      <c r="S27" s="161"/>
      <c r="AB27" s="591"/>
      <c r="AC27" s="592"/>
      <c r="AD27" s="558"/>
      <c r="AE27" s="559"/>
      <c r="AF27" s="559"/>
      <c r="AG27" s="559"/>
      <c r="AH27" s="559"/>
      <c r="AI27" s="559"/>
      <c r="AJ27" s="559"/>
      <c r="AK27" s="559"/>
      <c r="AL27" s="559"/>
      <c r="AM27" s="559"/>
      <c r="AN27" s="559"/>
      <c r="AO27" s="559"/>
      <c r="AP27" s="559"/>
      <c r="AQ27" s="559"/>
      <c r="AR27" s="559"/>
      <c r="AS27" s="559"/>
      <c r="AT27" s="559"/>
      <c r="AU27" s="559"/>
      <c r="AV27" s="559"/>
      <c r="AW27" s="559"/>
      <c r="AX27" s="559"/>
      <c r="AY27" s="559"/>
      <c r="AZ27" s="559"/>
      <c r="BA27" s="559"/>
      <c r="BB27" s="559"/>
      <c r="BC27" s="559"/>
      <c r="BD27" s="559"/>
      <c r="BE27" s="559"/>
      <c r="BF27" s="559"/>
      <c r="BG27" s="559"/>
      <c r="BH27" s="559"/>
      <c r="BI27" s="559"/>
      <c r="BJ27" s="559"/>
      <c r="BK27" s="559"/>
      <c r="BL27" s="559"/>
      <c r="BM27" s="559"/>
      <c r="BN27" s="559"/>
      <c r="BO27" s="559"/>
      <c r="BP27" s="559"/>
      <c r="BQ27" s="559"/>
      <c r="BR27" s="559"/>
      <c r="BS27" s="559"/>
      <c r="BT27" s="559"/>
      <c r="BU27" s="559"/>
      <c r="BV27" s="559"/>
      <c r="BW27" s="559"/>
      <c r="BX27" s="559"/>
      <c r="BY27" s="559"/>
      <c r="BZ27" s="559"/>
      <c r="CA27" s="559"/>
      <c r="CB27" s="559"/>
      <c r="CC27" s="559"/>
      <c r="CD27" s="559"/>
      <c r="CE27" s="559"/>
      <c r="CF27" s="559"/>
      <c r="CG27" s="559"/>
      <c r="CH27" s="559"/>
      <c r="CI27" s="559"/>
      <c r="CJ27" s="559"/>
      <c r="CK27" s="559"/>
      <c r="CL27" s="559"/>
      <c r="CM27" s="559"/>
      <c r="CN27" s="559"/>
      <c r="CO27" s="559"/>
      <c r="CP27" s="559"/>
      <c r="CQ27" s="559"/>
      <c r="CR27" s="559"/>
      <c r="CS27" s="559"/>
      <c r="CT27" s="559"/>
      <c r="CU27" s="559"/>
      <c r="CV27" s="559"/>
      <c r="CW27" s="559"/>
      <c r="CX27" s="559"/>
      <c r="CY27" s="559"/>
      <c r="CZ27" s="559"/>
      <c r="DA27" s="559"/>
      <c r="DB27" s="559"/>
      <c r="DC27" s="559"/>
      <c r="DD27" s="559"/>
      <c r="DE27" s="559"/>
      <c r="DF27" s="559"/>
      <c r="DG27" s="559"/>
      <c r="DH27" s="559"/>
      <c r="DI27" s="559"/>
      <c r="DJ27" s="559"/>
      <c r="DK27" s="559"/>
      <c r="DL27" s="559"/>
      <c r="DM27" s="559"/>
      <c r="DN27" s="559"/>
      <c r="DO27" s="559"/>
      <c r="DP27" s="559"/>
      <c r="DQ27" s="559"/>
      <c r="DR27" s="559"/>
      <c r="DS27" s="559"/>
      <c r="DT27" s="559"/>
      <c r="DU27" s="559"/>
      <c r="DV27" s="559"/>
      <c r="DW27" s="559"/>
      <c r="DX27" s="559"/>
      <c r="DY27" s="559"/>
      <c r="DZ27" s="559"/>
      <c r="EA27" s="559"/>
      <c r="EB27" s="559"/>
      <c r="EC27" s="559"/>
      <c r="ED27" s="559"/>
      <c r="EE27" s="559"/>
      <c r="EF27" s="559"/>
      <c r="EG27" s="559"/>
      <c r="EH27" s="559"/>
      <c r="EI27" s="559"/>
      <c r="EJ27" s="559"/>
      <c r="EK27" s="559"/>
      <c r="EL27" s="559"/>
      <c r="EM27" s="559"/>
      <c r="EN27" s="559"/>
      <c r="EO27" s="559"/>
      <c r="EP27" s="559"/>
      <c r="EQ27" s="559"/>
      <c r="ER27" s="559"/>
      <c r="ES27" s="559"/>
      <c r="ET27" s="559"/>
      <c r="EU27" s="559"/>
      <c r="EV27" s="559"/>
      <c r="EW27" s="559"/>
      <c r="EX27" s="559"/>
      <c r="EY27" s="559"/>
      <c r="EZ27" s="559"/>
      <c r="FA27" s="559"/>
      <c r="FB27" s="559"/>
      <c r="FC27" s="559"/>
      <c r="FD27" s="559"/>
      <c r="FE27" s="559"/>
      <c r="FF27" s="559"/>
      <c r="FG27" s="559"/>
      <c r="FH27" s="559"/>
      <c r="FI27" s="559"/>
      <c r="FJ27" s="559"/>
      <c r="FK27" s="559"/>
      <c r="FL27" s="559"/>
      <c r="FM27" s="559"/>
      <c r="FN27" s="559"/>
      <c r="FO27" s="559"/>
      <c r="FP27" s="559"/>
      <c r="FQ27" s="559"/>
      <c r="FR27" s="559"/>
      <c r="FS27" s="559"/>
      <c r="FT27" s="559"/>
      <c r="FU27" s="559"/>
      <c r="FV27" s="559"/>
      <c r="FW27" s="560"/>
      <c r="GA27" s="1005"/>
      <c r="GB27" s="1005"/>
      <c r="GC27" s="1005"/>
      <c r="GD27" s="1005"/>
    </row>
    <row r="28" spans="1:186" ht="21.95" hidden="1" customHeight="1" x14ac:dyDescent="0.15">
      <c r="E28" s="668">
        <v>22.5</v>
      </c>
      <c r="F28" s="769" cm="1">
        <f t="array" ref="F28">X28</f>
        <v>0</v>
      </c>
      <c r="G28" s="612" cm="1">
        <f t="array" ref="G28">INDEX('Общие сведения'!$AK$169:$AK$202,MATCH($F28,'Общие сведения'!$Z$169:$Z$202,0))</f>
        <v>0</v>
      </c>
      <c r="Q28" s="1082"/>
      <c r="R28" s="160" cm="1">
        <f t="array" ref="R28">INDEX('Общие сведения'!$AK$169:$AK$202,MATCH($F28,'Общие сведения'!$Z$169:$Z$202,0))</f>
        <v>0</v>
      </c>
      <c r="T28" s="679" t="b">
        <f>X28&gt;0</f>
        <v>0</v>
      </c>
      <c r="V28" s="123" t="s">
        <v>313</v>
      </c>
      <c r="X28" s="1485">
        <v>0</v>
      </c>
      <c r="Z28" s="1485"/>
      <c r="AB28" s="1613" t="s">
        <v>388</v>
      </c>
      <c r="AC28" s="1614"/>
      <c r="AD28" s="293" t="str">
        <f>"Тариф "&amp;F28</f>
        <v>Тариф 0</v>
      </c>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294"/>
      <c r="DJ28" s="294"/>
      <c r="DK28" s="294"/>
      <c r="DL28" s="294"/>
      <c r="DM28" s="294"/>
      <c r="DN28" s="294"/>
      <c r="DO28" s="294"/>
      <c r="DP28" s="294"/>
      <c r="DQ28" s="294"/>
      <c r="DR28" s="294"/>
      <c r="DS28" s="294"/>
      <c r="DT28" s="294"/>
      <c r="DU28" s="294"/>
      <c r="DV28" s="294"/>
      <c r="DW28" s="294"/>
      <c r="DX28" s="294"/>
      <c r="DY28" s="294"/>
      <c r="DZ28" s="294"/>
      <c r="EA28" s="294"/>
      <c r="EB28" s="294"/>
      <c r="EC28" s="294"/>
      <c r="ED28" s="294"/>
      <c r="EE28" s="294"/>
      <c r="EF28" s="294"/>
      <c r="EG28" s="294"/>
      <c r="EH28" s="294"/>
      <c r="EI28" s="294"/>
      <c r="EJ28" s="294"/>
      <c r="EK28" s="294"/>
      <c r="EL28" s="294"/>
      <c r="EM28" s="294"/>
      <c r="EN28" s="294"/>
      <c r="EO28" s="294"/>
      <c r="EP28" s="294"/>
      <c r="EQ28" s="294"/>
      <c r="ER28" s="294"/>
      <c r="ES28" s="294"/>
      <c r="ET28" s="294"/>
      <c r="EU28" s="294"/>
      <c r="EV28" s="294"/>
      <c r="EW28" s="294"/>
      <c r="EX28" s="294"/>
      <c r="EY28" s="294"/>
      <c r="EZ28" s="294"/>
      <c r="FA28" s="294"/>
      <c r="FB28" s="294"/>
      <c r="FC28" s="294"/>
      <c r="FD28" s="294"/>
      <c r="FE28" s="294"/>
      <c r="FF28" s="294"/>
      <c r="FG28" s="294"/>
      <c r="FH28" s="294"/>
      <c r="FI28" s="294"/>
      <c r="FJ28" s="294"/>
      <c r="FK28" s="294"/>
      <c r="FL28" s="294"/>
      <c r="FM28" s="294"/>
      <c r="FN28" s="294"/>
      <c r="FO28" s="294"/>
      <c r="FP28" s="294"/>
      <c r="FQ28" s="294"/>
      <c r="FR28" s="294"/>
      <c r="FS28" s="294"/>
      <c r="FT28" s="294"/>
      <c r="FU28" s="294"/>
      <c r="FV28" s="294"/>
      <c r="FW28" s="295"/>
      <c r="GA28" s="971"/>
      <c r="GB28" s="971"/>
      <c r="GC28" s="971"/>
      <c r="GD28" s="971"/>
    </row>
    <row r="29" spans="1:186" ht="15" hidden="1" customHeight="1" x14ac:dyDescent="0.15">
      <c r="E29" s="668">
        <v>0</v>
      </c>
      <c r="F29" s="769" cm="1">
        <f t="array" aca="1" ref="F29" ca="1">OFFSET(G29,-1,-1)</f>
        <v>0</v>
      </c>
      <c r="Q29" s="1082"/>
      <c r="T29" s="679" t="b">
        <v>0</v>
      </c>
      <c r="X29" s="1485"/>
      <c r="Z29" s="1485"/>
      <c r="AB29" s="1464"/>
      <c r="AC29" s="1466"/>
      <c r="AD29" s="293"/>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296"/>
      <c r="CC29" s="296"/>
      <c r="CD29" s="296"/>
      <c r="CE29" s="296"/>
      <c r="CF29" s="296"/>
      <c r="CG29" s="296"/>
      <c r="CH29" s="296"/>
      <c r="CI29" s="296"/>
      <c r="CJ29" s="296"/>
      <c r="CK29" s="296"/>
      <c r="CL29" s="296"/>
      <c r="CM29" s="296"/>
      <c r="CN29" s="296"/>
      <c r="CO29" s="296"/>
      <c r="CP29" s="296"/>
      <c r="CQ29" s="296"/>
      <c r="CR29" s="296"/>
      <c r="CS29" s="296"/>
      <c r="CT29" s="296"/>
      <c r="CU29" s="296"/>
      <c r="CV29" s="296"/>
      <c r="CW29" s="296"/>
      <c r="CX29" s="296"/>
      <c r="CY29" s="296"/>
      <c r="CZ29" s="296"/>
      <c r="DA29" s="296"/>
      <c r="DB29" s="296"/>
      <c r="DC29" s="296"/>
      <c r="DD29" s="296"/>
      <c r="DE29" s="296"/>
      <c r="DF29" s="296"/>
      <c r="DG29" s="296"/>
      <c r="DH29" s="296"/>
      <c r="DI29" s="296"/>
      <c r="DJ29" s="296"/>
      <c r="DK29" s="296"/>
      <c r="DL29" s="296"/>
      <c r="DM29" s="296"/>
      <c r="DN29" s="296"/>
      <c r="DO29" s="296"/>
      <c r="DP29" s="296"/>
      <c r="DQ29" s="296"/>
      <c r="DR29" s="296"/>
      <c r="DS29" s="296"/>
      <c r="DT29" s="296"/>
      <c r="DU29" s="296"/>
      <c r="DV29" s="296"/>
      <c r="DW29" s="296"/>
      <c r="DX29" s="296"/>
      <c r="DY29" s="296"/>
      <c r="DZ29" s="296"/>
      <c r="EA29" s="296"/>
      <c r="EB29" s="296"/>
      <c r="EC29" s="296"/>
      <c r="ED29" s="296"/>
      <c r="EE29" s="296"/>
      <c r="EF29" s="296"/>
      <c r="EG29" s="296"/>
      <c r="EH29" s="296"/>
      <c r="EI29" s="296"/>
      <c r="EJ29" s="296"/>
      <c r="EK29" s="296"/>
      <c r="EL29" s="296"/>
      <c r="EM29" s="296"/>
      <c r="EN29" s="296"/>
      <c r="EO29" s="296"/>
      <c r="EP29" s="296"/>
      <c r="EQ29" s="296"/>
      <c r="ER29" s="296"/>
      <c r="ES29" s="296"/>
      <c r="ET29" s="296"/>
      <c r="EU29" s="296"/>
      <c r="EV29" s="296"/>
      <c r="EW29" s="296"/>
      <c r="EX29" s="296"/>
      <c r="EY29" s="296"/>
      <c r="EZ29" s="296"/>
      <c r="FA29" s="296"/>
      <c r="FB29" s="296"/>
      <c r="FC29" s="296"/>
      <c r="FD29" s="296"/>
      <c r="FE29" s="296"/>
      <c r="FF29" s="296"/>
      <c r="FG29" s="296"/>
      <c r="FH29" s="296"/>
      <c r="FI29" s="296"/>
      <c r="FJ29" s="296"/>
      <c r="FK29" s="296"/>
      <c r="FL29" s="296"/>
      <c r="FM29" s="296"/>
      <c r="FN29" s="296"/>
      <c r="FO29" s="296"/>
      <c r="FP29" s="296"/>
      <c r="FQ29" s="296"/>
      <c r="FR29" s="296"/>
      <c r="FS29" s="296"/>
      <c r="FT29" s="296"/>
      <c r="FU29" s="296"/>
      <c r="FV29" s="296"/>
      <c r="FW29" s="297"/>
      <c r="GA29" s="971"/>
      <c r="GB29" s="971"/>
      <c r="GC29" s="971"/>
      <c r="GD29" s="971"/>
    </row>
    <row r="30" spans="1:186" ht="16.7" hidden="1" customHeight="1" x14ac:dyDescent="0.15">
      <c r="E30" s="668">
        <v>17.100000000000001</v>
      </c>
      <c r="F30" s="769" cm="1">
        <f t="array" aca="1" ref="F30" ca="1">OFFSET(G30,-1,-1)</f>
        <v>0</v>
      </c>
      <c r="Q30" s="1082"/>
      <c r="T30" s="679" t="b" cm="1">
        <f t="array" ref="T30">T28</f>
        <v>0</v>
      </c>
      <c r="X30" s="1485"/>
      <c r="Z30" s="1485"/>
      <c r="AB30" s="1464" t="s">
        <v>2109</v>
      </c>
      <c r="AC30" s="1466"/>
      <c r="AD30" s="293" cm="1">
        <f t="array" aca="1" ref="AD30" ca="1">INDEX('Общие сведения'!$AM$169:$AM$202,MATCH($F30,'Общие сведения'!$Z$169:$Z$202,0))</f>
        <v>0</v>
      </c>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H30" s="296"/>
      <c r="CI30" s="296"/>
      <c r="CJ30" s="296"/>
      <c r="CK30" s="296"/>
      <c r="CL30" s="296"/>
      <c r="CM30" s="296"/>
      <c r="CN30" s="296"/>
      <c r="CO30" s="296"/>
      <c r="CP30" s="296"/>
      <c r="CQ30" s="296"/>
      <c r="CR30" s="296"/>
      <c r="CS30" s="296"/>
      <c r="CT30" s="296"/>
      <c r="CU30" s="296"/>
      <c r="CV30" s="296"/>
      <c r="CW30" s="296"/>
      <c r="CX30" s="296"/>
      <c r="CY30" s="296"/>
      <c r="CZ30" s="296"/>
      <c r="DA30" s="296"/>
      <c r="DB30" s="296"/>
      <c r="DC30" s="296"/>
      <c r="DD30" s="296"/>
      <c r="DE30" s="296"/>
      <c r="DF30" s="296"/>
      <c r="DG30" s="296"/>
      <c r="DH30" s="296"/>
      <c r="DI30" s="296"/>
      <c r="DJ30" s="296"/>
      <c r="DK30" s="296"/>
      <c r="DL30" s="296"/>
      <c r="DM30" s="296"/>
      <c r="DN30" s="296"/>
      <c r="DO30" s="296"/>
      <c r="DP30" s="296"/>
      <c r="DQ30" s="296"/>
      <c r="DR30" s="296"/>
      <c r="DS30" s="296"/>
      <c r="DT30" s="296"/>
      <c r="DU30" s="296"/>
      <c r="DV30" s="296"/>
      <c r="DW30" s="296"/>
      <c r="DX30" s="296"/>
      <c r="DY30" s="296"/>
      <c r="DZ30" s="296"/>
      <c r="EA30" s="296"/>
      <c r="EB30" s="296"/>
      <c r="EC30" s="296"/>
      <c r="ED30" s="296"/>
      <c r="EE30" s="296"/>
      <c r="EF30" s="296"/>
      <c r="EG30" s="296"/>
      <c r="EH30" s="296"/>
      <c r="EI30" s="296"/>
      <c r="EJ30" s="296"/>
      <c r="EK30" s="296"/>
      <c r="EL30" s="296"/>
      <c r="EM30" s="296"/>
      <c r="EN30" s="296"/>
      <c r="EO30" s="296"/>
      <c r="EP30" s="296"/>
      <c r="EQ30" s="296"/>
      <c r="ER30" s="296"/>
      <c r="ES30" s="296"/>
      <c r="ET30" s="296"/>
      <c r="EU30" s="296"/>
      <c r="EV30" s="296"/>
      <c r="EW30" s="296"/>
      <c r="EX30" s="296"/>
      <c r="EY30" s="296"/>
      <c r="EZ30" s="296"/>
      <c r="FA30" s="296"/>
      <c r="FB30" s="296"/>
      <c r="FC30" s="296"/>
      <c r="FD30" s="296"/>
      <c r="FE30" s="296"/>
      <c r="FF30" s="296"/>
      <c r="FG30" s="296"/>
      <c r="FH30" s="296"/>
      <c r="FI30" s="296"/>
      <c r="FJ30" s="296"/>
      <c r="FK30" s="296"/>
      <c r="FL30" s="296"/>
      <c r="FM30" s="296"/>
      <c r="FN30" s="296"/>
      <c r="FO30" s="296"/>
      <c r="FP30" s="296"/>
      <c r="FQ30" s="296"/>
      <c r="FR30" s="296"/>
      <c r="FS30" s="296"/>
      <c r="FT30" s="296"/>
      <c r="FU30" s="296"/>
      <c r="FV30" s="296"/>
      <c r="FW30" s="297"/>
      <c r="GA30" s="971"/>
      <c r="GB30" s="971"/>
      <c r="GC30" s="971"/>
      <c r="GD30" s="971"/>
    </row>
    <row r="31" spans="1:186" ht="16.7" hidden="1" customHeight="1" x14ac:dyDescent="0.15">
      <c r="E31" s="668">
        <v>17.100000000000001</v>
      </c>
      <c r="F31" s="769" cm="1">
        <f t="array" aca="1" ref="F31" ca="1">OFFSET(G31,-1,-1)</f>
        <v>0</v>
      </c>
      <c r="Q31" s="1082"/>
      <c r="T31" s="679" t="b" cm="1">
        <f t="array" ref="T31">T30</f>
        <v>0</v>
      </c>
      <c r="X31" s="1485"/>
      <c r="Z31" s="1485"/>
      <c r="AB31" s="1464" t="s">
        <v>2110</v>
      </c>
      <c r="AC31" s="1466"/>
      <c r="AD31" s="293" cm="1">
        <f t="array" aca="1" ref="AD31" ca="1">INDEX('Общие сведения'!$AJ$169:$AJ$202,MATCH($F31,'Общие сведения'!$Z$169:$Z$202,0))</f>
        <v>0</v>
      </c>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H31" s="296"/>
      <c r="CI31" s="296"/>
      <c r="CJ31" s="296"/>
      <c r="CK31" s="296"/>
      <c r="CL31" s="296"/>
      <c r="CM31" s="296"/>
      <c r="CN31" s="296"/>
      <c r="CO31" s="296"/>
      <c r="CP31" s="296"/>
      <c r="CQ31" s="296"/>
      <c r="CR31" s="296"/>
      <c r="CS31" s="296"/>
      <c r="CT31" s="296"/>
      <c r="CU31" s="296"/>
      <c r="CV31" s="296"/>
      <c r="CW31" s="296"/>
      <c r="CX31" s="296"/>
      <c r="CY31" s="296"/>
      <c r="CZ31" s="296"/>
      <c r="DA31" s="296"/>
      <c r="DB31" s="296"/>
      <c r="DC31" s="296"/>
      <c r="DD31" s="296"/>
      <c r="DE31" s="296"/>
      <c r="DF31" s="296"/>
      <c r="DG31" s="296"/>
      <c r="DH31" s="296"/>
      <c r="DI31" s="296"/>
      <c r="DJ31" s="296"/>
      <c r="DK31" s="296"/>
      <c r="DL31" s="296"/>
      <c r="DM31" s="296"/>
      <c r="DN31" s="296"/>
      <c r="DO31" s="296"/>
      <c r="DP31" s="296"/>
      <c r="DQ31" s="296"/>
      <c r="DR31" s="296"/>
      <c r="DS31" s="296"/>
      <c r="DT31" s="296"/>
      <c r="DU31" s="296"/>
      <c r="DV31" s="296"/>
      <c r="DW31" s="296"/>
      <c r="DX31" s="296"/>
      <c r="DY31" s="296"/>
      <c r="DZ31" s="296"/>
      <c r="EA31" s="296"/>
      <c r="EB31" s="296"/>
      <c r="EC31" s="296"/>
      <c r="ED31" s="296"/>
      <c r="EE31" s="296"/>
      <c r="EF31" s="296"/>
      <c r="EG31" s="296"/>
      <c r="EH31" s="296"/>
      <c r="EI31" s="296"/>
      <c r="EJ31" s="296"/>
      <c r="EK31" s="296"/>
      <c r="EL31" s="296"/>
      <c r="EM31" s="296"/>
      <c r="EN31" s="296"/>
      <c r="EO31" s="296"/>
      <c r="EP31" s="296"/>
      <c r="EQ31" s="296"/>
      <c r="ER31" s="296"/>
      <c r="ES31" s="296"/>
      <c r="ET31" s="296"/>
      <c r="EU31" s="296"/>
      <c r="EV31" s="296"/>
      <c r="EW31" s="296"/>
      <c r="EX31" s="296"/>
      <c r="EY31" s="296"/>
      <c r="EZ31" s="296"/>
      <c r="FA31" s="296"/>
      <c r="FB31" s="296"/>
      <c r="FC31" s="296"/>
      <c r="FD31" s="296"/>
      <c r="FE31" s="296"/>
      <c r="FF31" s="296"/>
      <c r="FG31" s="296"/>
      <c r="FH31" s="296"/>
      <c r="FI31" s="296"/>
      <c r="FJ31" s="296"/>
      <c r="FK31" s="296"/>
      <c r="FL31" s="296"/>
      <c r="FM31" s="296"/>
      <c r="FN31" s="296"/>
      <c r="FO31" s="296"/>
      <c r="FP31" s="296"/>
      <c r="FQ31" s="296"/>
      <c r="FR31" s="296"/>
      <c r="FS31" s="296"/>
      <c r="FT31" s="296"/>
      <c r="FU31" s="296"/>
      <c r="FV31" s="296"/>
      <c r="FW31" s="297"/>
      <c r="GA31" s="971"/>
      <c r="GB31" s="971"/>
      <c r="GC31" s="971"/>
      <c r="GD31" s="971"/>
    </row>
    <row r="32" spans="1:186" ht="16.7" hidden="1" customHeight="1" x14ac:dyDescent="0.15">
      <c r="B32" s="803" t="b">
        <f>R28="одноставочный"</f>
        <v>0</v>
      </c>
      <c r="E32" s="668">
        <v>17.100000000000001</v>
      </c>
      <c r="F32" s="769" cm="1">
        <f t="array" aca="1" ref="F32" ca="1">OFFSET(G32,-1,-1)</f>
        <v>0</v>
      </c>
      <c r="Q32" s="1082"/>
      <c r="T32" s="679" t="b">
        <f ca="1">AND(F32&gt;0,G28="одноставочный")</f>
        <v>0</v>
      </c>
      <c r="X32" s="1485"/>
      <c r="Z32" s="1485"/>
      <c r="AB32" s="298" t="s">
        <v>2111</v>
      </c>
      <c r="AC32" s="299"/>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1"/>
      <c r="BK32" s="300"/>
      <c r="BL32" s="300"/>
      <c r="BM32" s="301"/>
      <c r="BN32" s="300"/>
      <c r="BO32" s="300"/>
      <c r="BP32" s="301"/>
      <c r="BQ32" s="300"/>
      <c r="BR32" s="300"/>
      <c r="BS32" s="301"/>
      <c r="BT32" s="300"/>
      <c r="BU32" s="300"/>
      <c r="BV32" s="301"/>
      <c r="BW32" s="300"/>
      <c r="BX32" s="300"/>
      <c r="BY32" s="301"/>
      <c r="BZ32" s="300"/>
      <c r="CA32" s="300"/>
      <c r="CB32" s="301"/>
      <c r="CC32" s="300"/>
      <c r="CD32" s="300"/>
      <c r="CE32" s="301"/>
      <c r="CF32" s="300"/>
      <c r="CG32" s="300"/>
      <c r="CH32" s="301"/>
      <c r="CI32" s="300"/>
      <c r="CJ32" s="300"/>
      <c r="CK32" s="301"/>
      <c r="CL32" s="300"/>
      <c r="CM32" s="300"/>
      <c r="CN32" s="301"/>
      <c r="CO32" s="300"/>
      <c r="CP32" s="300"/>
      <c r="CQ32" s="301"/>
      <c r="CR32" s="300"/>
      <c r="CS32" s="300"/>
      <c r="CT32" s="301"/>
      <c r="CU32" s="300"/>
      <c r="CV32" s="300"/>
      <c r="CW32" s="301"/>
      <c r="CX32" s="300"/>
      <c r="CY32" s="300"/>
      <c r="CZ32" s="301"/>
      <c r="DA32" s="300"/>
      <c r="DB32" s="300"/>
      <c r="DC32" s="301"/>
      <c r="DD32" s="300"/>
      <c r="DE32" s="300"/>
      <c r="DF32" s="301"/>
      <c r="DG32" s="300"/>
      <c r="DH32" s="300"/>
      <c r="DI32" s="301"/>
      <c r="DJ32" s="300"/>
      <c r="DK32" s="300"/>
      <c r="DL32" s="301"/>
      <c r="DM32" s="300"/>
      <c r="DN32" s="300"/>
      <c r="DO32" s="301"/>
      <c r="DP32" s="300"/>
      <c r="DQ32" s="300"/>
      <c r="DR32" s="301"/>
      <c r="DS32" s="300"/>
      <c r="DT32" s="300"/>
      <c r="DU32" s="301"/>
      <c r="DV32" s="300"/>
      <c r="DW32" s="300"/>
      <c r="DX32" s="301"/>
      <c r="DY32" s="300"/>
      <c r="DZ32" s="300"/>
      <c r="EA32" s="301"/>
      <c r="EB32" s="300"/>
      <c r="EC32" s="300"/>
      <c r="ED32" s="301"/>
      <c r="EE32" s="300"/>
      <c r="EF32" s="300"/>
      <c r="EG32" s="301"/>
      <c r="EH32" s="300"/>
      <c r="EI32" s="300"/>
      <c r="EJ32" s="301"/>
      <c r="EK32" s="300"/>
      <c r="EL32" s="300"/>
      <c r="EM32" s="301"/>
      <c r="EN32" s="300"/>
      <c r="EO32" s="300"/>
      <c r="EP32" s="301"/>
      <c r="EQ32" s="300"/>
      <c r="ER32" s="300"/>
      <c r="ES32" s="301"/>
      <c r="ET32" s="300"/>
      <c r="EU32" s="300"/>
      <c r="EV32" s="301"/>
      <c r="EW32" s="300"/>
      <c r="EX32" s="300"/>
      <c r="EY32" s="301"/>
      <c r="EZ32" s="300"/>
      <c r="FA32" s="300"/>
      <c r="FB32" s="301"/>
      <c r="FC32" s="300"/>
      <c r="FD32" s="300"/>
      <c r="FE32" s="301"/>
      <c r="FF32" s="300"/>
      <c r="FG32" s="300"/>
      <c r="FH32" s="301"/>
      <c r="FI32" s="300"/>
      <c r="FJ32" s="300"/>
      <c r="FK32" s="301"/>
      <c r="FL32" s="300"/>
      <c r="FM32" s="300"/>
      <c r="FN32" s="301"/>
      <c r="FO32" s="300"/>
      <c r="FP32" s="300"/>
      <c r="FQ32" s="301"/>
      <c r="FR32" s="300"/>
      <c r="FS32" s="300"/>
      <c r="FT32" s="301"/>
      <c r="FU32" s="300"/>
      <c r="FV32" s="300"/>
      <c r="FW32" s="301"/>
      <c r="GA32" s="971"/>
      <c r="GB32" s="971"/>
      <c r="GC32" s="971"/>
      <c r="GD32" s="971"/>
    </row>
    <row r="33" spans="2:186" s="302" customFormat="1" ht="16.7" hidden="1" customHeight="1" x14ac:dyDescent="0.15">
      <c r="B33" s="803" t="b" cm="1">
        <f t="array" ref="B33">B32</f>
        <v>0</v>
      </c>
      <c r="C33" s="1108" t="s">
        <v>2112</v>
      </c>
      <c r="D33" s="1077" t="s">
        <v>2113</v>
      </c>
      <c r="E33" s="668">
        <v>17.100000000000001</v>
      </c>
      <c r="F33" s="769" cm="1">
        <f t="array" aca="1" ref="F33" ca="1">OFFSET(G33,-1,-1)</f>
        <v>0</v>
      </c>
      <c r="G33" s="612" t="s">
        <v>1755</v>
      </c>
      <c r="H33" s="160" t="s">
        <v>524</v>
      </c>
      <c r="I33" s="160" t="s">
        <v>2114</v>
      </c>
      <c r="J33" s="1098" t="s">
        <v>2115</v>
      </c>
      <c r="K33" s="1098" cm="1">
        <f t="array" aca="1" ref="K33" ca="1">INDEX('Общие сведения'!$N$169:$N$202,MATCH($F33,'Общие сведения'!$Z$169:$Z$202,0)+1)</f>
        <v>0</v>
      </c>
      <c r="L33" s="1098" t="s">
        <v>2116</v>
      </c>
      <c r="M33" s="1098" t="s">
        <v>1750</v>
      </c>
      <c r="N33" s="1098" t="s">
        <v>2117</v>
      </c>
      <c r="O33" s="1099" t="s">
        <v>2118</v>
      </c>
      <c r="P33" s="1098"/>
      <c r="Q33" s="1098"/>
      <c r="T33" s="679" t="b" cm="1">
        <f t="array" aca="1" ref="T33" ca="1">T32</f>
        <v>0</v>
      </c>
      <c r="X33" s="1612"/>
      <c r="Z33" s="1612"/>
      <c r="AB33" s="1130" t="s">
        <v>2119</v>
      </c>
      <c r="AC33" s="303" t="s">
        <v>920</v>
      </c>
      <c r="AD33" s="96">
        <f ca="1">IF(method_reg="Метод экономически обоснованных расходов",SUMIFS('Калькуляция (4.6)'!AJ$25:AJ$162,'Калькуляция (4.6)'!$F$25:$F$162,$F33,'Калькуляция (4.6)'!$G$25:$G$162,$G33),IF(method_reg="Метод сравнения аналогов",SUMIFS(INDEX('Калькуляция (МСА)'!$AE$25:$BC$82,,MATCH(AD$8,'Калькуляция (МСА)'!$AE$8:$BC$8,0)),'Калькуляция (МСА)'!$F$25:$F$82,$F33,'Калькуляция (МСА)'!$G$25:$G$82,$G33),SUMIFS(INDEX('Калькуляция (5.9)'!$AJ$25:$BC$137,,MATCH(AD$8,'Калькуляция (5.9)'!$AJ$8:$BC$8,0)),'Калькуляция (5.9)'!$F$25:$F$137,$F33,'Калькуляция (5.9)'!$G$25:$G$137,$G33)))</f>
        <v>0</v>
      </c>
      <c r="AE33" s="96">
        <f ca="1">IF(method_reg="Метод экономически обоснованных расходов",SUMIFS('Калькуляция (4.6)'!AK$25:AK$162,'Калькуляция (4.6)'!$F$25:$F$162,$F33,'Калькуляция (4.6)'!$G$25:$G$162,$G33),IF(method_reg="Метод сравнения аналогов",SUMIFS(INDEX('Калькуляция (МСА)'!$AE$25:$BC$82,,MATCH(AE$8,'Калькуляция (МСА)'!$AE$8:$BC$8,0)),'Калькуляция (МСА)'!$F$25:$F$82,$F33,'Калькуляция (МСА)'!$G$25:$G$82,$G33),SUMIFS(INDEX('Калькуляция (5.9)'!$AJ$25:$BC$137,,MATCH(AE$8,'Калькуляция (5.9)'!$AJ$8:$BC$8,0)),'Калькуляция (5.9)'!$F$25:$F$137,$F33,'Калькуляция (5.9)'!$G$25:$G$137,$G33)))</f>
        <v>0</v>
      </c>
      <c r="AF33" s="304">
        <f ca="1">IF(AD33=0,0,(AE33-AD33)/AD33*100)</f>
        <v>0</v>
      </c>
      <c r="AG33" s="1349">
        <f ca="1">IF(method_reg="Метод сравнения аналогов",SUMIFS(INDEX('Калькуляция (МСА)'!$AE$25:$BC$82,,MATCH(AG$8,'Калькуляция (МСА)'!$AE$8:$BC$8,0)),'Калькуляция (МСА)'!$F$25:$F$82,$F33,'Калькуляция (МСА)'!$G$25:$G$82,$G33),SUMIFS(INDEX('Калькуляция (5.9)'!$AJ$25:$BC$137,,MATCH(AG$8,'Калькуляция (5.9)'!$AJ$8:$BC$8,0)),'Калькуляция (5.9)'!$F$25:$F$137,$F33,'Калькуляция (5.9)'!$G$25:$G$137,$G33))</f>
        <v>0</v>
      </c>
      <c r="AH33" s="1349">
        <f ca="1">IF(method_reg="Метод сравнения аналогов",SUMIFS(INDEX('Калькуляция (МСА)'!$AE$25:$BC$82,,MATCH(AH$8,'Калькуляция (МСА)'!$AE$8:$BC$8,0)),'Калькуляция (МСА)'!$F$25:$F$82,$F33,'Калькуляция (МСА)'!$G$25:$G$82,$G33),SUMIFS(INDEX('Калькуляция (5.9)'!$AJ$25:$BC$137,,MATCH(AH$8,'Калькуляция (5.9)'!$AJ$8:$BC$8,0)),'Калькуляция (5.9)'!$F$25:$F$137,$F33,'Калькуляция (5.9)'!$G$25:$G$137,$G33))</f>
        <v>0</v>
      </c>
      <c r="AI33" s="304">
        <f ca="1">IF(AG33=0,0,(AH33-AG33)/AG33*100)</f>
        <v>0</v>
      </c>
      <c r="AJ33" s="1349">
        <f ca="1">IF(method_reg="Метод сравнения аналогов",SUMIFS(INDEX('Калькуляция (МСА)'!$AE$25:$BC$82,,MATCH(AJ$8,'Калькуляция (МСА)'!$AE$8:$BC$8,0)),'Калькуляция (МСА)'!$F$25:$F$82,$F33,'Калькуляция (МСА)'!$G$25:$G$82,$G33),SUMIFS(INDEX('Калькуляция (5.9)'!$AJ$25:$BC$137,,MATCH(AJ$8,'Калькуляция (5.9)'!$AJ$8:$BC$8,0)),'Калькуляция (5.9)'!$F$25:$F$137,$F33,'Калькуляция (5.9)'!$G$25:$G$137,$G33))</f>
        <v>0</v>
      </c>
      <c r="AK33" s="1349">
        <f ca="1">IF(method_reg="Метод сравнения аналогов",SUMIFS(INDEX('Калькуляция (МСА)'!$AE$25:$BC$82,,MATCH(AK$8,'Калькуляция (МСА)'!$AE$8:$BC$8,0)),'Калькуляция (МСА)'!$F$25:$F$82,$F33,'Калькуляция (МСА)'!$G$25:$G$82,$G33),SUMIFS(INDEX('Калькуляция (5.9)'!$AJ$25:$BC$137,,MATCH(AK$8,'Калькуляция (5.9)'!$AJ$8:$BC$8,0)),'Калькуляция (5.9)'!$F$25:$F$137,$F33,'Калькуляция (5.9)'!$G$25:$G$137,$G33))</f>
        <v>0</v>
      </c>
      <c r="AL33" s="304">
        <f ca="1">IF(AJ33=0,0,(AK33-AJ33)/AJ33*100)</f>
        <v>0</v>
      </c>
      <c r="AM33" s="96">
        <f ca="1">IF(method_reg="Метод сравнения аналогов",SUMIFS(INDEX('Калькуляция (МСА)'!$AE$25:$BC$82,,MATCH(AM$8,'Калькуляция (МСА)'!$AE$8:$BC$8,0)),'Калькуляция (МСА)'!$F$25:$F$82,$F33,'Калькуляция (МСА)'!$G$25:$G$82,$G33),SUMIFS(INDEX('Калькуляция (5.9)'!$AJ$25:$BC$137,,MATCH(AM$8,'Калькуляция (5.9)'!$AJ$8:$BC$8,0)),'Калькуляция (5.9)'!$F$25:$F$137,$F33,'Калькуляция (5.9)'!$G$25:$G$137,$G33))</f>
        <v>0</v>
      </c>
      <c r="AN33" s="96">
        <f ca="1">IF(method_reg="Метод сравнения аналогов",SUMIFS(INDEX('Калькуляция (МСА)'!$AE$25:$BC$82,,MATCH(AN$8,'Калькуляция (МСА)'!$AE$8:$BC$8,0)),'Калькуляция (МСА)'!$F$25:$F$82,$F33,'Калькуляция (МСА)'!$G$25:$G$82,$G33),SUMIFS(INDEX('Калькуляция (5.9)'!$AJ$25:$BC$137,,MATCH(AN$8,'Калькуляция (5.9)'!$AJ$8:$BC$8,0)),'Калькуляция (5.9)'!$F$25:$F$137,$F33,'Калькуляция (5.9)'!$G$25:$G$137,$G33))</f>
        <v>0</v>
      </c>
      <c r="AO33" s="304">
        <f ca="1">IF(AM33=0,0,(AN33-AM33)/AM33*100)</f>
        <v>0</v>
      </c>
      <c r="AP33" s="96">
        <f ca="1">IF(method_reg="Метод сравнения аналогов",SUMIFS(INDEX('Калькуляция (МСА)'!$AE$25:$BC$82,,MATCH(AP$8,'Калькуляция (МСА)'!$AE$8:$BC$8,0)),'Калькуляция (МСА)'!$F$25:$F$82,$F33,'Калькуляция (МСА)'!$G$25:$G$82,$G33),SUMIFS(INDEX('Калькуляция (5.9)'!$AJ$25:$BC$137,,MATCH(AP$8,'Калькуляция (5.9)'!$AJ$8:$BC$8,0)),'Калькуляция (5.9)'!$F$25:$F$137,$F33,'Калькуляция (5.9)'!$G$25:$G$137,$G33))</f>
        <v>0</v>
      </c>
      <c r="AQ33" s="96">
        <f ca="1">IF(method_reg="Метод сравнения аналогов",SUMIFS(INDEX('Калькуляция (МСА)'!$AE$25:$BC$82,,MATCH(AQ$8,'Калькуляция (МСА)'!$AE$8:$BC$8,0)),'Калькуляция (МСА)'!$F$25:$F$82,$F33,'Калькуляция (МСА)'!$G$25:$G$82,$G33),SUMIFS(INDEX('Калькуляция (5.9)'!$AJ$25:$BC$137,,MATCH(AQ$8,'Калькуляция (5.9)'!$AJ$8:$BC$8,0)),'Калькуляция (5.9)'!$F$25:$F$137,$F33,'Калькуляция (5.9)'!$G$25:$G$137,$G33))</f>
        <v>0</v>
      </c>
      <c r="AR33" s="304">
        <f ca="1">IF(AP33=0,0,(AQ33-AP33)/AP33*100)</f>
        <v>0</v>
      </c>
      <c r="AS33" s="96">
        <f ca="1">IF(method_reg="Метод сравнения аналогов",SUMIFS(INDEX('Калькуляция (МСА)'!$AE$25:$BC$82,,MATCH(AS$8,'Калькуляция (МСА)'!$AE$8:$BC$8,0)),'Калькуляция (МСА)'!$F$25:$F$82,$F33,'Калькуляция (МСА)'!$G$25:$G$82,$G33),SUMIFS(INDEX('Калькуляция (5.9)'!$AJ$25:$BC$137,,MATCH(AS$8,'Калькуляция (5.9)'!$AJ$8:$BC$8,0)),'Калькуляция (5.9)'!$F$25:$F$137,$F33,'Калькуляция (5.9)'!$G$25:$G$137,$G33))</f>
        <v>0</v>
      </c>
      <c r="AT33" s="96">
        <f ca="1">IF(method_reg="Метод сравнения аналогов",SUMIFS(INDEX('Калькуляция (МСА)'!$AE$25:$BC$82,,MATCH(AT$8,'Калькуляция (МСА)'!$AE$8:$BC$8,0)),'Калькуляция (МСА)'!$F$25:$F$82,$F33,'Калькуляция (МСА)'!$G$25:$G$82,$G33),SUMIFS(INDEX('Калькуляция (5.9)'!$AJ$25:$BC$137,,MATCH(AT$8,'Калькуляция (5.9)'!$AJ$8:$BC$8,0)),'Калькуляция (5.9)'!$F$25:$F$137,$F33,'Калькуляция (5.9)'!$G$25:$G$137,$G33))</f>
        <v>0</v>
      </c>
      <c r="AU33" s="304">
        <f ca="1">IF(AS33=0,0,(AT33-AS33)/AS33*100)</f>
        <v>0</v>
      </c>
      <c r="AV33" s="96">
        <f ca="1">IF(method_reg="Метод сравнения аналогов",SUMIFS(INDEX('Калькуляция (МСА)'!$AE$25:$BC$82,,MATCH(AV$8,'Калькуляция (МСА)'!$AE$8:$BC$8,0)),'Калькуляция (МСА)'!$F$25:$F$82,$F33,'Калькуляция (МСА)'!$G$25:$G$82,$G33),SUMIFS(INDEX('Калькуляция (5.9)'!$AJ$25:$BC$137,,MATCH(AV$8,'Калькуляция (5.9)'!$AJ$8:$BC$8,0)),'Калькуляция (5.9)'!$F$25:$F$137,$F33,'Калькуляция (5.9)'!$G$25:$G$137,$G33))</f>
        <v>0</v>
      </c>
      <c r="AW33" s="96">
        <f ca="1">IF(method_reg="Метод сравнения аналогов",SUMIFS(INDEX('Калькуляция (МСА)'!$AE$25:$BC$82,,MATCH(AW$8,'Калькуляция (МСА)'!$AE$8:$BC$8,0)),'Калькуляция (МСА)'!$F$25:$F$82,$F33,'Калькуляция (МСА)'!$G$25:$G$82,$G33),SUMIFS(INDEX('Калькуляция (5.9)'!$AJ$25:$BC$137,,MATCH(AW$8,'Калькуляция (5.9)'!$AJ$8:$BC$8,0)),'Калькуляция (5.9)'!$F$25:$F$137,$F33,'Калькуляция (5.9)'!$G$25:$G$137,$G33))</f>
        <v>0</v>
      </c>
      <c r="AX33" s="304">
        <f ca="1">IF(AV33=0,0,(AW33-AV33)/AV33*100)</f>
        <v>0</v>
      </c>
      <c r="AY33" s="96">
        <f ca="1">IF(method_reg="Метод сравнения аналогов",SUMIFS(INDEX('Калькуляция (МСА)'!$AE$25:$BC$82,,MATCH(AY$8,'Калькуляция (МСА)'!$AE$8:$BC$8,0)),'Калькуляция (МСА)'!$F$25:$F$82,$F33,'Калькуляция (МСА)'!$G$25:$G$82,$G33),SUMIFS(INDEX('Калькуляция (5.9)'!$AJ$25:$BC$137,,MATCH(AY$8,'Калькуляция (5.9)'!$AJ$8:$BC$8,0)),'Калькуляция (5.9)'!$F$25:$F$137,$F33,'Калькуляция (5.9)'!$G$25:$G$137,$G33))</f>
        <v>0</v>
      </c>
      <c r="AZ33" s="96">
        <f ca="1">IF(method_reg="Метод сравнения аналогов",SUMIFS(INDEX('Калькуляция (МСА)'!$AE$25:$BC$82,,MATCH(AZ$8,'Калькуляция (МСА)'!$AE$8:$BC$8,0)),'Калькуляция (МСА)'!$F$25:$F$82,$F33,'Калькуляция (МСА)'!$G$25:$G$82,$G33),SUMIFS(INDEX('Калькуляция (5.9)'!$AJ$25:$BC$137,,MATCH(AZ$8,'Калькуляция (5.9)'!$AJ$8:$BC$8,0)),'Калькуляция (5.9)'!$F$25:$F$137,$F33,'Калькуляция (5.9)'!$G$25:$G$137,$G33))</f>
        <v>0</v>
      </c>
      <c r="BA33" s="304">
        <f ca="1">IF(AY33=0,0,(AZ33-AY33)/AY33*100)</f>
        <v>0</v>
      </c>
      <c r="BB33" s="96">
        <f ca="1">IF(method_reg="Метод сравнения аналогов",SUMIFS(INDEX('Калькуляция (МСА)'!$AE$25:$BC$82,,MATCH(BB$8,'Калькуляция (МСА)'!$AE$8:$BC$8,0)),'Калькуляция (МСА)'!$F$25:$F$82,$F33,'Калькуляция (МСА)'!$G$25:$G$82,$G33),SUMIFS(INDEX('Калькуляция (5.9)'!$AJ$25:$BC$137,,MATCH(BB$8,'Калькуляция (5.9)'!$AJ$8:$BC$8,0)),'Калькуляция (5.9)'!$F$25:$F$137,$F33,'Калькуляция (5.9)'!$G$25:$G$137,$G33))</f>
        <v>0</v>
      </c>
      <c r="BC33" s="96">
        <f ca="1">IF(method_reg="Метод сравнения аналогов",SUMIFS(INDEX('Калькуляция (МСА)'!$AE$25:$BC$82,,MATCH(BC$8,'Калькуляция (МСА)'!$AE$8:$BC$8,0)),'Калькуляция (МСА)'!$F$25:$F$82,$F33,'Калькуляция (МСА)'!$G$25:$G$82,$G33),SUMIFS(INDEX('Калькуляция (5.9)'!$AJ$25:$BC$137,,MATCH(BC$8,'Калькуляция (5.9)'!$AJ$8:$BC$8,0)),'Калькуляция (5.9)'!$F$25:$F$137,$F33,'Калькуляция (5.9)'!$G$25:$G$137,$G33))</f>
        <v>0</v>
      </c>
      <c r="BD33" s="304">
        <f ca="1">IF(BB33=0,0,(BC33-BB33)/BB33*100)</f>
        <v>0</v>
      </c>
      <c r="BE33" s="96">
        <f ca="1">IF(method_reg="Метод сравнения аналогов",SUMIFS(INDEX('Калькуляция (МСА)'!$AE$25:$BC$82,,MATCH(BE$8,'Калькуляция (МСА)'!$AE$8:$BC$8,0)),'Калькуляция (МСА)'!$F$25:$F$82,$F33,'Калькуляция (МСА)'!$G$25:$G$82,$G33),SUMIFS(INDEX('Калькуляция (5.9)'!$AJ$25:$BC$137,,MATCH(BE$8,'Калькуляция (5.9)'!$AJ$8:$BC$8,0)),'Калькуляция (5.9)'!$F$25:$F$137,$F33,'Калькуляция (5.9)'!$G$25:$G$137,$G33))</f>
        <v>0</v>
      </c>
      <c r="BF33" s="96">
        <f ca="1">IF(method_reg="Метод сравнения аналогов",SUMIFS(INDEX('Калькуляция (МСА)'!$AE$25:$BC$82,,MATCH(BF$8,'Калькуляция (МСА)'!$AE$8:$BC$8,0)),'Калькуляция (МСА)'!$F$25:$F$82,$F33,'Калькуляция (МСА)'!$G$25:$G$82,$G33),SUMIFS(INDEX('Калькуляция (5.9)'!$AJ$25:$BC$137,,MATCH(BF$8,'Калькуляция (5.9)'!$AJ$8:$BC$8,0)),'Калькуляция (5.9)'!$F$25:$F$137,$F33,'Калькуляция (5.9)'!$G$25:$G$137,$G33))</f>
        <v>0</v>
      </c>
      <c r="BG33" s="304">
        <f ca="1">IF(BE33=0,0,(BF33-BE33)/BE33*100)</f>
        <v>0</v>
      </c>
      <c r="BH33" s="96"/>
      <c r="BI33" s="96"/>
      <c r="BJ33" s="304">
        <f>IF(BH33=0,0,(BI33-BH33)/BH33*100)</f>
        <v>0</v>
      </c>
      <c r="BK33" s="96"/>
      <c r="BL33" s="96"/>
      <c r="BM33" s="304">
        <f>IF(BK33=0,0,(BL33-BK33)/BK33*100)</f>
        <v>0</v>
      </c>
      <c r="BN33" s="96"/>
      <c r="BO33" s="96"/>
      <c r="BP33" s="304">
        <f>IF(BN33=0,0,(BO33-BN33)/BN33*100)</f>
        <v>0</v>
      </c>
      <c r="BQ33" s="96"/>
      <c r="BR33" s="96"/>
      <c r="BS33" s="304">
        <f>IF(BQ33=0,0,(BR33-BQ33)/BQ33*100)</f>
        <v>0</v>
      </c>
      <c r="BT33" s="96"/>
      <c r="BU33" s="96"/>
      <c r="BV33" s="304">
        <f>IF(BT33=0,0,(BU33-BT33)/BT33*100)</f>
        <v>0</v>
      </c>
      <c r="BW33" s="96"/>
      <c r="BX33" s="96"/>
      <c r="BY33" s="304">
        <f>IF(BW33=0,0,(BX33-BW33)/BW33*100)</f>
        <v>0</v>
      </c>
      <c r="BZ33" s="96"/>
      <c r="CA33" s="96"/>
      <c r="CB33" s="304">
        <f>IF(BZ33=0,0,(CA33-BZ33)/BZ33*100)</f>
        <v>0</v>
      </c>
      <c r="CC33" s="96"/>
      <c r="CD33" s="96"/>
      <c r="CE33" s="304">
        <f>IF(CC33=0,0,(CD33-CC33)/CC33*100)</f>
        <v>0</v>
      </c>
      <c r="CF33" s="96"/>
      <c r="CG33" s="96"/>
      <c r="CH33" s="304">
        <f>IF(CF33=0,0,(CG33-CF33)/CF33*100)</f>
        <v>0</v>
      </c>
      <c r="CI33" s="96"/>
      <c r="CJ33" s="96"/>
      <c r="CK33" s="304">
        <f>IF(CI33=0,0,(CJ33-CI33)/CI33*100)</f>
        <v>0</v>
      </c>
      <c r="CL33" s="96"/>
      <c r="CM33" s="96"/>
      <c r="CN33" s="304">
        <f>IF(CL33=0,0,(CM33-CL33)/CL33*100)</f>
        <v>0</v>
      </c>
      <c r="CO33" s="96"/>
      <c r="CP33" s="96"/>
      <c r="CQ33" s="304">
        <f>IF(CO33=0,0,(CP33-CO33)/CO33*100)</f>
        <v>0</v>
      </c>
      <c r="CR33" s="96"/>
      <c r="CS33" s="96"/>
      <c r="CT33" s="304">
        <f>IF(CR33=0,0,(CS33-CR33)/CR33*100)</f>
        <v>0</v>
      </c>
      <c r="CU33" s="96"/>
      <c r="CV33" s="96"/>
      <c r="CW33" s="304">
        <f>IF(CU33=0,0,(CV33-CU33)/CU33*100)</f>
        <v>0</v>
      </c>
      <c r="CX33" s="96"/>
      <c r="CY33" s="96"/>
      <c r="CZ33" s="304">
        <f>IF(CX33=0,0,(CY33-CX33)/CX33*100)</f>
        <v>0</v>
      </c>
      <c r="DA33" s="96"/>
      <c r="DB33" s="96"/>
      <c r="DC33" s="304">
        <f>IF(DA33=0,0,(DB33-DA33)/DA33*100)</f>
        <v>0</v>
      </c>
      <c r="DD33" s="96"/>
      <c r="DE33" s="96"/>
      <c r="DF33" s="304">
        <f>IF(DD33=0,0,(DE33-DD33)/DD33*100)</f>
        <v>0</v>
      </c>
      <c r="DG33" s="96"/>
      <c r="DH33" s="96"/>
      <c r="DI33" s="304">
        <f>IF(DG33=0,0,(DH33-DG33)/DG33*100)</f>
        <v>0</v>
      </c>
      <c r="DJ33" s="96"/>
      <c r="DK33" s="96"/>
      <c r="DL33" s="304">
        <f>IF(DJ33=0,0,(DK33-DJ33)/DJ33*100)</f>
        <v>0</v>
      </c>
      <c r="DM33" s="96"/>
      <c r="DN33" s="96"/>
      <c r="DO33" s="304">
        <f>IF(DM33=0,0,(DN33-DM33)/DM33*100)</f>
        <v>0</v>
      </c>
      <c r="DP33" s="96"/>
      <c r="DQ33" s="96"/>
      <c r="DR33" s="304">
        <f>IF(DP33=0,0,(DQ33-DP33)/DP33*100)</f>
        <v>0</v>
      </c>
      <c r="DS33" s="96"/>
      <c r="DT33" s="96"/>
      <c r="DU33" s="304">
        <f>IF(DS33=0,0,(DT33-DS33)/DS33*100)</f>
        <v>0</v>
      </c>
      <c r="DV33" s="96"/>
      <c r="DW33" s="96"/>
      <c r="DX33" s="304">
        <f>IF(DV33=0,0,(DW33-DV33)/DV33*100)</f>
        <v>0</v>
      </c>
      <c r="DY33" s="96"/>
      <c r="DZ33" s="96"/>
      <c r="EA33" s="304">
        <f>IF(DY33=0,0,(DZ33-DY33)/DY33*100)</f>
        <v>0</v>
      </c>
      <c r="EB33" s="96"/>
      <c r="EC33" s="96"/>
      <c r="ED33" s="304">
        <f>IF(EB33=0,0,(EC33-EB33)/EB33*100)</f>
        <v>0</v>
      </c>
      <c r="EE33" s="96"/>
      <c r="EF33" s="96"/>
      <c r="EG33" s="304">
        <f>IF(EE33=0,0,(EF33-EE33)/EE33*100)</f>
        <v>0</v>
      </c>
      <c r="EH33" s="96"/>
      <c r="EI33" s="96"/>
      <c r="EJ33" s="304">
        <f>IF(EH33=0,0,(EI33-EH33)/EH33*100)</f>
        <v>0</v>
      </c>
      <c r="EK33" s="96"/>
      <c r="EL33" s="96"/>
      <c r="EM33" s="304">
        <f>IF(EK33=0,0,(EL33-EK33)/EK33*100)</f>
        <v>0</v>
      </c>
      <c r="EN33" s="96"/>
      <c r="EO33" s="96"/>
      <c r="EP33" s="304">
        <f>IF(EN33=0,0,(EO33-EN33)/EN33*100)</f>
        <v>0</v>
      </c>
      <c r="EQ33" s="96"/>
      <c r="ER33" s="96"/>
      <c r="ES33" s="304">
        <f>IF(EQ33=0,0,(ER33-EQ33)/EQ33*100)</f>
        <v>0</v>
      </c>
      <c r="ET33" s="96"/>
      <c r="EU33" s="96"/>
      <c r="EV33" s="304">
        <f>IF(ET33=0,0,(EU33-ET33)/ET33*100)</f>
        <v>0</v>
      </c>
      <c r="EW33" s="96"/>
      <c r="EX33" s="96"/>
      <c r="EY33" s="304">
        <f>IF(EW33=0,0,(EX33-EW33)/EW33*100)</f>
        <v>0</v>
      </c>
      <c r="EZ33" s="96"/>
      <c r="FA33" s="96"/>
      <c r="FB33" s="304">
        <f>IF(EZ33=0,0,(FA33-EZ33)/EZ33*100)</f>
        <v>0</v>
      </c>
      <c r="FC33" s="96"/>
      <c r="FD33" s="96"/>
      <c r="FE33" s="304">
        <f>IF(FC33=0,0,(FD33-FC33)/FC33*100)</f>
        <v>0</v>
      </c>
      <c r="FF33" s="96"/>
      <c r="FG33" s="96"/>
      <c r="FH33" s="304">
        <f>IF(FF33=0,0,(FG33-FF33)/FF33*100)</f>
        <v>0</v>
      </c>
      <c r="FI33" s="96"/>
      <c r="FJ33" s="96"/>
      <c r="FK33" s="304">
        <f>IF(FI33=0,0,(FJ33-FI33)/FI33*100)</f>
        <v>0</v>
      </c>
      <c r="FL33" s="96"/>
      <c r="FM33" s="96"/>
      <c r="FN33" s="304">
        <f>IF(FL33=0,0,(FM33-FL33)/FL33*100)</f>
        <v>0</v>
      </c>
      <c r="FO33" s="96"/>
      <c r="FP33" s="96"/>
      <c r="FQ33" s="304">
        <f>IF(FO33=0,0,(FP33-FO33)/FO33*100)</f>
        <v>0</v>
      </c>
      <c r="FR33" s="96"/>
      <c r="FS33" s="96"/>
      <c r="FT33" s="304">
        <f>IF(FR33=0,0,(FS33-FR33)/FR33*100)</f>
        <v>0</v>
      </c>
      <c r="FU33" s="96"/>
      <c r="FV33" s="96"/>
      <c r="FW33" s="304">
        <f>IF(FU33=0,0,(FV33-FU33)/FU33*100)</f>
        <v>0</v>
      </c>
      <c r="FZ33" s="971" t="s">
        <v>2120</v>
      </c>
      <c r="GA33" s="971"/>
      <c r="GB33" s="971"/>
      <c r="GC33" s="971"/>
      <c r="GD33" s="971"/>
    </row>
    <row r="34" spans="2:186" s="302" customFormat="1" ht="16.7" hidden="1" customHeight="1" x14ac:dyDescent="0.15">
      <c r="B34" s="803" t="b" cm="1">
        <f t="array" ref="B34">B33</f>
        <v>0</v>
      </c>
      <c r="C34" s="1108" t="s">
        <v>2112</v>
      </c>
      <c r="D34" s="1077" t="s">
        <v>2113</v>
      </c>
      <c r="E34" s="668">
        <v>17.100000000000001</v>
      </c>
      <c r="F34" s="769" cm="1">
        <f t="array" aca="1" ref="F34" ca="1">OFFSET(G34,-1,-1)</f>
        <v>0</v>
      </c>
      <c r="G34" s="612" t="s">
        <v>1762</v>
      </c>
      <c r="H34" s="160" t="s">
        <v>524</v>
      </c>
      <c r="I34" s="160" t="s">
        <v>2121</v>
      </c>
      <c r="J34" s="1098" t="s">
        <v>2115</v>
      </c>
      <c r="K34" s="1098" cm="1">
        <f t="array" aca="1" ref="K34" ca="1">OFFSET(J34,-1,1)</f>
        <v>0</v>
      </c>
      <c r="L34" s="1098" t="s">
        <v>2116</v>
      </c>
      <c r="M34" s="1098" t="s">
        <v>1759</v>
      </c>
      <c r="N34" s="1098" t="s">
        <v>2117</v>
      </c>
      <c r="O34" s="1099" t="s">
        <v>2118</v>
      </c>
      <c r="P34" s="1098"/>
      <c r="Q34" s="1098"/>
      <c r="T34" s="679" t="b" cm="1">
        <f t="array" aca="1" ref="T34" ca="1">T33</f>
        <v>0</v>
      </c>
      <c r="X34" s="1612"/>
      <c r="Z34" s="1612"/>
      <c r="AB34" s="1130" t="s">
        <v>2122</v>
      </c>
      <c r="AC34" s="303" t="s">
        <v>920</v>
      </c>
      <c r="AD34" s="96">
        <f ca="1">IF(method_reg="Метод экономически обоснованных расходов",SUMIFS('Калькуляция (4.6)'!AJ$25:AJ$162,'Калькуляция (4.6)'!$F$25:$F$162,$F34,'Калькуляция (4.6)'!$G$25:$G$162,$G34),IF(method_reg="Метод сравнения аналогов",SUMIFS(INDEX('Калькуляция (МСА)'!$AE$25:$BC$82,,MATCH(AD$8,'Калькуляция (МСА)'!$AE$8:$BC$8,0)),'Калькуляция (МСА)'!$F$25:$F$82,$F34,'Калькуляция (МСА)'!$G$25:$G$82,$G34),SUMIFS(INDEX('Калькуляция (5.9)'!$AJ$25:$BC$137,,MATCH(AD$8,'Калькуляция (5.9)'!$AJ$8:$BC$8,0)),'Калькуляция (5.9)'!$F$25:$F$137,$F34,'Калькуляция (5.9)'!$G$25:$G$137,$G34)))</f>
        <v>0</v>
      </c>
      <c r="AE34" s="96">
        <f ca="1">IF(method_reg="Метод экономически обоснованных расходов",SUMIFS('Калькуляция (4.6)'!AK$25:AK$162,'Калькуляция (4.6)'!$F$25:$F$162,$F34,'Калькуляция (4.6)'!$G$25:$G$162,$G34),IF(method_reg="Метод сравнения аналогов",SUMIFS(INDEX('Калькуляция (МСА)'!$AE$25:$BC$82,,MATCH(AE$8,'Калькуляция (МСА)'!$AE$8:$BC$8,0)),'Калькуляция (МСА)'!$F$25:$F$82,$F34,'Калькуляция (МСА)'!$G$25:$G$82,$G34),SUMIFS(INDEX('Калькуляция (5.9)'!$AJ$25:$BC$137,,MATCH(AE$8,'Калькуляция (5.9)'!$AJ$8:$BC$8,0)),'Калькуляция (5.9)'!$F$25:$F$137,$F34,'Калькуляция (5.9)'!$G$25:$G$137,$G34)))</f>
        <v>0</v>
      </c>
      <c r="AF34" s="304">
        <f ca="1">IF(AD34=0,0,(AE34-AD34)/AD34*100)</f>
        <v>0</v>
      </c>
      <c r="AG34" s="1349">
        <f ca="1">IF(method_reg="Метод сравнения аналогов",SUMIFS(INDEX('Калькуляция (МСА)'!$AE$25:$BC$82,,MATCH(AG$8,'Калькуляция (МСА)'!$AE$8:$BC$8,0)),'Калькуляция (МСА)'!$F$25:$F$82,$F34,'Калькуляция (МСА)'!$G$25:$G$82,$G34),SUMIFS(INDEX('Калькуляция (5.9)'!$AJ$25:$BC$137,,MATCH(AG$8,'Калькуляция (5.9)'!$AJ$8:$BC$8,0)),'Калькуляция (5.9)'!$F$25:$F$137,$F34,'Калькуляция (5.9)'!$G$25:$G$137,$G34))</f>
        <v>0</v>
      </c>
      <c r="AH34" s="1349">
        <f ca="1">IF(method_reg="Метод сравнения аналогов",SUMIFS(INDEX('Калькуляция (МСА)'!$AE$25:$BC$82,,MATCH(AH$8,'Калькуляция (МСА)'!$AE$8:$BC$8,0)),'Калькуляция (МСА)'!$F$25:$F$82,$F34,'Калькуляция (МСА)'!$G$25:$G$82,$G34),SUMIFS(INDEX('Калькуляция (5.9)'!$AJ$25:$BC$137,,MATCH(AH$8,'Калькуляция (5.9)'!$AJ$8:$BC$8,0)),'Калькуляция (5.9)'!$F$25:$F$137,$F34,'Калькуляция (5.9)'!$G$25:$G$137,$G34))</f>
        <v>0</v>
      </c>
      <c r="AI34" s="304">
        <f ca="1">IF(AG34=0,0,(AH34-AG34)/AG34*100)</f>
        <v>0</v>
      </c>
      <c r="AJ34" s="1349">
        <f ca="1">IF(method_reg="Метод сравнения аналогов",SUMIFS(INDEX('Калькуляция (МСА)'!$AE$25:$BC$82,,MATCH(AJ$8,'Калькуляция (МСА)'!$AE$8:$BC$8,0)),'Калькуляция (МСА)'!$F$25:$F$82,$F34,'Калькуляция (МСА)'!$G$25:$G$82,$G34),SUMIFS(INDEX('Калькуляция (5.9)'!$AJ$25:$BC$137,,MATCH(AJ$8,'Калькуляция (5.9)'!$AJ$8:$BC$8,0)),'Калькуляция (5.9)'!$F$25:$F$137,$F34,'Калькуляция (5.9)'!$G$25:$G$137,$G34))</f>
        <v>0</v>
      </c>
      <c r="AK34" s="1349">
        <f ca="1">IF(method_reg="Метод сравнения аналогов",SUMIFS(INDEX('Калькуляция (МСА)'!$AE$25:$BC$82,,MATCH(AK$8,'Калькуляция (МСА)'!$AE$8:$BC$8,0)),'Калькуляция (МСА)'!$F$25:$F$82,$F34,'Калькуляция (МСА)'!$G$25:$G$82,$G34),SUMIFS(INDEX('Калькуляция (5.9)'!$AJ$25:$BC$137,,MATCH(AK$8,'Калькуляция (5.9)'!$AJ$8:$BC$8,0)),'Калькуляция (5.9)'!$F$25:$F$137,$F34,'Калькуляция (5.9)'!$G$25:$G$137,$G34))</f>
        <v>0</v>
      </c>
      <c r="AL34" s="304">
        <f ca="1">IF(AJ34=0,0,(AK34-AJ34)/AJ34*100)</f>
        <v>0</v>
      </c>
      <c r="AM34" s="96">
        <f ca="1">IF(method_reg="Метод сравнения аналогов",SUMIFS(INDEX('Калькуляция (МСА)'!$AE$25:$BC$82,,MATCH(AM$8,'Калькуляция (МСА)'!$AE$8:$BC$8,0)),'Калькуляция (МСА)'!$F$25:$F$82,$F34,'Калькуляция (МСА)'!$G$25:$G$82,$G34),SUMIFS(INDEX('Калькуляция (5.9)'!$AJ$25:$BC$137,,MATCH(AM$8,'Калькуляция (5.9)'!$AJ$8:$BC$8,0)),'Калькуляция (5.9)'!$F$25:$F$137,$F34,'Калькуляция (5.9)'!$G$25:$G$137,$G34))</f>
        <v>0</v>
      </c>
      <c r="AN34" s="96">
        <f ca="1">IF(method_reg="Метод сравнения аналогов",SUMIFS(INDEX('Калькуляция (МСА)'!$AE$25:$BC$82,,MATCH(AN$8,'Калькуляция (МСА)'!$AE$8:$BC$8,0)),'Калькуляция (МСА)'!$F$25:$F$82,$F34,'Калькуляция (МСА)'!$G$25:$G$82,$G34),SUMIFS(INDEX('Калькуляция (5.9)'!$AJ$25:$BC$137,,MATCH(AN$8,'Калькуляция (5.9)'!$AJ$8:$BC$8,0)),'Калькуляция (5.9)'!$F$25:$F$137,$F34,'Калькуляция (5.9)'!$G$25:$G$137,$G34))</f>
        <v>0</v>
      </c>
      <c r="AO34" s="304">
        <f ca="1">IF(AM34=0,0,(AN34-AM34)/AM34*100)</f>
        <v>0</v>
      </c>
      <c r="AP34" s="96">
        <f ca="1">IF(method_reg="Метод сравнения аналогов",SUMIFS(INDEX('Калькуляция (МСА)'!$AE$25:$BC$82,,MATCH(AP$8,'Калькуляция (МСА)'!$AE$8:$BC$8,0)),'Калькуляция (МСА)'!$F$25:$F$82,$F34,'Калькуляция (МСА)'!$G$25:$G$82,$G34),SUMIFS(INDEX('Калькуляция (5.9)'!$AJ$25:$BC$137,,MATCH(AP$8,'Калькуляция (5.9)'!$AJ$8:$BC$8,0)),'Калькуляция (5.9)'!$F$25:$F$137,$F34,'Калькуляция (5.9)'!$G$25:$G$137,$G34))</f>
        <v>0</v>
      </c>
      <c r="AQ34" s="96">
        <f ca="1">IF(method_reg="Метод сравнения аналогов",SUMIFS(INDEX('Калькуляция (МСА)'!$AE$25:$BC$82,,MATCH(AQ$8,'Калькуляция (МСА)'!$AE$8:$BC$8,0)),'Калькуляция (МСА)'!$F$25:$F$82,$F34,'Калькуляция (МСА)'!$G$25:$G$82,$G34),SUMIFS(INDEX('Калькуляция (5.9)'!$AJ$25:$BC$137,,MATCH(AQ$8,'Калькуляция (5.9)'!$AJ$8:$BC$8,0)),'Калькуляция (5.9)'!$F$25:$F$137,$F34,'Калькуляция (5.9)'!$G$25:$G$137,$G34))</f>
        <v>0</v>
      </c>
      <c r="AR34" s="304">
        <f ca="1">IF(AP34=0,0,(AQ34-AP34)/AP34*100)</f>
        <v>0</v>
      </c>
      <c r="AS34" s="96">
        <f ca="1">IF(method_reg="Метод сравнения аналогов",SUMIFS(INDEX('Калькуляция (МСА)'!$AE$25:$BC$82,,MATCH(AS$8,'Калькуляция (МСА)'!$AE$8:$BC$8,0)),'Калькуляция (МСА)'!$F$25:$F$82,$F34,'Калькуляция (МСА)'!$G$25:$G$82,$G34),SUMIFS(INDEX('Калькуляция (5.9)'!$AJ$25:$BC$137,,MATCH(AS$8,'Калькуляция (5.9)'!$AJ$8:$BC$8,0)),'Калькуляция (5.9)'!$F$25:$F$137,$F34,'Калькуляция (5.9)'!$G$25:$G$137,$G34))</f>
        <v>0</v>
      </c>
      <c r="AT34" s="96">
        <f ca="1">IF(method_reg="Метод сравнения аналогов",SUMIFS(INDEX('Калькуляция (МСА)'!$AE$25:$BC$82,,MATCH(AT$8,'Калькуляция (МСА)'!$AE$8:$BC$8,0)),'Калькуляция (МСА)'!$F$25:$F$82,$F34,'Калькуляция (МСА)'!$G$25:$G$82,$G34),SUMIFS(INDEX('Калькуляция (5.9)'!$AJ$25:$BC$137,,MATCH(AT$8,'Калькуляция (5.9)'!$AJ$8:$BC$8,0)),'Калькуляция (5.9)'!$F$25:$F$137,$F34,'Калькуляция (5.9)'!$G$25:$G$137,$G34))</f>
        <v>0</v>
      </c>
      <c r="AU34" s="304">
        <f ca="1">IF(AS34=0,0,(AT34-AS34)/AS34*100)</f>
        <v>0</v>
      </c>
      <c r="AV34" s="96">
        <f ca="1">IF(method_reg="Метод сравнения аналогов",SUMIFS(INDEX('Калькуляция (МСА)'!$AE$25:$BC$82,,MATCH(AV$8,'Калькуляция (МСА)'!$AE$8:$BC$8,0)),'Калькуляция (МСА)'!$F$25:$F$82,$F34,'Калькуляция (МСА)'!$G$25:$G$82,$G34),SUMIFS(INDEX('Калькуляция (5.9)'!$AJ$25:$BC$137,,MATCH(AV$8,'Калькуляция (5.9)'!$AJ$8:$BC$8,0)),'Калькуляция (5.9)'!$F$25:$F$137,$F34,'Калькуляция (5.9)'!$G$25:$G$137,$G34))</f>
        <v>0</v>
      </c>
      <c r="AW34" s="96">
        <f ca="1">IF(method_reg="Метод сравнения аналогов",SUMIFS(INDEX('Калькуляция (МСА)'!$AE$25:$BC$82,,MATCH(AW$8,'Калькуляция (МСА)'!$AE$8:$BC$8,0)),'Калькуляция (МСА)'!$F$25:$F$82,$F34,'Калькуляция (МСА)'!$G$25:$G$82,$G34),SUMIFS(INDEX('Калькуляция (5.9)'!$AJ$25:$BC$137,,MATCH(AW$8,'Калькуляция (5.9)'!$AJ$8:$BC$8,0)),'Калькуляция (5.9)'!$F$25:$F$137,$F34,'Калькуляция (5.9)'!$G$25:$G$137,$G34))</f>
        <v>0</v>
      </c>
      <c r="AX34" s="304">
        <f ca="1">IF(AV34=0,0,(AW34-AV34)/AV34*100)</f>
        <v>0</v>
      </c>
      <c r="AY34" s="96">
        <f ca="1">IF(method_reg="Метод сравнения аналогов",SUMIFS(INDEX('Калькуляция (МСА)'!$AE$25:$BC$82,,MATCH(AY$8,'Калькуляция (МСА)'!$AE$8:$BC$8,0)),'Калькуляция (МСА)'!$F$25:$F$82,$F34,'Калькуляция (МСА)'!$G$25:$G$82,$G34),SUMIFS(INDEX('Калькуляция (5.9)'!$AJ$25:$BC$137,,MATCH(AY$8,'Калькуляция (5.9)'!$AJ$8:$BC$8,0)),'Калькуляция (5.9)'!$F$25:$F$137,$F34,'Калькуляция (5.9)'!$G$25:$G$137,$G34))</f>
        <v>0</v>
      </c>
      <c r="AZ34" s="96">
        <f ca="1">IF(method_reg="Метод сравнения аналогов",SUMIFS(INDEX('Калькуляция (МСА)'!$AE$25:$BC$82,,MATCH(AZ$8,'Калькуляция (МСА)'!$AE$8:$BC$8,0)),'Калькуляция (МСА)'!$F$25:$F$82,$F34,'Калькуляция (МСА)'!$G$25:$G$82,$G34),SUMIFS(INDEX('Калькуляция (5.9)'!$AJ$25:$BC$137,,MATCH(AZ$8,'Калькуляция (5.9)'!$AJ$8:$BC$8,0)),'Калькуляция (5.9)'!$F$25:$F$137,$F34,'Калькуляция (5.9)'!$G$25:$G$137,$G34))</f>
        <v>0</v>
      </c>
      <c r="BA34" s="304">
        <f ca="1">IF(AY34=0,0,(AZ34-AY34)/AY34*100)</f>
        <v>0</v>
      </c>
      <c r="BB34" s="96">
        <f ca="1">IF(method_reg="Метод сравнения аналогов",SUMIFS(INDEX('Калькуляция (МСА)'!$AE$25:$BC$82,,MATCH(BB$8,'Калькуляция (МСА)'!$AE$8:$BC$8,0)),'Калькуляция (МСА)'!$F$25:$F$82,$F34,'Калькуляция (МСА)'!$G$25:$G$82,$G34),SUMIFS(INDEX('Калькуляция (5.9)'!$AJ$25:$BC$137,,MATCH(BB$8,'Калькуляция (5.9)'!$AJ$8:$BC$8,0)),'Калькуляция (5.9)'!$F$25:$F$137,$F34,'Калькуляция (5.9)'!$G$25:$G$137,$G34))</f>
        <v>0</v>
      </c>
      <c r="BC34" s="96">
        <f ca="1">IF(method_reg="Метод сравнения аналогов",SUMIFS(INDEX('Калькуляция (МСА)'!$AE$25:$BC$82,,MATCH(BC$8,'Калькуляция (МСА)'!$AE$8:$BC$8,0)),'Калькуляция (МСА)'!$F$25:$F$82,$F34,'Калькуляция (МСА)'!$G$25:$G$82,$G34),SUMIFS(INDEX('Калькуляция (5.9)'!$AJ$25:$BC$137,,MATCH(BC$8,'Калькуляция (5.9)'!$AJ$8:$BC$8,0)),'Калькуляция (5.9)'!$F$25:$F$137,$F34,'Калькуляция (5.9)'!$G$25:$G$137,$G34))</f>
        <v>0</v>
      </c>
      <c r="BD34" s="304">
        <f ca="1">IF(BB34=0,0,(BC34-BB34)/BB34*100)</f>
        <v>0</v>
      </c>
      <c r="BE34" s="96">
        <f ca="1">IF(method_reg="Метод сравнения аналогов",SUMIFS(INDEX('Калькуляция (МСА)'!$AE$25:$BC$82,,MATCH(BE$8,'Калькуляция (МСА)'!$AE$8:$BC$8,0)),'Калькуляция (МСА)'!$F$25:$F$82,$F34,'Калькуляция (МСА)'!$G$25:$G$82,$G34),SUMIFS(INDEX('Калькуляция (5.9)'!$AJ$25:$BC$137,,MATCH(BE$8,'Калькуляция (5.9)'!$AJ$8:$BC$8,0)),'Калькуляция (5.9)'!$F$25:$F$137,$F34,'Калькуляция (5.9)'!$G$25:$G$137,$G34))</f>
        <v>0</v>
      </c>
      <c r="BF34" s="96">
        <f ca="1">IF(method_reg="Метод сравнения аналогов",SUMIFS(INDEX('Калькуляция (МСА)'!$AE$25:$BC$82,,MATCH(BF$8,'Калькуляция (МСА)'!$AE$8:$BC$8,0)),'Калькуляция (МСА)'!$F$25:$F$82,$F34,'Калькуляция (МСА)'!$G$25:$G$82,$G34),SUMIFS(INDEX('Калькуляция (5.9)'!$AJ$25:$BC$137,,MATCH(BF$8,'Калькуляция (5.9)'!$AJ$8:$BC$8,0)),'Калькуляция (5.9)'!$F$25:$F$137,$F34,'Калькуляция (5.9)'!$G$25:$G$137,$G34))</f>
        <v>0</v>
      </c>
      <c r="BG34" s="304">
        <f ca="1">IF(BE34=0,0,(BF34-BE34)/BE34*100)</f>
        <v>0</v>
      </c>
      <c r="BH34" s="96"/>
      <c r="BI34" s="96"/>
      <c r="BJ34" s="304">
        <f>IF(BH34=0,0,(BI34-BH34)/BH34*100)</f>
        <v>0</v>
      </c>
      <c r="BK34" s="96"/>
      <c r="BL34" s="96"/>
      <c r="BM34" s="304">
        <f>IF(BK34=0,0,(BL34-BK34)/BK34*100)</f>
        <v>0</v>
      </c>
      <c r="BN34" s="96"/>
      <c r="BO34" s="96"/>
      <c r="BP34" s="304">
        <f>IF(BN34=0,0,(BO34-BN34)/BN34*100)</f>
        <v>0</v>
      </c>
      <c r="BQ34" s="96"/>
      <c r="BR34" s="96"/>
      <c r="BS34" s="304">
        <f>IF(BQ34=0,0,(BR34-BQ34)/BQ34*100)</f>
        <v>0</v>
      </c>
      <c r="BT34" s="96"/>
      <c r="BU34" s="96"/>
      <c r="BV34" s="304">
        <f>IF(BT34=0,0,(BU34-BT34)/BT34*100)</f>
        <v>0</v>
      </c>
      <c r="BW34" s="96"/>
      <c r="BX34" s="96"/>
      <c r="BY34" s="304">
        <f>IF(BW34=0,0,(BX34-BW34)/BW34*100)</f>
        <v>0</v>
      </c>
      <c r="BZ34" s="96"/>
      <c r="CA34" s="96"/>
      <c r="CB34" s="304">
        <f>IF(BZ34=0,0,(CA34-BZ34)/BZ34*100)</f>
        <v>0</v>
      </c>
      <c r="CC34" s="96"/>
      <c r="CD34" s="96"/>
      <c r="CE34" s="304">
        <f>IF(CC34=0,0,(CD34-CC34)/CC34*100)</f>
        <v>0</v>
      </c>
      <c r="CF34" s="96"/>
      <c r="CG34" s="96"/>
      <c r="CH34" s="304">
        <f>IF(CF34=0,0,(CG34-CF34)/CF34*100)</f>
        <v>0</v>
      </c>
      <c r="CI34" s="96"/>
      <c r="CJ34" s="96"/>
      <c r="CK34" s="304">
        <f>IF(CI34=0,0,(CJ34-CI34)/CI34*100)</f>
        <v>0</v>
      </c>
      <c r="CL34" s="96"/>
      <c r="CM34" s="96"/>
      <c r="CN34" s="304">
        <f>IF(CL34=0,0,(CM34-CL34)/CL34*100)</f>
        <v>0</v>
      </c>
      <c r="CO34" s="96"/>
      <c r="CP34" s="96"/>
      <c r="CQ34" s="304">
        <f>IF(CO34=0,0,(CP34-CO34)/CO34*100)</f>
        <v>0</v>
      </c>
      <c r="CR34" s="96"/>
      <c r="CS34" s="96"/>
      <c r="CT34" s="304">
        <f>IF(CR34=0,0,(CS34-CR34)/CR34*100)</f>
        <v>0</v>
      </c>
      <c r="CU34" s="96"/>
      <c r="CV34" s="96"/>
      <c r="CW34" s="304">
        <f>IF(CU34=0,0,(CV34-CU34)/CU34*100)</f>
        <v>0</v>
      </c>
      <c r="CX34" s="96"/>
      <c r="CY34" s="96"/>
      <c r="CZ34" s="304">
        <f>IF(CX34=0,0,(CY34-CX34)/CX34*100)</f>
        <v>0</v>
      </c>
      <c r="DA34" s="96"/>
      <c r="DB34" s="96"/>
      <c r="DC34" s="304">
        <f>IF(DA34=0,0,(DB34-DA34)/DA34*100)</f>
        <v>0</v>
      </c>
      <c r="DD34" s="96"/>
      <c r="DE34" s="96"/>
      <c r="DF34" s="304">
        <f>IF(DD34=0,0,(DE34-DD34)/DD34*100)</f>
        <v>0</v>
      </c>
      <c r="DG34" s="96"/>
      <c r="DH34" s="96"/>
      <c r="DI34" s="304">
        <f>IF(DG34=0,0,(DH34-DG34)/DG34*100)</f>
        <v>0</v>
      </c>
      <c r="DJ34" s="96"/>
      <c r="DK34" s="96"/>
      <c r="DL34" s="304">
        <f>IF(DJ34=0,0,(DK34-DJ34)/DJ34*100)</f>
        <v>0</v>
      </c>
      <c r="DM34" s="96"/>
      <c r="DN34" s="96"/>
      <c r="DO34" s="304">
        <f>IF(DM34=0,0,(DN34-DM34)/DM34*100)</f>
        <v>0</v>
      </c>
      <c r="DP34" s="96"/>
      <c r="DQ34" s="96"/>
      <c r="DR34" s="304">
        <f>IF(DP34=0,0,(DQ34-DP34)/DP34*100)</f>
        <v>0</v>
      </c>
      <c r="DS34" s="96"/>
      <c r="DT34" s="96"/>
      <c r="DU34" s="304">
        <f>IF(DS34=0,0,(DT34-DS34)/DS34*100)</f>
        <v>0</v>
      </c>
      <c r="DV34" s="96"/>
      <c r="DW34" s="96"/>
      <c r="DX34" s="304">
        <f>IF(DV34=0,0,(DW34-DV34)/DV34*100)</f>
        <v>0</v>
      </c>
      <c r="DY34" s="96"/>
      <c r="DZ34" s="96"/>
      <c r="EA34" s="304">
        <f>IF(DY34=0,0,(DZ34-DY34)/DY34*100)</f>
        <v>0</v>
      </c>
      <c r="EB34" s="96"/>
      <c r="EC34" s="96"/>
      <c r="ED34" s="304">
        <f>IF(EB34=0,0,(EC34-EB34)/EB34*100)</f>
        <v>0</v>
      </c>
      <c r="EE34" s="96"/>
      <c r="EF34" s="96"/>
      <c r="EG34" s="304">
        <f>IF(EE34=0,0,(EF34-EE34)/EE34*100)</f>
        <v>0</v>
      </c>
      <c r="EH34" s="96"/>
      <c r="EI34" s="96"/>
      <c r="EJ34" s="304">
        <f>IF(EH34=0,0,(EI34-EH34)/EH34*100)</f>
        <v>0</v>
      </c>
      <c r="EK34" s="96"/>
      <c r="EL34" s="96"/>
      <c r="EM34" s="304">
        <f>IF(EK34=0,0,(EL34-EK34)/EK34*100)</f>
        <v>0</v>
      </c>
      <c r="EN34" s="96"/>
      <c r="EO34" s="96"/>
      <c r="EP34" s="304">
        <f>IF(EN34=0,0,(EO34-EN34)/EN34*100)</f>
        <v>0</v>
      </c>
      <c r="EQ34" s="96"/>
      <c r="ER34" s="96"/>
      <c r="ES34" s="304">
        <f>IF(EQ34=0,0,(ER34-EQ34)/EQ34*100)</f>
        <v>0</v>
      </c>
      <c r="ET34" s="96"/>
      <c r="EU34" s="96"/>
      <c r="EV34" s="304">
        <f>IF(ET34=0,0,(EU34-ET34)/ET34*100)</f>
        <v>0</v>
      </c>
      <c r="EW34" s="96"/>
      <c r="EX34" s="96"/>
      <c r="EY34" s="304">
        <f>IF(EW34=0,0,(EX34-EW34)/EW34*100)</f>
        <v>0</v>
      </c>
      <c r="EZ34" s="96"/>
      <c r="FA34" s="96"/>
      <c r="FB34" s="304">
        <f>IF(EZ34=0,0,(FA34-EZ34)/EZ34*100)</f>
        <v>0</v>
      </c>
      <c r="FC34" s="96"/>
      <c r="FD34" s="96"/>
      <c r="FE34" s="304">
        <f>IF(FC34=0,0,(FD34-FC34)/FC34*100)</f>
        <v>0</v>
      </c>
      <c r="FF34" s="96"/>
      <c r="FG34" s="96"/>
      <c r="FH34" s="304">
        <f>IF(FF34=0,0,(FG34-FF34)/FF34*100)</f>
        <v>0</v>
      </c>
      <c r="FI34" s="96"/>
      <c r="FJ34" s="96"/>
      <c r="FK34" s="304">
        <f>IF(FI34=0,0,(FJ34-FI34)/FI34*100)</f>
        <v>0</v>
      </c>
      <c r="FL34" s="96"/>
      <c r="FM34" s="96"/>
      <c r="FN34" s="304">
        <f>IF(FL34=0,0,(FM34-FL34)/FL34*100)</f>
        <v>0</v>
      </c>
      <c r="FO34" s="96"/>
      <c r="FP34" s="96"/>
      <c r="FQ34" s="304">
        <f>IF(FO34=0,0,(FP34-FO34)/FO34*100)</f>
        <v>0</v>
      </c>
      <c r="FR34" s="96"/>
      <c r="FS34" s="96"/>
      <c r="FT34" s="304">
        <f>IF(FR34=0,0,(FS34-FR34)/FR34*100)</f>
        <v>0</v>
      </c>
      <c r="FU34" s="96"/>
      <c r="FV34" s="96"/>
      <c r="FW34" s="304">
        <f>IF(FU34=0,0,(FV34-FU34)/FU34*100)</f>
        <v>0</v>
      </c>
      <c r="FZ34" s="971" t="s">
        <v>2123</v>
      </c>
      <c r="GA34" s="971"/>
      <c r="GB34" s="971"/>
      <c r="GC34" s="971"/>
      <c r="GD34" s="971"/>
    </row>
    <row r="35" spans="2:186" ht="16.7" hidden="1" customHeight="1" x14ac:dyDescent="0.15">
      <c r="B35" s="803" t="b" cm="1">
        <f t="array" ref="B35">B34</f>
        <v>0</v>
      </c>
      <c r="C35" s="1108" t="s">
        <v>1765</v>
      </c>
      <c r="D35" s="1077" t="s">
        <v>1766</v>
      </c>
      <c r="E35" s="668">
        <v>17.100000000000001</v>
      </c>
      <c r="F35" s="769" cm="1">
        <f t="array" aca="1" ref="F35" ca="1">OFFSET(G35,-1,-1)</f>
        <v>0</v>
      </c>
      <c r="H35" s="160" t="s">
        <v>527</v>
      </c>
      <c r="I35" s="160" t="s">
        <v>2124</v>
      </c>
      <c r="J35" s="1098" t="s">
        <v>2115</v>
      </c>
      <c r="K35" s="1098" cm="1">
        <f t="array" aca="1" ref="K35" ca="1">OFFSET(J35,-1,1)</f>
        <v>0</v>
      </c>
      <c r="L35" s="1098" t="s">
        <v>2125</v>
      </c>
      <c r="M35" s="1098"/>
      <c r="N35" s="1098" t="s">
        <v>2117</v>
      </c>
      <c r="O35" s="1099" t="s">
        <v>2118</v>
      </c>
      <c r="P35" s="1098"/>
      <c r="Q35" s="1098"/>
      <c r="T35" s="679" t="b" cm="1">
        <f t="array" aca="1" ref="T35" ca="1">T34</f>
        <v>0</v>
      </c>
      <c r="X35" s="1485"/>
      <c r="Z35" s="1485"/>
      <c r="AB35" s="877" t="s">
        <v>2126</v>
      </c>
      <c r="AC35" s="120" t="s">
        <v>521</v>
      </c>
      <c r="AD35" s="866">
        <f ca="1">IF(AD33=0,0,AD34/AD33)</f>
        <v>0</v>
      </c>
      <c r="AE35" s="866">
        <f ca="1">IF(AE33=0,0,AE34/AE33)</f>
        <v>0</v>
      </c>
      <c r="AF35" s="883"/>
      <c r="AG35" s="866">
        <f ca="1">IF(AG33=0,0,AG34/AG33)</f>
        <v>0</v>
      </c>
      <c r="AH35" s="866">
        <f ca="1">IF(AH33=0,0,AH34/AH33)</f>
        <v>0</v>
      </c>
      <c r="AI35" s="883"/>
      <c r="AJ35" s="866">
        <f ca="1">IF(AJ33=0,0,AJ34/AJ33)</f>
        <v>0</v>
      </c>
      <c r="AK35" s="866">
        <f ca="1">IF(AK33=0,0,AK34/AK33)</f>
        <v>0</v>
      </c>
      <c r="AL35" s="883"/>
      <c r="AM35" s="866">
        <f ca="1">IF(AM33=0,0,AM34/AM33)</f>
        <v>0</v>
      </c>
      <c r="AN35" s="866">
        <f ca="1">IF(AN33=0,0,AN34/AN33)</f>
        <v>0</v>
      </c>
      <c r="AO35" s="883"/>
      <c r="AP35" s="866">
        <f ca="1">IF(AP33=0,0,AP34/AP33)</f>
        <v>0</v>
      </c>
      <c r="AQ35" s="866">
        <f ca="1">IF(AQ33=0,0,AQ34/AQ33)</f>
        <v>0</v>
      </c>
      <c r="AR35" s="883"/>
      <c r="AS35" s="866">
        <f ca="1">IF(AS33=0,0,AS34/AS33)</f>
        <v>0</v>
      </c>
      <c r="AT35" s="866">
        <f ca="1">IF(AT33=0,0,AT34/AT33)</f>
        <v>0</v>
      </c>
      <c r="AU35" s="883"/>
      <c r="AV35" s="866">
        <f ca="1">IF(AV33=0,0,AV34/AV33)</f>
        <v>0</v>
      </c>
      <c r="AW35" s="866">
        <f ca="1">IF(AW33=0,0,AW34/AW33)</f>
        <v>0</v>
      </c>
      <c r="AX35" s="883"/>
      <c r="AY35" s="866">
        <f ca="1">IF(AY33=0,0,AY34/AY33)</f>
        <v>0</v>
      </c>
      <c r="AZ35" s="866">
        <f ca="1">IF(AZ33=0,0,AZ34/AZ33)</f>
        <v>0</v>
      </c>
      <c r="BA35" s="883"/>
      <c r="BB35" s="866">
        <f ca="1">IF(BB33=0,0,BB34/BB33)</f>
        <v>0</v>
      </c>
      <c r="BC35" s="866">
        <f ca="1">IF(BC33=0,0,BC34/BC33)</f>
        <v>0</v>
      </c>
      <c r="BD35" s="883"/>
      <c r="BE35" s="866">
        <f ca="1">IF(BE33=0,0,BE34/BE33)</f>
        <v>0</v>
      </c>
      <c r="BF35" s="866">
        <f ca="1">IF(BF33=0,0,BF34/BF33)</f>
        <v>0</v>
      </c>
      <c r="BG35" s="883"/>
      <c r="BH35" s="866">
        <f>IF(BH33=0,0,BH34/BH33)</f>
        <v>0</v>
      </c>
      <c r="BI35" s="866">
        <f>IF(BI33=0,0,BI34/BI33)</f>
        <v>0</v>
      </c>
      <c r="BJ35" s="306"/>
      <c r="BK35" s="866">
        <f>IF(BK33=0,0,BK34/BK33)</f>
        <v>0</v>
      </c>
      <c r="BL35" s="866">
        <f>IF(BL33=0,0,BL34/BL33)</f>
        <v>0</v>
      </c>
      <c r="BM35" s="306"/>
      <c r="BN35" s="866">
        <f>IF(BN33=0,0,BN34/BN33)</f>
        <v>0</v>
      </c>
      <c r="BO35" s="866">
        <f>IF(BO33=0,0,BO34/BO33)</f>
        <v>0</v>
      </c>
      <c r="BP35" s="306"/>
      <c r="BQ35" s="866">
        <f>IF(BQ33=0,0,BQ34/BQ33)</f>
        <v>0</v>
      </c>
      <c r="BR35" s="866">
        <f>IF(BR33=0,0,BR34/BR33)</f>
        <v>0</v>
      </c>
      <c r="BS35" s="306"/>
      <c r="BT35" s="866">
        <f>IF(BT33=0,0,BT34/BT33)</f>
        <v>0</v>
      </c>
      <c r="BU35" s="866">
        <f>IF(BU33=0,0,BU34/BU33)</f>
        <v>0</v>
      </c>
      <c r="BV35" s="306"/>
      <c r="BW35" s="866">
        <f>IF(BW33=0,0,BW34/BW33)</f>
        <v>0</v>
      </c>
      <c r="BX35" s="866">
        <f>IF(BX33=0,0,BX34/BX33)</f>
        <v>0</v>
      </c>
      <c r="BY35" s="306"/>
      <c r="BZ35" s="866">
        <f>IF(BZ33=0,0,BZ34/BZ33)</f>
        <v>0</v>
      </c>
      <c r="CA35" s="866">
        <f>IF(CA33=0,0,CA34/CA33)</f>
        <v>0</v>
      </c>
      <c r="CB35" s="306"/>
      <c r="CC35" s="866">
        <f>IF(CC33=0,0,CC34/CC33)</f>
        <v>0</v>
      </c>
      <c r="CD35" s="866">
        <f>IF(CD33=0,0,CD34/CD33)</f>
        <v>0</v>
      </c>
      <c r="CE35" s="306"/>
      <c r="CF35" s="866">
        <f>IF(CF33=0,0,CF34/CF33)</f>
        <v>0</v>
      </c>
      <c r="CG35" s="866">
        <f>IF(CG33=0,0,CG34/CG33)</f>
        <v>0</v>
      </c>
      <c r="CH35" s="306"/>
      <c r="CI35" s="866">
        <f>IF(CI33=0,0,CI34/CI33)</f>
        <v>0</v>
      </c>
      <c r="CJ35" s="866">
        <f>IF(CJ33=0,0,CJ34/CJ33)</f>
        <v>0</v>
      </c>
      <c r="CK35" s="306"/>
      <c r="CL35" s="866">
        <f>IF(CL33=0,0,CL34/CL33)</f>
        <v>0</v>
      </c>
      <c r="CM35" s="866">
        <f>IF(CM33=0,0,CM34/CM33)</f>
        <v>0</v>
      </c>
      <c r="CN35" s="306"/>
      <c r="CO35" s="866">
        <f>IF(CO33=0,0,CO34/CO33)</f>
        <v>0</v>
      </c>
      <c r="CP35" s="866">
        <f>IF(CP33=0,0,CP34/CP33)</f>
        <v>0</v>
      </c>
      <c r="CQ35" s="306"/>
      <c r="CR35" s="866">
        <f>IF(CR33=0,0,CR34/CR33)</f>
        <v>0</v>
      </c>
      <c r="CS35" s="866">
        <f>IF(CS33=0,0,CS34/CS33)</f>
        <v>0</v>
      </c>
      <c r="CT35" s="306"/>
      <c r="CU35" s="866">
        <f>IF(CU33=0,0,CU34/CU33)</f>
        <v>0</v>
      </c>
      <c r="CV35" s="866">
        <f>IF(CV33=0,0,CV34/CV33)</f>
        <v>0</v>
      </c>
      <c r="CW35" s="306"/>
      <c r="CX35" s="866">
        <f>IF(CX33=0,0,CX34/CX33)</f>
        <v>0</v>
      </c>
      <c r="CY35" s="866">
        <f>IF(CY33=0,0,CY34/CY33)</f>
        <v>0</v>
      </c>
      <c r="CZ35" s="306"/>
      <c r="DA35" s="866">
        <f>IF(DA33=0,0,DA34/DA33)</f>
        <v>0</v>
      </c>
      <c r="DB35" s="866">
        <f>IF(DB33=0,0,DB34/DB33)</f>
        <v>0</v>
      </c>
      <c r="DC35" s="306"/>
      <c r="DD35" s="866">
        <f>IF(DD33=0,0,DD34/DD33)</f>
        <v>0</v>
      </c>
      <c r="DE35" s="866">
        <f>IF(DE33=0,0,DE34/DE33)</f>
        <v>0</v>
      </c>
      <c r="DF35" s="306"/>
      <c r="DG35" s="866">
        <f>IF(DG33=0,0,DG34/DG33)</f>
        <v>0</v>
      </c>
      <c r="DH35" s="866">
        <f>IF(DH33=0,0,DH34/DH33)</f>
        <v>0</v>
      </c>
      <c r="DI35" s="306"/>
      <c r="DJ35" s="866">
        <f>IF(DJ33=0,0,DJ34/DJ33)</f>
        <v>0</v>
      </c>
      <c r="DK35" s="866">
        <f>IF(DK33=0,0,DK34/DK33)</f>
        <v>0</v>
      </c>
      <c r="DL35" s="306"/>
      <c r="DM35" s="866">
        <f>IF(DM33=0,0,DM34/DM33)</f>
        <v>0</v>
      </c>
      <c r="DN35" s="866">
        <f>IF(DN33=0,0,DN34/DN33)</f>
        <v>0</v>
      </c>
      <c r="DO35" s="306"/>
      <c r="DP35" s="866">
        <f>IF(DP33=0,0,DP34/DP33)</f>
        <v>0</v>
      </c>
      <c r="DQ35" s="866">
        <f>IF(DQ33=0,0,DQ34/DQ33)</f>
        <v>0</v>
      </c>
      <c r="DR35" s="306"/>
      <c r="DS35" s="866">
        <f>IF(DS33=0,0,DS34/DS33)</f>
        <v>0</v>
      </c>
      <c r="DT35" s="866">
        <f>IF(DT33=0,0,DT34/DT33)</f>
        <v>0</v>
      </c>
      <c r="DU35" s="306"/>
      <c r="DV35" s="866">
        <f>IF(DV33=0,0,DV34/DV33)</f>
        <v>0</v>
      </c>
      <c r="DW35" s="866">
        <f>IF(DW33=0,0,DW34/DW33)</f>
        <v>0</v>
      </c>
      <c r="DX35" s="306"/>
      <c r="DY35" s="866">
        <f>IF(DY33=0,0,DY34/DY33)</f>
        <v>0</v>
      </c>
      <c r="DZ35" s="866">
        <f>IF(DZ33=0,0,DZ34/DZ33)</f>
        <v>0</v>
      </c>
      <c r="EA35" s="306"/>
      <c r="EB35" s="866">
        <f>IF(EB33=0,0,EB34/EB33)</f>
        <v>0</v>
      </c>
      <c r="EC35" s="866">
        <f>IF(EC33=0,0,EC34/EC33)</f>
        <v>0</v>
      </c>
      <c r="ED35" s="306"/>
      <c r="EE35" s="866">
        <f>IF(EE33=0,0,EE34/EE33)</f>
        <v>0</v>
      </c>
      <c r="EF35" s="866">
        <f>IF(EF33=0,0,EF34/EF33)</f>
        <v>0</v>
      </c>
      <c r="EG35" s="306"/>
      <c r="EH35" s="866">
        <f>IF(EH33=0,0,EH34/EH33)</f>
        <v>0</v>
      </c>
      <c r="EI35" s="866">
        <f>IF(EI33=0,0,EI34/EI33)</f>
        <v>0</v>
      </c>
      <c r="EJ35" s="306"/>
      <c r="EK35" s="866">
        <f>IF(EK33=0,0,EK34/EK33)</f>
        <v>0</v>
      </c>
      <c r="EL35" s="866">
        <f>IF(EL33=0,0,EL34/EL33)</f>
        <v>0</v>
      </c>
      <c r="EM35" s="306"/>
      <c r="EN35" s="866">
        <f>IF(EN33=0,0,EN34/EN33)</f>
        <v>0</v>
      </c>
      <c r="EO35" s="866">
        <f>IF(EO33=0,0,EO34/EO33)</f>
        <v>0</v>
      </c>
      <c r="EP35" s="306"/>
      <c r="EQ35" s="866">
        <f>IF(EQ33=0,0,EQ34/EQ33)</f>
        <v>0</v>
      </c>
      <c r="ER35" s="866">
        <f>IF(ER33=0,0,ER34/ER33)</f>
        <v>0</v>
      </c>
      <c r="ES35" s="306"/>
      <c r="ET35" s="866">
        <f>IF(ET33=0,0,ET34/ET33)</f>
        <v>0</v>
      </c>
      <c r="EU35" s="866">
        <f>IF(EU33=0,0,EU34/EU33)</f>
        <v>0</v>
      </c>
      <c r="EV35" s="306"/>
      <c r="EW35" s="866">
        <f>IF(EW33=0,0,EW34/EW33)</f>
        <v>0</v>
      </c>
      <c r="EX35" s="866">
        <f>IF(EX33=0,0,EX34/EX33)</f>
        <v>0</v>
      </c>
      <c r="EY35" s="306"/>
      <c r="EZ35" s="866">
        <f>IF(EZ33=0,0,EZ34/EZ33)</f>
        <v>0</v>
      </c>
      <c r="FA35" s="866">
        <f>IF(FA33=0,0,FA34/FA33)</f>
        <v>0</v>
      </c>
      <c r="FB35" s="306"/>
      <c r="FC35" s="866">
        <f>IF(FC33=0,0,FC34/FC33)</f>
        <v>0</v>
      </c>
      <c r="FD35" s="866">
        <f>IF(FD33=0,0,FD34/FD33)</f>
        <v>0</v>
      </c>
      <c r="FE35" s="306"/>
      <c r="FF35" s="866">
        <f>IF(FF33=0,0,FF34/FF33)</f>
        <v>0</v>
      </c>
      <c r="FG35" s="866">
        <f>IF(FG33=0,0,FG34/FG33)</f>
        <v>0</v>
      </c>
      <c r="FH35" s="306"/>
      <c r="FI35" s="866">
        <f>IF(FI33=0,0,FI34/FI33)</f>
        <v>0</v>
      </c>
      <c r="FJ35" s="866">
        <f>IF(FJ33=0,0,FJ34/FJ33)</f>
        <v>0</v>
      </c>
      <c r="FK35" s="306"/>
      <c r="FL35" s="866">
        <f>IF(FL33=0,0,FL34/FL33)</f>
        <v>0</v>
      </c>
      <c r="FM35" s="866">
        <f>IF(FM33=0,0,FM34/FM33)</f>
        <v>0</v>
      </c>
      <c r="FN35" s="306"/>
      <c r="FO35" s="866">
        <f>IF(FO33=0,0,FO34/FO33)</f>
        <v>0</v>
      </c>
      <c r="FP35" s="866">
        <f>IF(FP33=0,0,FP34/FP33)</f>
        <v>0</v>
      </c>
      <c r="FQ35" s="306"/>
      <c r="FR35" s="866">
        <f>IF(FR33=0,0,FR34/FR33)</f>
        <v>0</v>
      </c>
      <c r="FS35" s="866">
        <f>IF(FS33=0,0,FS34/FS33)</f>
        <v>0</v>
      </c>
      <c r="FT35" s="306"/>
      <c r="FU35" s="866">
        <f>IF(FU33=0,0,FU34/FU33)</f>
        <v>0</v>
      </c>
      <c r="FV35" s="866">
        <f>IF(FV33=0,0,FV34/FV33)</f>
        <v>0</v>
      </c>
      <c r="FW35" s="306"/>
      <c r="FZ35" s="971" t="s">
        <v>2127</v>
      </c>
      <c r="GA35" s="971"/>
      <c r="GB35" s="971"/>
      <c r="GC35" s="971"/>
      <c r="GD35" s="971"/>
    </row>
    <row r="36" spans="2:186" ht="16.7" hidden="1" customHeight="1" x14ac:dyDescent="0.15">
      <c r="B36" s="803" t="b" cm="1">
        <f t="array" ref="B36">B35</f>
        <v>0</v>
      </c>
      <c r="C36" s="1108" t="s">
        <v>1747</v>
      </c>
      <c r="D36" s="1077" t="s">
        <v>1748</v>
      </c>
      <c r="E36" s="668">
        <v>17.100000000000001</v>
      </c>
      <c r="F36" s="769" cm="1">
        <f t="array" aca="1" ref="F36" ca="1">OFFSET(G36,-1,-1)</f>
        <v>0</v>
      </c>
      <c r="G36" s="140" t="s">
        <v>2128</v>
      </c>
      <c r="H36" s="160" t="s">
        <v>534</v>
      </c>
      <c r="I36" s="160" t="s">
        <v>2124</v>
      </c>
      <c r="J36" s="1098" t="s">
        <v>2115</v>
      </c>
      <c r="K36" s="1098" cm="1">
        <f t="array" aca="1" ref="K36" ca="1">OFFSET(J36,-1,1)</f>
        <v>0</v>
      </c>
      <c r="L36" s="1098" t="s">
        <v>2129</v>
      </c>
      <c r="M36" s="1098"/>
      <c r="N36" s="1098" t="s">
        <v>2117</v>
      </c>
      <c r="O36" s="1099" t="s">
        <v>2118</v>
      </c>
      <c r="P36" s="1098"/>
      <c r="Q36" s="1098"/>
      <c r="T36" s="679" t="b" cm="1">
        <f t="array" aca="1" ref="T36" ca="1">T35</f>
        <v>0</v>
      </c>
      <c r="X36" s="1485"/>
      <c r="Z36" s="1485"/>
      <c r="AB36" s="877" t="s">
        <v>2130</v>
      </c>
      <c r="AC36" s="120" t="s">
        <v>622</v>
      </c>
      <c r="AD36" s="97">
        <f ca="1">SUM(AD37:AD38)</f>
        <v>0</v>
      </c>
      <c r="AE36" s="97">
        <f ca="1">SUM(AE37:AE38)</f>
        <v>0</v>
      </c>
      <c r="AF36" s="333">
        <f ca="1">IF(AD36=0,0,(AE36-AD36)/AD36*100)</f>
        <v>0</v>
      </c>
      <c r="AG36" s="1350">
        <f ca="1">SUM(AG37:AG38)</f>
        <v>0</v>
      </c>
      <c r="AH36" s="1350">
        <f ca="1">SUM(AH37:AH38)</f>
        <v>0</v>
      </c>
      <c r="AI36" s="333">
        <f ca="1">IF(AG36=0,0,(AH36-AG36)/AG36*100)</f>
        <v>0</v>
      </c>
      <c r="AJ36" s="1350">
        <f ca="1">SUM(AJ37:AJ38)</f>
        <v>0</v>
      </c>
      <c r="AK36" s="1350">
        <f ca="1">SUM(AK37:AK38)</f>
        <v>0</v>
      </c>
      <c r="AL36" s="333">
        <f ca="1">IF(AJ36=0,0,(AK36-AJ36)/AJ36*100)</f>
        <v>0</v>
      </c>
      <c r="AM36" s="97">
        <f ca="1">SUM(AM37:AM38)</f>
        <v>0</v>
      </c>
      <c r="AN36" s="97">
        <f ca="1">SUM(AN37:AN38)</f>
        <v>0</v>
      </c>
      <c r="AO36" s="333">
        <f ca="1">IF(AM36=0,0,(AN36-AM36)/AM36*100)</f>
        <v>0</v>
      </c>
      <c r="AP36" s="97">
        <f ca="1">SUM(AP37:AP38)</f>
        <v>0</v>
      </c>
      <c r="AQ36" s="97">
        <f ca="1">SUM(AQ37:AQ38)</f>
        <v>0</v>
      </c>
      <c r="AR36" s="333">
        <f ca="1">IF(AP36=0,0,(AQ36-AP36)/AP36*100)</f>
        <v>0</v>
      </c>
      <c r="AS36" s="97">
        <f ca="1">SUM(AS37:AS38)</f>
        <v>0</v>
      </c>
      <c r="AT36" s="97">
        <f ca="1">SUM(AT37:AT38)</f>
        <v>0</v>
      </c>
      <c r="AU36" s="333">
        <f ca="1">IF(AS36=0,0,(AT36-AS36)/AS36*100)</f>
        <v>0</v>
      </c>
      <c r="AV36" s="97">
        <f ca="1">SUM(AV37:AV38)</f>
        <v>0</v>
      </c>
      <c r="AW36" s="97">
        <f ca="1">SUM(AW37:AW38)</f>
        <v>0</v>
      </c>
      <c r="AX36" s="333">
        <f ca="1">IF(AV36=0,0,(AW36-AV36)/AV36*100)</f>
        <v>0</v>
      </c>
      <c r="AY36" s="97">
        <f ca="1">SUM(AY37:AY38)</f>
        <v>0</v>
      </c>
      <c r="AZ36" s="97">
        <f ca="1">SUM(AZ37:AZ38)</f>
        <v>0</v>
      </c>
      <c r="BA36" s="333">
        <f ca="1">IF(AY36=0,0,(AZ36-AY36)/AY36*100)</f>
        <v>0</v>
      </c>
      <c r="BB36" s="97">
        <f ca="1">SUM(BB37:BB38)</f>
        <v>0</v>
      </c>
      <c r="BC36" s="97">
        <f ca="1">SUM(BC37:BC38)</f>
        <v>0</v>
      </c>
      <c r="BD36" s="333">
        <f ca="1">IF(BB36=0,0,(BC36-BB36)/BB36*100)</f>
        <v>0</v>
      </c>
      <c r="BE36" s="97">
        <f ca="1">SUM(BE37:BE38)</f>
        <v>0</v>
      </c>
      <c r="BF36" s="97">
        <f ca="1">SUM(BF37:BF38)</f>
        <v>0</v>
      </c>
      <c r="BG36" s="333">
        <f ca="1">IF(BE36=0,0,(BF36-BE36)/BE36*100)</f>
        <v>0</v>
      </c>
      <c r="BH36" s="97">
        <f>SUM(BH37:BH38)</f>
        <v>0</v>
      </c>
      <c r="BI36" s="97">
        <f>SUM(BI37:BI38)</f>
        <v>0</v>
      </c>
      <c r="BJ36" s="333">
        <f>IF(BH36=0,0,(BI36-BH36)/BH36*100)</f>
        <v>0</v>
      </c>
      <c r="BK36" s="97">
        <f>SUM(BK37:BK38)</f>
        <v>0</v>
      </c>
      <c r="BL36" s="97">
        <f>SUM(BL37:BL38)</f>
        <v>0</v>
      </c>
      <c r="BM36" s="333">
        <f>IF(BK36=0,0,(BL36-BK36)/BK36*100)</f>
        <v>0</v>
      </c>
      <c r="BN36" s="97">
        <f>SUM(BN37:BN38)</f>
        <v>0</v>
      </c>
      <c r="BO36" s="97">
        <f>SUM(BO37:BO38)</f>
        <v>0</v>
      </c>
      <c r="BP36" s="333">
        <f>IF(BN36=0,0,(BO36-BN36)/BN36*100)</f>
        <v>0</v>
      </c>
      <c r="BQ36" s="97">
        <f>SUM(BQ37:BQ38)</f>
        <v>0</v>
      </c>
      <c r="BR36" s="97">
        <f>SUM(BR37:BR38)</f>
        <v>0</v>
      </c>
      <c r="BS36" s="333">
        <f>IF(BQ36=0,0,(BR36-BQ36)/BQ36*100)</f>
        <v>0</v>
      </c>
      <c r="BT36" s="97">
        <f>SUM(BT37:BT38)</f>
        <v>0</v>
      </c>
      <c r="BU36" s="97">
        <f>SUM(BU37:BU38)</f>
        <v>0</v>
      </c>
      <c r="BV36" s="333">
        <f>IF(BT36=0,0,(BU36-BT36)/BT36*100)</f>
        <v>0</v>
      </c>
      <c r="BW36" s="97">
        <f>SUM(BW37:BW38)</f>
        <v>0</v>
      </c>
      <c r="BX36" s="97">
        <f>SUM(BX37:BX38)</f>
        <v>0</v>
      </c>
      <c r="BY36" s="333">
        <f>IF(BW36=0,0,(BX36-BW36)/BW36*100)</f>
        <v>0</v>
      </c>
      <c r="BZ36" s="97">
        <f>SUM(BZ37:BZ38)</f>
        <v>0</v>
      </c>
      <c r="CA36" s="97">
        <f>SUM(CA37:CA38)</f>
        <v>0</v>
      </c>
      <c r="CB36" s="333">
        <f>IF(BZ36=0,0,(CA36-BZ36)/BZ36*100)</f>
        <v>0</v>
      </c>
      <c r="CC36" s="97">
        <f>SUM(CC37:CC38)</f>
        <v>0</v>
      </c>
      <c r="CD36" s="97">
        <f>SUM(CD37:CD38)</f>
        <v>0</v>
      </c>
      <c r="CE36" s="333">
        <f>IF(CC36=0,0,(CD36-CC36)/CC36*100)</f>
        <v>0</v>
      </c>
      <c r="CF36" s="97">
        <f>SUM(CF37:CF38)</f>
        <v>0</v>
      </c>
      <c r="CG36" s="97">
        <f>SUM(CG37:CG38)</f>
        <v>0</v>
      </c>
      <c r="CH36" s="333">
        <f>IF(CF36=0,0,(CG36-CF36)/CF36*100)</f>
        <v>0</v>
      </c>
      <c r="CI36" s="97">
        <f>SUM(CI37:CI38)</f>
        <v>0</v>
      </c>
      <c r="CJ36" s="97">
        <f>SUM(CJ37:CJ38)</f>
        <v>0</v>
      </c>
      <c r="CK36" s="333">
        <f>IF(CI36=0,0,(CJ36-CI36)/CI36*100)</f>
        <v>0</v>
      </c>
      <c r="CL36" s="97">
        <f>SUM(CL37:CL38)</f>
        <v>0</v>
      </c>
      <c r="CM36" s="97">
        <f>SUM(CM37:CM38)</f>
        <v>0</v>
      </c>
      <c r="CN36" s="333">
        <f>IF(CL36=0,0,(CM36-CL36)/CL36*100)</f>
        <v>0</v>
      </c>
      <c r="CO36" s="97">
        <f>SUM(CO37:CO38)</f>
        <v>0</v>
      </c>
      <c r="CP36" s="97">
        <f>SUM(CP37:CP38)</f>
        <v>0</v>
      </c>
      <c r="CQ36" s="333">
        <f>IF(CO36=0,0,(CP36-CO36)/CO36*100)</f>
        <v>0</v>
      </c>
      <c r="CR36" s="97">
        <f>SUM(CR37:CR38)</f>
        <v>0</v>
      </c>
      <c r="CS36" s="97">
        <f>SUM(CS37:CS38)</f>
        <v>0</v>
      </c>
      <c r="CT36" s="333">
        <f>IF(CR36=0,0,(CS36-CR36)/CR36*100)</f>
        <v>0</v>
      </c>
      <c r="CU36" s="97">
        <f>SUM(CU37:CU38)</f>
        <v>0</v>
      </c>
      <c r="CV36" s="97">
        <f>SUM(CV37:CV38)</f>
        <v>0</v>
      </c>
      <c r="CW36" s="333">
        <f>IF(CU36=0,0,(CV36-CU36)/CU36*100)</f>
        <v>0</v>
      </c>
      <c r="CX36" s="97">
        <f>SUM(CX37:CX38)</f>
        <v>0</v>
      </c>
      <c r="CY36" s="97">
        <f>SUM(CY37:CY38)</f>
        <v>0</v>
      </c>
      <c r="CZ36" s="333">
        <f>IF(CX36=0,0,(CY36-CX36)/CX36*100)</f>
        <v>0</v>
      </c>
      <c r="DA36" s="97">
        <f>SUM(DA37:DA38)</f>
        <v>0</v>
      </c>
      <c r="DB36" s="97">
        <f>SUM(DB37:DB38)</f>
        <v>0</v>
      </c>
      <c r="DC36" s="333">
        <f>IF(DA36=0,0,(DB36-DA36)/DA36*100)</f>
        <v>0</v>
      </c>
      <c r="DD36" s="97">
        <f>SUM(DD37:DD38)</f>
        <v>0</v>
      </c>
      <c r="DE36" s="97">
        <f>SUM(DE37:DE38)</f>
        <v>0</v>
      </c>
      <c r="DF36" s="333">
        <f>IF(DD36=0,0,(DE36-DD36)/DD36*100)</f>
        <v>0</v>
      </c>
      <c r="DG36" s="97">
        <f>SUM(DG37:DG38)</f>
        <v>0</v>
      </c>
      <c r="DH36" s="97">
        <f>SUM(DH37:DH38)</f>
        <v>0</v>
      </c>
      <c r="DI36" s="333">
        <f>IF(DG36=0,0,(DH36-DG36)/DG36*100)</f>
        <v>0</v>
      </c>
      <c r="DJ36" s="97">
        <f>SUM(DJ37:DJ38)</f>
        <v>0</v>
      </c>
      <c r="DK36" s="97">
        <f>SUM(DK37:DK38)</f>
        <v>0</v>
      </c>
      <c r="DL36" s="333">
        <f>IF(DJ36=0,0,(DK36-DJ36)/DJ36*100)</f>
        <v>0</v>
      </c>
      <c r="DM36" s="97">
        <f>SUM(DM37:DM38)</f>
        <v>0</v>
      </c>
      <c r="DN36" s="97">
        <f>SUM(DN37:DN38)</f>
        <v>0</v>
      </c>
      <c r="DO36" s="333">
        <f>IF(DM36=0,0,(DN36-DM36)/DM36*100)</f>
        <v>0</v>
      </c>
      <c r="DP36" s="97">
        <f>SUM(DP37:DP38)</f>
        <v>0</v>
      </c>
      <c r="DQ36" s="97">
        <f>SUM(DQ37:DQ38)</f>
        <v>0</v>
      </c>
      <c r="DR36" s="333">
        <f>IF(DP36=0,0,(DQ36-DP36)/DP36*100)</f>
        <v>0</v>
      </c>
      <c r="DS36" s="97">
        <f>SUM(DS37:DS38)</f>
        <v>0</v>
      </c>
      <c r="DT36" s="97">
        <f>SUM(DT37:DT38)</f>
        <v>0</v>
      </c>
      <c r="DU36" s="333">
        <f>IF(DS36=0,0,(DT36-DS36)/DS36*100)</f>
        <v>0</v>
      </c>
      <c r="DV36" s="97">
        <f>SUM(DV37:DV38)</f>
        <v>0</v>
      </c>
      <c r="DW36" s="97">
        <f>SUM(DW37:DW38)</f>
        <v>0</v>
      </c>
      <c r="DX36" s="333">
        <f>IF(DV36=0,0,(DW36-DV36)/DV36*100)</f>
        <v>0</v>
      </c>
      <c r="DY36" s="97">
        <f>SUM(DY37:DY38)</f>
        <v>0</v>
      </c>
      <c r="DZ36" s="97">
        <f>SUM(DZ37:DZ38)</f>
        <v>0</v>
      </c>
      <c r="EA36" s="333">
        <f>IF(DY36=0,0,(DZ36-DY36)/DY36*100)</f>
        <v>0</v>
      </c>
      <c r="EB36" s="97">
        <f>SUM(EB37:EB38)</f>
        <v>0</v>
      </c>
      <c r="EC36" s="97">
        <f>SUM(EC37:EC38)</f>
        <v>0</v>
      </c>
      <c r="ED36" s="333">
        <f>IF(EB36=0,0,(EC36-EB36)/EB36*100)</f>
        <v>0</v>
      </c>
      <c r="EE36" s="97">
        <f>SUM(EE37:EE38)</f>
        <v>0</v>
      </c>
      <c r="EF36" s="97">
        <f>SUM(EF37:EF38)</f>
        <v>0</v>
      </c>
      <c r="EG36" s="333">
        <f>IF(EE36=0,0,(EF36-EE36)/EE36*100)</f>
        <v>0</v>
      </c>
      <c r="EH36" s="97">
        <f>SUM(EH37:EH38)</f>
        <v>0</v>
      </c>
      <c r="EI36" s="97">
        <f>SUM(EI37:EI38)</f>
        <v>0</v>
      </c>
      <c r="EJ36" s="333">
        <f>IF(EH36=0,0,(EI36-EH36)/EH36*100)</f>
        <v>0</v>
      </c>
      <c r="EK36" s="97">
        <f>SUM(EK37:EK38)</f>
        <v>0</v>
      </c>
      <c r="EL36" s="97">
        <f>SUM(EL37:EL38)</f>
        <v>0</v>
      </c>
      <c r="EM36" s="333">
        <f>IF(EK36=0,0,(EL36-EK36)/EK36*100)</f>
        <v>0</v>
      </c>
      <c r="EN36" s="97">
        <f>SUM(EN37:EN38)</f>
        <v>0</v>
      </c>
      <c r="EO36" s="97">
        <f>SUM(EO37:EO38)</f>
        <v>0</v>
      </c>
      <c r="EP36" s="333">
        <f>IF(EN36=0,0,(EO36-EN36)/EN36*100)</f>
        <v>0</v>
      </c>
      <c r="EQ36" s="97">
        <f>SUM(EQ37:EQ38)</f>
        <v>0</v>
      </c>
      <c r="ER36" s="97">
        <f>SUM(ER37:ER38)</f>
        <v>0</v>
      </c>
      <c r="ES36" s="333">
        <f>IF(EQ36=0,0,(ER36-EQ36)/EQ36*100)</f>
        <v>0</v>
      </c>
      <c r="ET36" s="97">
        <f>SUM(ET37:ET38)</f>
        <v>0</v>
      </c>
      <c r="EU36" s="97">
        <f>SUM(EU37:EU38)</f>
        <v>0</v>
      </c>
      <c r="EV36" s="333">
        <f>IF(ET36=0,0,(EU36-ET36)/ET36*100)</f>
        <v>0</v>
      </c>
      <c r="EW36" s="97">
        <f>SUM(EW37:EW38)</f>
        <v>0</v>
      </c>
      <c r="EX36" s="97">
        <f>SUM(EX37:EX38)</f>
        <v>0</v>
      </c>
      <c r="EY36" s="333">
        <f>IF(EW36=0,0,(EX36-EW36)/EW36*100)</f>
        <v>0</v>
      </c>
      <c r="EZ36" s="97">
        <f>SUM(EZ37:EZ38)</f>
        <v>0</v>
      </c>
      <c r="FA36" s="97">
        <f>SUM(FA37:FA38)</f>
        <v>0</v>
      </c>
      <c r="FB36" s="333">
        <f>IF(EZ36=0,0,(FA36-EZ36)/EZ36*100)</f>
        <v>0</v>
      </c>
      <c r="FC36" s="97">
        <f>SUM(FC37:FC38)</f>
        <v>0</v>
      </c>
      <c r="FD36" s="97">
        <f>SUM(FD37:FD38)</f>
        <v>0</v>
      </c>
      <c r="FE36" s="333">
        <f>IF(FC36=0,0,(FD36-FC36)/FC36*100)</f>
        <v>0</v>
      </c>
      <c r="FF36" s="97">
        <f>SUM(FF37:FF38)</f>
        <v>0</v>
      </c>
      <c r="FG36" s="97">
        <f>SUM(FG37:FG38)</f>
        <v>0</v>
      </c>
      <c r="FH36" s="333">
        <f>IF(FF36=0,0,(FG36-FF36)/FF36*100)</f>
        <v>0</v>
      </c>
      <c r="FI36" s="97">
        <f>SUM(FI37:FI38)</f>
        <v>0</v>
      </c>
      <c r="FJ36" s="97">
        <f>SUM(FJ37:FJ38)</f>
        <v>0</v>
      </c>
      <c r="FK36" s="333">
        <f>IF(FI36=0,0,(FJ36-FI36)/FI36*100)</f>
        <v>0</v>
      </c>
      <c r="FL36" s="97">
        <f>SUM(FL37:FL38)</f>
        <v>0</v>
      </c>
      <c r="FM36" s="97">
        <f>SUM(FM37:FM38)</f>
        <v>0</v>
      </c>
      <c r="FN36" s="333">
        <f>IF(FL36=0,0,(FM36-FL36)/FL36*100)</f>
        <v>0</v>
      </c>
      <c r="FO36" s="97">
        <f>SUM(FO37:FO38)</f>
        <v>0</v>
      </c>
      <c r="FP36" s="97">
        <f>SUM(FP37:FP38)</f>
        <v>0</v>
      </c>
      <c r="FQ36" s="333">
        <f>IF(FO36=0,0,(FP36-FO36)/FO36*100)</f>
        <v>0</v>
      </c>
      <c r="FR36" s="97">
        <f>SUM(FR37:FR38)</f>
        <v>0</v>
      </c>
      <c r="FS36" s="97">
        <f>SUM(FS37:FS38)</f>
        <v>0</v>
      </c>
      <c r="FT36" s="333">
        <f>IF(FR36=0,0,(FS36-FR36)/FR36*100)</f>
        <v>0</v>
      </c>
      <c r="FU36" s="97">
        <f>SUM(FU37:FU38)</f>
        <v>0</v>
      </c>
      <c r="FV36" s="97">
        <f>SUM(FV37:FV38)</f>
        <v>0</v>
      </c>
      <c r="FW36" s="333">
        <f>IF(FU36=0,0,(FV36-FU36)/FU36*100)</f>
        <v>0</v>
      </c>
      <c r="FZ36" s="971" t="s">
        <v>2131</v>
      </c>
      <c r="GA36" s="971"/>
      <c r="GB36" s="971"/>
      <c r="GC36" s="971"/>
      <c r="GD36" s="971"/>
    </row>
    <row r="37" spans="2:186" ht="16.7" hidden="1" customHeight="1" x14ac:dyDescent="0.15">
      <c r="B37" s="803" t="b" cm="1">
        <f t="array" ref="B37">B36</f>
        <v>0</v>
      </c>
      <c r="C37" s="1108" t="s">
        <v>1747</v>
      </c>
      <c r="D37" s="1077" t="s">
        <v>1748</v>
      </c>
      <c r="E37" s="668">
        <v>17.100000000000001</v>
      </c>
      <c r="F37" s="769" cm="1">
        <f t="array" aca="1" ref="F37" ca="1">OFFSET(G37,-1,-1)</f>
        <v>0</v>
      </c>
      <c r="G37" s="140" t="s">
        <v>1749</v>
      </c>
      <c r="J37" s="1098" t="s">
        <v>2115</v>
      </c>
      <c r="K37" s="1098" cm="1">
        <f t="array" aca="1" ref="K37" ca="1">OFFSET(J37,-1,1)</f>
        <v>0</v>
      </c>
      <c r="L37" s="1098" t="s">
        <v>2129</v>
      </c>
      <c r="M37" s="1098" t="s">
        <v>1750</v>
      </c>
      <c r="N37" s="1098" t="s">
        <v>2117</v>
      </c>
      <c r="O37" s="1099" t="s">
        <v>2118</v>
      </c>
      <c r="P37" s="1098"/>
      <c r="Q37" s="1098"/>
      <c r="T37" s="679" t="b" cm="1">
        <f t="array" aca="1" ref="T37" ca="1">T36</f>
        <v>0</v>
      </c>
      <c r="X37" s="1485"/>
      <c r="Z37" s="1485"/>
      <c r="AB37" s="233" t="s">
        <v>1751</v>
      </c>
      <c r="AC37" s="120" t="s">
        <v>622</v>
      </c>
      <c r="AD37" s="97">
        <f ca="1">IF(method_reg="Метод экономически обоснованных расходов",SUMIFS('Калькуляция (4.6)'!AJ$25:AJ$162,'Калькуляция (4.6)'!$F$25:$F$162,$F37,'Калькуляция (4.6)'!$G$25:$G$162,$G37),IF(method_reg="Метод сравнения аналогов",SUMIFS(INDEX('Калькуляция (МСА)'!$AE$25:$BC$82,,MATCH(AD$8,'Калькуляция (МСА)'!$AE$8:$BC$8,0)),'Калькуляция (МСА)'!$F$25:$F$82,$F37,'Калькуляция (МСА)'!$G$25:$G$82,$G37),SUMIFS(INDEX('Калькуляция (5.9)'!$AJ$25:$BC$137,,MATCH(AD$8,'Калькуляция (5.9)'!$AJ$8:$BC$8,0)),'Калькуляция (5.9)'!$F$25:$F$137,$F37,'Калькуляция (5.9)'!$G$25:$G$137,$G37)))</f>
        <v>0</v>
      </c>
      <c r="AE37" s="97">
        <f ca="1">IF(method_reg="Метод экономически обоснованных расходов",SUMIFS('Калькуляция (4.6)'!AK$25:AK$162,'Калькуляция (4.6)'!$F$25:$F$162,$F37,'Калькуляция (4.6)'!$G$25:$G$162,$G37),IF(method_reg="Метод сравнения аналогов",SUMIFS(INDEX('Калькуляция (МСА)'!$AE$25:$BC$82,,MATCH(AE$8,'Калькуляция (МСА)'!$AE$8:$BC$8,0)),'Калькуляция (МСА)'!$F$25:$F$82,$F37,'Калькуляция (МСА)'!$G$25:$G$82,$G37),SUMIFS(INDEX('Калькуляция (5.9)'!$AJ$25:$BC$137,,MATCH(AE$8,'Калькуляция (5.9)'!$AJ$8:$BC$8,0)),'Калькуляция (5.9)'!$F$25:$F$137,$F37,'Калькуляция (5.9)'!$G$25:$G$137,$G37)))</f>
        <v>0</v>
      </c>
      <c r="AF37" s="333">
        <f ca="1">IF(AD37=0,0,(AE37-AD37)/AD37*100)</f>
        <v>0</v>
      </c>
      <c r="AG37" s="1350">
        <f ca="1">IF(method_reg="Метод сравнения аналогов",SUMIFS(INDEX('Калькуляция (МСА)'!$AE$25:$BC$82,,MATCH(AG$8,'Калькуляция (МСА)'!$AE$8:$BC$8,0)),'Калькуляция (МСА)'!$F$25:$F$82,$F37,'Калькуляция (МСА)'!$G$25:$G$82,$G37),SUMIFS(INDEX('Калькуляция (5.9)'!$AJ$25:$BC$137,,MATCH(AG$8,'Калькуляция (5.9)'!$AJ$8:$BC$8,0)),'Калькуляция (5.9)'!$F$25:$F$137,$F37,'Калькуляция (5.9)'!$G$25:$G$137,$G37))</f>
        <v>0</v>
      </c>
      <c r="AH37" s="1350">
        <f ca="1">IF(method_reg="Метод сравнения аналогов",SUMIFS(INDEX('Калькуляция (МСА)'!$AE$25:$BC$82,,MATCH(AH$8,'Калькуляция (МСА)'!$AE$8:$BC$8,0)),'Калькуляция (МСА)'!$F$25:$F$82,$F37,'Калькуляция (МСА)'!$G$25:$G$82,$G37),SUMIFS(INDEX('Калькуляция (5.9)'!$AJ$25:$BC$137,,MATCH(AH$8,'Калькуляция (5.9)'!$AJ$8:$BC$8,0)),'Калькуляция (5.9)'!$F$25:$F$137,$F37,'Калькуляция (5.9)'!$G$25:$G$137,$G37))</f>
        <v>0</v>
      </c>
      <c r="AI37" s="333">
        <f ca="1">IF(AG37=0,0,(AH37-AG37)/AG37*100)</f>
        <v>0</v>
      </c>
      <c r="AJ37" s="1350">
        <f ca="1">IF(method_reg="Метод сравнения аналогов",SUMIFS(INDEX('Калькуляция (МСА)'!$AE$25:$BC$82,,MATCH(AJ$8,'Калькуляция (МСА)'!$AE$8:$BC$8,0)),'Калькуляция (МСА)'!$F$25:$F$82,$F37,'Калькуляция (МСА)'!$G$25:$G$82,$G37),SUMIFS(INDEX('Калькуляция (5.9)'!$AJ$25:$BC$137,,MATCH(AJ$8,'Калькуляция (5.9)'!$AJ$8:$BC$8,0)),'Калькуляция (5.9)'!$F$25:$F$137,$F37,'Калькуляция (5.9)'!$G$25:$G$137,$G37))</f>
        <v>0</v>
      </c>
      <c r="AK37" s="1350">
        <f ca="1">IF(method_reg="Метод сравнения аналогов",SUMIFS(INDEX('Калькуляция (МСА)'!$AE$25:$BC$82,,MATCH(AK$8,'Калькуляция (МСА)'!$AE$8:$BC$8,0)),'Калькуляция (МСА)'!$F$25:$F$82,$F37,'Калькуляция (МСА)'!$G$25:$G$82,$G37),SUMIFS(INDEX('Калькуляция (5.9)'!$AJ$25:$BC$137,,MATCH(AK$8,'Калькуляция (5.9)'!$AJ$8:$BC$8,0)),'Калькуляция (5.9)'!$F$25:$F$137,$F37,'Калькуляция (5.9)'!$G$25:$G$137,$G37))</f>
        <v>0</v>
      </c>
      <c r="AL37" s="333">
        <f ca="1">IF(AJ37=0,0,(AK37-AJ37)/AJ37*100)</f>
        <v>0</v>
      </c>
      <c r="AM37" s="97">
        <f ca="1">IF(method_reg="Метод сравнения аналогов",SUMIFS(INDEX('Калькуляция (МСА)'!$AE$25:$BC$82,,MATCH(AM$8,'Калькуляция (МСА)'!$AE$8:$BC$8,0)),'Калькуляция (МСА)'!$F$25:$F$82,$F37,'Калькуляция (МСА)'!$G$25:$G$82,$G37),SUMIFS(INDEX('Калькуляция (5.9)'!$AJ$25:$BC$137,,MATCH(AM$8,'Калькуляция (5.9)'!$AJ$8:$BC$8,0)),'Калькуляция (5.9)'!$F$25:$F$137,$F37,'Калькуляция (5.9)'!$G$25:$G$137,$G37))</f>
        <v>0</v>
      </c>
      <c r="AN37" s="97">
        <f ca="1">IF(method_reg="Метод сравнения аналогов",SUMIFS(INDEX('Калькуляция (МСА)'!$AE$25:$BC$82,,MATCH(AN$8,'Калькуляция (МСА)'!$AE$8:$BC$8,0)),'Калькуляция (МСА)'!$F$25:$F$82,$F37,'Калькуляция (МСА)'!$G$25:$G$82,$G37),SUMIFS(INDEX('Калькуляция (5.9)'!$AJ$25:$BC$137,,MATCH(AN$8,'Калькуляция (5.9)'!$AJ$8:$BC$8,0)),'Калькуляция (5.9)'!$F$25:$F$137,$F37,'Калькуляция (5.9)'!$G$25:$G$137,$G37))</f>
        <v>0</v>
      </c>
      <c r="AO37" s="333">
        <f ca="1">IF(AM37=0,0,(AN37-AM37)/AM37*100)</f>
        <v>0</v>
      </c>
      <c r="AP37" s="97">
        <f ca="1">IF(method_reg="Метод сравнения аналогов",SUMIFS(INDEX('Калькуляция (МСА)'!$AE$25:$BC$82,,MATCH(AP$8,'Калькуляция (МСА)'!$AE$8:$BC$8,0)),'Калькуляция (МСА)'!$F$25:$F$82,$F37,'Калькуляция (МСА)'!$G$25:$G$82,$G37),SUMIFS(INDEX('Калькуляция (5.9)'!$AJ$25:$BC$137,,MATCH(AP$8,'Калькуляция (5.9)'!$AJ$8:$BC$8,0)),'Калькуляция (5.9)'!$F$25:$F$137,$F37,'Калькуляция (5.9)'!$G$25:$G$137,$G37))</f>
        <v>0</v>
      </c>
      <c r="AQ37" s="97">
        <f ca="1">IF(method_reg="Метод сравнения аналогов",SUMIFS(INDEX('Калькуляция (МСА)'!$AE$25:$BC$82,,MATCH(AQ$8,'Калькуляция (МСА)'!$AE$8:$BC$8,0)),'Калькуляция (МСА)'!$F$25:$F$82,$F37,'Калькуляция (МСА)'!$G$25:$G$82,$G37),SUMIFS(INDEX('Калькуляция (5.9)'!$AJ$25:$BC$137,,MATCH(AQ$8,'Калькуляция (5.9)'!$AJ$8:$BC$8,0)),'Калькуляция (5.9)'!$F$25:$F$137,$F37,'Калькуляция (5.9)'!$G$25:$G$137,$G37))</f>
        <v>0</v>
      </c>
      <c r="AR37" s="333">
        <f ca="1">IF(AP37=0,0,(AQ37-AP37)/AP37*100)</f>
        <v>0</v>
      </c>
      <c r="AS37" s="97">
        <f ca="1">IF(method_reg="Метод сравнения аналогов",SUMIFS(INDEX('Калькуляция (МСА)'!$AE$25:$BC$82,,MATCH(AS$8,'Калькуляция (МСА)'!$AE$8:$BC$8,0)),'Калькуляция (МСА)'!$F$25:$F$82,$F37,'Калькуляция (МСА)'!$G$25:$G$82,$G37),SUMIFS(INDEX('Калькуляция (5.9)'!$AJ$25:$BC$137,,MATCH(AS$8,'Калькуляция (5.9)'!$AJ$8:$BC$8,0)),'Калькуляция (5.9)'!$F$25:$F$137,$F37,'Калькуляция (5.9)'!$G$25:$G$137,$G37))</f>
        <v>0</v>
      </c>
      <c r="AT37" s="97">
        <f ca="1">IF(method_reg="Метод сравнения аналогов",SUMIFS(INDEX('Калькуляция (МСА)'!$AE$25:$BC$82,,MATCH(AT$8,'Калькуляция (МСА)'!$AE$8:$BC$8,0)),'Калькуляция (МСА)'!$F$25:$F$82,$F37,'Калькуляция (МСА)'!$G$25:$G$82,$G37),SUMIFS(INDEX('Калькуляция (5.9)'!$AJ$25:$BC$137,,MATCH(AT$8,'Калькуляция (5.9)'!$AJ$8:$BC$8,0)),'Калькуляция (5.9)'!$F$25:$F$137,$F37,'Калькуляция (5.9)'!$G$25:$G$137,$G37))</f>
        <v>0</v>
      </c>
      <c r="AU37" s="333">
        <f ca="1">IF(AS37=0,0,(AT37-AS37)/AS37*100)</f>
        <v>0</v>
      </c>
      <c r="AV37" s="97">
        <f ca="1">IF(method_reg="Метод сравнения аналогов",SUMIFS(INDEX('Калькуляция (МСА)'!$AE$25:$BC$82,,MATCH(AV$8,'Калькуляция (МСА)'!$AE$8:$BC$8,0)),'Калькуляция (МСА)'!$F$25:$F$82,$F37,'Калькуляция (МСА)'!$G$25:$G$82,$G37),SUMIFS(INDEX('Калькуляция (5.9)'!$AJ$25:$BC$137,,MATCH(AV$8,'Калькуляция (5.9)'!$AJ$8:$BC$8,0)),'Калькуляция (5.9)'!$F$25:$F$137,$F37,'Калькуляция (5.9)'!$G$25:$G$137,$G37))</f>
        <v>0</v>
      </c>
      <c r="AW37" s="97">
        <f ca="1">IF(method_reg="Метод сравнения аналогов",SUMIFS(INDEX('Калькуляция (МСА)'!$AE$25:$BC$82,,MATCH(AW$8,'Калькуляция (МСА)'!$AE$8:$BC$8,0)),'Калькуляция (МСА)'!$F$25:$F$82,$F37,'Калькуляция (МСА)'!$G$25:$G$82,$G37),SUMIFS(INDEX('Калькуляция (5.9)'!$AJ$25:$BC$137,,MATCH(AW$8,'Калькуляция (5.9)'!$AJ$8:$BC$8,0)),'Калькуляция (5.9)'!$F$25:$F$137,$F37,'Калькуляция (5.9)'!$G$25:$G$137,$G37))</f>
        <v>0</v>
      </c>
      <c r="AX37" s="333">
        <f ca="1">IF(AV37=0,0,(AW37-AV37)/AV37*100)</f>
        <v>0</v>
      </c>
      <c r="AY37" s="97">
        <f ca="1">IF(method_reg="Метод сравнения аналогов",SUMIFS(INDEX('Калькуляция (МСА)'!$AE$25:$BC$82,,MATCH(AY$8,'Калькуляция (МСА)'!$AE$8:$BC$8,0)),'Калькуляция (МСА)'!$F$25:$F$82,$F37,'Калькуляция (МСА)'!$G$25:$G$82,$G37),SUMIFS(INDEX('Калькуляция (5.9)'!$AJ$25:$BC$137,,MATCH(AY$8,'Калькуляция (5.9)'!$AJ$8:$BC$8,0)),'Калькуляция (5.9)'!$F$25:$F$137,$F37,'Калькуляция (5.9)'!$G$25:$G$137,$G37))</f>
        <v>0</v>
      </c>
      <c r="AZ37" s="97">
        <f ca="1">IF(method_reg="Метод сравнения аналогов",SUMIFS(INDEX('Калькуляция (МСА)'!$AE$25:$BC$82,,MATCH(AZ$8,'Калькуляция (МСА)'!$AE$8:$BC$8,0)),'Калькуляция (МСА)'!$F$25:$F$82,$F37,'Калькуляция (МСА)'!$G$25:$G$82,$G37),SUMIFS(INDEX('Калькуляция (5.9)'!$AJ$25:$BC$137,,MATCH(AZ$8,'Калькуляция (5.9)'!$AJ$8:$BC$8,0)),'Калькуляция (5.9)'!$F$25:$F$137,$F37,'Калькуляция (5.9)'!$G$25:$G$137,$G37))</f>
        <v>0</v>
      </c>
      <c r="BA37" s="333">
        <f ca="1">IF(AY37=0,0,(AZ37-AY37)/AY37*100)</f>
        <v>0</v>
      </c>
      <c r="BB37" s="97">
        <f ca="1">IF(method_reg="Метод сравнения аналогов",SUMIFS(INDEX('Калькуляция (МСА)'!$AE$25:$BC$82,,MATCH(BB$8,'Калькуляция (МСА)'!$AE$8:$BC$8,0)),'Калькуляция (МСА)'!$F$25:$F$82,$F37,'Калькуляция (МСА)'!$G$25:$G$82,$G37),SUMIFS(INDEX('Калькуляция (5.9)'!$AJ$25:$BC$137,,MATCH(BB$8,'Калькуляция (5.9)'!$AJ$8:$BC$8,0)),'Калькуляция (5.9)'!$F$25:$F$137,$F37,'Калькуляция (5.9)'!$G$25:$G$137,$G37))</f>
        <v>0</v>
      </c>
      <c r="BC37" s="97">
        <f ca="1">IF(method_reg="Метод сравнения аналогов",SUMIFS(INDEX('Калькуляция (МСА)'!$AE$25:$BC$82,,MATCH(BC$8,'Калькуляция (МСА)'!$AE$8:$BC$8,0)),'Калькуляция (МСА)'!$F$25:$F$82,$F37,'Калькуляция (МСА)'!$G$25:$G$82,$G37),SUMIFS(INDEX('Калькуляция (5.9)'!$AJ$25:$BC$137,,MATCH(BC$8,'Калькуляция (5.9)'!$AJ$8:$BC$8,0)),'Калькуляция (5.9)'!$F$25:$F$137,$F37,'Калькуляция (5.9)'!$G$25:$G$137,$G37))</f>
        <v>0</v>
      </c>
      <c r="BD37" s="333">
        <f ca="1">IF(BB37=0,0,(BC37-BB37)/BB37*100)</f>
        <v>0</v>
      </c>
      <c r="BE37" s="97">
        <f ca="1">IF(method_reg="Метод сравнения аналогов",SUMIFS(INDEX('Калькуляция (МСА)'!$AE$25:$BC$82,,MATCH(BE$8,'Калькуляция (МСА)'!$AE$8:$BC$8,0)),'Калькуляция (МСА)'!$F$25:$F$82,$F37,'Калькуляция (МСА)'!$G$25:$G$82,$G37),SUMIFS(INDEX('Калькуляция (5.9)'!$AJ$25:$BC$137,,MATCH(BE$8,'Калькуляция (5.9)'!$AJ$8:$BC$8,0)),'Калькуляция (5.9)'!$F$25:$F$137,$F37,'Калькуляция (5.9)'!$G$25:$G$137,$G37))</f>
        <v>0</v>
      </c>
      <c r="BF37" s="97">
        <f ca="1">IF(method_reg="Метод сравнения аналогов",SUMIFS(INDEX('Калькуляция (МСА)'!$AE$25:$BC$82,,MATCH(BF$8,'Калькуляция (МСА)'!$AE$8:$BC$8,0)),'Калькуляция (МСА)'!$F$25:$F$82,$F37,'Калькуляция (МСА)'!$G$25:$G$82,$G37),SUMIFS(INDEX('Калькуляция (5.9)'!$AJ$25:$BC$137,,MATCH(BF$8,'Калькуляция (5.9)'!$AJ$8:$BC$8,0)),'Калькуляция (5.9)'!$F$25:$F$137,$F37,'Калькуляция (5.9)'!$G$25:$G$137,$G37))</f>
        <v>0</v>
      </c>
      <c r="BG37" s="333">
        <f ca="1">IF(BE37=0,0,(BF37-BE37)/BE37*100)</f>
        <v>0</v>
      </c>
      <c r="BH37" s="97"/>
      <c r="BI37" s="97"/>
      <c r="BJ37" s="333">
        <f>IF(BH37=0,0,(BI37-BH37)/BH37*100)</f>
        <v>0</v>
      </c>
      <c r="BK37" s="97"/>
      <c r="BL37" s="97"/>
      <c r="BM37" s="333">
        <f>IF(BK37=0,0,(BL37-BK37)/BK37*100)</f>
        <v>0</v>
      </c>
      <c r="BN37" s="97"/>
      <c r="BO37" s="97"/>
      <c r="BP37" s="333">
        <f>IF(BN37=0,0,(BO37-BN37)/BN37*100)</f>
        <v>0</v>
      </c>
      <c r="BQ37" s="97"/>
      <c r="BR37" s="97"/>
      <c r="BS37" s="333">
        <f>IF(BQ37=0,0,(BR37-BQ37)/BQ37*100)</f>
        <v>0</v>
      </c>
      <c r="BT37" s="97"/>
      <c r="BU37" s="97"/>
      <c r="BV37" s="333">
        <f>IF(BT37=0,0,(BU37-BT37)/BT37*100)</f>
        <v>0</v>
      </c>
      <c r="BW37" s="97"/>
      <c r="BX37" s="97"/>
      <c r="BY37" s="333">
        <f>IF(BW37=0,0,(BX37-BW37)/BW37*100)</f>
        <v>0</v>
      </c>
      <c r="BZ37" s="97"/>
      <c r="CA37" s="97"/>
      <c r="CB37" s="333">
        <f>IF(BZ37=0,0,(CA37-BZ37)/BZ37*100)</f>
        <v>0</v>
      </c>
      <c r="CC37" s="97"/>
      <c r="CD37" s="97"/>
      <c r="CE37" s="333">
        <f>IF(CC37=0,0,(CD37-CC37)/CC37*100)</f>
        <v>0</v>
      </c>
      <c r="CF37" s="97"/>
      <c r="CG37" s="97"/>
      <c r="CH37" s="333">
        <f>IF(CF37=0,0,(CG37-CF37)/CF37*100)</f>
        <v>0</v>
      </c>
      <c r="CI37" s="97"/>
      <c r="CJ37" s="97"/>
      <c r="CK37" s="333">
        <f>IF(CI37=0,0,(CJ37-CI37)/CI37*100)</f>
        <v>0</v>
      </c>
      <c r="CL37" s="97"/>
      <c r="CM37" s="97"/>
      <c r="CN37" s="333">
        <f>IF(CL37=0,0,(CM37-CL37)/CL37*100)</f>
        <v>0</v>
      </c>
      <c r="CO37" s="97"/>
      <c r="CP37" s="97"/>
      <c r="CQ37" s="333">
        <f>IF(CO37=0,0,(CP37-CO37)/CO37*100)</f>
        <v>0</v>
      </c>
      <c r="CR37" s="97"/>
      <c r="CS37" s="97"/>
      <c r="CT37" s="333">
        <f>IF(CR37=0,0,(CS37-CR37)/CR37*100)</f>
        <v>0</v>
      </c>
      <c r="CU37" s="97"/>
      <c r="CV37" s="97"/>
      <c r="CW37" s="333">
        <f>IF(CU37=0,0,(CV37-CU37)/CU37*100)</f>
        <v>0</v>
      </c>
      <c r="CX37" s="97"/>
      <c r="CY37" s="97"/>
      <c r="CZ37" s="333">
        <f>IF(CX37=0,0,(CY37-CX37)/CX37*100)</f>
        <v>0</v>
      </c>
      <c r="DA37" s="97"/>
      <c r="DB37" s="97"/>
      <c r="DC37" s="333">
        <f>IF(DA37=0,0,(DB37-DA37)/DA37*100)</f>
        <v>0</v>
      </c>
      <c r="DD37" s="97"/>
      <c r="DE37" s="97"/>
      <c r="DF37" s="333">
        <f>IF(DD37=0,0,(DE37-DD37)/DD37*100)</f>
        <v>0</v>
      </c>
      <c r="DG37" s="97"/>
      <c r="DH37" s="97"/>
      <c r="DI37" s="333">
        <f>IF(DG37=0,0,(DH37-DG37)/DG37*100)</f>
        <v>0</v>
      </c>
      <c r="DJ37" s="97"/>
      <c r="DK37" s="97"/>
      <c r="DL37" s="333">
        <f>IF(DJ37=0,0,(DK37-DJ37)/DJ37*100)</f>
        <v>0</v>
      </c>
      <c r="DM37" s="97"/>
      <c r="DN37" s="97"/>
      <c r="DO37" s="333">
        <f>IF(DM37=0,0,(DN37-DM37)/DM37*100)</f>
        <v>0</v>
      </c>
      <c r="DP37" s="97"/>
      <c r="DQ37" s="97"/>
      <c r="DR37" s="333">
        <f>IF(DP37=0,0,(DQ37-DP37)/DP37*100)</f>
        <v>0</v>
      </c>
      <c r="DS37" s="97"/>
      <c r="DT37" s="97"/>
      <c r="DU37" s="333">
        <f>IF(DS37=0,0,(DT37-DS37)/DS37*100)</f>
        <v>0</v>
      </c>
      <c r="DV37" s="97"/>
      <c r="DW37" s="97"/>
      <c r="DX37" s="333">
        <f>IF(DV37=0,0,(DW37-DV37)/DV37*100)</f>
        <v>0</v>
      </c>
      <c r="DY37" s="97"/>
      <c r="DZ37" s="97"/>
      <c r="EA37" s="333">
        <f>IF(DY37=0,0,(DZ37-DY37)/DY37*100)</f>
        <v>0</v>
      </c>
      <c r="EB37" s="97"/>
      <c r="EC37" s="97"/>
      <c r="ED37" s="333">
        <f>IF(EB37=0,0,(EC37-EB37)/EB37*100)</f>
        <v>0</v>
      </c>
      <c r="EE37" s="97"/>
      <c r="EF37" s="97"/>
      <c r="EG37" s="333">
        <f>IF(EE37=0,0,(EF37-EE37)/EE37*100)</f>
        <v>0</v>
      </c>
      <c r="EH37" s="97"/>
      <c r="EI37" s="97"/>
      <c r="EJ37" s="333">
        <f>IF(EH37=0,0,(EI37-EH37)/EH37*100)</f>
        <v>0</v>
      </c>
      <c r="EK37" s="97"/>
      <c r="EL37" s="97"/>
      <c r="EM37" s="333">
        <f>IF(EK37=0,0,(EL37-EK37)/EK37*100)</f>
        <v>0</v>
      </c>
      <c r="EN37" s="97"/>
      <c r="EO37" s="97"/>
      <c r="EP37" s="333">
        <f>IF(EN37=0,0,(EO37-EN37)/EN37*100)</f>
        <v>0</v>
      </c>
      <c r="EQ37" s="97"/>
      <c r="ER37" s="97"/>
      <c r="ES37" s="333">
        <f>IF(EQ37=0,0,(ER37-EQ37)/EQ37*100)</f>
        <v>0</v>
      </c>
      <c r="ET37" s="97"/>
      <c r="EU37" s="97"/>
      <c r="EV37" s="333">
        <f>IF(ET37=0,0,(EU37-ET37)/ET37*100)</f>
        <v>0</v>
      </c>
      <c r="EW37" s="97"/>
      <c r="EX37" s="97"/>
      <c r="EY37" s="333">
        <f>IF(EW37=0,0,(EX37-EW37)/EW37*100)</f>
        <v>0</v>
      </c>
      <c r="EZ37" s="97"/>
      <c r="FA37" s="97"/>
      <c r="FB37" s="333">
        <f>IF(EZ37=0,0,(FA37-EZ37)/EZ37*100)</f>
        <v>0</v>
      </c>
      <c r="FC37" s="97"/>
      <c r="FD37" s="97"/>
      <c r="FE37" s="333">
        <f>IF(FC37=0,0,(FD37-FC37)/FC37*100)</f>
        <v>0</v>
      </c>
      <c r="FF37" s="97"/>
      <c r="FG37" s="97"/>
      <c r="FH37" s="333">
        <f>IF(FF37=0,0,(FG37-FF37)/FF37*100)</f>
        <v>0</v>
      </c>
      <c r="FI37" s="97"/>
      <c r="FJ37" s="97"/>
      <c r="FK37" s="333">
        <f>IF(FI37=0,0,(FJ37-FI37)/FI37*100)</f>
        <v>0</v>
      </c>
      <c r="FL37" s="97"/>
      <c r="FM37" s="97"/>
      <c r="FN37" s="333">
        <f>IF(FL37=0,0,(FM37-FL37)/FL37*100)</f>
        <v>0</v>
      </c>
      <c r="FO37" s="97"/>
      <c r="FP37" s="97"/>
      <c r="FQ37" s="333">
        <f>IF(FO37=0,0,(FP37-FO37)/FO37*100)</f>
        <v>0</v>
      </c>
      <c r="FR37" s="97"/>
      <c r="FS37" s="97"/>
      <c r="FT37" s="333">
        <f>IF(FR37=0,0,(FS37-FR37)/FR37*100)</f>
        <v>0</v>
      </c>
      <c r="FU37" s="97"/>
      <c r="FV37" s="97"/>
      <c r="FW37" s="333">
        <f>IF(FU37=0,0,(FV37-FU37)/FU37*100)</f>
        <v>0</v>
      </c>
      <c r="FZ37" s="971" t="s">
        <v>2132</v>
      </c>
      <c r="GA37" s="971"/>
      <c r="GB37" s="971"/>
      <c r="GC37" s="971"/>
      <c r="GD37" s="971"/>
    </row>
    <row r="38" spans="2:186" ht="16.7" hidden="1" customHeight="1" x14ac:dyDescent="0.15">
      <c r="B38" s="803" t="b" cm="1">
        <f t="array" ref="B38">B37</f>
        <v>0</v>
      </c>
      <c r="C38" s="1108" t="s">
        <v>1747</v>
      </c>
      <c r="D38" s="1077" t="s">
        <v>1748</v>
      </c>
      <c r="E38" s="668">
        <v>17.100000000000001</v>
      </c>
      <c r="F38" s="769" cm="1">
        <f t="array" aca="1" ref="F38" ca="1">OFFSET(G38,-1,-1)</f>
        <v>0</v>
      </c>
      <c r="G38" s="140" t="s">
        <v>1758</v>
      </c>
      <c r="J38" s="1098" t="s">
        <v>2115</v>
      </c>
      <c r="K38" s="1098" cm="1">
        <f t="array" aca="1" ref="K38" ca="1">OFFSET(J38,-1,1)</f>
        <v>0</v>
      </c>
      <c r="L38" s="1098" t="s">
        <v>2129</v>
      </c>
      <c r="M38" s="1098" t="s">
        <v>1759</v>
      </c>
      <c r="N38" s="1098" t="s">
        <v>2117</v>
      </c>
      <c r="O38" s="1099" t="s">
        <v>2118</v>
      </c>
      <c r="P38" s="1098"/>
      <c r="Q38" s="1098"/>
      <c r="T38" s="679" t="b" cm="1">
        <f t="array" aca="1" ref="T38" ca="1">T37</f>
        <v>0</v>
      </c>
      <c r="X38" s="1485"/>
      <c r="Z38" s="1485"/>
      <c r="AB38" s="233" t="s">
        <v>1760</v>
      </c>
      <c r="AC38" s="120" t="s">
        <v>622</v>
      </c>
      <c r="AD38" s="97">
        <f ca="1">IF(method_reg="Метод экономически обоснованных расходов",SUMIFS('Калькуляция (4.6)'!AJ$25:AJ$162,'Калькуляция (4.6)'!$F$25:$F$162,$F38,'Калькуляция (4.6)'!$G$25:$G$162,$G38),IF(method_reg="Метод сравнения аналогов",SUMIFS(INDEX('Калькуляция (МСА)'!$AE$25:$BC$82,,MATCH(AD$8,'Калькуляция (МСА)'!$AE$8:$BC$8,0)),'Калькуляция (МСА)'!$F$25:$F$82,$F38,'Калькуляция (МСА)'!$G$25:$G$82,$G38),SUMIFS(INDEX('Калькуляция (5.9)'!$AJ$25:$BC$137,,MATCH(AD$8,'Калькуляция (5.9)'!$AJ$8:$BC$8,0)),'Калькуляция (5.9)'!$F$25:$F$137,$F38,'Калькуляция (5.9)'!$G$25:$G$137,$G38)))</f>
        <v>0</v>
      </c>
      <c r="AE38" s="97">
        <f ca="1">IF(method_reg="Метод экономически обоснованных расходов",SUMIFS('Калькуляция (4.6)'!AK$25:AK$162,'Калькуляция (4.6)'!$F$25:$F$162,$F38,'Калькуляция (4.6)'!$G$25:$G$162,$G38),IF(method_reg="Метод сравнения аналогов",SUMIFS(INDEX('Калькуляция (МСА)'!$AE$25:$BC$82,,MATCH(AE$8,'Калькуляция (МСА)'!$AE$8:$BC$8,0)),'Калькуляция (МСА)'!$F$25:$F$82,$F38,'Калькуляция (МСА)'!$G$25:$G$82,$G38),SUMIFS(INDEX('Калькуляция (5.9)'!$AJ$25:$BC$137,,MATCH(AE$8,'Калькуляция (5.9)'!$AJ$8:$BC$8,0)),'Калькуляция (5.9)'!$F$25:$F$137,$F38,'Калькуляция (5.9)'!$G$25:$G$137,$G38)))</f>
        <v>0</v>
      </c>
      <c r="AF38" s="333">
        <f ca="1">IF(AD38=0,0,(AE38-AD38)/AD38*100)</f>
        <v>0</v>
      </c>
      <c r="AG38" s="1350">
        <f ca="1">IF(method_reg="Метод сравнения аналогов",SUMIFS(INDEX('Калькуляция (МСА)'!$AE$25:$BC$82,,MATCH(AG$8,'Калькуляция (МСА)'!$AE$8:$BC$8,0)),'Калькуляция (МСА)'!$F$25:$F$82,$F38,'Калькуляция (МСА)'!$G$25:$G$82,$G38),SUMIFS(INDEX('Калькуляция (5.9)'!$AJ$25:$BC$137,,MATCH(AG$8,'Калькуляция (5.9)'!$AJ$8:$BC$8,0)),'Калькуляция (5.9)'!$F$25:$F$137,$F38,'Калькуляция (5.9)'!$G$25:$G$137,$G38))</f>
        <v>0</v>
      </c>
      <c r="AH38" s="1350">
        <f ca="1">IF(method_reg="Метод сравнения аналогов",SUMIFS(INDEX('Калькуляция (МСА)'!$AE$25:$BC$82,,MATCH(AH$8,'Калькуляция (МСА)'!$AE$8:$BC$8,0)),'Калькуляция (МСА)'!$F$25:$F$82,$F38,'Калькуляция (МСА)'!$G$25:$G$82,$G38),SUMIFS(INDEX('Калькуляция (5.9)'!$AJ$25:$BC$137,,MATCH(AH$8,'Калькуляция (5.9)'!$AJ$8:$BC$8,0)),'Калькуляция (5.9)'!$F$25:$F$137,$F38,'Калькуляция (5.9)'!$G$25:$G$137,$G38))</f>
        <v>0</v>
      </c>
      <c r="AI38" s="333">
        <f ca="1">IF(AG38=0,0,(AH38-AG38)/AG38*100)</f>
        <v>0</v>
      </c>
      <c r="AJ38" s="1350">
        <f ca="1">IF(method_reg="Метод сравнения аналогов",SUMIFS(INDEX('Калькуляция (МСА)'!$AE$25:$BC$82,,MATCH(AJ$8,'Калькуляция (МСА)'!$AE$8:$BC$8,0)),'Калькуляция (МСА)'!$F$25:$F$82,$F38,'Калькуляция (МСА)'!$G$25:$G$82,$G38),SUMIFS(INDEX('Калькуляция (5.9)'!$AJ$25:$BC$137,,MATCH(AJ$8,'Калькуляция (5.9)'!$AJ$8:$BC$8,0)),'Калькуляция (5.9)'!$F$25:$F$137,$F38,'Калькуляция (5.9)'!$G$25:$G$137,$G38))</f>
        <v>0</v>
      </c>
      <c r="AK38" s="1350">
        <f ca="1">IF(method_reg="Метод сравнения аналогов",SUMIFS(INDEX('Калькуляция (МСА)'!$AE$25:$BC$82,,MATCH(AK$8,'Калькуляция (МСА)'!$AE$8:$BC$8,0)),'Калькуляция (МСА)'!$F$25:$F$82,$F38,'Калькуляция (МСА)'!$G$25:$G$82,$G38),SUMIFS(INDEX('Калькуляция (5.9)'!$AJ$25:$BC$137,,MATCH(AK$8,'Калькуляция (5.9)'!$AJ$8:$BC$8,0)),'Калькуляция (5.9)'!$F$25:$F$137,$F38,'Калькуляция (5.9)'!$G$25:$G$137,$G38))</f>
        <v>0</v>
      </c>
      <c r="AL38" s="333">
        <f ca="1">IF(AJ38=0,0,(AK38-AJ38)/AJ38*100)</f>
        <v>0</v>
      </c>
      <c r="AM38" s="97">
        <f ca="1">IF(method_reg="Метод сравнения аналогов",SUMIFS(INDEX('Калькуляция (МСА)'!$AE$25:$BC$82,,MATCH(AM$8,'Калькуляция (МСА)'!$AE$8:$BC$8,0)),'Калькуляция (МСА)'!$F$25:$F$82,$F38,'Калькуляция (МСА)'!$G$25:$G$82,$G38),SUMIFS(INDEX('Калькуляция (5.9)'!$AJ$25:$BC$137,,MATCH(AM$8,'Калькуляция (5.9)'!$AJ$8:$BC$8,0)),'Калькуляция (5.9)'!$F$25:$F$137,$F38,'Калькуляция (5.9)'!$G$25:$G$137,$G38))</f>
        <v>0</v>
      </c>
      <c r="AN38" s="97">
        <f ca="1">IF(method_reg="Метод сравнения аналогов",SUMIFS(INDEX('Калькуляция (МСА)'!$AE$25:$BC$82,,MATCH(AN$8,'Калькуляция (МСА)'!$AE$8:$BC$8,0)),'Калькуляция (МСА)'!$F$25:$F$82,$F38,'Калькуляция (МСА)'!$G$25:$G$82,$G38),SUMIFS(INDEX('Калькуляция (5.9)'!$AJ$25:$BC$137,,MATCH(AN$8,'Калькуляция (5.9)'!$AJ$8:$BC$8,0)),'Калькуляция (5.9)'!$F$25:$F$137,$F38,'Калькуляция (5.9)'!$G$25:$G$137,$G38))</f>
        <v>0</v>
      </c>
      <c r="AO38" s="333">
        <f ca="1">IF(AM38=0,0,(AN38-AM38)/AM38*100)</f>
        <v>0</v>
      </c>
      <c r="AP38" s="97">
        <f ca="1">IF(method_reg="Метод сравнения аналогов",SUMIFS(INDEX('Калькуляция (МСА)'!$AE$25:$BC$82,,MATCH(AP$8,'Калькуляция (МСА)'!$AE$8:$BC$8,0)),'Калькуляция (МСА)'!$F$25:$F$82,$F38,'Калькуляция (МСА)'!$G$25:$G$82,$G38),SUMIFS(INDEX('Калькуляция (5.9)'!$AJ$25:$BC$137,,MATCH(AP$8,'Калькуляция (5.9)'!$AJ$8:$BC$8,0)),'Калькуляция (5.9)'!$F$25:$F$137,$F38,'Калькуляция (5.9)'!$G$25:$G$137,$G38))</f>
        <v>0</v>
      </c>
      <c r="AQ38" s="97">
        <f ca="1">IF(method_reg="Метод сравнения аналогов",SUMIFS(INDEX('Калькуляция (МСА)'!$AE$25:$BC$82,,MATCH(AQ$8,'Калькуляция (МСА)'!$AE$8:$BC$8,0)),'Калькуляция (МСА)'!$F$25:$F$82,$F38,'Калькуляция (МСА)'!$G$25:$G$82,$G38),SUMIFS(INDEX('Калькуляция (5.9)'!$AJ$25:$BC$137,,MATCH(AQ$8,'Калькуляция (5.9)'!$AJ$8:$BC$8,0)),'Калькуляция (5.9)'!$F$25:$F$137,$F38,'Калькуляция (5.9)'!$G$25:$G$137,$G38))</f>
        <v>0</v>
      </c>
      <c r="AR38" s="333">
        <f ca="1">IF(AP38=0,0,(AQ38-AP38)/AP38*100)</f>
        <v>0</v>
      </c>
      <c r="AS38" s="97">
        <f ca="1">IF(method_reg="Метод сравнения аналогов",SUMIFS(INDEX('Калькуляция (МСА)'!$AE$25:$BC$82,,MATCH(AS$8,'Калькуляция (МСА)'!$AE$8:$BC$8,0)),'Калькуляция (МСА)'!$F$25:$F$82,$F38,'Калькуляция (МСА)'!$G$25:$G$82,$G38),SUMIFS(INDEX('Калькуляция (5.9)'!$AJ$25:$BC$137,,MATCH(AS$8,'Калькуляция (5.9)'!$AJ$8:$BC$8,0)),'Калькуляция (5.9)'!$F$25:$F$137,$F38,'Калькуляция (5.9)'!$G$25:$G$137,$G38))</f>
        <v>0</v>
      </c>
      <c r="AT38" s="97">
        <f ca="1">IF(method_reg="Метод сравнения аналогов",SUMIFS(INDEX('Калькуляция (МСА)'!$AE$25:$BC$82,,MATCH(AT$8,'Калькуляция (МСА)'!$AE$8:$BC$8,0)),'Калькуляция (МСА)'!$F$25:$F$82,$F38,'Калькуляция (МСА)'!$G$25:$G$82,$G38),SUMIFS(INDEX('Калькуляция (5.9)'!$AJ$25:$BC$137,,MATCH(AT$8,'Калькуляция (5.9)'!$AJ$8:$BC$8,0)),'Калькуляция (5.9)'!$F$25:$F$137,$F38,'Калькуляция (5.9)'!$G$25:$G$137,$G38))</f>
        <v>0</v>
      </c>
      <c r="AU38" s="333">
        <f ca="1">IF(AS38=0,0,(AT38-AS38)/AS38*100)</f>
        <v>0</v>
      </c>
      <c r="AV38" s="97">
        <f ca="1">IF(method_reg="Метод сравнения аналогов",SUMIFS(INDEX('Калькуляция (МСА)'!$AE$25:$BC$82,,MATCH(AV$8,'Калькуляция (МСА)'!$AE$8:$BC$8,0)),'Калькуляция (МСА)'!$F$25:$F$82,$F38,'Калькуляция (МСА)'!$G$25:$G$82,$G38),SUMIFS(INDEX('Калькуляция (5.9)'!$AJ$25:$BC$137,,MATCH(AV$8,'Калькуляция (5.9)'!$AJ$8:$BC$8,0)),'Калькуляция (5.9)'!$F$25:$F$137,$F38,'Калькуляция (5.9)'!$G$25:$G$137,$G38))</f>
        <v>0</v>
      </c>
      <c r="AW38" s="97">
        <f ca="1">IF(method_reg="Метод сравнения аналогов",SUMIFS(INDEX('Калькуляция (МСА)'!$AE$25:$BC$82,,MATCH(AW$8,'Калькуляция (МСА)'!$AE$8:$BC$8,0)),'Калькуляция (МСА)'!$F$25:$F$82,$F38,'Калькуляция (МСА)'!$G$25:$G$82,$G38),SUMIFS(INDEX('Калькуляция (5.9)'!$AJ$25:$BC$137,,MATCH(AW$8,'Калькуляция (5.9)'!$AJ$8:$BC$8,0)),'Калькуляция (5.9)'!$F$25:$F$137,$F38,'Калькуляция (5.9)'!$G$25:$G$137,$G38))</f>
        <v>0</v>
      </c>
      <c r="AX38" s="333">
        <f ca="1">IF(AV38=0,0,(AW38-AV38)/AV38*100)</f>
        <v>0</v>
      </c>
      <c r="AY38" s="97">
        <f ca="1">IF(method_reg="Метод сравнения аналогов",SUMIFS(INDEX('Калькуляция (МСА)'!$AE$25:$BC$82,,MATCH(AY$8,'Калькуляция (МСА)'!$AE$8:$BC$8,0)),'Калькуляция (МСА)'!$F$25:$F$82,$F38,'Калькуляция (МСА)'!$G$25:$G$82,$G38),SUMIFS(INDEX('Калькуляция (5.9)'!$AJ$25:$BC$137,,MATCH(AY$8,'Калькуляция (5.9)'!$AJ$8:$BC$8,0)),'Калькуляция (5.9)'!$F$25:$F$137,$F38,'Калькуляция (5.9)'!$G$25:$G$137,$G38))</f>
        <v>0</v>
      </c>
      <c r="AZ38" s="97">
        <f ca="1">IF(method_reg="Метод сравнения аналогов",SUMIFS(INDEX('Калькуляция (МСА)'!$AE$25:$BC$82,,MATCH(AZ$8,'Калькуляция (МСА)'!$AE$8:$BC$8,0)),'Калькуляция (МСА)'!$F$25:$F$82,$F38,'Калькуляция (МСА)'!$G$25:$G$82,$G38),SUMIFS(INDEX('Калькуляция (5.9)'!$AJ$25:$BC$137,,MATCH(AZ$8,'Калькуляция (5.9)'!$AJ$8:$BC$8,0)),'Калькуляция (5.9)'!$F$25:$F$137,$F38,'Калькуляция (5.9)'!$G$25:$G$137,$G38))</f>
        <v>0</v>
      </c>
      <c r="BA38" s="333">
        <f ca="1">IF(AY38=0,0,(AZ38-AY38)/AY38*100)</f>
        <v>0</v>
      </c>
      <c r="BB38" s="97">
        <f ca="1">IF(method_reg="Метод сравнения аналогов",SUMIFS(INDEX('Калькуляция (МСА)'!$AE$25:$BC$82,,MATCH(BB$8,'Калькуляция (МСА)'!$AE$8:$BC$8,0)),'Калькуляция (МСА)'!$F$25:$F$82,$F38,'Калькуляция (МСА)'!$G$25:$G$82,$G38),SUMIFS(INDEX('Калькуляция (5.9)'!$AJ$25:$BC$137,,MATCH(BB$8,'Калькуляция (5.9)'!$AJ$8:$BC$8,0)),'Калькуляция (5.9)'!$F$25:$F$137,$F38,'Калькуляция (5.9)'!$G$25:$G$137,$G38))</f>
        <v>0</v>
      </c>
      <c r="BC38" s="97">
        <f ca="1">IF(method_reg="Метод сравнения аналогов",SUMIFS(INDEX('Калькуляция (МСА)'!$AE$25:$BC$82,,MATCH(BC$8,'Калькуляция (МСА)'!$AE$8:$BC$8,0)),'Калькуляция (МСА)'!$F$25:$F$82,$F38,'Калькуляция (МСА)'!$G$25:$G$82,$G38),SUMIFS(INDEX('Калькуляция (5.9)'!$AJ$25:$BC$137,,MATCH(BC$8,'Калькуляция (5.9)'!$AJ$8:$BC$8,0)),'Калькуляция (5.9)'!$F$25:$F$137,$F38,'Калькуляция (5.9)'!$G$25:$G$137,$G38))</f>
        <v>0</v>
      </c>
      <c r="BD38" s="333">
        <f ca="1">IF(BB38=0,0,(BC38-BB38)/BB38*100)</f>
        <v>0</v>
      </c>
      <c r="BE38" s="97">
        <f ca="1">IF(method_reg="Метод сравнения аналогов",SUMIFS(INDEX('Калькуляция (МСА)'!$AE$25:$BC$82,,MATCH(BE$8,'Калькуляция (МСА)'!$AE$8:$BC$8,0)),'Калькуляция (МСА)'!$F$25:$F$82,$F38,'Калькуляция (МСА)'!$G$25:$G$82,$G38),SUMIFS(INDEX('Калькуляция (5.9)'!$AJ$25:$BC$137,,MATCH(BE$8,'Калькуляция (5.9)'!$AJ$8:$BC$8,0)),'Калькуляция (5.9)'!$F$25:$F$137,$F38,'Калькуляция (5.9)'!$G$25:$G$137,$G38))</f>
        <v>0</v>
      </c>
      <c r="BF38" s="97">
        <f ca="1">IF(method_reg="Метод сравнения аналогов",SUMIFS(INDEX('Калькуляция (МСА)'!$AE$25:$BC$82,,MATCH(BF$8,'Калькуляция (МСА)'!$AE$8:$BC$8,0)),'Калькуляция (МСА)'!$F$25:$F$82,$F38,'Калькуляция (МСА)'!$G$25:$G$82,$G38),SUMIFS(INDEX('Калькуляция (5.9)'!$AJ$25:$BC$137,,MATCH(BF$8,'Калькуляция (5.9)'!$AJ$8:$BC$8,0)),'Калькуляция (5.9)'!$F$25:$F$137,$F38,'Калькуляция (5.9)'!$G$25:$G$137,$G38))</f>
        <v>0</v>
      </c>
      <c r="BG38" s="333">
        <f ca="1">IF(BE38=0,0,(BF38-BE38)/BE38*100)</f>
        <v>0</v>
      </c>
      <c r="BH38" s="97"/>
      <c r="BI38" s="97"/>
      <c r="BJ38" s="333">
        <f>IF(BH38=0,0,(BI38-BH38)/BH38*100)</f>
        <v>0</v>
      </c>
      <c r="BK38" s="97"/>
      <c r="BL38" s="97"/>
      <c r="BM38" s="333">
        <f>IF(BK38=0,0,(BL38-BK38)/BK38*100)</f>
        <v>0</v>
      </c>
      <c r="BN38" s="97"/>
      <c r="BO38" s="97"/>
      <c r="BP38" s="333">
        <f>IF(BN38=0,0,(BO38-BN38)/BN38*100)</f>
        <v>0</v>
      </c>
      <c r="BQ38" s="97"/>
      <c r="BR38" s="97"/>
      <c r="BS38" s="333">
        <f>IF(BQ38=0,0,(BR38-BQ38)/BQ38*100)</f>
        <v>0</v>
      </c>
      <c r="BT38" s="97"/>
      <c r="BU38" s="97"/>
      <c r="BV38" s="333">
        <f>IF(BT38=0,0,(BU38-BT38)/BT38*100)</f>
        <v>0</v>
      </c>
      <c r="BW38" s="97"/>
      <c r="BX38" s="97"/>
      <c r="BY38" s="333">
        <f>IF(BW38=0,0,(BX38-BW38)/BW38*100)</f>
        <v>0</v>
      </c>
      <c r="BZ38" s="97"/>
      <c r="CA38" s="97"/>
      <c r="CB38" s="333">
        <f>IF(BZ38=0,0,(CA38-BZ38)/BZ38*100)</f>
        <v>0</v>
      </c>
      <c r="CC38" s="97"/>
      <c r="CD38" s="97"/>
      <c r="CE38" s="333">
        <f>IF(CC38=0,0,(CD38-CC38)/CC38*100)</f>
        <v>0</v>
      </c>
      <c r="CF38" s="97"/>
      <c r="CG38" s="97"/>
      <c r="CH38" s="333">
        <f>IF(CF38=0,0,(CG38-CF38)/CF38*100)</f>
        <v>0</v>
      </c>
      <c r="CI38" s="97"/>
      <c r="CJ38" s="97"/>
      <c r="CK38" s="333">
        <f>IF(CI38=0,0,(CJ38-CI38)/CI38*100)</f>
        <v>0</v>
      </c>
      <c r="CL38" s="97"/>
      <c r="CM38" s="97"/>
      <c r="CN38" s="333">
        <f>IF(CL38=0,0,(CM38-CL38)/CL38*100)</f>
        <v>0</v>
      </c>
      <c r="CO38" s="97"/>
      <c r="CP38" s="97"/>
      <c r="CQ38" s="333">
        <f>IF(CO38=0,0,(CP38-CO38)/CO38*100)</f>
        <v>0</v>
      </c>
      <c r="CR38" s="97"/>
      <c r="CS38" s="97"/>
      <c r="CT38" s="333">
        <f>IF(CR38=0,0,(CS38-CR38)/CR38*100)</f>
        <v>0</v>
      </c>
      <c r="CU38" s="97"/>
      <c r="CV38" s="97"/>
      <c r="CW38" s="333">
        <f>IF(CU38=0,0,(CV38-CU38)/CU38*100)</f>
        <v>0</v>
      </c>
      <c r="CX38" s="97"/>
      <c r="CY38" s="97"/>
      <c r="CZ38" s="333">
        <f>IF(CX38=0,0,(CY38-CX38)/CX38*100)</f>
        <v>0</v>
      </c>
      <c r="DA38" s="97"/>
      <c r="DB38" s="97"/>
      <c r="DC38" s="333">
        <f>IF(DA38=0,0,(DB38-DA38)/DA38*100)</f>
        <v>0</v>
      </c>
      <c r="DD38" s="97"/>
      <c r="DE38" s="97"/>
      <c r="DF38" s="333">
        <f>IF(DD38=0,0,(DE38-DD38)/DD38*100)</f>
        <v>0</v>
      </c>
      <c r="DG38" s="97"/>
      <c r="DH38" s="97"/>
      <c r="DI38" s="333">
        <f>IF(DG38=0,0,(DH38-DG38)/DG38*100)</f>
        <v>0</v>
      </c>
      <c r="DJ38" s="97"/>
      <c r="DK38" s="97"/>
      <c r="DL38" s="333">
        <f>IF(DJ38=0,0,(DK38-DJ38)/DJ38*100)</f>
        <v>0</v>
      </c>
      <c r="DM38" s="97"/>
      <c r="DN38" s="97"/>
      <c r="DO38" s="333">
        <f>IF(DM38=0,0,(DN38-DM38)/DM38*100)</f>
        <v>0</v>
      </c>
      <c r="DP38" s="97"/>
      <c r="DQ38" s="97"/>
      <c r="DR38" s="333">
        <f>IF(DP38=0,0,(DQ38-DP38)/DP38*100)</f>
        <v>0</v>
      </c>
      <c r="DS38" s="97"/>
      <c r="DT38" s="97"/>
      <c r="DU38" s="333">
        <f>IF(DS38=0,0,(DT38-DS38)/DS38*100)</f>
        <v>0</v>
      </c>
      <c r="DV38" s="97"/>
      <c r="DW38" s="97"/>
      <c r="DX38" s="333">
        <f>IF(DV38=0,0,(DW38-DV38)/DV38*100)</f>
        <v>0</v>
      </c>
      <c r="DY38" s="97"/>
      <c r="DZ38" s="97"/>
      <c r="EA38" s="333">
        <f>IF(DY38=0,0,(DZ38-DY38)/DY38*100)</f>
        <v>0</v>
      </c>
      <c r="EB38" s="97"/>
      <c r="EC38" s="97"/>
      <c r="ED38" s="333">
        <f>IF(EB38=0,0,(EC38-EB38)/EB38*100)</f>
        <v>0</v>
      </c>
      <c r="EE38" s="97"/>
      <c r="EF38" s="97"/>
      <c r="EG38" s="333">
        <f>IF(EE38=0,0,(EF38-EE38)/EE38*100)</f>
        <v>0</v>
      </c>
      <c r="EH38" s="97"/>
      <c r="EI38" s="97"/>
      <c r="EJ38" s="333">
        <f>IF(EH38=0,0,(EI38-EH38)/EH38*100)</f>
        <v>0</v>
      </c>
      <c r="EK38" s="97"/>
      <c r="EL38" s="97"/>
      <c r="EM38" s="333">
        <f>IF(EK38=0,0,(EL38-EK38)/EK38*100)</f>
        <v>0</v>
      </c>
      <c r="EN38" s="97"/>
      <c r="EO38" s="97"/>
      <c r="EP38" s="333">
        <f>IF(EN38=0,0,(EO38-EN38)/EN38*100)</f>
        <v>0</v>
      </c>
      <c r="EQ38" s="97"/>
      <c r="ER38" s="97"/>
      <c r="ES38" s="333">
        <f>IF(EQ38=0,0,(ER38-EQ38)/EQ38*100)</f>
        <v>0</v>
      </c>
      <c r="ET38" s="97"/>
      <c r="EU38" s="97"/>
      <c r="EV38" s="333">
        <f>IF(ET38=0,0,(EU38-ET38)/ET38*100)</f>
        <v>0</v>
      </c>
      <c r="EW38" s="97"/>
      <c r="EX38" s="97"/>
      <c r="EY38" s="333">
        <f>IF(EW38=0,0,(EX38-EW38)/EW38*100)</f>
        <v>0</v>
      </c>
      <c r="EZ38" s="97"/>
      <c r="FA38" s="97"/>
      <c r="FB38" s="333">
        <f>IF(EZ38=0,0,(FA38-EZ38)/EZ38*100)</f>
        <v>0</v>
      </c>
      <c r="FC38" s="97"/>
      <c r="FD38" s="97"/>
      <c r="FE38" s="333">
        <f>IF(FC38=0,0,(FD38-FC38)/FC38*100)</f>
        <v>0</v>
      </c>
      <c r="FF38" s="97"/>
      <c r="FG38" s="97"/>
      <c r="FH38" s="333">
        <f>IF(FF38=0,0,(FG38-FF38)/FF38*100)</f>
        <v>0</v>
      </c>
      <c r="FI38" s="97"/>
      <c r="FJ38" s="97"/>
      <c r="FK38" s="333">
        <f>IF(FI38=0,0,(FJ38-FI38)/FI38*100)</f>
        <v>0</v>
      </c>
      <c r="FL38" s="97"/>
      <c r="FM38" s="97"/>
      <c r="FN38" s="333">
        <f>IF(FL38=0,0,(FM38-FL38)/FL38*100)</f>
        <v>0</v>
      </c>
      <c r="FO38" s="97"/>
      <c r="FP38" s="97"/>
      <c r="FQ38" s="333">
        <f>IF(FO38=0,0,(FP38-FO38)/FO38*100)</f>
        <v>0</v>
      </c>
      <c r="FR38" s="97"/>
      <c r="FS38" s="97"/>
      <c r="FT38" s="333">
        <f>IF(FR38=0,0,(FS38-FR38)/FR38*100)</f>
        <v>0</v>
      </c>
      <c r="FU38" s="97"/>
      <c r="FV38" s="97"/>
      <c r="FW38" s="333">
        <f>IF(FU38=0,0,(FV38-FU38)/FU38*100)</f>
        <v>0</v>
      </c>
      <c r="FZ38" s="971" t="s">
        <v>2133</v>
      </c>
      <c r="GA38" s="971"/>
      <c r="GB38" s="971"/>
      <c r="GC38" s="971"/>
      <c r="GD38" s="971"/>
    </row>
    <row r="39" spans="2:186" s="302" customFormat="1" ht="16.7" hidden="1" customHeight="1" x14ac:dyDescent="0.15">
      <c r="B39" s="803" t="b" cm="1">
        <f t="array" ref="B39">B38</f>
        <v>0</v>
      </c>
      <c r="C39" s="1108" t="s">
        <v>2134</v>
      </c>
      <c r="D39" s="1077" t="s">
        <v>2135</v>
      </c>
      <c r="E39" s="668">
        <v>17.100000000000001</v>
      </c>
      <c r="F39" s="769" cm="1">
        <f t="array" aca="1" ref="F39" ca="1">OFFSET(G39,-1,-1)</f>
        <v>0</v>
      </c>
      <c r="H39" s="160" t="s">
        <v>524</v>
      </c>
      <c r="I39" s="160" t="s">
        <v>2136</v>
      </c>
      <c r="J39" s="1098" t="s">
        <v>2115</v>
      </c>
      <c r="K39" s="1098" cm="1">
        <f t="array" aca="1" ref="K39" ca="1">OFFSET(J39,-1,1)</f>
        <v>0</v>
      </c>
      <c r="L39" s="1098"/>
      <c r="M39" s="1098" t="s">
        <v>1750</v>
      </c>
      <c r="N39" s="1098" t="s">
        <v>2137</v>
      </c>
      <c r="O39" s="1099" t="s">
        <v>2138</v>
      </c>
      <c r="P39" s="1098"/>
      <c r="Q39" s="1098"/>
      <c r="T39" s="679" t="b" cm="1">
        <f t="array" aca="1" ref="T39" ca="1">T38</f>
        <v>0</v>
      </c>
      <c r="X39" s="1612"/>
      <c r="Z39" s="1612"/>
      <c r="AB39" s="1130" t="s">
        <v>2139</v>
      </c>
      <c r="AC39" s="303" t="s">
        <v>920</v>
      </c>
      <c r="AD39" s="96">
        <f ca="1">IF(tax_system="ОСНО",AD33*Сценарии!AE$26,AD33)</f>
        <v>0</v>
      </c>
      <c r="AE39" s="96">
        <f ca="1">IF(tax_system="ОСНО",AE33*Сценарии!AO$26,AE33)</f>
        <v>0</v>
      </c>
      <c r="AF39" s="304">
        <f ca="1">IF(AD39=0,0,(AE39-AD39)/AD39*100)</f>
        <v>0</v>
      </c>
      <c r="AG39" s="1349">
        <f ca="1">IF(tax_system="ОСНО",AG33*Сценарии!AF$26,AG33)</f>
        <v>0</v>
      </c>
      <c r="AH39" s="1349">
        <f ca="1">IF(tax_system="ОСНО",AH33*Сценарии!AP$26,AH33)</f>
        <v>0</v>
      </c>
      <c r="AI39" s="304">
        <f ca="1">IF(AG39=0,0,(AH39-AG39)/AG39*100)</f>
        <v>0</v>
      </c>
      <c r="AJ39" s="1349">
        <f ca="1">IF(tax_system="ОСНО",AJ33*Сценарии!AG$26,AJ33)</f>
        <v>0</v>
      </c>
      <c r="AK39" s="1349">
        <f ca="1">IF(tax_system="ОСНО",AK33*Сценарии!AQ$26,AK33)</f>
        <v>0</v>
      </c>
      <c r="AL39" s="304">
        <f ca="1">IF(AJ39=0,0,(AK39-AJ39)/AJ39*100)</f>
        <v>0</v>
      </c>
      <c r="AM39" s="96">
        <f ca="1">IF(tax_system="ОСНО",AM33*Сценарии!AH$26,AM33)</f>
        <v>0</v>
      </c>
      <c r="AN39" s="96">
        <f ca="1">IF(tax_system="ОСНО",AN33*Сценарии!AR$26,AN33)</f>
        <v>0</v>
      </c>
      <c r="AO39" s="304">
        <f ca="1">IF(AM39=0,0,(AN39-AM39)/AM39*100)</f>
        <v>0</v>
      </c>
      <c r="AP39" s="96">
        <f ca="1">IF(tax_system="ОСНО",AP33*Сценарии!AI$26,AP33)</f>
        <v>0</v>
      </c>
      <c r="AQ39" s="96">
        <f ca="1">IF(tax_system="ОСНО",AQ33*Сценарии!AS$26,AQ33)</f>
        <v>0</v>
      </c>
      <c r="AR39" s="304">
        <f ca="1">IF(AP39=0,0,(AQ39-AP39)/AP39*100)</f>
        <v>0</v>
      </c>
      <c r="AS39" s="96">
        <f ca="1">IF(tax_system="ОСНО",AS33*Сценарии!AJ$26,AS33)</f>
        <v>0</v>
      </c>
      <c r="AT39" s="96">
        <f ca="1">IF(tax_system="ОСНО",AT33*Сценарии!AT$26,AT33)</f>
        <v>0</v>
      </c>
      <c r="AU39" s="304">
        <f ca="1">IF(AS39=0,0,(AT39-AS39)/AS39*100)</f>
        <v>0</v>
      </c>
      <c r="AV39" s="96">
        <f ca="1">IF(tax_system="ОСНО",AV33*Сценарии!AK$26,AV33)</f>
        <v>0</v>
      </c>
      <c r="AW39" s="96">
        <f ca="1">IF(tax_system="ОСНО",AW33*Сценарии!AU$26,AW33)</f>
        <v>0</v>
      </c>
      <c r="AX39" s="304">
        <f ca="1">IF(AV39=0,0,(AW39-AV39)/AV39*100)</f>
        <v>0</v>
      </c>
      <c r="AY39" s="96">
        <f ca="1">IF(tax_system="ОСНО",AY33*Сценарии!AL$26,AY33)</f>
        <v>0</v>
      </c>
      <c r="AZ39" s="96">
        <f ca="1">IF(tax_system="ОСНО",AZ33*Сценарии!AV$26,AZ33)</f>
        <v>0</v>
      </c>
      <c r="BA39" s="304">
        <f ca="1">IF(AY39=0,0,(AZ39-AY39)/AY39*100)</f>
        <v>0</v>
      </c>
      <c r="BB39" s="96">
        <f ca="1">IF(tax_system="ОСНО",BB33*Сценарии!AM$26,BB33)</f>
        <v>0</v>
      </c>
      <c r="BC39" s="96">
        <f ca="1">IF(tax_system="ОСНО",BC33*Сценарии!AW$26,BC33)</f>
        <v>0</v>
      </c>
      <c r="BD39" s="304">
        <f ca="1">IF(BB39=0,0,(BC39-BB39)/BB39*100)</f>
        <v>0</v>
      </c>
      <c r="BE39" s="96">
        <f ca="1">IF(tax_system="ОСНО",BE33*Сценарии!AN$26,BE33)</f>
        <v>0</v>
      </c>
      <c r="BF39" s="96">
        <f ca="1">IF(tax_system="ОСНО",BF33*Сценарии!AX$26,BF33)</f>
        <v>0</v>
      </c>
      <c r="BG39" s="304">
        <f ca="1">IF(BE39=0,0,(BF39-BE39)/BE39*100)</f>
        <v>0</v>
      </c>
      <c r="BH39" s="96"/>
      <c r="BI39" s="96"/>
      <c r="BJ39" s="304">
        <f>IF(BH39=0,0,(BI39-BH39)/BH39*100)</f>
        <v>0</v>
      </c>
      <c r="BK39" s="96"/>
      <c r="BL39" s="96"/>
      <c r="BM39" s="304">
        <f>IF(BK39=0,0,(BL39-BK39)/BK39*100)</f>
        <v>0</v>
      </c>
      <c r="BN39" s="96"/>
      <c r="BO39" s="96"/>
      <c r="BP39" s="304">
        <f>IF(BN39=0,0,(BO39-BN39)/BN39*100)</f>
        <v>0</v>
      </c>
      <c r="BQ39" s="96"/>
      <c r="BR39" s="96"/>
      <c r="BS39" s="304">
        <f>IF(BQ39=0,0,(BR39-BQ39)/BQ39*100)</f>
        <v>0</v>
      </c>
      <c r="BT39" s="96"/>
      <c r="BU39" s="96"/>
      <c r="BV39" s="304">
        <f>IF(BT39=0,0,(BU39-BT39)/BT39*100)</f>
        <v>0</v>
      </c>
      <c r="BW39" s="96"/>
      <c r="BX39" s="96"/>
      <c r="BY39" s="304">
        <f>IF(BW39=0,0,(BX39-BW39)/BW39*100)</f>
        <v>0</v>
      </c>
      <c r="BZ39" s="96"/>
      <c r="CA39" s="96"/>
      <c r="CB39" s="304">
        <f>IF(BZ39=0,0,(CA39-BZ39)/BZ39*100)</f>
        <v>0</v>
      </c>
      <c r="CC39" s="96"/>
      <c r="CD39" s="96"/>
      <c r="CE39" s="304">
        <f>IF(CC39=0,0,(CD39-CC39)/CC39*100)</f>
        <v>0</v>
      </c>
      <c r="CF39" s="96"/>
      <c r="CG39" s="96"/>
      <c r="CH39" s="304">
        <f>IF(CF39=0,0,(CG39-CF39)/CF39*100)</f>
        <v>0</v>
      </c>
      <c r="CI39" s="96"/>
      <c r="CJ39" s="96"/>
      <c r="CK39" s="304">
        <f>IF(CI39=0,0,(CJ39-CI39)/CI39*100)</f>
        <v>0</v>
      </c>
      <c r="CL39" s="96"/>
      <c r="CM39" s="96"/>
      <c r="CN39" s="304">
        <f>IF(CL39=0,0,(CM39-CL39)/CL39*100)</f>
        <v>0</v>
      </c>
      <c r="CO39" s="96"/>
      <c r="CP39" s="96"/>
      <c r="CQ39" s="304">
        <f>IF(CO39=0,0,(CP39-CO39)/CO39*100)</f>
        <v>0</v>
      </c>
      <c r="CR39" s="96"/>
      <c r="CS39" s="96"/>
      <c r="CT39" s="304">
        <f>IF(CR39=0,0,(CS39-CR39)/CR39*100)</f>
        <v>0</v>
      </c>
      <c r="CU39" s="96"/>
      <c r="CV39" s="96"/>
      <c r="CW39" s="304">
        <f>IF(CU39=0,0,(CV39-CU39)/CU39*100)</f>
        <v>0</v>
      </c>
      <c r="CX39" s="96"/>
      <c r="CY39" s="96"/>
      <c r="CZ39" s="304">
        <f>IF(CX39=0,0,(CY39-CX39)/CX39*100)</f>
        <v>0</v>
      </c>
      <c r="DA39" s="96"/>
      <c r="DB39" s="96"/>
      <c r="DC39" s="304">
        <f>IF(DA39=0,0,(DB39-DA39)/DA39*100)</f>
        <v>0</v>
      </c>
      <c r="DD39" s="96"/>
      <c r="DE39" s="96"/>
      <c r="DF39" s="304">
        <f>IF(DD39=0,0,(DE39-DD39)/DD39*100)</f>
        <v>0</v>
      </c>
      <c r="DG39" s="96"/>
      <c r="DH39" s="96"/>
      <c r="DI39" s="304">
        <f>IF(DG39=0,0,(DH39-DG39)/DG39*100)</f>
        <v>0</v>
      </c>
      <c r="DJ39" s="96"/>
      <c r="DK39" s="96"/>
      <c r="DL39" s="304">
        <f>IF(DJ39=0,0,(DK39-DJ39)/DJ39*100)</f>
        <v>0</v>
      </c>
      <c r="DM39" s="96"/>
      <c r="DN39" s="96"/>
      <c r="DO39" s="304">
        <f>IF(DM39=0,0,(DN39-DM39)/DM39*100)</f>
        <v>0</v>
      </c>
      <c r="DP39" s="96"/>
      <c r="DQ39" s="96"/>
      <c r="DR39" s="304">
        <f>IF(DP39=0,0,(DQ39-DP39)/DP39*100)</f>
        <v>0</v>
      </c>
      <c r="DS39" s="96"/>
      <c r="DT39" s="96"/>
      <c r="DU39" s="304">
        <f>IF(DS39=0,0,(DT39-DS39)/DS39*100)</f>
        <v>0</v>
      </c>
      <c r="DV39" s="96"/>
      <c r="DW39" s="96"/>
      <c r="DX39" s="304">
        <f>IF(DV39=0,0,(DW39-DV39)/DV39*100)</f>
        <v>0</v>
      </c>
      <c r="DY39" s="96"/>
      <c r="DZ39" s="96"/>
      <c r="EA39" s="304">
        <f>IF(DY39=0,0,(DZ39-DY39)/DY39*100)</f>
        <v>0</v>
      </c>
      <c r="EB39" s="96"/>
      <c r="EC39" s="96"/>
      <c r="ED39" s="304">
        <f>IF(EB39=0,0,(EC39-EB39)/EB39*100)</f>
        <v>0</v>
      </c>
      <c r="EE39" s="96"/>
      <c r="EF39" s="96"/>
      <c r="EG39" s="304">
        <f>IF(EE39=0,0,(EF39-EE39)/EE39*100)</f>
        <v>0</v>
      </c>
      <c r="EH39" s="96"/>
      <c r="EI39" s="96"/>
      <c r="EJ39" s="304">
        <f>IF(EH39=0,0,(EI39-EH39)/EH39*100)</f>
        <v>0</v>
      </c>
      <c r="EK39" s="96"/>
      <c r="EL39" s="96"/>
      <c r="EM39" s="304">
        <f>IF(EK39=0,0,(EL39-EK39)/EK39*100)</f>
        <v>0</v>
      </c>
      <c r="EN39" s="96"/>
      <c r="EO39" s="96"/>
      <c r="EP39" s="304">
        <f>IF(EN39=0,0,(EO39-EN39)/EN39*100)</f>
        <v>0</v>
      </c>
      <c r="EQ39" s="96"/>
      <c r="ER39" s="96"/>
      <c r="ES39" s="304">
        <f>IF(EQ39=0,0,(ER39-EQ39)/EQ39*100)</f>
        <v>0</v>
      </c>
      <c r="ET39" s="96"/>
      <c r="EU39" s="96"/>
      <c r="EV39" s="304">
        <f>IF(ET39=0,0,(EU39-ET39)/ET39*100)</f>
        <v>0</v>
      </c>
      <c r="EW39" s="96"/>
      <c r="EX39" s="96"/>
      <c r="EY39" s="304">
        <f>IF(EW39=0,0,(EX39-EW39)/EW39*100)</f>
        <v>0</v>
      </c>
      <c r="EZ39" s="96"/>
      <c r="FA39" s="96"/>
      <c r="FB39" s="304">
        <f>IF(EZ39=0,0,(FA39-EZ39)/EZ39*100)</f>
        <v>0</v>
      </c>
      <c r="FC39" s="96"/>
      <c r="FD39" s="96"/>
      <c r="FE39" s="304">
        <f>IF(FC39=0,0,(FD39-FC39)/FC39*100)</f>
        <v>0</v>
      </c>
      <c r="FF39" s="96"/>
      <c r="FG39" s="96"/>
      <c r="FH39" s="304">
        <f>IF(FF39=0,0,(FG39-FF39)/FF39*100)</f>
        <v>0</v>
      </c>
      <c r="FI39" s="96"/>
      <c r="FJ39" s="96"/>
      <c r="FK39" s="304">
        <f>IF(FI39=0,0,(FJ39-FI39)/FI39*100)</f>
        <v>0</v>
      </c>
      <c r="FL39" s="96"/>
      <c r="FM39" s="96"/>
      <c r="FN39" s="304">
        <f>IF(FL39=0,0,(FM39-FL39)/FL39*100)</f>
        <v>0</v>
      </c>
      <c r="FO39" s="96"/>
      <c r="FP39" s="96"/>
      <c r="FQ39" s="304">
        <f>IF(FO39=0,0,(FP39-FO39)/FO39*100)</f>
        <v>0</v>
      </c>
      <c r="FR39" s="96"/>
      <c r="FS39" s="96"/>
      <c r="FT39" s="304">
        <f>IF(FR39=0,0,(FS39-FR39)/FR39*100)</f>
        <v>0</v>
      </c>
      <c r="FU39" s="96"/>
      <c r="FV39" s="96"/>
      <c r="FW39" s="304">
        <f>IF(FU39=0,0,(FV39-FU39)/FU39*100)</f>
        <v>0</v>
      </c>
      <c r="FZ39" s="971" t="s">
        <v>2140</v>
      </c>
      <c r="GA39" s="971"/>
      <c r="GB39" s="971"/>
      <c r="GC39" s="971"/>
      <c r="GD39" s="971"/>
    </row>
    <row r="40" spans="2:186" s="302" customFormat="1" ht="16.7" hidden="1" customHeight="1" x14ac:dyDescent="0.15">
      <c r="B40" s="803" t="b" cm="1">
        <f t="array" ref="B40">B39</f>
        <v>0</v>
      </c>
      <c r="C40" s="1108" t="s">
        <v>2134</v>
      </c>
      <c r="D40" s="1077" t="s">
        <v>2135</v>
      </c>
      <c r="E40" s="668">
        <v>17.100000000000001</v>
      </c>
      <c r="F40" s="769" cm="1">
        <f t="array" aca="1" ref="F40" ca="1">OFFSET(G40,-1,-1)</f>
        <v>0</v>
      </c>
      <c r="H40" s="160" t="s">
        <v>524</v>
      </c>
      <c r="I40" s="160" t="s">
        <v>2141</v>
      </c>
      <c r="J40" s="1098" t="s">
        <v>2115</v>
      </c>
      <c r="K40" s="1098" cm="1">
        <f t="array" aca="1" ref="K40" ca="1">OFFSET(J40,-1,1)</f>
        <v>0</v>
      </c>
      <c r="L40" s="1098"/>
      <c r="M40" s="1098" t="s">
        <v>1759</v>
      </c>
      <c r="N40" s="1098" t="s">
        <v>2137</v>
      </c>
      <c r="O40" s="1099" t="s">
        <v>2138</v>
      </c>
      <c r="P40" s="1098"/>
      <c r="Q40" s="1098"/>
      <c r="T40" s="679" t="b" cm="1">
        <f t="array" aca="1" ref="T40" ca="1">T39</f>
        <v>0</v>
      </c>
      <c r="X40" s="1612"/>
      <c r="Z40" s="1612"/>
      <c r="AB40" s="1130" t="s">
        <v>2142</v>
      </c>
      <c r="AC40" s="303" t="s">
        <v>920</v>
      </c>
      <c r="AD40" s="96">
        <f ca="1">IF(tax_system="ОСНО",AD34*Сценарии!AE$26,AD34)</f>
        <v>0</v>
      </c>
      <c r="AE40" s="96">
        <f ca="1">IF(tax_system="ОСНО",AE34*Сценарии!AO$26,AE34)</f>
        <v>0</v>
      </c>
      <c r="AF40" s="304">
        <f ca="1">IF(AD40=0,0,(AE40-AD40)/AD40*100)</f>
        <v>0</v>
      </c>
      <c r="AG40" s="1349">
        <f ca="1">IF(tax_system="ОСНО",AG34*Сценарии!AF$26,AG34)</f>
        <v>0</v>
      </c>
      <c r="AH40" s="1349">
        <f ca="1">IF(tax_system="ОСНО",AH34*Сценарии!AP$26,AH34)</f>
        <v>0</v>
      </c>
      <c r="AI40" s="304">
        <f ca="1">IF(AG40=0,0,(AH40-AG40)/AG40*100)</f>
        <v>0</v>
      </c>
      <c r="AJ40" s="1349">
        <f ca="1">IF(tax_system="ОСНО",AJ34*Сценарии!AG$26,AJ34)</f>
        <v>0</v>
      </c>
      <c r="AK40" s="1349">
        <f ca="1">IF(tax_system="ОСНО",AK34*Сценарии!AQ$26,AK34)</f>
        <v>0</v>
      </c>
      <c r="AL40" s="304">
        <f ca="1">IF(AJ40=0,0,(AK40-AJ40)/AJ40*100)</f>
        <v>0</v>
      </c>
      <c r="AM40" s="96">
        <f ca="1">IF(tax_system="ОСНО",AM34*Сценарии!AH$26,AM34)</f>
        <v>0</v>
      </c>
      <c r="AN40" s="96">
        <f ca="1">IF(tax_system="ОСНО",AN34*Сценарии!AR$26,AN34)</f>
        <v>0</v>
      </c>
      <c r="AO40" s="304">
        <f ca="1">IF(AM40=0,0,(AN40-AM40)/AM40*100)</f>
        <v>0</v>
      </c>
      <c r="AP40" s="96">
        <f ca="1">IF(tax_system="ОСНО",AP34*Сценарии!AI$26,AP34)</f>
        <v>0</v>
      </c>
      <c r="AQ40" s="96">
        <f ca="1">IF(tax_system="ОСНО",AQ34*Сценарии!AS$26,AQ34)</f>
        <v>0</v>
      </c>
      <c r="AR40" s="304">
        <f ca="1">IF(AP40=0,0,(AQ40-AP40)/AP40*100)</f>
        <v>0</v>
      </c>
      <c r="AS40" s="96">
        <f ca="1">IF(tax_system="ОСНО",AS34*Сценарии!AJ$26,AS34)</f>
        <v>0</v>
      </c>
      <c r="AT40" s="96">
        <f ca="1">IF(tax_system="ОСНО",AT34*Сценарии!AT$26,AT34)</f>
        <v>0</v>
      </c>
      <c r="AU40" s="304">
        <f ca="1">IF(AS40=0,0,(AT40-AS40)/AS40*100)</f>
        <v>0</v>
      </c>
      <c r="AV40" s="96">
        <f ca="1">IF(tax_system="ОСНО",AV34*Сценарии!AK$26,AV34)</f>
        <v>0</v>
      </c>
      <c r="AW40" s="96">
        <f ca="1">IF(tax_system="ОСНО",AW34*Сценарии!AU$26,AW34)</f>
        <v>0</v>
      </c>
      <c r="AX40" s="304">
        <f ca="1">IF(AV40=0,0,(AW40-AV40)/AV40*100)</f>
        <v>0</v>
      </c>
      <c r="AY40" s="96">
        <f ca="1">IF(tax_system="ОСНО",AY34*Сценарии!AL$26,AY34)</f>
        <v>0</v>
      </c>
      <c r="AZ40" s="96">
        <f ca="1">IF(tax_system="ОСНО",AZ34*Сценарии!AV$26,AZ34)</f>
        <v>0</v>
      </c>
      <c r="BA40" s="304">
        <f ca="1">IF(AY40=0,0,(AZ40-AY40)/AY40*100)</f>
        <v>0</v>
      </c>
      <c r="BB40" s="96">
        <f ca="1">IF(tax_system="ОСНО",BB34*Сценарии!AM$26,BB34)</f>
        <v>0</v>
      </c>
      <c r="BC40" s="96">
        <f ca="1">IF(tax_system="ОСНО",BC34*Сценарии!AW$26,BC34)</f>
        <v>0</v>
      </c>
      <c r="BD40" s="304">
        <f ca="1">IF(BB40=0,0,(BC40-BB40)/BB40*100)</f>
        <v>0</v>
      </c>
      <c r="BE40" s="96">
        <f ca="1">IF(tax_system="ОСНО",BE34*Сценарии!AN$26,BE34)</f>
        <v>0</v>
      </c>
      <c r="BF40" s="96">
        <f ca="1">IF(tax_system="ОСНО",BF34*Сценарии!AX$26,BF34)</f>
        <v>0</v>
      </c>
      <c r="BG40" s="304">
        <f ca="1">IF(BE40=0,0,(BF40-BE40)/BE40*100)</f>
        <v>0</v>
      </c>
      <c r="BH40" s="96"/>
      <c r="BI40" s="96"/>
      <c r="BJ40" s="304">
        <f>IF(BH40=0,0,(BI40-BH40)/BH40*100)</f>
        <v>0</v>
      </c>
      <c r="BK40" s="96"/>
      <c r="BL40" s="96"/>
      <c r="BM40" s="304">
        <f>IF(BK40=0,0,(BL40-BK40)/BK40*100)</f>
        <v>0</v>
      </c>
      <c r="BN40" s="96"/>
      <c r="BO40" s="96"/>
      <c r="BP40" s="304">
        <f>IF(BN40=0,0,(BO40-BN40)/BN40*100)</f>
        <v>0</v>
      </c>
      <c r="BQ40" s="96"/>
      <c r="BR40" s="96"/>
      <c r="BS40" s="304">
        <f>IF(BQ40=0,0,(BR40-BQ40)/BQ40*100)</f>
        <v>0</v>
      </c>
      <c r="BT40" s="96"/>
      <c r="BU40" s="96"/>
      <c r="BV40" s="304">
        <f>IF(BT40=0,0,(BU40-BT40)/BT40*100)</f>
        <v>0</v>
      </c>
      <c r="BW40" s="96"/>
      <c r="BX40" s="96"/>
      <c r="BY40" s="304">
        <f>IF(BW40=0,0,(BX40-BW40)/BW40*100)</f>
        <v>0</v>
      </c>
      <c r="BZ40" s="96"/>
      <c r="CA40" s="96"/>
      <c r="CB40" s="304">
        <f>IF(BZ40=0,0,(CA40-BZ40)/BZ40*100)</f>
        <v>0</v>
      </c>
      <c r="CC40" s="96"/>
      <c r="CD40" s="96"/>
      <c r="CE40" s="304">
        <f>IF(CC40=0,0,(CD40-CC40)/CC40*100)</f>
        <v>0</v>
      </c>
      <c r="CF40" s="96"/>
      <c r="CG40" s="96"/>
      <c r="CH40" s="304">
        <f>IF(CF40=0,0,(CG40-CF40)/CF40*100)</f>
        <v>0</v>
      </c>
      <c r="CI40" s="96"/>
      <c r="CJ40" s="96"/>
      <c r="CK40" s="304">
        <f>IF(CI40=0,0,(CJ40-CI40)/CI40*100)</f>
        <v>0</v>
      </c>
      <c r="CL40" s="96"/>
      <c r="CM40" s="96"/>
      <c r="CN40" s="304">
        <f>IF(CL40=0,0,(CM40-CL40)/CL40*100)</f>
        <v>0</v>
      </c>
      <c r="CO40" s="96"/>
      <c r="CP40" s="96"/>
      <c r="CQ40" s="304">
        <f>IF(CO40=0,0,(CP40-CO40)/CO40*100)</f>
        <v>0</v>
      </c>
      <c r="CR40" s="96"/>
      <c r="CS40" s="96"/>
      <c r="CT40" s="304">
        <f>IF(CR40=0,0,(CS40-CR40)/CR40*100)</f>
        <v>0</v>
      </c>
      <c r="CU40" s="96"/>
      <c r="CV40" s="96"/>
      <c r="CW40" s="304">
        <f>IF(CU40=0,0,(CV40-CU40)/CU40*100)</f>
        <v>0</v>
      </c>
      <c r="CX40" s="96"/>
      <c r="CY40" s="96"/>
      <c r="CZ40" s="304">
        <f>IF(CX40=0,0,(CY40-CX40)/CX40*100)</f>
        <v>0</v>
      </c>
      <c r="DA40" s="96"/>
      <c r="DB40" s="96"/>
      <c r="DC40" s="304">
        <f>IF(DA40=0,0,(DB40-DA40)/DA40*100)</f>
        <v>0</v>
      </c>
      <c r="DD40" s="96"/>
      <c r="DE40" s="96"/>
      <c r="DF40" s="304">
        <f>IF(DD40=0,0,(DE40-DD40)/DD40*100)</f>
        <v>0</v>
      </c>
      <c r="DG40" s="96"/>
      <c r="DH40" s="96"/>
      <c r="DI40" s="304">
        <f>IF(DG40=0,0,(DH40-DG40)/DG40*100)</f>
        <v>0</v>
      </c>
      <c r="DJ40" s="96"/>
      <c r="DK40" s="96"/>
      <c r="DL40" s="304">
        <f>IF(DJ40=0,0,(DK40-DJ40)/DJ40*100)</f>
        <v>0</v>
      </c>
      <c r="DM40" s="96"/>
      <c r="DN40" s="96"/>
      <c r="DO40" s="304">
        <f>IF(DM40=0,0,(DN40-DM40)/DM40*100)</f>
        <v>0</v>
      </c>
      <c r="DP40" s="96"/>
      <c r="DQ40" s="96"/>
      <c r="DR40" s="304">
        <f>IF(DP40=0,0,(DQ40-DP40)/DP40*100)</f>
        <v>0</v>
      </c>
      <c r="DS40" s="96"/>
      <c r="DT40" s="96"/>
      <c r="DU40" s="304">
        <f>IF(DS40=0,0,(DT40-DS40)/DS40*100)</f>
        <v>0</v>
      </c>
      <c r="DV40" s="96"/>
      <c r="DW40" s="96"/>
      <c r="DX40" s="304">
        <f>IF(DV40=0,0,(DW40-DV40)/DV40*100)</f>
        <v>0</v>
      </c>
      <c r="DY40" s="96"/>
      <c r="DZ40" s="96"/>
      <c r="EA40" s="304">
        <f>IF(DY40=0,0,(DZ40-DY40)/DY40*100)</f>
        <v>0</v>
      </c>
      <c r="EB40" s="96"/>
      <c r="EC40" s="96"/>
      <c r="ED40" s="304">
        <f>IF(EB40=0,0,(EC40-EB40)/EB40*100)</f>
        <v>0</v>
      </c>
      <c r="EE40" s="96"/>
      <c r="EF40" s="96"/>
      <c r="EG40" s="304">
        <f>IF(EE40=0,0,(EF40-EE40)/EE40*100)</f>
        <v>0</v>
      </c>
      <c r="EH40" s="96"/>
      <c r="EI40" s="96"/>
      <c r="EJ40" s="304">
        <f>IF(EH40=0,0,(EI40-EH40)/EH40*100)</f>
        <v>0</v>
      </c>
      <c r="EK40" s="96"/>
      <c r="EL40" s="96"/>
      <c r="EM40" s="304">
        <f>IF(EK40=0,0,(EL40-EK40)/EK40*100)</f>
        <v>0</v>
      </c>
      <c r="EN40" s="96"/>
      <c r="EO40" s="96"/>
      <c r="EP40" s="304">
        <f>IF(EN40=0,0,(EO40-EN40)/EN40*100)</f>
        <v>0</v>
      </c>
      <c r="EQ40" s="96"/>
      <c r="ER40" s="96"/>
      <c r="ES40" s="304">
        <f>IF(EQ40=0,0,(ER40-EQ40)/EQ40*100)</f>
        <v>0</v>
      </c>
      <c r="ET40" s="96"/>
      <c r="EU40" s="96"/>
      <c r="EV40" s="304">
        <f>IF(ET40=0,0,(EU40-ET40)/ET40*100)</f>
        <v>0</v>
      </c>
      <c r="EW40" s="96"/>
      <c r="EX40" s="96"/>
      <c r="EY40" s="304">
        <f>IF(EW40=0,0,(EX40-EW40)/EW40*100)</f>
        <v>0</v>
      </c>
      <c r="EZ40" s="96"/>
      <c r="FA40" s="96"/>
      <c r="FB40" s="304">
        <f>IF(EZ40=0,0,(FA40-EZ40)/EZ40*100)</f>
        <v>0</v>
      </c>
      <c r="FC40" s="96"/>
      <c r="FD40" s="96"/>
      <c r="FE40" s="304">
        <f>IF(FC40=0,0,(FD40-FC40)/FC40*100)</f>
        <v>0</v>
      </c>
      <c r="FF40" s="96"/>
      <c r="FG40" s="96"/>
      <c r="FH40" s="304">
        <f>IF(FF40=0,0,(FG40-FF40)/FF40*100)</f>
        <v>0</v>
      </c>
      <c r="FI40" s="96"/>
      <c r="FJ40" s="96"/>
      <c r="FK40" s="304">
        <f>IF(FI40=0,0,(FJ40-FI40)/FI40*100)</f>
        <v>0</v>
      </c>
      <c r="FL40" s="96"/>
      <c r="FM40" s="96"/>
      <c r="FN40" s="304">
        <f>IF(FL40=0,0,(FM40-FL40)/FL40*100)</f>
        <v>0</v>
      </c>
      <c r="FO40" s="96"/>
      <c r="FP40" s="96"/>
      <c r="FQ40" s="304">
        <f>IF(FO40=0,0,(FP40-FO40)/FO40*100)</f>
        <v>0</v>
      </c>
      <c r="FR40" s="96"/>
      <c r="FS40" s="96"/>
      <c r="FT40" s="304">
        <f>IF(FR40=0,0,(FS40-FR40)/FR40*100)</f>
        <v>0</v>
      </c>
      <c r="FU40" s="96"/>
      <c r="FV40" s="96"/>
      <c r="FW40" s="304">
        <f>IF(FU40=0,0,(FV40-FU40)/FU40*100)</f>
        <v>0</v>
      </c>
      <c r="FZ40" s="971" t="s">
        <v>2143</v>
      </c>
      <c r="GA40" s="971"/>
      <c r="GB40" s="971"/>
      <c r="GC40" s="971"/>
      <c r="GD40" s="971"/>
    </row>
    <row r="41" spans="2:186" ht="16.7" hidden="1" customHeight="1" x14ac:dyDescent="0.15">
      <c r="B41" s="803" t="b" cm="1">
        <f t="array" ref="B41">B40</f>
        <v>0</v>
      </c>
      <c r="C41" s="1108" t="s">
        <v>1765</v>
      </c>
      <c r="D41" s="1077" t="s">
        <v>1766</v>
      </c>
      <c r="E41" s="668">
        <v>17.100000000000001</v>
      </c>
      <c r="F41" s="769" cm="1">
        <f t="array" aca="1" ref="F41" ca="1">OFFSET(G41,-1,-1)</f>
        <v>0</v>
      </c>
      <c r="H41" s="160" t="s">
        <v>527</v>
      </c>
      <c r="I41" s="160" t="s">
        <v>2144</v>
      </c>
      <c r="J41" s="1098" t="s">
        <v>2115</v>
      </c>
      <c r="K41" s="1098" cm="1">
        <f t="array" aca="1" ref="K41" ca="1">OFFSET(J41,-1,1)</f>
        <v>0</v>
      </c>
      <c r="L41" s="1098" t="s">
        <v>2125</v>
      </c>
      <c r="M41" s="1098"/>
      <c r="N41" s="1098" t="s">
        <v>2137</v>
      </c>
      <c r="O41" s="1099" t="s">
        <v>2138</v>
      </c>
      <c r="P41" s="1098"/>
      <c r="Q41" s="1098"/>
      <c r="T41" s="679" t="b" cm="1">
        <f t="array" aca="1" ref="T41" ca="1">T40</f>
        <v>0</v>
      </c>
      <c r="X41" s="1485"/>
      <c r="Z41" s="1485"/>
      <c r="AB41" s="877" t="s">
        <v>2126</v>
      </c>
      <c r="AC41" s="120" t="s">
        <v>521</v>
      </c>
      <c r="AD41" s="866">
        <f ca="1">IF(AD39=0,0,AD40/AD39)</f>
        <v>0</v>
      </c>
      <c r="AE41" s="866">
        <f ca="1">IF(AE39=0,0,AE40/AE39)</f>
        <v>0</v>
      </c>
      <c r="AF41" s="333"/>
      <c r="AG41" s="866">
        <f ca="1">IF(AG39=0,0,AG40/AG39)</f>
        <v>0</v>
      </c>
      <c r="AH41" s="866">
        <f ca="1">IF(AH39=0,0,AH40/AH39)</f>
        <v>0</v>
      </c>
      <c r="AI41" s="333"/>
      <c r="AJ41" s="866">
        <f ca="1">IF(AJ39=0,0,AJ40/AJ39)</f>
        <v>0</v>
      </c>
      <c r="AK41" s="866">
        <f ca="1">IF(AK39=0,0,AK40/AK39)</f>
        <v>0</v>
      </c>
      <c r="AL41" s="333"/>
      <c r="AM41" s="866">
        <f ca="1">IF(AM39=0,0,AM40/AM39)</f>
        <v>0</v>
      </c>
      <c r="AN41" s="866">
        <f ca="1">IF(AN39=0,0,AN40/AN39)</f>
        <v>0</v>
      </c>
      <c r="AO41" s="333"/>
      <c r="AP41" s="866">
        <f ca="1">IF(AP39=0,0,AP40/AP39)</f>
        <v>0</v>
      </c>
      <c r="AQ41" s="866">
        <f ca="1">IF(AQ39=0,0,AQ40/AQ39)</f>
        <v>0</v>
      </c>
      <c r="AR41" s="333"/>
      <c r="AS41" s="866">
        <f ca="1">IF(AS39=0,0,AS40/AS39)</f>
        <v>0</v>
      </c>
      <c r="AT41" s="866">
        <f ca="1">IF(AT39=0,0,AT40/AT39)</f>
        <v>0</v>
      </c>
      <c r="AU41" s="333"/>
      <c r="AV41" s="866">
        <f ca="1">IF(AV39=0,0,AV40/AV39)</f>
        <v>0</v>
      </c>
      <c r="AW41" s="866">
        <f ca="1">IF(AW39=0,0,AW40/AW39)</f>
        <v>0</v>
      </c>
      <c r="AX41" s="333"/>
      <c r="AY41" s="866">
        <f ca="1">IF(AY39=0,0,AY40/AY39)</f>
        <v>0</v>
      </c>
      <c r="AZ41" s="866">
        <f ca="1">IF(AZ39=0,0,AZ40/AZ39)</f>
        <v>0</v>
      </c>
      <c r="BA41" s="333"/>
      <c r="BB41" s="866">
        <f ca="1">IF(BB39=0,0,BB40/BB39)</f>
        <v>0</v>
      </c>
      <c r="BC41" s="866">
        <f ca="1">IF(BC39=0,0,BC40/BC39)</f>
        <v>0</v>
      </c>
      <c r="BD41" s="333"/>
      <c r="BE41" s="866">
        <f ca="1">IF(BE39=0,0,BE40/BE39)</f>
        <v>0</v>
      </c>
      <c r="BF41" s="866">
        <f ca="1">IF(BF39=0,0,BF40/BF39)</f>
        <v>0</v>
      </c>
      <c r="BG41" s="333"/>
      <c r="BH41" s="866">
        <f>IF(BH39=0,0,BH40/BH39)</f>
        <v>0</v>
      </c>
      <c r="BI41" s="866">
        <f>IF(BI39=0,0,BI40/BI39)</f>
        <v>0</v>
      </c>
      <c r="BJ41" s="306"/>
      <c r="BK41" s="866">
        <f>IF(BK39=0,0,BK40/BK39)</f>
        <v>0</v>
      </c>
      <c r="BL41" s="866">
        <f>IF(BL39=0,0,BL40/BL39)</f>
        <v>0</v>
      </c>
      <c r="BM41" s="306"/>
      <c r="BN41" s="866">
        <f>IF(BN39=0,0,BN40/BN39)</f>
        <v>0</v>
      </c>
      <c r="BO41" s="866">
        <f>IF(BO39=0,0,BO40/BO39)</f>
        <v>0</v>
      </c>
      <c r="BP41" s="306"/>
      <c r="BQ41" s="866">
        <f>IF(BQ39=0,0,BQ40/BQ39)</f>
        <v>0</v>
      </c>
      <c r="BR41" s="866">
        <f>IF(BR39=0,0,BR40/BR39)</f>
        <v>0</v>
      </c>
      <c r="BS41" s="306"/>
      <c r="BT41" s="866">
        <f>IF(BT39=0,0,BT40/BT39)</f>
        <v>0</v>
      </c>
      <c r="BU41" s="866">
        <f>IF(BU39=0,0,BU40/BU39)</f>
        <v>0</v>
      </c>
      <c r="BV41" s="306"/>
      <c r="BW41" s="866">
        <f>IF(BW39=0,0,BW40/BW39)</f>
        <v>0</v>
      </c>
      <c r="BX41" s="866">
        <f>IF(BX39=0,0,BX40/BX39)</f>
        <v>0</v>
      </c>
      <c r="BY41" s="306"/>
      <c r="BZ41" s="866">
        <f>IF(BZ39=0,0,BZ40/BZ39)</f>
        <v>0</v>
      </c>
      <c r="CA41" s="866">
        <f>IF(CA39=0,0,CA40/CA39)</f>
        <v>0</v>
      </c>
      <c r="CB41" s="306"/>
      <c r="CC41" s="866">
        <f>IF(CC39=0,0,CC40/CC39)</f>
        <v>0</v>
      </c>
      <c r="CD41" s="866">
        <f>IF(CD39=0,0,CD40/CD39)</f>
        <v>0</v>
      </c>
      <c r="CE41" s="306"/>
      <c r="CF41" s="866">
        <f>IF(CF39=0,0,CF40/CF39)</f>
        <v>0</v>
      </c>
      <c r="CG41" s="866">
        <f>IF(CG39=0,0,CG40/CG39)</f>
        <v>0</v>
      </c>
      <c r="CH41" s="306"/>
      <c r="CI41" s="866">
        <f>IF(CI39=0,0,CI40/CI39)</f>
        <v>0</v>
      </c>
      <c r="CJ41" s="866">
        <f>IF(CJ39=0,0,CJ40/CJ39)</f>
        <v>0</v>
      </c>
      <c r="CK41" s="306"/>
      <c r="CL41" s="866">
        <f>IF(CL39=0,0,CL40/CL39)</f>
        <v>0</v>
      </c>
      <c r="CM41" s="866">
        <f>IF(CM39=0,0,CM40/CM39)</f>
        <v>0</v>
      </c>
      <c r="CN41" s="306"/>
      <c r="CO41" s="866">
        <f>IF(CO39=0,0,CO40/CO39)</f>
        <v>0</v>
      </c>
      <c r="CP41" s="866">
        <f>IF(CP39=0,0,CP40/CP39)</f>
        <v>0</v>
      </c>
      <c r="CQ41" s="306"/>
      <c r="CR41" s="866">
        <f>IF(CR39=0,0,CR40/CR39)</f>
        <v>0</v>
      </c>
      <c r="CS41" s="866">
        <f>IF(CS39=0,0,CS40/CS39)</f>
        <v>0</v>
      </c>
      <c r="CT41" s="306"/>
      <c r="CU41" s="866">
        <f>IF(CU39=0,0,CU40/CU39)</f>
        <v>0</v>
      </c>
      <c r="CV41" s="866">
        <f>IF(CV39=0,0,CV40/CV39)</f>
        <v>0</v>
      </c>
      <c r="CW41" s="306"/>
      <c r="CX41" s="866">
        <f>IF(CX39=0,0,CX40/CX39)</f>
        <v>0</v>
      </c>
      <c r="CY41" s="866">
        <f>IF(CY39=0,0,CY40/CY39)</f>
        <v>0</v>
      </c>
      <c r="CZ41" s="306"/>
      <c r="DA41" s="866">
        <f>IF(DA39=0,0,DA40/DA39)</f>
        <v>0</v>
      </c>
      <c r="DB41" s="866">
        <f>IF(DB39=0,0,DB40/DB39)</f>
        <v>0</v>
      </c>
      <c r="DC41" s="306"/>
      <c r="DD41" s="866">
        <f>IF(DD39=0,0,DD40/DD39)</f>
        <v>0</v>
      </c>
      <c r="DE41" s="866">
        <f>IF(DE39=0,0,DE40/DE39)</f>
        <v>0</v>
      </c>
      <c r="DF41" s="306"/>
      <c r="DG41" s="866">
        <f>IF(DG39=0,0,DG40/DG39)</f>
        <v>0</v>
      </c>
      <c r="DH41" s="866">
        <f>IF(DH39=0,0,DH40/DH39)</f>
        <v>0</v>
      </c>
      <c r="DI41" s="306"/>
      <c r="DJ41" s="866">
        <f>IF(DJ39=0,0,DJ40/DJ39)</f>
        <v>0</v>
      </c>
      <c r="DK41" s="866">
        <f>IF(DK39=0,0,DK40/DK39)</f>
        <v>0</v>
      </c>
      <c r="DL41" s="306"/>
      <c r="DM41" s="866">
        <f>IF(DM39=0,0,DM40/DM39)</f>
        <v>0</v>
      </c>
      <c r="DN41" s="866">
        <f>IF(DN39=0,0,DN40/DN39)</f>
        <v>0</v>
      </c>
      <c r="DO41" s="306"/>
      <c r="DP41" s="866">
        <f>IF(DP39=0,0,DP40/DP39)</f>
        <v>0</v>
      </c>
      <c r="DQ41" s="866">
        <f>IF(DQ39=0,0,DQ40/DQ39)</f>
        <v>0</v>
      </c>
      <c r="DR41" s="306"/>
      <c r="DS41" s="866">
        <f>IF(DS39=0,0,DS40/DS39)</f>
        <v>0</v>
      </c>
      <c r="DT41" s="866">
        <f>IF(DT39=0,0,DT40/DT39)</f>
        <v>0</v>
      </c>
      <c r="DU41" s="306"/>
      <c r="DV41" s="866">
        <f>IF(DV39=0,0,DV40/DV39)</f>
        <v>0</v>
      </c>
      <c r="DW41" s="866">
        <f>IF(DW39=0,0,DW40/DW39)</f>
        <v>0</v>
      </c>
      <c r="DX41" s="306"/>
      <c r="DY41" s="866">
        <f>IF(DY39=0,0,DY40/DY39)</f>
        <v>0</v>
      </c>
      <c r="DZ41" s="866">
        <f>IF(DZ39=0,0,DZ40/DZ39)</f>
        <v>0</v>
      </c>
      <c r="EA41" s="306"/>
      <c r="EB41" s="866">
        <f>IF(EB39=0,0,EB40/EB39)</f>
        <v>0</v>
      </c>
      <c r="EC41" s="866">
        <f>IF(EC39=0,0,EC40/EC39)</f>
        <v>0</v>
      </c>
      <c r="ED41" s="306"/>
      <c r="EE41" s="866">
        <f>IF(EE39=0,0,EE40/EE39)</f>
        <v>0</v>
      </c>
      <c r="EF41" s="866">
        <f>IF(EF39=0,0,EF40/EF39)</f>
        <v>0</v>
      </c>
      <c r="EG41" s="306"/>
      <c r="EH41" s="866">
        <f>IF(EH39=0,0,EH40/EH39)</f>
        <v>0</v>
      </c>
      <c r="EI41" s="866">
        <f>IF(EI39=0,0,EI40/EI39)</f>
        <v>0</v>
      </c>
      <c r="EJ41" s="306"/>
      <c r="EK41" s="866">
        <f>IF(EK39=0,0,EK40/EK39)</f>
        <v>0</v>
      </c>
      <c r="EL41" s="866">
        <f>IF(EL39=0,0,EL40/EL39)</f>
        <v>0</v>
      </c>
      <c r="EM41" s="306"/>
      <c r="EN41" s="866">
        <f>IF(EN39=0,0,EN40/EN39)</f>
        <v>0</v>
      </c>
      <c r="EO41" s="866">
        <f>IF(EO39=0,0,EO40/EO39)</f>
        <v>0</v>
      </c>
      <c r="EP41" s="306"/>
      <c r="EQ41" s="866">
        <f>IF(EQ39=0,0,EQ40/EQ39)</f>
        <v>0</v>
      </c>
      <c r="ER41" s="866">
        <f>IF(ER39=0,0,ER40/ER39)</f>
        <v>0</v>
      </c>
      <c r="ES41" s="306"/>
      <c r="ET41" s="866">
        <f>IF(ET39=0,0,ET40/ET39)</f>
        <v>0</v>
      </c>
      <c r="EU41" s="866">
        <f>IF(EU39=0,0,EU40/EU39)</f>
        <v>0</v>
      </c>
      <c r="EV41" s="306"/>
      <c r="EW41" s="866">
        <f>IF(EW39=0,0,EW40/EW39)</f>
        <v>0</v>
      </c>
      <c r="EX41" s="866">
        <f>IF(EX39=0,0,EX40/EX39)</f>
        <v>0</v>
      </c>
      <c r="EY41" s="306"/>
      <c r="EZ41" s="866">
        <f>IF(EZ39=0,0,EZ40/EZ39)</f>
        <v>0</v>
      </c>
      <c r="FA41" s="866">
        <f>IF(FA39=0,0,FA40/FA39)</f>
        <v>0</v>
      </c>
      <c r="FB41" s="306"/>
      <c r="FC41" s="866">
        <f>IF(FC39=0,0,FC40/FC39)</f>
        <v>0</v>
      </c>
      <c r="FD41" s="866">
        <f>IF(FD39=0,0,FD40/FD39)</f>
        <v>0</v>
      </c>
      <c r="FE41" s="306"/>
      <c r="FF41" s="866">
        <f>IF(FF39=0,0,FF40/FF39)</f>
        <v>0</v>
      </c>
      <c r="FG41" s="866">
        <f>IF(FG39=0,0,FG40/FG39)</f>
        <v>0</v>
      </c>
      <c r="FH41" s="306"/>
      <c r="FI41" s="866">
        <f>IF(FI39=0,0,FI40/FI39)</f>
        <v>0</v>
      </c>
      <c r="FJ41" s="866">
        <f>IF(FJ39=0,0,FJ40/FJ39)</f>
        <v>0</v>
      </c>
      <c r="FK41" s="306"/>
      <c r="FL41" s="866">
        <f>IF(FL39=0,0,FL40/FL39)</f>
        <v>0</v>
      </c>
      <c r="FM41" s="866">
        <f>IF(FM39=0,0,FM40/FM39)</f>
        <v>0</v>
      </c>
      <c r="FN41" s="306"/>
      <c r="FO41" s="866">
        <f>IF(FO39=0,0,FO40/FO39)</f>
        <v>0</v>
      </c>
      <c r="FP41" s="866">
        <f>IF(FP39=0,0,FP40/FP39)</f>
        <v>0</v>
      </c>
      <c r="FQ41" s="306"/>
      <c r="FR41" s="866">
        <f>IF(FR39=0,0,FR40/FR39)</f>
        <v>0</v>
      </c>
      <c r="FS41" s="866">
        <f>IF(FS39=0,0,FS40/FS39)</f>
        <v>0</v>
      </c>
      <c r="FT41" s="306"/>
      <c r="FU41" s="866">
        <f>IF(FU39=0,0,FU40/FU39)</f>
        <v>0</v>
      </c>
      <c r="FV41" s="866">
        <f>IF(FV39=0,0,FV40/FV39)</f>
        <v>0</v>
      </c>
      <c r="FW41" s="306"/>
      <c r="FZ41" s="971" t="s">
        <v>2145</v>
      </c>
      <c r="GA41" s="971"/>
      <c r="GB41" s="971"/>
      <c r="GC41" s="971"/>
      <c r="GD41" s="971"/>
    </row>
    <row r="42" spans="2:186" ht="16.7" hidden="1" customHeight="1" x14ac:dyDescent="0.15">
      <c r="B42" s="803" t="b" cm="1">
        <f t="array" ref="B42">B41</f>
        <v>0</v>
      </c>
      <c r="C42" s="1108" t="s">
        <v>1747</v>
      </c>
      <c r="D42" s="1077" t="s">
        <v>1748</v>
      </c>
      <c r="E42" s="668">
        <v>17.100000000000001</v>
      </c>
      <c r="F42" s="769" cm="1">
        <f t="array" aca="1" ref="F42" ca="1">OFFSET(G42,-1,-1)</f>
        <v>0</v>
      </c>
      <c r="G42" s="140" t="s">
        <v>2146</v>
      </c>
      <c r="H42" s="160" t="s">
        <v>534</v>
      </c>
      <c r="I42" s="160" t="s">
        <v>2144</v>
      </c>
      <c r="J42" s="1098" t="s">
        <v>2115</v>
      </c>
      <c r="K42" s="1098" cm="1">
        <f t="array" aca="1" ref="K42" ca="1">OFFSET(J42,-1,1)</f>
        <v>0</v>
      </c>
      <c r="L42" s="1098" t="s">
        <v>2129</v>
      </c>
      <c r="M42" s="1098"/>
      <c r="N42" s="1098" t="s">
        <v>2137</v>
      </c>
      <c r="O42" s="1099" t="s">
        <v>2138</v>
      </c>
      <c r="P42" s="1098"/>
      <c r="Q42" s="1098"/>
      <c r="T42" s="679" t="b" cm="1">
        <f t="array" aca="1" ref="T42" ca="1">T41</f>
        <v>0</v>
      </c>
      <c r="X42" s="1485"/>
      <c r="Z42" s="1485"/>
      <c r="AB42" s="877" t="s">
        <v>2147</v>
      </c>
      <c r="AC42" s="120" t="s">
        <v>622</v>
      </c>
      <c r="AD42" s="50">
        <f ca="1">SUMIFS('Баланс Пр'!AI$27:AI$165,'Баланс Пр'!$F$27:$F$165,$F42,'Баланс Пр'!$AB$27:$AB$165,"9.1.2.3")</f>
        <v>0</v>
      </c>
      <c r="AE42" s="50">
        <f ca="1">SUMIFS('Баланс Пр'!AS$27:AS$165,'Баланс Пр'!$F$27:$F$165,$F42,'Баланс Пр'!$AB$27:$AB$165,"9.1.2.3")</f>
        <v>0</v>
      </c>
      <c r="AF42" s="333">
        <f ca="1">IF(AD42=0,0,(AE42-AD42)/AD42*100)</f>
        <v>0</v>
      </c>
      <c r="AG42" s="1260">
        <f ca="1">SUMIFS('Баланс Пр'!AJ$27:AJ$165,'Баланс Пр'!$F$27:$F$165,$F42,'Баланс Пр'!$AB$27:$AB$165,"9.1.2.3")</f>
        <v>0</v>
      </c>
      <c r="AH42" s="1260">
        <f ca="1">SUMIFS('Баланс Пр'!AT$27:AT$165,'Баланс Пр'!$F$27:$F$165,$F42,'Баланс Пр'!$AB$27:$AB$165,"9.1.2.3")</f>
        <v>0</v>
      </c>
      <c r="AI42" s="333">
        <f ca="1">IF(AG42=0,0,(AH42-AG42)/AG42*100)</f>
        <v>0</v>
      </c>
      <c r="AJ42" s="1260">
        <f ca="1">SUMIFS('Баланс Пр'!AK$27:AK$165,'Баланс Пр'!$F$27:$F$165,$F42,'Баланс Пр'!$AB$27:$AB$165,"9.1.2.3")</f>
        <v>0</v>
      </c>
      <c r="AK42" s="1260">
        <f ca="1">SUMIFS('Баланс Пр'!AU$27:AU$165,'Баланс Пр'!$F$27:$F$165,$F42,'Баланс Пр'!$AB$27:$AB$165,"9.1.2.3")</f>
        <v>0</v>
      </c>
      <c r="AL42" s="333">
        <f ca="1">IF(AJ42=0,0,(AK42-AJ42)/AJ42*100)</f>
        <v>0</v>
      </c>
      <c r="AM42" s="50">
        <f ca="1">SUMIFS('Баланс Пр'!AL$27:AL$165,'Баланс Пр'!$F$27:$F$165,$F42,'Баланс Пр'!$AB$27:$AB$165,"9.1.2.3")</f>
        <v>0</v>
      </c>
      <c r="AN42" s="50">
        <f ca="1">SUMIFS('Баланс Пр'!AV$27:AV$165,'Баланс Пр'!$F$27:$F$165,$F42,'Баланс Пр'!$AB$27:$AB$165,"9.1.2.3")</f>
        <v>0</v>
      </c>
      <c r="AO42" s="333">
        <f ca="1">IF(AM42=0,0,(AN42-AM42)/AM42*100)</f>
        <v>0</v>
      </c>
      <c r="AP42" s="50">
        <f ca="1">SUMIFS('Баланс Пр'!AM$27:AM$165,'Баланс Пр'!$F$27:$F$165,$F42,'Баланс Пр'!$AB$27:$AB$165,"9.1.2.3")</f>
        <v>0</v>
      </c>
      <c r="AQ42" s="50">
        <f ca="1">SUMIFS('Баланс Пр'!AW$27:AW$165,'Баланс Пр'!$F$27:$F$165,$F42,'Баланс Пр'!$AB$27:$AB$165,"9.1.2.3")</f>
        <v>0</v>
      </c>
      <c r="AR42" s="333">
        <f ca="1">IF(AP42=0,0,(AQ42-AP42)/AP42*100)</f>
        <v>0</v>
      </c>
      <c r="AS42" s="50">
        <f ca="1">SUMIFS('Баланс Пр'!AN$27:AN$165,'Баланс Пр'!$F$27:$F$165,$F42,'Баланс Пр'!$AB$27:$AB$165,"9.1.2.3")</f>
        <v>0</v>
      </c>
      <c r="AT42" s="50">
        <f ca="1">SUMIFS('Баланс Пр'!AX$27:AX$165,'Баланс Пр'!$F$27:$F$165,$F42,'Баланс Пр'!$AB$27:$AB$165,"9.1.2.3")</f>
        <v>0</v>
      </c>
      <c r="AU42" s="333">
        <f ca="1">IF(AS42=0,0,(AT42-AS42)/AS42*100)</f>
        <v>0</v>
      </c>
      <c r="AV42" s="50">
        <f ca="1">SUMIFS('Баланс Пр'!AO$27:AO$165,'Баланс Пр'!$F$27:$F$165,$F42,'Баланс Пр'!$AB$27:$AB$165,"9.1.2.3")</f>
        <v>0</v>
      </c>
      <c r="AW42" s="50">
        <f ca="1">SUMIFS('Баланс Пр'!AY$27:AY$165,'Баланс Пр'!$F$27:$F$165,$F42,'Баланс Пр'!$AB$27:$AB$165,"9.1.2.3")</f>
        <v>0</v>
      </c>
      <c r="AX42" s="333">
        <f ca="1">IF(AV42=0,0,(AW42-AV42)/AV42*100)</f>
        <v>0</v>
      </c>
      <c r="AY42" s="50">
        <f ca="1">SUMIFS('Баланс Пр'!AP$27:AP$165,'Баланс Пр'!$F$27:$F$165,$F42,'Баланс Пр'!$AB$27:$AB$165,"9.1.2.3")</f>
        <v>0</v>
      </c>
      <c r="AZ42" s="50">
        <f ca="1">SUMIFS('Баланс Пр'!AZ$27:AZ$165,'Баланс Пр'!$F$27:$F$165,$F42,'Баланс Пр'!$AB$27:$AB$165,"9.1.2.3")</f>
        <v>0</v>
      </c>
      <c r="BA42" s="333">
        <f ca="1">IF(AY42=0,0,(AZ42-AY42)/AY42*100)</f>
        <v>0</v>
      </c>
      <c r="BB42" s="50">
        <f ca="1">SUMIFS('Баланс Пр'!AQ$27:AQ$165,'Баланс Пр'!$F$27:$F$165,$F42,'Баланс Пр'!$AB$27:$AB$165,"9.1.2.3")</f>
        <v>0</v>
      </c>
      <c r="BC42" s="50">
        <f ca="1">SUMIFS('Баланс Пр'!BA$27:BA$165,'Баланс Пр'!$F$27:$F$165,$F42,'Баланс Пр'!$AB$27:$AB$165,"9.1.2.3")</f>
        <v>0</v>
      </c>
      <c r="BD42" s="333">
        <f ca="1">IF(BB42=0,0,(BC42-BB42)/BB42*100)</f>
        <v>0</v>
      </c>
      <c r="BE42" s="50">
        <f ca="1">SUMIFS('Баланс Пр'!AR$27:AR$165,'Баланс Пр'!$F$27:$F$165,$F42,'Баланс Пр'!$AB$27:$AB$165,"9.1.2.3")</f>
        <v>0</v>
      </c>
      <c r="BF42" s="50">
        <f ca="1">SUMIFS('Баланс Пр'!BB$27:BB$165,'Баланс Пр'!$F$27:$F$165,$F42,'Баланс Пр'!$AB$27:$AB$165,"9.1.2.3")</f>
        <v>0</v>
      </c>
      <c r="BG42" s="333">
        <f ca="1">IF(BE42=0,0,(BF42-BE42)/BE42*100)</f>
        <v>0</v>
      </c>
      <c r="BH42" s="97">
        <f>SUM(BH43:BH44)</f>
        <v>0</v>
      </c>
      <c r="BI42" s="97">
        <f>SUM(BI43:BI44)</f>
        <v>0</v>
      </c>
      <c r="BJ42" s="333">
        <f>IF(BH42=0,0,(BI42-BH42)/BH42*100)</f>
        <v>0</v>
      </c>
      <c r="BK42" s="97">
        <f>SUM(BK43:BK44)</f>
        <v>0</v>
      </c>
      <c r="BL42" s="97">
        <f>SUM(BL43:BL44)</f>
        <v>0</v>
      </c>
      <c r="BM42" s="333">
        <f>IF(BK42=0,0,(BL42-BK42)/BK42*100)</f>
        <v>0</v>
      </c>
      <c r="BN42" s="97">
        <f>SUM(BN43:BN44)</f>
        <v>0</v>
      </c>
      <c r="BO42" s="97">
        <f>SUM(BO43:BO44)</f>
        <v>0</v>
      </c>
      <c r="BP42" s="333">
        <f>IF(BN42=0,0,(BO42-BN42)/BN42*100)</f>
        <v>0</v>
      </c>
      <c r="BQ42" s="97">
        <f>SUM(BQ43:BQ44)</f>
        <v>0</v>
      </c>
      <c r="BR42" s="97">
        <f>SUM(BR43:BR44)</f>
        <v>0</v>
      </c>
      <c r="BS42" s="333">
        <f>IF(BQ42=0,0,(BR42-BQ42)/BQ42*100)</f>
        <v>0</v>
      </c>
      <c r="BT42" s="97">
        <f>SUM(BT43:BT44)</f>
        <v>0</v>
      </c>
      <c r="BU42" s="97">
        <f>SUM(BU43:BU44)</f>
        <v>0</v>
      </c>
      <c r="BV42" s="333">
        <f>IF(BT42=0,0,(BU42-BT42)/BT42*100)</f>
        <v>0</v>
      </c>
      <c r="BW42" s="97">
        <f>SUM(BW43:BW44)</f>
        <v>0</v>
      </c>
      <c r="BX42" s="97">
        <f>SUM(BX43:BX44)</f>
        <v>0</v>
      </c>
      <c r="BY42" s="333">
        <f>IF(BW42=0,0,(BX42-BW42)/BW42*100)</f>
        <v>0</v>
      </c>
      <c r="BZ42" s="97">
        <f>SUM(BZ43:BZ44)</f>
        <v>0</v>
      </c>
      <c r="CA42" s="97">
        <f>SUM(CA43:CA44)</f>
        <v>0</v>
      </c>
      <c r="CB42" s="333">
        <f>IF(BZ42=0,0,(CA42-BZ42)/BZ42*100)</f>
        <v>0</v>
      </c>
      <c r="CC42" s="97">
        <f>SUM(CC43:CC44)</f>
        <v>0</v>
      </c>
      <c r="CD42" s="97">
        <f>SUM(CD43:CD44)</f>
        <v>0</v>
      </c>
      <c r="CE42" s="333">
        <f>IF(CC42=0,0,(CD42-CC42)/CC42*100)</f>
        <v>0</v>
      </c>
      <c r="CF42" s="97">
        <f>SUM(CF43:CF44)</f>
        <v>0</v>
      </c>
      <c r="CG42" s="97">
        <f>SUM(CG43:CG44)</f>
        <v>0</v>
      </c>
      <c r="CH42" s="333">
        <f>IF(CF42=0,0,(CG42-CF42)/CF42*100)</f>
        <v>0</v>
      </c>
      <c r="CI42" s="97">
        <f>SUM(CI43:CI44)</f>
        <v>0</v>
      </c>
      <c r="CJ42" s="97">
        <f>SUM(CJ43:CJ44)</f>
        <v>0</v>
      </c>
      <c r="CK42" s="333">
        <f>IF(CI42=0,0,(CJ42-CI42)/CI42*100)</f>
        <v>0</v>
      </c>
      <c r="CL42" s="97">
        <f>SUM(CL43:CL44)</f>
        <v>0</v>
      </c>
      <c r="CM42" s="97">
        <f>SUM(CM43:CM44)</f>
        <v>0</v>
      </c>
      <c r="CN42" s="333">
        <f>IF(CL42=0,0,(CM42-CL42)/CL42*100)</f>
        <v>0</v>
      </c>
      <c r="CO42" s="97">
        <f>SUM(CO43:CO44)</f>
        <v>0</v>
      </c>
      <c r="CP42" s="97">
        <f>SUM(CP43:CP44)</f>
        <v>0</v>
      </c>
      <c r="CQ42" s="333">
        <f>IF(CO42=0,0,(CP42-CO42)/CO42*100)</f>
        <v>0</v>
      </c>
      <c r="CR42" s="97">
        <f>SUM(CR43:CR44)</f>
        <v>0</v>
      </c>
      <c r="CS42" s="97">
        <f>SUM(CS43:CS44)</f>
        <v>0</v>
      </c>
      <c r="CT42" s="333">
        <f>IF(CR42=0,0,(CS42-CR42)/CR42*100)</f>
        <v>0</v>
      </c>
      <c r="CU42" s="97">
        <f>SUM(CU43:CU44)</f>
        <v>0</v>
      </c>
      <c r="CV42" s="97">
        <f>SUM(CV43:CV44)</f>
        <v>0</v>
      </c>
      <c r="CW42" s="333">
        <f>IF(CU42=0,0,(CV42-CU42)/CU42*100)</f>
        <v>0</v>
      </c>
      <c r="CX42" s="97">
        <f>SUM(CX43:CX44)</f>
        <v>0</v>
      </c>
      <c r="CY42" s="97">
        <f>SUM(CY43:CY44)</f>
        <v>0</v>
      </c>
      <c r="CZ42" s="333">
        <f>IF(CX42=0,0,(CY42-CX42)/CX42*100)</f>
        <v>0</v>
      </c>
      <c r="DA42" s="97">
        <f>SUM(DA43:DA44)</f>
        <v>0</v>
      </c>
      <c r="DB42" s="97">
        <f>SUM(DB43:DB44)</f>
        <v>0</v>
      </c>
      <c r="DC42" s="333">
        <f>IF(DA42=0,0,(DB42-DA42)/DA42*100)</f>
        <v>0</v>
      </c>
      <c r="DD42" s="97">
        <f>SUM(DD43:DD44)</f>
        <v>0</v>
      </c>
      <c r="DE42" s="97">
        <f>SUM(DE43:DE44)</f>
        <v>0</v>
      </c>
      <c r="DF42" s="333">
        <f>IF(DD42=0,0,(DE42-DD42)/DD42*100)</f>
        <v>0</v>
      </c>
      <c r="DG42" s="97">
        <f>SUM(DG43:DG44)</f>
        <v>0</v>
      </c>
      <c r="DH42" s="97">
        <f>SUM(DH43:DH44)</f>
        <v>0</v>
      </c>
      <c r="DI42" s="333">
        <f>IF(DG42=0,0,(DH42-DG42)/DG42*100)</f>
        <v>0</v>
      </c>
      <c r="DJ42" s="97">
        <f>SUM(DJ43:DJ44)</f>
        <v>0</v>
      </c>
      <c r="DK42" s="97">
        <f>SUM(DK43:DK44)</f>
        <v>0</v>
      </c>
      <c r="DL42" s="333">
        <f>IF(DJ42=0,0,(DK42-DJ42)/DJ42*100)</f>
        <v>0</v>
      </c>
      <c r="DM42" s="97">
        <f>SUM(DM43:DM44)</f>
        <v>0</v>
      </c>
      <c r="DN42" s="97">
        <f>SUM(DN43:DN44)</f>
        <v>0</v>
      </c>
      <c r="DO42" s="333">
        <f>IF(DM42=0,0,(DN42-DM42)/DM42*100)</f>
        <v>0</v>
      </c>
      <c r="DP42" s="97">
        <f>SUM(DP43:DP44)</f>
        <v>0</v>
      </c>
      <c r="DQ42" s="97">
        <f>SUM(DQ43:DQ44)</f>
        <v>0</v>
      </c>
      <c r="DR42" s="333">
        <f>IF(DP42=0,0,(DQ42-DP42)/DP42*100)</f>
        <v>0</v>
      </c>
      <c r="DS42" s="97">
        <f>SUM(DS43:DS44)</f>
        <v>0</v>
      </c>
      <c r="DT42" s="97">
        <f>SUM(DT43:DT44)</f>
        <v>0</v>
      </c>
      <c r="DU42" s="333">
        <f>IF(DS42=0,0,(DT42-DS42)/DS42*100)</f>
        <v>0</v>
      </c>
      <c r="DV42" s="97">
        <f>SUM(DV43:DV44)</f>
        <v>0</v>
      </c>
      <c r="DW42" s="97">
        <f>SUM(DW43:DW44)</f>
        <v>0</v>
      </c>
      <c r="DX42" s="333">
        <f>IF(DV42=0,0,(DW42-DV42)/DV42*100)</f>
        <v>0</v>
      </c>
      <c r="DY42" s="97">
        <f>SUM(DY43:DY44)</f>
        <v>0</v>
      </c>
      <c r="DZ42" s="97">
        <f>SUM(DZ43:DZ44)</f>
        <v>0</v>
      </c>
      <c r="EA42" s="333">
        <f>IF(DY42=0,0,(DZ42-DY42)/DY42*100)</f>
        <v>0</v>
      </c>
      <c r="EB42" s="97">
        <f>SUM(EB43:EB44)</f>
        <v>0</v>
      </c>
      <c r="EC42" s="97">
        <f>SUM(EC43:EC44)</f>
        <v>0</v>
      </c>
      <c r="ED42" s="333">
        <f>IF(EB42=0,0,(EC42-EB42)/EB42*100)</f>
        <v>0</v>
      </c>
      <c r="EE42" s="97">
        <f>SUM(EE43:EE44)</f>
        <v>0</v>
      </c>
      <c r="EF42" s="97">
        <f>SUM(EF43:EF44)</f>
        <v>0</v>
      </c>
      <c r="EG42" s="333">
        <f>IF(EE42=0,0,(EF42-EE42)/EE42*100)</f>
        <v>0</v>
      </c>
      <c r="EH42" s="97">
        <f>SUM(EH43:EH44)</f>
        <v>0</v>
      </c>
      <c r="EI42" s="97">
        <f>SUM(EI43:EI44)</f>
        <v>0</v>
      </c>
      <c r="EJ42" s="333">
        <f>IF(EH42=0,0,(EI42-EH42)/EH42*100)</f>
        <v>0</v>
      </c>
      <c r="EK42" s="97">
        <f>SUM(EK43:EK44)</f>
        <v>0</v>
      </c>
      <c r="EL42" s="97">
        <f>SUM(EL43:EL44)</f>
        <v>0</v>
      </c>
      <c r="EM42" s="333">
        <f>IF(EK42=0,0,(EL42-EK42)/EK42*100)</f>
        <v>0</v>
      </c>
      <c r="EN42" s="97">
        <f>SUM(EN43:EN44)</f>
        <v>0</v>
      </c>
      <c r="EO42" s="97">
        <f>SUM(EO43:EO44)</f>
        <v>0</v>
      </c>
      <c r="EP42" s="333">
        <f>IF(EN42=0,0,(EO42-EN42)/EN42*100)</f>
        <v>0</v>
      </c>
      <c r="EQ42" s="97">
        <f>SUM(EQ43:EQ44)</f>
        <v>0</v>
      </c>
      <c r="ER42" s="97">
        <f>SUM(ER43:ER44)</f>
        <v>0</v>
      </c>
      <c r="ES42" s="333">
        <f>IF(EQ42=0,0,(ER42-EQ42)/EQ42*100)</f>
        <v>0</v>
      </c>
      <c r="ET42" s="97">
        <f>SUM(ET43:ET44)</f>
        <v>0</v>
      </c>
      <c r="EU42" s="97">
        <f>SUM(EU43:EU44)</f>
        <v>0</v>
      </c>
      <c r="EV42" s="333">
        <f>IF(ET42=0,0,(EU42-ET42)/ET42*100)</f>
        <v>0</v>
      </c>
      <c r="EW42" s="97">
        <f>SUM(EW43:EW44)</f>
        <v>0</v>
      </c>
      <c r="EX42" s="97">
        <f>SUM(EX43:EX44)</f>
        <v>0</v>
      </c>
      <c r="EY42" s="333">
        <f>IF(EW42=0,0,(EX42-EW42)/EW42*100)</f>
        <v>0</v>
      </c>
      <c r="EZ42" s="97">
        <f>SUM(EZ43:EZ44)</f>
        <v>0</v>
      </c>
      <c r="FA42" s="97">
        <f>SUM(FA43:FA44)</f>
        <v>0</v>
      </c>
      <c r="FB42" s="333">
        <f>IF(EZ42=0,0,(FA42-EZ42)/EZ42*100)</f>
        <v>0</v>
      </c>
      <c r="FC42" s="97">
        <f>SUM(FC43:FC44)</f>
        <v>0</v>
      </c>
      <c r="FD42" s="97">
        <f>SUM(FD43:FD44)</f>
        <v>0</v>
      </c>
      <c r="FE42" s="333">
        <f>IF(FC42=0,0,(FD42-FC42)/FC42*100)</f>
        <v>0</v>
      </c>
      <c r="FF42" s="97">
        <f>SUM(FF43:FF44)</f>
        <v>0</v>
      </c>
      <c r="FG42" s="97">
        <f>SUM(FG43:FG44)</f>
        <v>0</v>
      </c>
      <c r="FH42" s="333">
        <f>IF(FF42=0,0,(FG42-FF42)/FF42*100)</f>
        <v>0</v>
      </c>
      <c r="FI42" s="97">
        <f>SUM(FI43:FI44)</f>
        <v>0</v>
      </c>
      <c r="FJ42" s="97">
        <f>SUM(FJ43:FJ44)</f>
        <v>0</v>
      </c>
      <c r="FK42" s="333">
        <f>IF(FI42=0,0,(FJ42-FI42)/FI42*100)</f>
        <v>0</v>
      </c>
      <c r="FL42" s="97">
        <f>SUM(FL43:FL44)</f>
        <v>0</v>
      </c>
      <c r="FM42" s="97">
        <f>SUM(FM43:FM44)</f>
        <v>0</v>
      </c>
      <c r="FN42" s="333">
        <f>IF(FL42=0,0,(FM42-FL42)/FL42*100)</f>
        <v>0</v>
      </c>
      <c r="FO42" s="97">
        <f>SUM(FO43:FO44)</f>
        <v>0</v>
      </c>
      <c r="FP42" s="97">
        <f>SUM(FP43:FP44)</f>
        <v>0</v>
      </c>
      <c r="FQ42" s="333">
        <f>IF(FO42=0,0,(FP42-FO42)/FO42*100)</f>
        <v>0</v>
      </c>
      <c r="FR42" s="97">
        <f>SUM(FR43:FR44)</f>
        <v>0</v>
      </c>
      <c r="FS42" s="97">
        <f>SUM(FS43:FS44)</f>
        <v>0</v>
      </c>
      <c r="FT42" s="333">
        <f>IF(FR42=0,0,(FS42-FR42)/FR42*100)</f>
        <v>0</v>
      </c>
      <c r="FU42" s="97">
        <f>SUM(FU43:FU44)</f>
        <v>0</v>
      </c>
      <c r="FV42" s="97">
        <f>SUM(FV43:FV44)</f>
        <v>0</v>
      </c>
      <c r="FW42" s="333">
        <f>IF(FU42=0,0,(FV42-FU42)/FU42*100)</f>
        <v>0</v>
      </c>
      <c r="FZ42" s="971" t="s">
        <v>2148</v>
      </c>
      <c r="GA42" s="971"/>
      <c r="GB42" s="971"/>
      <c r="GC42" s="971"/>
      <c r="GD42" s="971"/>
    </row>
    <row r="43" spans="2:186" ht="16.7" hidden="1" customHeight="1" x14ac:dyDescent="0.15">
      <c r="B43" s="803" t="b" cm="1">
        <f t="array" ref="B43">B42</f>
        <v>0</v>
      </c>
      <c r="C43" s="1108" t="s">
        <v>1747</v>
      </c>
      <c r="D43" s="1077" t="s">
        <v>1748</v>
      </c>
      <c r="E43" s="668">
        <v>17.100000000000001</v>
      </c>
      <c r="F43" s="769" cm="1">
        <f t="array" aca="1" ref="F43" ca="1">OFFSET(G43,-1,-1)</f>
        <v>0</v>
      </c>
      <c r="J43" s="1098" t="s">
        <v>2115</v>
      </c>
      <c r="K43" s="1098" cm="1">
        <f t="array" aca="1" ref="K43" ca="1">OFFSET(J43,-1,1)</f>
        <v>0</v>
      </c>
      <c r="L43" s="1098" t="s">
        <v>2129</v>
      </c>
      <c r="M43" s="1098" t="s">
        <v>1750</v>
      </c>
      <c r="N43" s="1098" t="s">
        <v>2137</v>
      </c>
      <c r="O43" s="1099" t="s">
        <v>2138</v>
      </c>
      <c r="P43" s="1098"/>
      <c r="Q43" s="1098"/>
      <c r="T43" s="679" t="b" cm="1">
        <f t="array" aca="1" ref="T43" ca="1">T42</f>
        <v>0</v>
      </c>
      <c r="X43" s="1485"/>
      <c r="Z43" s="1485"/>
      <c r="AB43" s="220" t="s">
        <v>2149</v>
      </c>
      <c r="AC43" s="558" t="s">
        <v>622</v>
      </c>
      <c r="AD43" s="65"/>
      <c r="AE43" s="65"/>
      <c r="AF43" s="570">
        <f>IF(AD43=0,0,(AE43-AD43)/AD43*100)</f>
        <v>0</v>
      </c>
      <c r="AG43" s="1351"/>
      <c r="AH43" s="1351"/>
      <c r="AI43" s="570">
        <f>IF(AG43=0,0,(AH43-AG43)/AG43*100)</f>
        <v>0</v>
      </c>
      <c r="AJ43" s="1351"/>
      <c r="AK43" s="1351"/>
      <c r="AL43" s="570">
        <f>IF(AJ43=0,0,(AK43-AJ43)/AJ43*100)</f>
        <v>0</v>
      </c>
      <c r="AM43" s="65"/>
      <c r="AN43" s="65"/>
      <c r="AO43" s="570">
        <f>IF(AM43=0,0,(AN43-AM43)/AM43*100)</f>
        <v>0</v>
      </c>
      <c r="AP43" s="65"/>
      <c r="AQ43" s="65"/>
      <c r="AR43" s="570">
        <f>IF(AP43=0,0,(AQ43-AP43)/AP43*100)</f>
        <v>0</v>
      </c>
      <c r="AS43" s="65"/>
      <c r="AT43" s="65"/>
      <c r="AU43" s="570">
        <f>IF(AS43=0,0,(AT43-AS43)/AS43*100)</f>
        <v>0</v>
      </c>
      <c r="AV43" s="65"/>
      <c r="AW43" s="65"/>
      <c r="AX43" s="570">
        <f>IF(AV43=0,0,(AW43-AV43)/AV43*100)</f>
        <v>0</v>
      </c>
      <c r="AY43" s="65"/>
      <c r="AZ43" s="65"/>
      <c r="BA43" s="570">
        <f>IF(AY43=0,0,(AZ43-AY43)/AY43*100)</f>
        <v>0</v>
      </c>
      <c r="BB43" s="65"/>
      <c r="BC43" s="65"/>
      <c r="BD43" s="570">
        <f>IF(BB43=0,0,(BC43-BB43)/BB43*100)</f>
        <v>0</v>
      </c>
      <c r="BE43" s="65"/>
      <c r="BF43" s="65"/>
      <c r="BG43" s="570">
        <f>IF(BE43=0,0,(BF43-BE43)/BE43*100)</f>
        <v>0</v>
      </c>
      <c r="BH43" s="65"/>
      <c r="BI43" s="65"/>
      <c r="BJ43" s="570">
        <f>IF(BH43=0,0,(BI43-BH43)/BH43*100)</f>
        <v>0</v>
      </c>
      <c r="BK43" s="65"/>
      <c r="BL43" s="65"/>
      <c r="BM43" s="570">
        <f>IF(BK43=0,0,(BL43-BK43)/BK43*100)</f>
        <v>0</v>
      </c>
      <c r="BN43" s="65"/>
      <c r="BO43" s="65"/>
      <c r="BP43" s="570">
        <f>IF(BN43=0,0,(BO43-BN43)/BN43*100)</f>
        <v>0</v>
      </c>
      <c r="BQ43" s="65"/>
      <c r="BR43" s="65"/>
      <c r="BS43" s="570">
        <f>IF(BQ43=0,0,(BR43-BQ43)/BQ43*100)</f>
        <v>0</v>
      </c>
      <c r="BT43" s="65"/>
      <c r="BU43" s="65"/>
      <c r="BV43" s="570">
        <f>IF(BT43=0,0,(BU43-BT43)/BT43*100)</f>
        <v>0</v>
      </c>
      <c r="BW43" s="65"/>
      <c r="BX43" s="65"/>
      <c r="BY43" s="570">
        <f>IF(BW43=0,0,(BX43-BW43)/BW43*100)</f>
        <v>0</v>
      </c>
      <c r="BZ43" s="65"/>
      <c r="CA43" s="65"/>
      <c r="CB43" s="570">
        <f>IF(BZ43=0,0,(CA43-BZ43)/BZ43*100)</f>
        <v>0</v>
      </c>
      <c r="CC43" s="65"/>
      <c r="CD43" s="65"/>
      <c r="CE43" s="570">
        <f>IF(CC43=0,0,(CD43-CC43)/CC43*100)</f>
        <v>0</v>
      </c>
      <c r="CF43" s="65"/>
      <c r="CG43" s="65"/>
      <c r="CH43" s="570">
        <f>IF(CF43=0,0,(CG43-CF43)/CF43*100)</f>
        <v>0</v>
      </c>
      <c r="CI43" s="65"/>
      <c r="CJ43" s="65"/>
      <c r="CK43" s="570">
        <f>IF(CI43=0,0,(CJ43-CI43)/CI43*100)</f>
        <v>0</v>
      </c>
      <c r="CL43" s="65"/>
      <c r="CM43" s="65"/>
      <c r="CN43" s="570">
        <f>IF(CL43=0,0,(CM43-CL43)/CL43*100)</f>
        <v>0</v>
      </c>
      <c r="CO43" s="65"/>
      <c r="CP43" s="65"/>
      <c r="CQ43" s="570">
        <f>IF(CO43=0,0,(CP43-CO43)/CO43*100)</f>
        <v>0</v>
      </c>
      <c r="CR43" s="65"/>
      <c r="CS43" s="65"/>
      <c r="CT43" s="570">
        <f>IF(CR43=0,0,(CS43-CR43)/CR43*100)</f>
        <v>0</v>
      </c>
      <c r="CU43" s="65"/>
      <c r="CV43" s="65"/>
      <c r="CW43" s="570">
        <f>IF(CU43=0,0,(CV43-CU43)/CU43*100)</f>
        <v>0</v>
      </c>
      <c r="CX43" s="65"/>
      <c r="CY43" s="65"/>
      <c r="CZ43" s="570">
        <f>IF(CX43=0,0,(CY43-CX43)/CX43*100)</f>
        <v>0</v>
      </c>
      <c r="DA43" s="65"/>
      <c r="DB43" s="65"/>
      <c r="DC43" s="570">
        <f>IF(DA43=0,0,(DB43-DA43)/DA43*100)</f>
        <v>0</v>
      </c>
      <c r="DD43" s="65"/>
      <c r="DE43" s="65"/>
      <c r="DF43" s="570">
        <f>IF(DD43=0,0,(DE43-DD43)/DD43*100)</f>
        <v>0</v>
      </c>
      <c r="DG43" s="65"/>
      <c r="DH43" s="65"/>
      <c r="DI43" s="570">
        <f>IF(DG43=0,0,(DH43-DG43)/DG43*100)</f>
        <v>0</v>
      </c>
      <c r="DJ43" s="65"/>
      <c r="DK43" s="65"/>
      <c r="DL43" s="570">
        <f>IF(DJ43=0,0,(DK43-DJ43)/DJ43*100)</f>
        <v>0</v>
      </c>
      <c r="DM43" s="65"/>
      <c r="DN43" s="65"/>
      <c r="DO43" s="570">
        <f>IF(DM43=0,0,(DN43-DM43)/DM43*100)</f>
        <v>0</v>
      </c>
      <c r="DP43" s="65"/>
      <c r="DQ43" s="65"/>
      <c r="DR43" s="570">
        <f>IF(DP43=0,0,(DQ43-DP43)/DP43*100)</f>
        <v>0</v>
      </c>
      <c r="DS43" s="65"/>
      <c r="DT43" s="65"/>
      <c r="DU43" s="570">
        <f>IF(DS43=0,0,(DT43-DS43)/DS43*100)</f>
        <v>0</v>
      </c>
      <c r="DV43" s="65"/>
      <c r="DW43" s="65"/>
      <c r="DX43" s="570">
        <f>IF(DV43=0,0,(DW43-DV43)/DV43*100)</f>
        <v>0</v>
      </c>
      <c r="DY43" s="65"/>
      <c r="DZ43" s="65"/>
      <c r="EA43" s="570">
        <f>IF(DY43=0,0,(DZ43-DY43)/DY43*100)</f>
        <v>0</v>
      </c>
      <c r="EB43" s="65"/>
      <c r="EC43" s="65"/>
      <c r="ED43" s="570">
        <f>IF(EB43=0,0,(EC43-EB43)/EB43*100)</f>
        <v>0</v>
      </c>
      <c r="EE43" s="65"/>
      <c r="EF43" s="65"/>
      <c r="EG43" s="570">
        <f>IF(EE43=0,0,(EF43-EE43)/EE43*100)</f>
        <v>0</v>
      </c>
      <c r="EH43" s="65"/>
      <c r="EI43" s="65"/>
      <c r="EJ43" s="570">
        <f>IF(EH43=0,0,(EI43-EH43)/EH43*100)</f>
        <v>0</v>
      </c>
      <c r="EK43" s="65"/>
      <c r="EL43" s="65"/>
      <c r="EM43" s="570">
        <f>IF(EK43=0,0,(EL43-EK43)/EK43*100)</f>
        <v>0</v>
      </c>
      <c r="EN43" s="65"/>
      <c r="EO43" s="65"/>
      <c r="EP43" s="570">
        <f>IF(EN43=0,0,(EO43-EN43)/EN43*100)</f>
        <v>0</v>
      </c>
      <c r="EQ43" s="65"/>
      <c r="ER43" s="65"/>
      <c r="ES43" s="570">
        <f>IF(EQ43=0,0,(ER43-EQ43)/EQ43*100)</f>
        <v>0</v>
      </c>
      <c r="ET43" s="65"/>
      <c r="EU43" s="65"/>
      <c r="EV43" s="570">
        <f>IF(ET43=0,0,(EU43-ET43)/ET43*100)</f>
        <v>0</v>
      </c>
      <c r="EW43" s="65"/>
      <c r="EX43" s="65"/>
      <c r="EY43" s="570">
        <f>IF(EW43=0,0,(EX43-EW43)/EW43*100)</f>
        <v>0</v>
      </c>
      <c r="EZ43" s="65"/>
      <c r="FA43" s="65"/>
      <c r="FB43" s="570">
        <f>IF(EZ43=0,0,(FA43-EZ43)/EZ43*100)</f>
        <v>0</v>
      </c>
      <c r="FC43" s="65"/>
      <c r="FD43" s="65"/>
      <c r="FE43" s="570">
        <f>IF(FC43=0,0,(FD43-FC43)/FC43*100)</f>
        <v>0</v>
      </c>
      <c r="FF43" s="65"/>
      <c r="FG43" s="65"/>
      <c r="FH43" s="570">
        <f>IF(FF43=0,0,(FG43-FF43)/FF43*100)</f>
        <v>0</v>
      </c>
      <c r="FI43" s="65"/>
      <c r="FJ43" s="65"/>
      <c r="FK43" s="570">
        <f>IF(FI43=0,0,(FJ43-FI43)/FI43*100)</f>
        <v>0</v>
      </c>
      <c r="FL43" s="65"/>
      <c r="FM43" s="65"/>
      <c r="FN43" s="570">
        <f>IF(FL43=0,0,(FM43-FL43)/FL43*100)</f>
        <v>0</v>
      </c>
      <c r="FO43" s="65"/>
      <c r="FP43" s="65"/>
      <c r="FQ43" s="570">
        <f>IF(FO43=0,0,(FP43-FO43)/FO43*100)</f>
        <v>0</v>
      </c>
      <c r="FR43" s="65"/>
      <c r="FS43" s="65"/>
      <c r="FT43" s="570">
        <f>IF(FR43=0,0,(FS43-FR43)/FR43*100)</f>
        <v>0</v>
      </c>
      <c r="FU43" s="65"/>
      <c r="FV43" s="65"/>
      <c r="FW43" s="570">
        <f>IF(FU43=0,0,(FV43-FU43)/FU43*100)</f>
        <v>0</v>
      </c>
      <c r="FZ43" s="971" t="s">
        <v>2150</v>
      </c>
      <c r="GA43" s="971"/>
      <c r="GB43" s="971"/>
      <c r="GC43" s="971"/>
      <c r="GD43" s="971"/>
    </row>
    <row r="44" spans="2:186" ht="16.7" hidden="1" customHeight="1" x14ac:dyDescent="0.15">
      <c r="B44" s="803" t="b" cm="1">
        <f t="array" ref="B44">B43</f>
        <v>0</v>
      </c>
      <c r="C44" s="1108" t="s">
        <v>1747</v>
      </c>
      <c r="D44" s="1077" t="s">
        <v>1748</v>
      </c>
      <c r="E44" s="668">
        <v>17.100000000000001</v>
      </c>
      <c r="F44" s="769" cm="1">
        <f t="array" aca="1" ref="F44" ca="1">OFFSET(G44,-1,-1)</f>
        <v>0</v>
      </c>
      <c r="J44" s="1098" t="s">
        <v>2115</v>
      </c>
      <c r="K44" s="1098" cm="1">
        <f t="array" aca="1" ref="K44" ca="1">OFFSET(J44,-1,1)</f>
        <v>0</v>
      </c>
      <c r="L44" s="1098" t="s">
        <v>2129</v>
      </c>
      <c r="M44" s="1098" t="s">
        <v>1759</v>
      </c>
      <c r="N44" s="1098" t="s">
        <v>2137</v>
      </c>
      <c r="O44" s="1099" t="s">
        <v>2138</v>
      </c>
      <c r="P44" s="1098"/>
      <c r="Q44" s="1098"/>
      <c r="T44" s="679" t="b" cm="1">
        <f t="array" aca="1" ref="T44" ca="1">T43</f>
        <v>0</v>
      </c>
      <c r="X44" s="1485"/>
      <c r="Z44" s="1485"/>
      <c r="AB44" s="220" t="s">
        <v>2151</v>
      </c>
      <c r="AC44" s="558" t="s">
        <v>622</v>
      </c>
      <c r="AD44" s="65"/>
      <c r="AE44" s="65"/>
      <c r="AF44" s="570">
        <f>IF(AD44=0,0,(AE44-AD44)/AD44*100)</f>
        <v>0</v>
      </c>
      <c r="AG44" s="1351"/>
      <c r="AH44" s="1351"/>
      <c r="AI44" s="570">
        <f>IF(AG44=0,0,(AH44-AG44)/AG44*100)</f>
        <v>0</v>
      </c>
      <c r="AJ44" s="1351"/>
      <c r="AK44" s="1351"/>
      <c r="AL44" s="570">
        <f>IF(AJ44=0,0,(AK44-AJ44)/AJ44*100)</f>
        <v>0</v>
      </c>
      <c r="AM44" s="65"/>
      <c r="AN44" s="65"/>
      <c r="AO44" s="570">
        <f>IF(AM44=0,0,(AN44-AM44)/AM44*100)</f>
        <v>0</v>
      </c>
      <c r="AP44" s="65"/>
      <c r="AQ44" s="65"/>
      <c r="AR44" s="570">
        <f>IF(AP44=0,0,(AQ44-AP44)/AP44*100)</f>
        <v>0</v>
      </c>
      <c r="AS44" s="65"/>
      <c r="AT44" s="65"/>
      <c r="AU44" s="570">
        <f>IF(AS44=0,0,(AT44-AS44)/AS44*100)</f>
        <v>0</v>
      </c>
      <c r="AV44" s="65"/>
      <c r="AW44" s="65"/>
      <c r="AX44" s="570">
        <f>IF(AV44=0,0,(AW44-AV44)/AV44*100)</f>
        <v>0</v>
      </c>
      <c r="AY44" s="65"/>
      <c r="AZ44" s="65"/>
      <c r="BA44" s="570">
        <f>IF(AY44=0,0,(AZ44-AY44)/AY44*100)</f>
        <v>0</v>
      </c>
      <c r="BB44" s="65"/>
      <c r="BC44" s="65"/>
      <c r="BD44" s="570">
        <f>IF(BB44=0,0,(BC44-BB44)/BB44*100)</f>
        <v>0</v>
      </c>
      <c r="BE44" s="65"/>
      <c r="BF44" s="65"/>
      <c r="BG44" s="570">
        <f>IF(BE44=0,0,(BF44-BE44)/BE44*100)</f>
        <v>0</v>
      </c>
      <c r="BH44" s="65"/>
      <c r="BI44" s="65"/>
      <c r="BJ44" s="570">
        <f>IF(BH44=0,0,(BI44-BH44)/BH44*100)</f>
        <v>0</v>
      </c>
      <c r="BK44" s="65"/>
      <c r="BL44" s="65"/>
      <c r="BM44" s="570">
        <f>IF(BK44=0,0,(BL44-BK44)/BK44*100)</f>
        <v>0</v>
      </c>
      <c r="BN44" s="65"/>
      <c r="BO44" s="65"/>
      <c r="BP44" s="570">
        <f>IF(BN44=0,0,(BO44-BN44)/BN44*100)</f>
        <v>0</v>
      </c>
      <c r="BQ44" s="65"/>
      <c r="BR44" s="65"/>
      <c r="BS44" s="570">
        <f>IF(BQ44=0,0,(BR44-BQ44)/BQ44*100)</f>
        <v>0</v>
      </c>
      <c r="BT44" s="65"/>
      <c r="BU44" s="65"/>
      <c r="BV44" s="570">
        <f>IF(BT44=0,0,(BU44-BT44)/BT44*100)</f>
        <v>0</v>
      </c>
      <c r="BW44" s="65"/>
      <c r="BX44" s="65"/>
      <c r="BY44" s="570">
        <f>IF(BW44=0,0,(BX44-BW44)/BW44*100)</f>
        <v>0</v>
      </c>
      <c r="BZ44" s="65"/>
      <c r="CA44" s="65"/>
      <c r="CB44" s="570">
        <f>IF(BZ44=0,0,(CA44-BZ44)/BZ44*100)</f>
        <v>0</v>
      </c>
      <c r="CC44" s="65"/>
      <c r="CD44" s="65"/>
      <c r="CE44" s="570">
        <f>IF(CC44=0,0,(CD44-CC44)/CC44*100)</f>
        <v>0</v>
      </c>
      <c r="CF44" s="65"/>
      <c r="CG44" s="65"/>
      <c r="CH44" s="570">
        <f>IF(CF44=0,0,(CG44-CF44)/CF44*100)</f>
        <v>0</v>
      </c>
      <c r="CI44" s="65"/>
      <c r="CJ44" s="65"/>
      <c r="CK44" s="570">
        <f>IF(CI44=0,0,(CJ44-CI44)/CI44*100)</f>
        <v>0</v>
      </c>
      <c r="CL44" s="65"/>
      <c r="CM44" s="65"/>
      <c r="CN44" s="570">
        <f>IF(CL44=0,0,(CM44-CL44)/CL44*100)</f>
        <v>0</v>
      </c>
      <c r="CO44" s="65"/>
      <c r="CP44" s="65"/>
      <c r="CQ44" s="570">
        <f>IF(CO44=0,0,(CP44-CO44)/CO44*100)</f>
        <v>0</v>
      </c>
      <c r="CR44" s="65"/>
      <c r="CS44" s="65"/>
      <c r="CT44" s="570">
        <f>IF(CR44=0,0,(CS44-CR44)/CR44*100)</f>
        <v>0</v>
      </c>
      <c r="CU44" s="65"/>
      <c r="CV44" s="65"/>
      <c r="CW44" s="570">
        <f>IF(CU44=0,0,(CV44-CU44)/CU44*100)</f>
        <v>0</v>
      </c>
      <c r="CX44" s="65"/>
      <c r="CY44" s="65"/>
      <c r="CZ44" s="570">
        <f>IF(CX44=0,0,(CY44-CX44)/CX44*100)</f>
        <v>0</v>
      </c>
      <c r="DA44" s="65"/>
      <c r="DB44" s="65"/>
      <c r="DC44" s="570">
        <f>IF(DA44=0,0,(DB44-DA44)/DA44*100)</f>
        <v>0</v>
      </c>
      <c r="DD44" s="65"/>
      <c r="DE44" s="65"/>
      <c r="DF44" s="570">
        <f>IF(DD44=0,0,(DE44-DD44)/DD44*100)</f>
        <v>0</v>
      </c>
      <c r="DG44" s="65"/>
      <c r="DH44" s="65"/>
      <c r="DI44" s="570">
        <f>IF(DG44=0,0,(DH44-DG44)/DG44*100)</f>
        <v>0</v>
      </c>
      <c r="DJ44" s="65"/>
      <c r="DK44" s="65"/>
      <c r="DL44" s="570">
        <f>IF(DJ44=0,0,(DK44-DJ44)/DJ44*100)</f>
        <v>0</v>
      </c>
      <c r="DM44" s="65"/>
      <c r="DN44" s="65"/>
      <c r="DO44" s="570">
        <f>IF(DM44=0,0,(DN44-DM44)/DM44*100)</f>
        <v>0</v>
      </c>
      <c r="DP44" s="65"/>
      <c r="DQ44" s="65"/>
      <c r="DR44" s="570">
        <f>IF(DP44=0,0,(DQ44-DP44)/DP44*100)</f>
        <v>0</v>
      </c>
      <c r="DS44" s="65"/>
      <c r="DT44" s="65"/>
      <c r="DU44" s="570">
        <f>IF(DS44=0,0,(DT44-DS44)/DS44*100)</f>
        <v>0</v>
      </c>
      <c r="DV44" s="65"/>
      <c r="DW44" s="65"/>
      <c r="DX44" s="570">
        <f>IF(DV44=0,0,(DW44-DV44)/DV44*100)</f>
        <v>0</v>
      </c>
      <c r="DY44" s="65"/>
      <c r="DZ44" s="65"/>
      <c r="EA44" s="570">
        <f>IF(DY44=0,0,(DZ44-DY44)/DY44*100)</f>
        <v>0</v>
      </c>
      <c r="EB44" s="65"/>
      <c r="EC44" s="65"/>
      <c r="ED44" s="570">
        <f>IF(EB44=0,0,(EC44-EB44)/EB44*100)</f>
        <v>0</v>
      </c>
      <c r="EE44" s="65"/>
      <c r="EF44" s="65"/>
      <c r="EG44" s="570">
        <f>IF(EE44=0,0,(EF44-EE44)/EE44*100)</f>
        <v>0</v>
      </c>
      <c r="EH44" s="65"/>
      <c r="EI44" s="65"/>
      <c r="EJ44" s="570">
        <f>IF(EH44=0,0,(EI44-EH44)/EH44*100)</f>
        <v>0</v>
      </c>
      <c r="EK44" s="65"/>
      <c r="EL44" s="65"/>
      <c r="EM44" s="570">
        <f>IF(EK44=0,0,(EL44-EK44)/EK44*100)</f>
        <v>0</v>
      </c>
      <c r="EN44" s="65"/>
      <c r="EO44" s="65"/>
      <c r="EP44" s="570">
        <f>IF(EN44=0,0,(EO44-EN44)/EN44*100)</f>
        <v>0</v>
      </c>
      <c r="EQ44" s="65"/>
      <c r="ER44" s="65"/>
      <c r="ES44" s="570">
        <f>IF(EQ44=0,0,(ER44-EQ44)/EQ44*100)</f>
        <v>0</v>
      </c>
      <c r="ET44" s="65"/>
      <c r="EU44" s="65"/>
      <c r="EV44" s="570">
        <f>IF(ET44=0,0,(EU44-ET44)/ET44*100)</f>
        <v>0</v>
      </c>
      <c r="EW44" s="65"/>
      <c r="EX44" s="65"/>
      <c r="EY44" s="570">
        <f>IF(EW44=0,0,(EX44-EW44)/EW44*100)</f>
        <v>0</v>
      </c>
      <c r="EZ44" s="65"/>
      <c r="FA44" s="65"/>
      <c r="FB44" s="570">
        <f>IF(EZ44=0,0,(FA44-EZ44)/EZ44*100)</f>
        <v>0</v>
      </c>
      <c r="FC44" s="65"/>
      <c r="FD44" s="65"/>
      <c r="FE44" s="570">
        <f>IF(FC44=0,0,(FD44-FC44)/FC44*100)</f>
        <v>0</v>
      </c>
      <c r="FF44" s="65"/>
      <c r="FG44" s="65"/>
      <c r="FH44" s="570">
        <f>IF(FF44=0,0,(FG44-FF44)/FF44*100)</f>
        <v>0</v>
      </c>
      <c r="FI44" s="65"/>
      <c r="FJ44" s="65"/>
      <c r="FK44" s="570">
        <f>IF(FI44=0,0,(FJ44-FI44)/FI44*100)</f>
        <v>0</v>
      </c>
      <c r="FL44" s="65"/>
      <c r="FM44" s="65"/>
      <c r="FN44" s="570">
        <f>IF(FL44=0,0,(FM44-FL44)/FL44*100)</f>
        <v>0</v>
      </c>
      <c r="FO44" s="65"/>
      <c r="FP44" s="65"/>
      <c r="FQ44" s="570">
        <f>IF(FO44=0,0,(FP44-FO44)/FO44*100)</f>
        <v>0</v>
      </c>
      <c r="FR44" s="65"/>
      <c r="FS44" s="65"/>
      <c r="FT44" s="570">
        <f>IF(FR44=0,0,(FS44-FR44)/FR44*100)</f>
        <v>0</v>
      </c>
      <c r="FU44" s="65"/>
      <c r="FV44" s="65"/>
      <c r="FW44" s="570">
        <f>IF(FU44=0,0,(FV44-FU44)/FU44*100)</f>
        <v>0</v>
      </c>
      <c r="FZ44" s="971" t="s">
        <v>2152</v>
      </c>
      <c r="GA44" s="971"/>
      <c r="GB44" s="971"/>
      <c r="GC44" s="971"/>
      <c r="GD44" s="971"/>
    </row>
    <row r="45" spans="2:186" s="1146" customFormat="1" ht="16.7" hidden="1" customHeight="1" x14ac:dyDescent="0.15">
      <c r="B45" s="803" t="b" cm="1">
        <f t="array" aca="1" ref="B45" ca="1">OFFSET(A45,-1,1)</f>
        <v>0</v>
      </c>
      <c r="C45" s="1108" t="s">
        <v>2134</v>
      </c>
      <c r="D45" s="1077" t="s">
        <v>2135</v>
      </c>
      <c r="E45" s="668">
        <v>17.100000000000001</v>
      </c>
      <c r="F45" s="769" cm="1">
        <f t="array" aca="1" ref="F45" ca="1">OFFSET(G45,-1,-1)</f>
        <v>0</v>
      </c>
      <c r="J45" s="1098" t="s">
        <v>2115</v>
      </c>
      <c r="K45" s="1098" cm="1">
        <f t="array" aca="1" ref="K45" ca="1">OFFSET(J45,-1,1)</f>
        <v>0</v>
      </c>
      <c r="L45" s="1098"/>
      <c r="M45" s="1098"/>
      <c r="N45" s="1098" t="s">
        <v>2137</v>
      </c>
      <c r="O45" s="1099" t="s">
        <v>2138</v>
      </c>
      <c r="P45" s="1098"/>
      <c r="Q45" s="1098" cm="1">
        <f t="array" ref="Q45">AB45</f>
        <v>0</v>
      </c>
      <c r="T45" s="679" t="b">
        <f ca="1">AND(OFFSET(S45,1,1),Y45&gt;0)</f>
        <v>0</v>
      </c>
      <c r="W45" s="123" t="s">
        <v>237</v>
      </c>
      <c r="X45" s="1566"/>
      <c r="Y45" s="1485">
        <v>0</v>
      </c>
      <c r="Z45" s="1566"/>
      <c r="AA45" s="1432" t="s">
        <v>218</v>
      </c>
      <c r="AB45" s="98"/>
      <c r="AC45" s="558" t="s">
        <v>920</v>
      </c>
      <c r="AD45" s="65"/>
      <c r="AE45" s="65"/>
      <c r="AF45" s="570">
        <f>IF(AD45=0,0,(AE45-AD45)/AD45*100)</f>
        <v>0</v>
      </c>
      <c r="AG45" s="1351"/>
      <c r="AH45" s="1351"/>
      <c r="AI45" s="570">
        <f>IF(AG45=0,0,(AH45-AG45)/AG45*100)</f>
        <v>0</v>
      </c>
      <c r="AJ45" s="1351"/>
      <c r="AK45" s="1351"/>
      <c r="AL45" s="570">
        <f>IF(AJ45=0,0,(AK45-AJ45)/AJ45*100)</f>
        <v>0</v>
      </c>
      <c r="AM45" s="65"/>
      <c r="AN45" s="65"/>
      <c r="AO45" s="570">
        <f>IF(AM45=0,0,(AN45-AM45)/AM45*100)</f>
        <v>0</v>
      </c>
      <c r="AP45" s="65"/>
      <c r="AQ45" s="65"/>
      <c r="AR45" s="570">
        <f>IF(AP45=0,0,(AQ45-AP45)/AP45*100)</f>
        <v>0</v>
      </c>
      <c r="AS45" s="65"/>
      <c r="AT45" s="65"/>
      <c r="AU45" s="570">
        <f>IF(AS45=0,0,(AT45-AS45)/AS45*100)</f>
        <v>0</v>
      </c>
      <c r="AV45" s="65"/>
      <c r="AW45" s="65"/>
      <c r="AX45" s="570">
        <f>IF(AV45=0,0,(AW45-AV45)/AV45*100)</f>
        <v>0</v>
      </c>
      <c r="AY45" s="65"/>
      <c r="AZ45" s="65"/>
      <c r="BA45" s="570">
        <f>IF(AY45=0,0,(AZ45-AY45)/AY45*100)</f>
        <v>0</v>
      </c>
      <c r="BB45" s="65"/>
      <c r="BC45" s="65"/>
      <c r="BD45" s="570">
        <f>IF(BB45=0,0,(BC45-BB45)/BB45*100)</f>
        <v>0</v>
      </c>
      <c r="BE45" s="65"/>
      <c r="BF45" s="65"/>
      <c r="BG45" s="570">
        <f>IF(BE45=0,0,(BF45-BE45)/BE45*100)</f>
        <v>0</v>
      </c>
      <c r="BH45" s="65"/>
      <c r="BI45" s="65"/>
      <c r="BJ45" s="570">
        <f>IF(BH45=0,0,(BI45-BH45)/BH45*100)</f>
        <v>0</v>
      </c>
      <c r="BK45" s="65"/>
      <c r="BL45" s="65"/>
      <c r="BM45" s="570">
        <f>IF(BK45=0,0,(BL45-BK45)/BK45*100)</f>
        <v>0</v>
      </c>
      <c r="BN45" s="65"/>
      <c r="BO45" s="65"/>
      <c r="BP45" s="570">
        <f>IF(BN45=0,0,(BO45-BN45)/BN45*100)</f>
        <v>0</v>
      </c>
      <c r="BQ45" s="65"/>
      <c r="BR45" s="65"/>
      <c r="BS45" s="570">
        <f>IF(BQ45=0,0,(BR45-BQ45)/BQ45*100)</f>
        <v>0</v>
      </c>
      <c r="BT45" s="65"/>
      <c r="BU45" s="65"/>
      <c r="BV45" s="570">
        <f>IF(BT45=0,0,(BU45-BT45)/BT45*100)</f>
        <v>0</v>
      </c>
      <c r="BW45" s="65"/>
      <c r="BX45" s="65"/>
      <c r="BY45" s="570">
        <f>IF(BW45=0,0,(BX45-BW45)/BW45*100)</f>
        <v>0</v>
      </c>
      <c r="BZ45" s="65"/>
      <c r="CA45" s="65"/>
      <c r="CB45" s="570">
        <f>IF(BZ45=0,0,(CA45-BZ45)/BZ45*100)</f>
        <v>0</v>
      </c>
      <c r="CC45" s="65"/>
      <c r="CD45" s="65"/>
      <c r="CE45" s="570">
        <f>IF(CC45=0,0,(CD45-CC45)/CC45*100)</f>
        <v>0</v>
      </c>
      <c r="CF45" s="65"/>
      <c r="CG45" s="65"/>
      <c r="CH45" s="570">
        <f>IF(CF45=0,0,(CG45-CF45)/CF45*100)</f>
        <v>0</v>
      </c>
      <c r="CI45" s="65"/>
      <c r="CJ45" s="65"/>
      <c r="CK45" s="570">
        <f>IF(CI45=0,0,(CJ45-CI45)/CI45*100)</f>
        <v>0</v>
      </c>
      <c r="CL45" s="65"/>
      <c r="CM45" s="65"/>
      <c r="CN45" s="570">
        <f>IF(CL45=0,0,(CM45-CL45)/CL45*100)</f>
        <v>0</v>
      </c>
      <c r="CO45" s="65"/>
      <c r="CP45" s="65"/>
      <c r="CQ45" s="570">
        <f>IF(CO45=0,0,(CP45-CO45)/CO45*100)</f>
        <v>0</v>
      </c>
      <c r="CR45" s="65"/>
      <c r="CS45" s="65"/>
      <c r="CT45" s="570">
        <f>IF(CR45=0,0,(CS45-CR45)/CR45*100)</f>
        <v>0</v>
      </c>
      <c r="CU45" s="65"/>
      <c r="CV45" s="65"/>
      <c r="CW45" s="570">
        <f>IF(CU45=0,0,(CV45-CU45)/CU45*100)</f>
        <v>0</v>
      </c>
      <c r="CX45" s="65"/>
      <c r="CY45" s="65"/>
      <c r="CZ45" s="570">
        <f>IF(CX45=0,0,(CY45-CX45)/CX45*100)</f>
        <v>0</v>
      </c>
      <c r="DA45" s="65"/>
      <c r="DB45" s="65"/>
      <c r="DC45" s="570">
        <f>IF(DA45=0,0,(DB45-DA45)/DA45*100)</f>
        <v>0</v>
      </c>
      <c r="DD45" s="65"/>
      <c r="DE45" s="65"/>
      <c r="DF45" s="570">
        <f>IF(DD45=0,0,(DE45-DD45)/DD45*100)</f>
        <v>0</v>
      </c>
      <c r="DG45" s="65"/>
      <c r="DH45" s="65"/>
      <c r="DI45" s="570">
        <f>IF(DG45=0,0,(DH45-DG45)/DG45*100)</f>
        <v>0</v>
      </c>
      <c r="DJ45" s="65"/>
      <c r="DK45" s="65"/>
      <c r="DL45" s="570">
        <f>IF(DJ45=0,0,(DK45-DJ45)/DJ45*100)</f>
        <v>0</v>
      </c>
      <c r="DM45" s="65"/>
      <c r="DN45" s="65"/>
      <c r="DO45" s="570">
        <f>IF(DM45=0,0,(DN45-DM45)/DM45*100)</f>
        <v>0</v>
      </c>
      <c r="DP45" s="65"/>
      <c r="DQ45" s="65"/>
      <c r="DR45" s="570">
        <f>IF(DP45=0,0,(DQ45-DP45)/DP45*100)</f>
        <v>0</v>
      </c>
      <c r="DS45" s="65"/>
      <c r="DT45" s="65"/>
      <c r="DU45" s="570">
        <f>IF(DS45=0,0,(DT45-DS45)/DS45*100)</f>
        <v>0</v>
      </c>
      <c r="DV45" s="65"/>
      <c r="DW45" s="65"/>
      <c r="DX45" s="570">
        <f>IF(DV45=0,0,(DW45-DV45)/DV45*100)</f>
        <v>0</v>
      </c>
      <c r="DY45" s="65"/>
      <c r="DZ45" s="65"/>
      <c r="EA45" s="570">
        <f>IF(DY45=0,0,(DZ45-DY45)/DY45*100)</f>
        <v>0</v>
      </c>
      <c r="EB45" s="65"/>
      <c r="EC45" s="65"/>
      <c r="ED45" s="570">
        <f>IF(EB45=0,0,(EC45-EB45)/EB45*100)</f>
        <v>0</v>
      </c>
      <c r="EE45" s="65"/>
      <c r="EF45" s="65"/>
      <c r="EG45" s="570">
        <f>IF(EE45=0,0,(EF45-EE45)/EE45*100)</f>
        <v>0</v>
      </c>
      <c r="EH45" s="65"/>
      <c r="EI45" s="65"/>
      <c r="EJ45" s="570">
        <f>IF(EH45=0,0,(EI45-EH45)/EH45*100)</f>
        <v>0</v>
      </c>
      <c r="EK45" s="65"/>
      <c r="EL45" s="65"/>
      <c r="EM45" s="570">
        <f>IF(EK45=0,0,(EL45-EK45)/EK45*100)</f>
        <v>0</v>
      </c>
      <c r="EN45" s="65"/>
      <c r="EO45" s="65"/>
      <c r="EP45" s="570">
        <f>IF(EN45=0,0,(EO45-EN45)/EN45*100)</f>
        <v>0</v>
      </c>
      <c r="EQ45" s="65"/>
      <c r="ER45" s="65"/>
      <c r="ES45" s="570">
        <f>IF(EQ45=0,0,(ER45-EQ45)/EQ45*100)</f>
        <v>0</v>
      </c>
      <c r="ET45" s="65"/>
      <c r="EU45" s="65"/>
      <c r="EV45" s="570">
        <f>IF(ET45=0,0,(EU45-ET45)/ET45*100)</f>
        <v>0</v>
      </c>
      <c r="EW45" s="65"/>
      <c r="EX45" s="65"/>
      <c r="EY45" s="570">
        <f>IF(EW45=0,0,(EX45-EW45)/EW45*100)</f>
        <v>0</v>
      </c>
      <c r="EZ45" s="65"/>
      <c r="FA45" s="65"/>
      <c r="FB45" s="570">
        <f>IF(EZ45=0,0,(FA45-EZ45)/EZ45*100)</f>
        <v>0</v>
      </c>
      <c r="FC45" s="65"/>
      <c r="FD45" s="65"/>
      <c r="FE45" s="570">
        <f>IF(FC45=0,0,(FD45-FC45)/FC45*100)</f>
        <v>0</v>
      </c>
      <c r="FF45" s="65"/>
      <c r="FG45" s="65"/>
      <c r="FH45" s="570">
        <f>IF(FF45=0,0,(FG45-FF45)/FF45*100)</f>
        <v>0</v>
      </c>
      <c r="FI45" s="65"/>
      <c r="FJ45" s="65"/>
      <c r="FK45" s="570">
        <f>IF(FI45=0,0,(FJ45-FI45)/FI45*100)</f>
        <v>0</v>
      </c>
      <c r="FL45" s="65"/>
      <c r="FM45" s="65"/>
      <c r="FN45" s="570">
        <f>IF(FL45=0,0,(FM45-FL45)/FL45*100)</f>
        <v>0</v>
      </c>
      <c r="FO45" s="65"/>
      <c r="FP45" s="65"/>
      <c r="FQ45" s="570">
        <f>IF(FO45=0,0,(FP45-FO45)/FO45*100)</f>
        <v>0</v>
      </c>
      <c r="FR45" s="65"/>
      <c r="FS45" s="65"/>
      <c r="FT45" s="570">
        <f>IF(FR45=0,0,(FS45-FR45)/FR45*100)</f>
        <v>0</v>
      </c>
      <c r="FU45" s="65"/>
      <c r="FV45" s="65"/>
      <c r="FW45" s="570">
        <f>IF(FU45=0,0,(FV45-FU45)/FU45*100)</f>
        <v>0</v>
      </c>
      <c r="FZ45" s="971" t="s">
        <v>2153</v>
      </c>
      <c r="GA45" s="971" t="s">
        <v>2154</v>
      </c>
      <c r="GB45" s="971" cm="1">
        <f t="array" ref="GB45">AB45</f>
        <v>0</v>
      </c>
      <c r="GC45" s="971"/>
      <c r="GD45" s="971" t="b">
        <v>1</v>
      </c>
    </row>
    <row r="46" spans="2:186" s="1146" customFormat="1" ht="16.7" hidden="1" customHeight="1" x14ac:dyDescent="0.15">
      <c r="B46" s="803" t="b" cm="1">
        <f t="array" aca="1" ref="B46" ca="1">OFFSET(A46,-1,1)</f>
        <v>0</v>
      </c>
      <c r="C46" s="1108" t="s">
        <v>1747</v>
      </c>
      <c r="D46" s="1077" t="s">
        <v>1748</v>
      </c>
      <c r="E46" s="668">
        <v>17.100000000000001</v>
      </c>
      <c r="F46" s="769" cm="1">
        <f t="array" aca="1" ref="F46" ca="1">OFFSET(G46,-1,-1)</f>
        <v>0</v>
      </c>
      <c r="J46" s="1098" t="s">
        <v>2115</v>
      </c>
      <c r="K46" s="1098" cm="1">
        <f t="array" aca="1" ref="K46" ca="1">OFFSET(J46,-1,1)</f>
        <v>0</v>
      </c>
      <c r="L46" s="1098" t="s">
        <v>2129</v>
      </c>
      <c r="M46" s="1098"/>
      <c r="N46" s="1098" t="s">
        <v>2137</v>
      </c>
      <c r="O46" s="1099" t="s">
        <v>2138</v>
      </c>
      <c r="P46" s="1098"/>
      <c r="Q46" s="1098" cm="1">
        <f t="array" ref="Q46">AB45</f>
        <v>0</v>
      </c>
      <c r="T46" s="679" t="b">
        <f ca="1">AND(OFFSET(S46,1,1),Y45&gt;0)</f>
        <v>0</v>
      </c>
      <c r="X46" s="1566"/>
      <c r="Y46" s="1566"/>
      <c r="Z46" s="1566"/>
      <c r="AA46" s="1432"/>
      <c r="AB46" s="877" t="s">
        <v>2155</v>
      </c>
      <c r="AC46" s="558" t="s">
        <v>622</v>
      </c>
      <c r="AD46" s="65"/>
      <c r="AE46" s="65"/>
      <c r="AF46" s="570">
        <f>IF(AD46=0,0,(AE46-AD46)/AD46*100)</f>
        <v>0</v>
      </c>
      <c r="AG46" s="1351"/>
      <c r="AH46" s="1351"/>
      <c r="AI46" s="570">
        <f>IF(AG46=0,0,(AH46-AG46)/AG46*100)</f>
        <v>0</v>
      </c>
      <c r="AJ46" s="1351"/>
      <c r="AK46" s="1351"/>
      <c r="AL46" s="570">
        <f>IF(AJ46=0,0,(AK46-AJ46)/AJ46*100)</f>
        <v>0</v>
      </c>
      <c r="AM46" s="65"/>
      <c r="AN46" s="65"/>
      <c r="AO46" s="570">
        <f>IF(AM46=0,0,(AN46-AM46)/AM46*100)</f>
        <v>0</v>
      </c>
      <c r="AP46" s="65"/>
      <c r="AQ46" s="65"/>
      <c r="AR46" s="570">
        <f>IF(AP46=0,0,(AQ46-AP46)/AP46*100)</f>
        <v>0</v>
      </c>
      <c r="AS46" s="65"/>
      <c r="AT46" s="65"/>
      <c r="AU46" s="570">
        <f>IF(AS46=0,0,(AT46-AS46)/AS46*100)</f>
        <v>0</v>
      </c>
      <c r="AV46" s="65"/>
      <c r="AW46" s="65"/>
      <c r="AX46" s="570">
        <f>IF(AV46=0,0,(AW46-AV46)/AV46*100)</f>
        <v>0</v>
      </c>
      <c r="AY46" s="65"/>
      <c r="AZ46" s="65"/>
      <c r="BA46" s="570">
        <f>IF(AY46=0,0,(AZ46-AY46)/AY46*100)</f>
        <v>0</v>
      </c>
      <c r="BB46" s="65"/>
      <c r="BC46" s="65"/>
      <c r="BD46" s="570">
        <f>IF(BB46=0,0,(BC46-BB46)/BB46*100)</f>
        <v>0</v>
      </c>
      <c r="BE46" s="65"/>
      <c r="BF46" s="65"/>
      <c r="BG46" s="570">
        <f>IF(BE46=0,0,(BF46-BE46)/BE46*100)</f>
        <v>0</v>
      </c>
      <c r="BH46" s="65"/>
      <c r="BI46" s="65"/>
      <c r="BJ46" s="570">
        <f>IF(BH46=0,0,(BI46-BH46)/BH46*100)</f>
        <v>0</v>
      </c>
      <c r="BK46" s="65"/>
      <c r="BL46" s="65"/>
      <c r="BM46" s="570">
        <f>IF(BK46=0,0,(BL46-BK46)/BK46*100)</f>
        <v>0</v>
      </c>
      <c r="BN46" s="65"/>
      <c r="BO46" s="65"/>
      <c r="BP46" s="570">
        <f>IF(BN46=0,0,(BO46-BN46)/BN46*100)</f>
        <v>0</v>
      </c>
      <c r="BQ46" s="65"/>
      <c r="BR46" s="65"/>
      <c r="BS46" s="570">
        <f>IF(BQ46=0,0,(BR46-BQ46)/BQ46*100)</f>
        <v>0</v>
      </c>
      <c r="BT46" s="65"/>
      <c r="BU46" s="65"/>
      <c r="BV46" s="570">
        <f>IF(BT46=0,0,(BU46-BT46)/BT46*100)</f>
        <v>0</v>
      </c>
      <c r="BW46" s="65"/>
      <c r="BX46" s="65"/>
      <c r="BY46" s="570">
        <f>IF(BW46=0,0,(BX46-BW46)/BW46*100)</f>
        <v>0</v>
      </c>
      <c r="BZ46" s="65"/>
      <c r="CA46" s="65"/>
      <c r="CB46" s="570">
        <f>IF(BZ46=0,0,(CA46-BZ46)/BZ46*100)</f>
        <v>0</v>
      </c>
      <c r="CC46" s="65"/>
      <c r="CD46" s="65"/>
      <c r="CE46" s="570">
        <f>IF(CC46=0,0,(CD46-CC46)/CC46*100)</f>
        <v>0</v>
      </c>
      <c r="CF46" s="65"/>
      <c r="CG46" s="65"/>
      <c r="CH46" s="570">
        <f>IF(CF46=0,0,(CG46-CF46)/CF46*100)</f>
        <v>0</v>
      </c>
      <c r="CI46" s="65"/>
      <c r="CJ46" s="65"/>
      <c r="CK46" s="570">
        <f>IF(CI46=0,0,(CJ46-CI46)/CI46*100)</f>
        <v>0</v>
      </c>
      <c r="CL46" s="65"/>
      <c r="CM46" s="65"/>
      <c r="CN46" s="570">
        <f>IF(CL46=0,0,(CM46-CL46)/CL46*100)</f>
        <v>0</v>
      </c>
      <c r="CO46" s="65"/>
      <c r="CP46" s="65"/>
      <c r="CQ46" s="570">
        <f>IF(CO46=0,0,(CP46-CO46)/CO46*100)</f>
        <v>0</v>
      </c>
      <c r="CR46" s="65"/>
      <c r="CS46" s="65"/>
      <c r="CT46" s="570">
        <f>IF(CR46=0,0,(CS46-CR46)/CR46*100)</f>
        <v>0</v>
      </c>
      <c r="CU46" s="65"/>
      <c r="CV46" s="65"/>
      <c r="CW46" s="570">
        <f>IF(CU46=0,0,(CV46-CU46)/CU46*100)</f>
        <v>0</v>
      </c>
      <c r="CX46" s="65"/>
      <c r="CY46" s="65"/>
      <c r="CZ46" s="570">
        <f>IF(CX46=0,0,(CY46-CX46)/CX46*100)</f>
        <v>0</v>
      </c>
      <c r="DA46" s="65"/>
      <c r="DB46" s="65"/>
      <c r="DC46" s="570">
        <f>IF(DA46=0,0,(DB46-DA46)/DA46*100)</f>
        <v>0</v>
      </c>
      <c r="DD46" s="65"/>
      <c r="DE46" s="65"/>
      <c r="DF46" s="570">
        <f>IF(DD46=0,0,(DE46-DD46)/DD46*100)</f>
        <v>0</v>
      </c>
      <c r="DG46" s="65"/>
      <c r="DH46" s="65"/>
      <c r="DI46" s="570">
        <f>IF(DG46=0,0,(DH46-DG46)/DG46*100)</f>
        <v>0</v>
      </c>
      <c r="DJ46" s="65"/>
      <c r="DK46" s="65"/>
      <c r="DL46" s="570">
        <f>IF(DJ46=0,0,(DK46-DJ46)/DJ46*100)</f>
        <v>0</v>
      </c>
      <c r="DM46" s="65"/>
      <c r="DN46" s="65"/>
      <c r="DO46" s="570">
        <f>IF(DM46=0,0,(DN46-DM46)/DM46*100)</f>
        <v>0</v>
      </c>
      <c r="DP46" s="65"/>
      <c r="DQ46" s="65"/>
      <c r="DR46" s="570">
        <f>IF(DP46=0,0,(DQ46-DP46)/DP46*100)</f>
        <v>0</v>
      </c>
      <c r="DS46" s="65"/>
      <c r="DT46" s="65"/>
      <c r="DU46" s="570">
        <f>IF(DS46=0,0,(DT46-DS46)/DS46*100)</f>
        <v>0</v>
      </c>
      <c r="DV46" s="65"/>
      <c r="DW46" s="65"/>
      <c r="DX46" s="570">
        <f>IF(DV46=0,0,(DW46-DV46)/DV46*100)</f>
        <v>0</v>
      </c>
      <c r="DY46" s="65"/>
      <c r="DZ46" s="65"/>
      <c r="EA46" s="570">
        <f>IF(DY46=0,0,(DZ46-DY46)/DY46*100)</f>
        <v>0</v>
      </c>
      <c r="EB46" s="65"/>
      <c r="EC46" s="65"/>
      <c r="ED46" s="570">
        <f>IF(EB46=0,0,(EC46-EB46)/EB46*100)</f>
        <v>0</v>
      </c>
      <c r="EE46" s="65"/>
      <c r="EF46" s="65"/>
      <c r="EG46" s="570">
        <f>IF(EE46=0,0,(EF46-EE46)/EE46*100)</f>
        <v>0</v>
      </c>
      <c r="EH46" s="65"/>
      <c r="EI46" s="65"/>
      <c r="EJ46" s="570">
        <f>IF(EH46=0,0,(EI46-EH46)/EH46*100)</f>
        <v>0</v>
      </c>
      <c r="EK46" s="65"/>
      <c r="EL46" s="65"/>
      <c r="EM46" s="570">
        <f>IF(EK46=0,0,(EL46-EK46)/EK46*100)</f>
        <v>0</v>
      </c>
      <c r="EN46" s="65"/>
      <c r="EO46" s="65"/>
      <c r="EP46" s="570">
        <f>IF(EN46=0,0,(EO46-EN46)/EN46*100)</f>
        <v>0</v>
      </c>
      <c r="EQ46" s="65"/>
      <c r="ER46" s="65"/>
      <c r="ES46" s="570">
        <f>IF(EQ46=0,0,(ER46-EQ46)/EQ46*100)</f>
        <v>0</v>
      </c>
      <c r="ET46" s="65"/>
      <c r="EU46" s="65"/>
      <c r="EV46" s="570">
        <f>IF(ET46=0,0,(EU46-ET46)/ET46*100)</f>
        <v>0</v>
      </c>
      <c r="EW46" s="65"/>
      <c r="EX46" s="65"/>
      <c r="EY46" s="570">
        <f>IF(EW46=0,0,(EX46-EW46)/EW46*100)</f>
        <v>0</v>
      </c>
      <c r="EZ46" s="65"/>
      <c r="FA46" s="65"/>
      <c r="FB46" s="570">
        <f>IF(EZ46=0,0,(FA46-EZ46)/EZ46*100)</f>
        <v>0</v>
      </c>
      <c r="FC46" s="65"/>
      <c r="FD46" s="65"/>
      <c r="FE46" s="570">
        <f>IF(FC46=0,0,(FD46-FC46)/FC46*100)</f>
        <v>0</v>
      </c>
      <c r="FF46" s="65"/>
      <c r="FG46" s="65"/>
      <c r="FH46" s="570">
        <f>IF(FF46=0,0,(FG46-FF46)/FF46*100)</f>
        <v>0</v>
      </c>
      <c r="FI46" s="65"/>
      <c r="FJ46" s="65"/>
      <c r="FK46" s="570">
        <f>IF(FI46=0,0,(FJ46-FI46)/FI46*100)</f>
        <v>0</v>
      </c>
      <c r="FL46" s="65"/>
      <c r="FM46" s="65"/>
      <c r="FN46" s="570">
        <f>IF(FL46=0,0,(FM46-FL46)/FL46*100)</f>
        <v>0</v>
      </c>
      <c r="FO46" s="65"/>
      <c r="FP46" s="65"/>
      <c r="FQ46" s="570">
        <f>IF(FO46=0,0,(FP46-FO46)/FO46*100)</f>
        <v>0</v>
      </c>
      <c r="FR46" s="65"/>
      <c r="FS46" s="65"/>
      <c r="FT46" s="570">
        <f>IF(FR46=0,0,(FS46-FR46)/FR46*100)</f>
        <v>0</v>
      </c>
      <c r="FU46" s="65"/>
      <c r="FV46" s="65"/>
      <c r="FW46" s="570">
        <f>IF(FU46=0,0,(FV46-FU46)/FU46*100)</f>
        <v>0</v>
      </c>
      <c r="FZ46" s="971" t="s">
        <v>2148</v>
      </c>
      <c r="GA46" s="971" t="s">
        <v>2154</v>
      </c>
      <c r="GB46" s="971" cm="1">
        <f t="array" ref="GB46">GB45</f>
        <v>0</v>
      </c>
      <c r="GC46" s="971"/>
      <c r="GD46" s="971"/>
    </row>
    <row r="47" spans="2:186" ht="16.5" hidden="1" customHeight="1" x14ac:dyDescent="0.15">
      <c r="B47" s="803" t="b" cm="1">
        <f t="array" aca="1" ref="B47" ca="1">OFFSET(A47,-1,1)</f>
        <v>0</v>
      </c>
      <c r="E47" s="668">
        <v>17</v>
      </c>
      <c r="F47" s="769" cm="1">
        <f t="array" aca="1" ref="F47" ca="1">OFFSET(G47,-1,-1)</f>
        <v>0</v>
      </c>
      <c r="H47" s="160" t="str">
        <f ca="1">F47&amp;"pIns1"</f>
        <v>0pIns1</v>
      </c>
      <c r="K47" s="1098" cm="1">
        <f t="array" aca="1" ref="K47" ca="1">OFFSET(J47,-1,1)</f>
        <v>0</v>
      </c>
      <c r="Q47" s="1082"/>
      <c r="T47" s="679" t="b" cm="1">
        <f t="array" aca="1" ref="T47" ca="1">T44</f>
        <v>0</v>
      </c>
      <c r="W47" s="973" t="s">
        <v>2156</v>
      </c>
      <c r="X47" s="1485"/>
      <c r="Z47" s="1485"/>
      <c r="AB47" s="750" t="s">
        <v>239</v>
      </c>
      <c r="AC47" s="281"/>
      <c r="AD47" s="475"/>
      <c r="AE47" s="475"/>
      <c r="AF47" s="279"/>
      <c r="AG47" s="475"/>
      <c r="AH47" s="475"/>
      <c r="AI47" s="279"/>
      <c r="AJ47" s="475"/>
      <c r="AK47" s="475"/>
      <c r="AL47" s="279"/>
      <c r="AM47" s="475"/>
      <c r="AN47" s="475"/>
      <c r="AO47" s="279"/>
      <c r="AP47" s="475"/>
      <c r="AQ47" s="475"/>
      <c r="AR47" s="279"/>
      <c r="AS47" s="475"/>
      <c r="AT47" s="475"/>
      <c r="AU47" s="279"/>
      <c r="AV47" s="475"/>
      <c r="AW47" s="475"/>
      <c r="AX47" s="279"/>
      <c r="AY47" s="475"/>
      <c r="AZ47" s="475"/>
      <c r="BA47" s="279"/>
      <c r="BB47" s="475"/>
      <c r="BC47" s="475"/>
      <c r="BD47" s="279"/>
      <c r="BE47" s="475"/>
      <c r="BF47" s="475"/>
      <c r="BG47" s="279"/>
      <c r="BH47" s="475"/>
      <c r="BI47" s="475"/>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c r="CV47" s="279"/>
      <c r="CW47" s="279"/>
      <c r="CX47" s="279"/>
      <c r="CY47" s="279"/>
      <c r="CZ47" s="279"/>
      <c r="DA47" s="279"/>
      <c r="DB47" s="279"/>
      <c r="DC47" s="279"/>
      <c r="DD47" s="279"/>
      <c r="DE47" s="279"/>
      <c r="DF47" s="279"/>
      <c r="DG47" s="279"/>
      <c r="DH47" s="279"/>
      <c r="DI47" s="279"/>
      <c r="DJ47" s="279"/>
      <c r="DK47" s="279"/>
      <c r="DL47" s="279"/>
      <c r="DM47" s="279"/>
      <c r="DN47" s="279"/>
      <c r="DO47" s="279"/>
      <c r="DP47" s="279"/>
      <c r="DQ47" s="279"/>
      <c r="DR47" s="279"/>
      <c r="DS47" s="279"/>
      <c r="DT47" s="279"/>
      <c r="DU47" s="279"/>
      <c r="DV47" s="279"/>
      <c r="DW47" s="279"/>
      <c r="DX47" s="279"/>
      <c r="DY47" s="279"/>
      <c r="DZ47" s="279"/>
      <c r="EA47" s="279"/>
      <c r="EB47" s="279"/>
      <c r="EC47" s="279"/>
      <c r="ED47" s="279"/>
      <c r="EE47" s="279"/>
      <c r="EF47" s="279"/>
      <c r="EG47" s="279"/>
      <c r="EH47" s="279"/>
      <c r="EI47" s="279"/>
      <c r="EJ47" s="279"/>
      <c r="EK47" s="279"/>
      <c r="EL47" s="279"/>
      <c r="EM47" s="279"/>
      <c r="EN47" s="279"/>
      <c r="EO47" s="279"/>
      <c r="EP47" s="279"/>
      <c r="EQ47" s="279"/>
      <c r="ER47" s="279"/>
      <c r="ES47" s="279"/>
      <c r="ET47" s="279"/>
      <c r="EU47" s="279"/>
      <c r="EV47" s="279"/>
      <c r="EW47" s="279"/>
      <c r="EX47" s="279"/>
      <c r="EY47" s="279"/>
      <c r="EZ47" s="279"/>
      <c r="FA47" s="279"/>
      <c r="FB47" s="279"/>
      <c r="FC47" s="279"/>
      <c r="FD47" s="279"/>
      <c r="FE47" s="279"/>
      <c r="FF47" s="279"/>
      <c r="FG47" s="279"/>
      <c r="FH47" s="279"/>
      <c r="FI47" s="279"/>
      <c r="FJ47" s="279"/>
      <c r="FK47" s="279"/>
      <c r="FL47" s="279"/>
      <c r="FM47" s="279"/>
      <c r="FN47" s="279"/>
      <c r="FO47" s="279"/>
      <c r="FP47" s="279"/>
      <c r="FQ47" s="279"/>
      <c r="FR47" s="279"/>
      <c r="FS47" s="279"/>
      <c r="FT47" s="279"/>
      <c r="FU47" s="279"/>
      <c r="FV47" s="279"/>
      <c r="FW47" s="280"/>
      <c r="GA47" s="971"/>
      <c r="GB47" s="971"/>
      <c r="GC47" s="971" t="s">
        <v>2154</v>
      </c>
      <c r="GD47" s="971"/>
    </row>
    <row r="48" spans="2:186" ht="15.4" hidden="1" customHeight="1" x14ac:dyDescent="0.15">
      <c r="B48" s="803" t="b">
        <f>R28="двухставочный"</f>
        <v>0</v>
      </c>
      <c r="E48" s="668">
        <v>15.8</v>
      </c>
      <c r="F48" s="769" cm="1">
        <f t="array" aca="1" ref="F48" ca="1">OFFSET(G48,-1,-1)</f>
        <v>0</v>
      </c>
      <c r="K48" s="1098" cm="1">
        <f t="array" aca="1" ref="K48" ca="1">OFFSET(J48,-1,1)</f>
        <v>0</v>
      </c>
      <c r="Q48" s="1082"/>
      <c r="T48" s="679" t="b">
        <f ca="1">AND(F48&gt;0,G28="двухставочный")</f>
        <v>0</v>
      </c>
      <c r="X48" s="1485"/>
      <c r="Z48" s="1485"/>
      <c r="AB48" s="621" t="s">
        <v>2157</v>
      </c>
      <c r="AC48" s="299"/>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300"/>
      <c r="CG48" s="300"/>
      <c r="CH48" s="300"/>
      <c r="CI48" s="300"/>
      <c r="CJ48" s="300"/>
      <c r="CK48" s="300"/>
      <c r="CL48" s="300"/>
      <c r="CM48" s="300"/>
      <c r="CN48" s="300"/>
      <c r="CO48" s="300"/>
      <c r="CP48" s="300"/>
      <c r="CQ48" s="300"/>
      <c r="CR48" s="300"/>
      <c r="CS48" s="300"/>
      <c r="CT48" s="300"/>
      <c r="CU48" s="300"/>
      <c r="CV48" s="300"/>
      <c r="CW48" s="300"/>
      <c r="CX48" s="300"/>
      <c r="CY48" s="300"/>
      <c r="CZ48" s="300"/>
      <c r="DA48" s="300"/>
      <c r="DB48" s="300"/>
      <c r="DC48" s="300"/>
      <c r="DD48" s="300"/>
      <c r="DE48" s="300"/>
      <c r="DF48" s="300"/>
      <c r="DG48" s="300"/>
      <c r="DH48" s="300"/>
      <c r="DI48" s="300"/>
      <c r="DJ48" s="300"/>
      <c r="DK48" s="300"/>
      <c r="DL48" s="300"/>
      <c r="DM48" s="300"/>
      <c r="DN48" s="300"/>
      <c r="DO48" s="300"/>
      <c r="DP48" s="300"/>
      <c r="DQ48" s="300"/>
      <c r="DR48" s="300"/>
      <c r="DS48" s="300"/>
      <c r="DT48" s="300"/>
      <c r="DU48" s="300"/>
      <c r="DV48" s="300"/>
      <c r="DW48" s="300"/>
      <c r="DX48" s="300"/>
      <c r="DY48" s="300"/>
      <c r="DZ48" s="300"/>
      <c r="EA48" s="300"/>
      <c r="EB48" s="300"/>
      <c r="EC48" s="300"/>
      <c r="ED48" s="300"/>
      <c r="EE48" s="300"/>
      <c r="EF48" s="300"/>
      <c r="EG48" s="300"/>
      <c r="EH48" s="300"/>
      <c r="EI48" s="300"/>
      <c r="EJ48" s="300"/>
      <c r="EK48" s="300"/>
      <c r="EL48" s="300"/>
      <c r="EM48" s="300"/>
      <c r="EN48" s="300"/>
      <c r="EO48" s="300"/>
      <c r="EP48" s="300"/>
      <c r="EQ48" s="300"/>
      <c r="ER48" s="300"/>
      <c r="ES48" s="300"/>
      <c r="ET48" s="300"/>
      <c r="EU48" s="300"/>
      <c r="EV48" s="300"/>
      <c r="EW48" s="300"/>
      <c r="EX48" s="300"/>
      <c r="EY48" s="300"/>
      <c r="EZ48" s="300"/>
      <c r="FA48" s="300"/>
      <c r="FB48" s="300"/>
      <c r="FC48" s="300"/>
      <c r="FD48" s="300"/>
      <c r="FE48" s="300"/>
      <c r="FF48" s="300"/>
      <c r="FG48" s="300"/>
      <c r="FH48" s="300"/>
      <c r="FI48" s="300"/>
      <c r="FJ48" s="300"/>
      <c r="FK48" s="300"/>
      <c r="FL48" s="300"/>
      <c r="FM48" s="300"/>
      <c r="FN48" s="300"/>
      <c r="FO48" s="300"/>
      <c r="FP48" s="300"/>
      <c r="FQ48" s="300"/>
      <c r="FR48" s="300"/>
      <c r="FS48" s="300"/>
      <c r="FT48" s="300"/>
      <c r="FU48" s="300"/>
      <c r="FV48" s="300"/>
      <c r="FW48" s="301"/>
      <c r="GA48" s="971"/>
      <c r="GB48" s="971"/>
      <c r="GC48" s="971"/>
      <c r="GD48" s="971"/>
    </row>
    <row r="49" spans="2:186" ht="15.4" hidden="1" customHeight="1" x14ac:dyDescent="0.15">
      <c r="B49" s="803" t="b" cm="1">
        <f t="array" ref="B49">B48</f>
        <v>0</v>
      </c>
      <c r="E49" s="668">
        <v>15.8</v>
      </c>
      <c r="F49" s="769" cm="1">
        <f t="array" aca="1" ref="F49" ca="1">OFFSET(G49,-1,-1)</f>
        <v>0</v>
      </c>
      <c r="K49" s="1098" cm="1">
        <f t="array" aca="1" ref="K49" ca="1">OFFSET(J49,-1,1)</f>
        <v>0</v>
      </c>
      <c r="Q49" s="1082"/>
      <c r="T49" s="679" t="b" cm="1">
        <f t="array" aca="1" ref="T49" ca="1">T48</f>
        <v>0</v>
      </c>
      <c r="X49" s="1485"/>
      <c r="Z49" s="1485"/>
      <c r="AB49" s="1130" t="s">
        <v>2158</v>
      </c>
      <c r="AC49" s="308"/>
      <c r="AD49" s="309"/>
      <c r="AE49" s="309"/>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309"/>
      <c r="BD49" s="309"/>
      <c r="BE49" s="309"/>
      <c r="BF49" s="309"/>
      <c r="BG49" s="309"/>
      <c r="BH49" s="309"/>
      <c r="BI49" s="309"/>
      <c r="BJ49" s="309"/>
      <c r="BK49" s="309"/>
      <c r="BL49" s="309"/>
      <c r="BM49" s="309"/>
      <c r="BN49" s="309"/>
      <c r="BO49" s="309"/>
      <c r="BP49" s="309"/>
      <c r="BQ49" s="309"/>
      <c r="BR49" s="309"/>
      <c r="BS49" s="309"/>
      <c r="BT49" s="309"/>
      <c r="BU49" s="309"/>
      <c r="BV49" s="309"/>
      <c r="BW49" s="309"/>
      <c r="BX49" s="309"/>
      <c r="BY49" s="309"/>
      <c r="BZ49" s="309"/>
      <c r="CA49" s="309"/>
      <c r="CB49" s="309"/>
      <c r="CC49" s="309"/>
      <c r="CD49" s="309"/>
      <c r="CE49" s="309"/>
      <c r="CF49" s="309"/>
      <c r="CG49" s="309"/>
      <c r="CH49" s="309"/>
      <c r="CI49" s="309"/>
      <c r="CJ49" s="309"/>
      <c r="CK49" s="309"/>
      <c r="CL49" s="309"/>
      <c r="CM49" s="309"/>
      <c r="CN49" s="309"/>
      <c r="CO49" s="309"/>
      <c r="CP49" s="309"/>
      <c r="CQ49" s="309"/>
      <c r="CR49" s="309"/>
      <c r="CS49" s="309"/>
      <c r="CT49" s="309"/>
      <c r="CU49" s="309"/>
      <c r="CV49" s="309"/>
      <c r="CW49" s="309"/>
      <c r="CX49" s="309"/>
      <c r="CY49" s="309"/>
      <c r="CZ49" s="309"/>
      <c r="DA49" s="309"/>
      <c r="DB49" s="309"/>
      <c r="DC49" s="309"/>
      <c r="DD49" s="309"/>
      <c r="DE49" s="309"/>
      <c r="DF49" s="309"/>
      <c r="DG49" s="309"/>
      <c r="DH49" s="309"/>
      <c r="DI49" s="309"/>
      <c r="DJ49" s="309"/>
      <c r="DK49" s="309"/>
      <c r="DL49" s="309"/>
      <c r="DM49" s="309"/>
      <c r="DN49" s="309"/>
      <c r="DO49" s="309"/>
      <c r="DP49" s="309"/>
      <c r="DQ49" s="309"/>
      <c r="DR49" s="309"/>
      <c r="DS49" s="309"/>
      <c r="DT49" s="309"/>
      <c r="DU49" s="309"/>
      <c r="DV49" s="309"/>
      <c r="DW49" s="309"/>
      <c r="DX49" s="309"/>
      <c r="DY49" s="309"/>
      <c r="DZ49" s="309"/>
      <c r="EA49" s="309"/>
      <c r="EB49" s="309"/>
      <c r="EC49" s="309"/>
      <c r="ED49" s="309"/>
      <c r="EE49" s="309"/>
      <c r="EF49" s="309"/>
      <c r="EG49" s="309"/>
      <c r="EH49" s="309"/>
      <c r="EI49" s="309"/>
      <c r="EJ49" s="309"/>
      <c r="EK49" s="309"/>
      <c r="EL49" s="309"/>
      <c r="EM49" s="309"/>
      <c r="EN49" s="309"/>
      <c r="EO49" s="309"/>
      <c r="EP49" s="309"/>
      <c r="EQ49" s="309"/>
      <c r="ER49" s="309"/>
      <c r="ES49" s="309"/>
      <c r="ET49" s="309"/>
      <c r="EU49" s="309"/>
      <c r="EV49" s="309"/>
      <c r="EW49" s="309"/>
      <c r="EX49" s="309"/>
      <c r="EY49" s="309"/>
      <c r="EZ49" s="309"/>
      <c r="FA49" s="309"/>
      <c r="FB49" s="309"/>
      <c r="FC49" s="309"/>
      <c r="FD49" s="309"/>
      <c r="FE49" s="309"/>
      <c r="FF49" s="309"/>
      <c r="FG49" s="309"/>
      <c r="FH49" s="309"/>
      <c r="FI49" s="309"/>
      <c r="FJ49" s="309"/>
      <c r="FK49" s="309"/>
      <c r="FL49" s="309"/>
      <c r="FM49" s="309"/>
      <c r="FN49" s="309"/>
      <c r="FO49" s="309"/>
      <c r="FP49" s="309"/>
      <c r="FQ49" s="309"/>
      <c r="FR49" s="309"/>
      <c r="FS49" s="309"/>
      <c r="FT49" s="309"/>
      <c r="FU49" s="309"/>
      <c r="FV49" s="309"/>
      <c r="FW49" s="310"/>
      <c r="GA49" s="971"/>
      <c r="GB49" s="971"/>
      <c r="GC49" s="971"/>
      <c r="GD49" s="971"/>
    </row>
    <row r="50" spans="2:186" ht="15.4" hidden="1" customHeight="1" x14ac:dyDescent="0.15">
      <c r="B50" s="803" t="b" cm="1">
        <f t="array" ref="B50">B49</f>
        <v>0</v>
      </c>
      <c r="C50" s="1108" t="s">
        <v>2159</v>
      </c>
      <c r="D50" s="1077" t="s">
        <v>2160</v>
      </c>
      <c r="E50" s="668">
        <v>15.8</v>
      </c>
      <c r="F50" s="769" cm="1">
        <f t="array" aca="1" ref="F50" ca="1">OFFSET(G50,-1,-1)</f>
        <v>0</v>
      </c>
      <c r="G50" s="612" t="s">
        <v>1755</v>
      </c>
      <c r="H50" s="160" t="s">
        <v>2161</v>
      </c>
      <c r="I50" s="160" t="s">
        <v>2114</v>
      </c>
      <c r="J50" s="1098"/>
      <c r="K50" s="1098" cm="1">
        <f t="array" aca="1" ref="K50" ca="1">OFFSET(J50,-1,1)</f>
        <v>0</v>
      </c>
      <c r="L50" s="1098"/>
      <c r="M50" s="1098" t="s">
        <v>1750</v>
      </c>
      <c r="N50" s="1098" t="s">
        <v>2117</v>
      </c>
      <c r="O50" s="1099" t="s">
        <v>2118</v>
      </c>
      <c r="P50" s="1098" t="s">
        <v>2162</v>
      </c>
      <c r="Q50" s="1098"/>
      <c r="T50" s="679" t="b" cm="1">
        <f t="array" aca="1" ref="T50" ca="1">T49</f>
        <v>0</v>
      </c>
      <c r="X50" s="1485"/>
      <c r="Z50" s="1485"/>
      <c r="AB50" s="220" t="s">
        <v>2163</v>
      </c>
      <c r="AC50" s="120" t="s">
        <v>920</v>
      </c>
      <c r="AD50" s="18">
        <f ca="1">IF(method_reg="Метод экономически обоснованных расходов",SUMIFS('Калькуляция (4.6)'!AJ$25:AJ$162,'Калькуляция (4.6)'!$F$25:$F$162,$F50,'Калькуляция (4.6)'!$G$25:$G$162,$G50),IF(method_reg="Метод сравнения аналогов",SUMIFS(INDEX('Калькуляция (МСА)'!$AE$25:$BC$82,,MATCH(AD$8,'Калькуляция (МСА)'!$AE$8:$BC$8,0)),'Калькуляция (МСА)'!$F$25:$F$82,$F50,'Калькуляция (МСА)'!$G$25:$G$82,$G50),SUMIFS(INDEX('Калькуляция (5.9)'!$AJ$25:$BC$137,,MATCH(AD$8,'Калькуляция (5.9)'!$AJ$8:$BC$8,0)),'Калькуляция (5.9)'!$F$25:$F$137,$F50,'Калькуляция (5.9)'!$G$25:$G$137,$G50)))</f>
        <v>0</v>
      </c>
      <c r="AE50" s="18">
        <f ca="1">IF(method_reg="Метод экономически обоснованных расходов",SUMIFS('Калькуляция (4.6)'!AK$25:AK$162,'Калькуляция (4.6)'!$F$25:$F$162,$F50,'Калькуляция (4.6)'!$G$25:$G$162,$G50),IF(method_reg="Метод сравнения аналогов",SUMIFS(INDEX('Калькуляция (МСА)'!$AE$25:$BC$82,,MATCH(AE$8,'Калькуляция (МСА)'!$AE$8:$BC$8,0)),'Калькуляция (МСА)'!$F$25:$F$82,$F50,'Калькуляция (МСА)'!$G$25:$G$82,$G50),SUMIFS(INDEX('Калькуляция (5.9)'!$AJ$25:$BC$137,,MATCH(AE$8,'Калькуляция (5.9)'!$AJ$8:$BC$8,0)),'Калькуляция (5.9)'!$F$25:$F$137,$F50,'Калькуляция (5.9)'!$G$25:$G$137,$G50)))</f>
        <v>0</v>
      </c>
      <c r="AF50" s="306">
        <f ca="1">IF(AD50=0,0,(AE50-AD50)/AD50*100)</f>
        <v>0</v>
      </c>
      <c r="AG50" s="1215">
        <f ca="1">IF(method_reg="Метод сравнения аналогов",SUMIFS(INDEX('Калькуляция (МСА)'!$AE$25:$BC$82,,MATCH(AG$8,'Калькуляция (МСА)'!$AE$8:$BC$8,0)),'Калькуляция (МСА)'!$F$25:$F$82,$F50,'Калькуляция (МСА)'!$G$25:$G$82,$G50),SUMIFS(INDEX('Калькуляция (5.9)'!$AJ$25:$BC$137,,MATCH(AG$8,'Калькуляция (5.9)'!$AJ$8:$BC$8,0)),'Калькуляция (5.9)'!$F$25:$F$137,$F50,'Калькуляция (5.9)'!$G$25:$G$137,$G50))</f>
        <v>0</v>
      </c>
      <c r="AH50" s="1215">
        <f ca="1">IF(method_reg="Метод сравнения аналогов",SUMIFS(INDEX('Калькуляция (МСА)'!$AE$25:$BC$82,,MATCH(AH$8,'Калькуляция (МСА)'!$AE$8:$BC$8,0)),'Калькуляция (МСА)'!$F$25:$F$82,$F50,'Калькуляция (МСА)'!$G$25:$G$82,$G50),SUMIFS(INDEX('Калькуляция (5.9)'!$AJ$25:$BC$137,,MATCH(AH$8,'Калькуляция (5.9)'!$AJ$8:$BC$8,0)),'Калькуляция (5.9)'!$F$25:$F$137,$F50,'Калькуляция (5.9)'!$G$25:$G$137,$G50))</f>
        <v>0</v>
      </c>
      <c r="AI50" s="306">
        <f ca="1">IF(AG50=0,0,(AH50-AG50)/AG50*100)</f>
        <v>0</v>
      </c>
      <c r="AJ50" s="1215">
        <f ca="1">IF(method_reg="Метод сравнения аналогов",SUMIFS(INDEX('Калькуляция (МСА)'!$AE$25:$BC$82,,MATCH(AJ$8,'Калькуляция (МСА)'!$AE$8:$BC$8,0)),'Калькуляция (МСА)'!$F$25:$F$82,$F50,'Калькуляция (МСА)'!$G$25:$G$82,$G50),SUMIFS(INDEX('Калькуляция (5.9)'!$AJ$25:$BC$137,,MATCH(AJ$8,'Калькуляция (5.9)'!$AJ$8:$BC$8,0)),'Калькуляция (5.9)'!$F$25:$F$137,$F50,'Калькуляция (5.9)'!$G$25:$G$137,$G50))</f>
        <v>0</v>
      </c>
      <c r="AK50" s="1215">
        <f ca="1">IF(method_reg="Метод сравнения аналогов",SUMIFS(INDEX('Калькуляция (МСА)'!$AE$25:$BC$82,,MATCH(AK$8,'Калькуляция (МСА)'!$AE$8:$BC$8,0)),'Калькуляция (МСА)'!$F$25:$F$82,$F50,'Калькуляция (МСА)'!$G$25:$G$82,$G50),SUMIFS(INDEX('Калькуляция (5.9)'!$AJ$25:$BC$137,,MATCH(AK$8,'Калькуляция (5.9)'!$AJ$8:$BC$8,0)),'Калькуляция (5.9)'!$F$25:$F$137,$F50,'Калькуляция (5.9)'!$G$25:$G$137,$G50))</f>
        <v>0</v>
      </c>
      <c r="AL50" s="306">
        <f ca="1">IF(AJ50=0,0,(AK50-AJ50)/AJ50*100)</f>
        <v>0</v>
      </c>
      <c r="AM50" s="18">
        <f ca="1">IF(method_reg="Метод сравнения аналогов",SUMIFS(INDEX('Калькуляция (МСА)'!$AE$25:$BC$82,,MATCH(AM$8,'Калькуляция (МСА)'!$AE$8:$BC$8,0)),'Калькуляция (МСА)'!$F$25:$F$82,$F50,'Калькуляция (МСА)'!$G$25:$G$82,$G50),SUMIFS(INDEX('Калькуляция (5.9)'!$AJ$25:$BC$137,,MATCH(AM$8,'Калькуляция (5.9)'!$AJ$8:$BC$8,0)),'Калькуляция (5.9)'!$F$25:$F$137,$F50,'Калькуляция (5.9)'!$G$25:$G$137,$G50))</f>
        <v>0</v>
      </c>
      <c r="AN50" s="18">
        <f ca="1">IF(method_reg="Метод сравнения аналогов",SUMIFS(INDEX('Калькуляция (МСА)'!$AE$25:$BC$82,,MATCH(AN$8,'Калькуляция (МСА)'!$AE$8:$BC$8,0)),'Калькуляция (МСА)'!$F$25:$F$82,$F50,'Калькуляция (МСА)'!$G$25:$G$82,$G50),SUMIFS(INDEX('Калькуляция (5.9)'!$AJ$25:$BC$137,,MATCH(AN$8,'Калькуляция (5.9)'!$AJ$8:$BC$8,0)),'Калькуляция (5.9)'!$F$25:$F$137,$F50,'Калькуляция (5.9)'!$G$25:$G$137,$G50))</f>
        <v>0</v>
      </c>
      <c r="AO50" s="306">
        <f ca="1">IF(AM50=0,0,(AN50-AM50)/AM50*100)</f>
        <v>0</v>
      </c>
      <c r="AP50" s="18">
        <f ca="1">IF(method_reg="Метод сравнения аналогов",SUMIFS(INDEX('Калькуляция (МСА)'!$AE$25:$BC$82,,MATCH(AP$8,'Калькуляция (МСА)'!$AE$8:$BC$8,0)),'Калькуляция (МСА)'!$F$25:$F$82,$F50,'Калькуляция (МСА)'!$G$25:$G$82,$G50),SUMIFS(INDEX('Калькуляция (5.9)'!$AJ$25:$BC$137,,MATCH(AP$8,'Калькуляция (5.9)'!$AJ$8:$BC$8,0)),'Калькуляция (5.9)'!$F$25:$F$137,$F50,'Калькуляция (5.9)'!$G$25:$G$137,$G50))</f>
        <v>0</v>
      </c>
      <c r="AQ50" s="18">
        <f ca="1">IF(method_reg="Метод сравнения аналогов",SUMIFS(INDEX('Калькуляция (МСА)'!$AE$25:$BC$82,,MATCH(AQ$8,'Калькуляция (МСА)'!$AE$8:$BC$8,0)),'Калькуляция (МСА)'!$F$25:$F$82,$F50,'Калькуляция (МСА)'!$G$25:$G$82,$G50),SUMIFS(INDEX('Калькуляция (5.9)'!$AJ$25:$BC$137,,MATCH(AQ$8,'Калькуляция (5.9)'!$AJ$8:$BC$8,0)),'Калькуляция (5.9)'!$F$25:$F$137,$F50,'Калькуляция (5.9)'!$G$25:$G$137,$G50))</f>
        <v>0</v>
      </c>
      <c r="AR50" s="306">
        <f ca="1">IF(AP50=0,0,(AQ50-AP50)/AP50*100)</f>
        <v>0</v>
      </c>
      <c r="AS50" s="18">
        <f ca="1">IF(method_reg="Метод сравнения аналогов",SUMIFS(INDEX('Калькуляция (МСА)'!$AE$25:$BC$82,,MATCH(AS$8,'Калькуляция (МСА)'!$AE$8:$BC$8,0)),'Калькуляция (МСА)'!$F$25:$F$82,$F50,'Калькуляция (МСА)'!$G$25:$G$82,$G50),SUMIFS(INDEX('Калькуляция (5.9)'!$AJ$25:$BC$137,,MATCH(AS$8,'Калькуляция (5.9)'!$AJ$8:$BC$8,0)),'Калькуляция (5.9)'!$F$25:$F$137,$F50,'Калькуляция (5.9)'!$G$25:$G$137,$G50))</f>
        <v>0</v>
      </c>
      <c r="AT50" s="18">
        <f ca="1">IF(method_reg="Метод сравнения аналогов",SUMIFS(INDEX('Калькуляция (МСА)'!$AE$25:$BC$82,,MATCH(AT$8,'Калькуляция (МСА)'!$AE$8:$BC$8,0)),'Калькуляция (МСА)'!$F$25:$F$82,$F50,'Калькуляция (МСА)'!$G$25:$G$82,$G50),SUMIFS(INDEX('Калькуляция (5.9)'!$AJ$25:$BC$137,,MATCH(AT$8,'Калькуляция (5.9)'!$AJ$8:$BC$8,0)),'Калькуляция (5.9)'!$F$25:$F$137,$F50,'Калькуляция (5.9)'!$G$25:$G$137,$G50))</f>
        <v>0</v>
      </c>
      <c r="AU50" s="306">
        <f ca="1">IF(AS50=0,0,(AT50-AS50)/AS50*100)</f>
        <v>0</v>
      </c>
      <c r="AV50" s="18">
        <f ca="1">IF(method_reg="Метод сравнения аналогов",SUMIFS(INDEX('Калькуляция (МСА)'!$AE$25:$BC$82,,MATCH(AV$8,'Калькуляция (МСА)'!$AE$8:$BC$8,0)),'Калькуляция (МСА)'!$F$25:$F$82,$F50,'Калькуляция (МСА)'!$G$25:$G$82,$G50),SUMIFS(INDEX('Калькуляция (5.9)'!$AJ$25:$BC$137,,MATCH(AV$8,'Калькуляция (5.9)'!$AJ$8:$BC$8,0)),'Калькуляция (5.9)'!$F$25:$F$137,$F50,'Калькуляция (5.9)'!$G$25:$G$137,$G50))</f>
        <v>0</v>
      </c>
      <c r="AW50" s="18">
        <f ca="1">IF(method_reg="Метод сравнения аналогов",SUMIFS(INDEX('Калькуляция (МСА)'!$AE$25:$BC$82,,MATCH(AW$8,'Калькуляция (МСА)'!$AE$8:$BC$8,0)),'Калькуляция (МСА)'!$F$25:$F$82,$F50,'Калькуляция (МСА)'!$G$25:$G$82,$G50),SUMIFS(INDEX('Калькуляция (5.9)'!$AJ$25:$BC$137,,MATCH(AW$8,'Калькуляция (5.9)'!$AJ$8:$BC$8,0)),'Калькуляция (5.9)'!$F$25:$F$137,$F50,'Калькуляция (5.9)'!$G$25:$G$137,$G50))</f>
        <v>0</v>
      </c>
      <c r="AX50" s="306">
        <f ca="1">IF(AV50=0,0,(AW50-AV50)/AV50*100)</f>
        <v>0</v>
      </c>
      <c r="AY50" s="18">
        <f ca="1">IF(method_reg="Метод сравнения аналогов",SUMIFS(INDEX('Калькуляция (МСА)'!$AE$25:$BC$82,,MATCH(AY$8,'Калькуляция (МСА)'!$AE$8:$BC$8,0)),'Калькуляция (МСА)'!$F$25:$F$82,$F50,'Калькуляция (МСА)'!$G$25:$G$82,$G50),SUMIFS(INDEX('Калькуляция (5.9)'!$AJ$25:$BC$137,,MATCH(AY$8,'Калькуляция (5.9)'!$AJ$8:$BC$8,0)),'Калькуляция (5.9)'!$F$25:$F$137,$F50,'Калькуляция (5.9)'!$G$25:$G$137,$G50))</f>
        <v>0</v>
      </c>
      <c r="AZ50" s="18">
        <f ca="1">IF(method_reg="Метод сравнения аналогов",SUMIFS(INDEX('Калькуляция (МСА)'!$AE$25:$BC$82,,MATCH(AZ$8,'Калькуляция (МСА)'!$AE$8:$BC$8,0)),'Калькуляция (МСА)'!$F$25:$F$82,$F50,'Калькуляция (МСА)'!$G$25:$G$82,$G50),SUMIFS(INDEX('Калькуляция (5.9)'!$AJ$25:$BC$137,,MATCH(AZ$8,'Калькуляция (5.9)'!$AJ$8:$BC$8,0)),'Калькуляция (5.9)'!$F$25:$F$137,$F50,'Калькуляция (5.9)'!$G$25:$G$137,$G50))</f>
        <v>0</v>
      </c>
      <c r="BA50" s="306">
        <f ca="1">IF(AY50=0,0,(AZ50-AY50)/AY50*100)</f>
        <v>0</v>
      </c>
      <c r="BB50" s="18">
        <f ca="1">IF(method_reg="Метод сравнения аналогов",SUMIFS(INDEX('Калькуляция (МСА)'!$AE$25:$BC$82,,MATCH(BB$8,'Калькуляция (МСА)'!$AE$8:$BC$8,0)),'Калькуляция (МСА)'!$F$25:$F$82,$F50,'Калькуляция (МСА)'!$G$25:$G$82,$G50),SUMIFS(INDEX('Калькуляция (5.9)'!$AJ$25:$BC$137,,MATCH(BB$8,'Калькуляция (5.9)'!$AJ$8:$BC$8,0)),'Калькуляция (5.9)'!$F$25:$F$137,$F50,'Калькуляция (5.9)'!$G$25:$G$137,$G50))</f>
        <v>0</v>
      </c>
      <c r="BC50" s="18">
        <f ca="1">IF(method_reg="Метод сравнения аналогов",SUMIFS(INDEX('Калькуляция (МСА)'!$AE$25:$BC$82,,MATCH(BC$8,'Калькуляция (МСА)'!$AE$8:$BC$8,0)),'Калькуляция (МСА)'!$F$25:$F$82,$F50,'Калькуляция (МСА)'!$G$25:$G$82,$G50),SUMIFS(INDEX('Калькуляция (5.9)'!$AJ$25:$BC$137,,MATCH(BC$8,'Калькуляция (5.9)'!$AJ$8:$BC$8,0)),'Калькуляция (5.9)'!$F$25:$F$137,$F50,'Калькуляция (5.9)'!$G$25:$G$137,$G50))</f>
        <v>0</v>
      </c>
      <c r="BD50" s="306">
        <f ca="1">IF(BB50=0,0,(BC50-BB50)/BB50*100)</f>
        <v>0</v>
      </c>
      <c r="BE50" s="18">
        <f ca="1">IF(method_reg="Метод сравнения аналогов",SUMIFS(INDEX('Калькуляция (МСА)'!$AE$25:$BC$82,,MATCH(BE$8,'Калькуляция (МСА)'!$AE$8:$BC$8,0)),'Калькуляция (МСА)'!$F$25:$F$82,$F50,'Калькуляция (МСА)'!$G$25:$G$82,$G50),SUMIFS(INDEX('Калькуляция (5.9)'!$AJ$25:$BC$137,,MATCH(BE$8,'Калькуляция (5.9)'!$AJ$8:$BC$8,0)),'Калькуляция (5.9)'!$F$25:$F$137,$F50,'Калькуляция (5.9)'!$G$25:$G$137,$G50))</f>
        <v>0</v>
      </c>
      <c r="BF50" s="18">
        <f ca="1">IF(method_reg="Метод сравнения аналогов",SUMIFS(INDEX('Калькуляция (МСА)'!$AE$25:$BC$82,,MATCH(BF$8,'Калькуляция (МСА)'!$AE$8:$BC$8,0)),'Калькуляция (МСА)'!$F$25:$F$82,$F50,'Калькуляция (МСА)'!$G$25:$G$82,$G50),SUMIFS(INDEX('Калькуляция (5.9)'!$AJ$25:$BC$137,,MATCH(BF$8,'Калькуляция (5.9)'!$AJ$8:$BC$8,0)),'Калькуляция (5.9)'!$F$25:$F$137,$F50,'Калькуляция (5.9)'!$G$25:$G$137,$G50))</f>
        <v>0</v>
      </c>
      <c r="BG50" s="306">
        <f ca="1">IF(BE50=0,0,(BF50-BE50)/BE50*100)</f>
        <v>0</v>
      </c>
      <c r="BH50" s="18">
        <f>IF(BH52=0,0,(BH51*BH52+BH53*BH54*6)/BH52)</f>
        <v>0</v>
      </c>
      <c r="BI50" s="18">
        <f>IF(BI52=0,0,(BI51*BI52+BI53*BI54*6)/BI52)</f>
        <v>0</v>
      </c>
      <c r="BJ50" s="306">
        <f>IF(BH50=0,0,(BI50-BH50)/BH50*100)</f>
        <v>0</v>
      </c>
      <c r="BK50" s="18">
        <f>IF(BK52=0,0,(BK51*BK52+BK53*BK54*6)/BK52)</f>
        <v>0</v>
      </c>
      <c r="BL50" s="18">
        <f>IF(BL52=0,0,(BL51*BL52+BL53*BL54*6)/BL52)</f>
        <v>0</v>
      </c>
      <c r="BM50" s="306">
        <f>IF(BK50=0,0,(BL50-BK50)/BK50*100)</f>
        <v>0</v>
      </c>
      <c r="BN50" s="18">
        <f>IF(BN52=0,0,(BN51*BN52+BN53*BN54*6)/BN52)</f>
        <v>0</v>
      </c>
      <c r="BO50" s="18">
        <f>IF(BO52=0,0,(BO51*BO52+BO53*BO54*6)/BO52)</f>
        <v>0</v>
      </c>
      <c r="BP50" s="306">
        <f>IF(BN50=0,0,(BO50-BN50)/BN50*100)</f>
        <v>0</v>
      </c>
      <c r="BQ50" s="18">
        <f>IF(BQ52=0,0,(BQ51*BQ52+BQ53*BQ54*6)/BQ52)</f>
        <v>0</v>
      </c>
      <c r="BR50" s="18">
        <f>IF(BR52=0,0,(BR51*BR52+BR53*BR54*6)/BR52)</f>
        <v>0</v>
      </c>
      <c r="BS50" s="306">
        <f>IF(BQ50=0,0,(BR50-BQ50)/BQ50*100)</f>
        <v>0</v>
      </c>
      <c r="BT50" s="18">
        <f>IF(BT52=0,0,(BT51*BT52+BT53*BT54*6)/BT52)</f>
        <v>0</v>
      </c>
      <c r="BU50" s="18">
        <f>IF(BU52=0,0,(BU51*BU52+BU53*BU54*6)/BU52)</f>
        <v>0</v>
      </c>
      <c r="BV50" s="306">
        <f>IF(BT50=0,0,(BU50-BT50)/BT50*100)</f>
        <v>0</v>
      </c>
      <c r="BW50" s="18">
        <f>IF(BW52=0,0,(BW51*BW52+BW53*BW54*6)/BW52)</f>
        <v>0</v>
      </c>
      <c r="BX50" s="18">
        <f>IF(BX52=0,0,(BX51*BX52+BX53*BX54*6)/BX52)</f>
        <v>0</v>
      </c>
      <c r="BY50" s="306">
        <f>IF(BW50=0,0,(BX50-BW50)/BW50*100)</f>
        <v>0</v>
      </c>
      <c r="BZ50" s="18">
        <f>IF(BZ52=0,0,(BZ51*BZ52+BZ53*BZ54*6)/BZ52)</f>
        <v>0</v>
      </c>
      <c r="CA50" s="18">
        <f>IF(CA52=0,0,(CA51*CA52+CA53*CA54*6)/CA52)</f>
        <v>0</v>
      </c>
      <c r="CB50" s="306">
        <f>IF(BZ50=0,0,(CA50-BZ50)/BZ50*100)</f>
        <v>0</v>
      </c>
      <c r="CC50" s="18">
        <f>IF(CC52=0,0,(CC51*CC52+CC53*CC54*6)/CC52)</f>
        <v>0</v>
      </c>
      <c r="CD50" s="18">
        <f>IF(CD52=0,0,(CD51*CD52+CD53*CD54*6)/CD52)</f>
        <v>0</v>
      </c>
      <c r="CE50" s="306">
        <f>IF(CC50=0,0,(CD50-CC50)/CC50*100)</f>
        <v>0</v>
      </c>
      <c r="CF50" s="18">
        <f>IF(CF52=0,0,(CF51*CF52+CF53*CF54*6)/CF52)</f>
        <v>0</v>
      </c>
      <c r="CG50" s="18">
        <f>IF(CG52=0,0,(CG51*CG52+CG53*CG54*6)/CG52)</f>
        <v>0</v>
      </c>
      <c r="CH50" s="306">
        <f>IF(CF50=0,0,(CG50-CF50)/CF50*100)</f>
        <v>0</v>
      </c>
      <c r="CI50" s="18">
        <f>IF(CI52=0,0,(CI51*CI52+CI53*CI54*6)/CI52)</f>
        <v>0</v>
      </c>
      <c r="CJ50" s="18">
        <f>IF(CJ52=0,0,(CJ51*CJ52+CJ53*CJ54*6)/CJ52)</f>
        <v>0</v>
      </c>
      <c r="CK50" s="306">
        <f>IF(CI50=0,0,(CJ50-CI50)/CI50*100)</f>
        <v>0</v>
      </c>
      <c r="CL50" s="18">
        <f>IF(CL52=0,0,(CL51*CL52+CL53*CL54*6)/CL52)</f>
        <v>0</v>
      </c>
      <c r="CM50" s="18">
        <f>IF(CM52=0,0,(CM51*CM52+CM53*CM54*6)/CM52)</f>
        <v>0</v>
      </c>
      <c r="CN50" s="306">
        <f>IF(CL50=0,0,(CM50-CL50)/CL50*100)</f>
        <v>0</v>
      </c>
      <c r="CO50" s="18">
        <f>IF(CO52=0,0,(CO51*CO52+CO53*CO54*6)/CO52)</f>
        <v>0</v>
      </c>
      <c r="CP50" s="18">
        <f>IF(CP52=0,0,(CP51*CP52+CP53*CP54*6)/CP52)</f>
        <v>0</v>
      </c>
      <c r="CQ50" s="306">
        <f>IF(CO50=0,0,(CP50-CO50)/CO50*100)</f>
        <v>0</v>
      </c>
      <c r="CR50" s="18">
        <f>IF(CR52=0,0,(CR51*CR52+CR53*CR54*6)/CR52)</f>
        <v>0</v>
      </c>
      <c r="CS50" s="18">
        <f>IF(CS52=0,0,(CS51*CS52+CS53*CS54*6)/CS52)</f>
        <v>0</v>
      </c>
      <c r="CT50" s="306">
        <f>IF(CR50=0,0,(CS50-CR50)/CR50*100)</f>
        <v>0</v>
      </c>
      <c r="CU50" s="18">
        <f>IF(CU52=0,0,(CU51*CU52+CU53*CU54*6)/CU52)</f>
        <v>0</v>
      </c>
      <c r="CV50" s="18">
        <f>IF(CV52=0,0,(CV51*CV52+CV53*CV54*6)/CV52)</f>
        <v>0</v>
      </c>
      <c r="CW50" s="306">
        <f>IF(CU50=0,0,(CV50-CU50)/CU50*100)</f>
        <v>0</v>
      </c>
      <c r="CX50" s="18">
        <f>IF(CX52=0,0,(CX51*CX52+CX53*CX54*6)/CX52)</f>
        <v>0</v>
      </c>
      <c r="CY50" s="18">
        <f>IF(CY52=0,0,(CY51*CY52+CY53*CY54*6)/CY52)</f>
        <v>0</v>
      </c>
      <c r="CZ50" s="306">
        <f>IF(CX50=0,0,(CY50-CX50)/CX50*100)</f>
        <v>0</v>
      </c>
      <c r="DA50" s="18">
        <f>IF(DA52=0,0,(DA51*DA52+DA53*DA54*6)/DA52)</f>
        <v>0</v>
      </c>
      <c r="DB50" s="18">
        <f>IF(DB52=0,0,(DB51*DB52+DB53*DB54*6)/DB52)</f>
        <v>0</v>
      </c>
      <c r="DC50" s="306">
        <f>IF(DA50=0,0,(DB50-DA50)/DA50*100)</f>
        <v>0</v>
      </c>
      <c r="DD50" s="18">
        <f>IF(DD52=0,0,(DD51*DD52+DD53*DD54*6)/DD52)</f>
        <v>0</v>
      </c>
      <c r="DE50" s="18">
        <f>IF(DE52=0,0,(DE51*DE52+DE53*DE54*6)/DE52)</f>
        <v>0</v>
      </c>
      <c r="DF50" s="306">
        <f>IF(DD50=0,0,(DE50-DD50)/DD50*100)</f>
        <v>0</v>
      </c>
      <c r="DG50" s="18">
        <f>IF(DG52=0,0,(DG51*DG52+DG53*DG54*6)/DG52)</f>
        <v>0</v>
      </c>
      <c r="DH50" s="18">
        <f>IF(DH52=0,0,(DH51*DH52+DH53*DH54*6)/DH52)</f>
        <v>0</v>
      </c>
      <c r="DI50" s="306">
        <f>IF(DG50=0,0,(DH50-DG50)/DG50*100)</f>
        <v>0</v>
      </c>
      <c r="DJ50" s="18">
        <f>IF(DJ52=0,0,(DJ51*DJ52+DJ53*DJ54*6)/DJ52)</f>
        <v>0</v>
      </c>
      <c r="DK50" s="18">
        <f>IF(DK52=0,0,(DK51*DK52+DK53*DK54*6)/DK52)</f>
        <v>0</v>
      </c>
      <c r="DL50" s="306">
        <f>IF(DJ50=0,0,(DK50-DJ50)/DJ50*100)</f>
        <v>0</v>
      </c>
      <c r="DM50" s="18">
        <f>IF(DM52=0,0,(DM51*DM52+DM53*DM54*6)/DM52)</f>
        <v>0</v>
      </c>
      <c r="DN50" s="18">
        <f>IF(DN52=0,0,(DN51*DN52+DN53*DN54*6)/DN52)</f>
        <v>0</v>
      </c>
      <c r="DO50" s="306">
        <f>IF(DM50=0,0,(DN50-DM50)/DM50*100)</f>
        <v>0</v>
      </c>
      <c r="DP50" s="18">
        <f>IF(DP52=0,0,(DP51*DP52+DP53*DP54*6)/DP52)</f>
        <v>0</v>
      </c>
      <c r="DQ50" s="18">
        <f>IF(DQ52=0,0,(DQ51*DQ52+DQ53*DQ54*6)/DQ52)</f>
        <v>0</v>
      </c>
      <c r="DR50" s="306">
        <f>IF(DP50=0,0,(DQ50-DP50)/DP50*100)</f>
        <v>0</v>
      </c>
      <c r="DS50" s="18">
        <f>IF(DS52=0,0,(DS51*DS52+DS53*DS54*6)/DS52)</f>
        <v>0</v>
      </c>
      <c r="DT50" s="18">
        <f>IF(DT52=0,0,(DT51*DT52+DT53*DT54*6)/DT52)</f>
        <v>0</v>
      </c>
      <c r="DU50" s="306">
        <f>IF(DS50=0,0,(DT50-DS50)/DS50*100)</f>
        <v>0</v>
      </c>
      <c r="DV50" s="18">
        <f>IF(DV52=0,0,(DV51*DV52+DV53*DV54*6)/DV52)</f>
        <v>0</v>
      </c>
      <c r="DW50" s="18">
        <f>IF(DW52=0,0,(DW51*DW52+DW53*DW54*6)/DW52)</f>
        <v>0</v>
      </c>
      <c r="DX50" s="306">
        <f>IF(DV50=0,0,(DW50-DV50)/DV50*100)</f>
        <v>0</v>
      </c>
      <c r="DY50" s="18">
        <f>IF(DY52=0,0,(DY51*DY52+DY53*DY54*6)/DY52)</f>
        <v>0</v>
      </c>
      <c r="DZ50" s="18">
        <f>IF(DZ52=0,0,(DZ51*DZ52+DZ53*DZ54*6)/DZ52)</f>
        <v>0</v>
      </c>
      <c r="EA50" s="306">
        <f>IF(DY50=0,0,(DZ50-DY50)/DY50*100)</f>
        <v>0</v>
      </c>
      <c r="EB50" s="18">
        <f>IF(EB52=0,0,(EB51*EB52+EB53*EB54*6)/EB52)</f>
        <v>0</v>
      </c>
      <c r="EC50" s="18">
        <f>IF(EC52=0,0,(EC51*EC52+EC53*EC54*6)/EC52)</f>
        <v>0</v>
      </c>
      <c r="ED50" s="306">
        <f>IF(EB50=0,0,(EC50-EB50)/EB50*100)</f>
        <v>0</v>
      </c>
      <c r="EE50" s="18">
        <f>IF(EE52=0,0,(EE51*EE52+EE53*EE54*6)/EE52)</f>
        <v>0</v>
      </c>
      <c r="EF50" s="18">
        <f>IF(EF52=0,0,(EF51*EF52+EF53*EF54*6)/EF52)</f>
        <v>0</v>
      </c>
      <c r="EG50" s="306">
        <f>IF(EE50=0,0,(EF50-EE50)/EE50*100)</f>
        <v>0</v>
      </c>
      <c r="EH50" s="18">
        <f>IF(EH52=0,0,(EH51*EH52+EH53*EH54*6)/EH52)</f>
        <v>0</v>
      </c>
      <c r="EI50" s="18">
        <f>IF(EI52=0,0,(EI51*EI52+EI53*EI54*6)/EI52)</f>
        <v>0</v>
      </c>
      <c r="EJ50" s="306">
        <f>IF(EH50=0,0,(EI50-EH50)/EH50*100)</f>
        <v>0</v>
      </c>
      <c r="EK50" s="18">
        <f>IF(EK52=0,0,(EK51*EK52+EK53*EK54*6)/EK52)</f>
        <v>0</v>
      </c>
      <c r="EL50" s="18">
        <f>IF(EL52=0,0,(EL51*EL52+EL53*EL54*6)/EL52)</f>
        <v>0</v>
      </c>
      <c r="EM50" s="306">
        <f>IF(EK50=0,0,(EL50-EK50)/EK50*100)</f>
        <v>0</v>
      </c>
      <c r="EN50" s="18">
        <f>IF(EN52=0,0,(EN51*EN52+EN53*EN54*6)/EN52)</f>
        <v>0</v>
      </c>
      <c r="EO50" s="18">
        <f>IF(EO52=0,0,(EO51*EO52+EO53*EO54*6)/EO52)</f>
        <v>0</v>
      </c>
      <c r="EP50" s="306">
        <f>IF(EN50=0,0,(EO50-EN50)/EN50*100)</f>
        <v>0</v>
      </c>
      <c r="EQ50" s="18">
        <f>IF(EQ52=0,0,(EQ51*EQ52+EQ53*EQ54*6)/EQ52)</f>
        <v>0</v>
      </c>
      <c r="ER50" s="18">
        <f>IF(ER52=0,0,(ER51*ER52+ER53*ER54*6)/ER52)</f>
        <v>0</v>
      </c>
      <c r="ES50" s="306">
        <f>IF(EQ50=0,0,(ER50-EQ50)/EQ50*100)</f>
        <v>0</v>
      </c>
      <c r="ET50" s="18">
        <f>IF(ET52=0,0,(ET51*ET52+ET53*ET54*6)/ET52)</f>
        <v>0</v>
      </c>
      <c r="EU50" s="18">
        <f>IF(EU52=0,0,(EU51*EU52+EU53*EU54*6)/EU52)</f>
        <v>0</v>
      </c>
      <c r="EV50" s="306">
        <f>IF(ET50=0,0,(EU50-ET50)/ET50*100)</f>
        <v>0</v>
      </c>
      <c r="EW50" s="18">
        <f>IF(EW52=0,0,(EW51*EW52+EW53*EW54*6)/EW52)</f>
        <v>0</v>
      </c>
      <c r="EX50" s="18">
        <f>IF(EX52=0,0,(EX51*EX52+EX53*EX54*6)/EX52)</f>
        <v>0</v>
      </c>
      <c r="EY50" s="306">
        <f>IF(EW50=0,0,(EX50-EW50)/EW50*100)</f>
        <v>0</v>
      </c>
      <c r="EZ50" s="18">
        <f>IF(EZ52=0,0,(EZ51*EZ52+EZ53*EZ54*6)/EZ52)</f>
        <v>0</v>
      </c>
      <c r="FA50" s="18">
        <f>IF(FA52=0,0,(FA51*FA52+FA53*FA54*6)/FA52)</f>
        <v>0</v>
      </c>
      <c r="FB50" s="306">
        <f>IF(EZ50=0,0,(FA50-EZ50)/EZ50*100)</f>
        <v>0</v>
      </c>
      <c r="FC50" s="18">
        <f>IF(FC52=0,0,(FC51*FC52+FC53*FC54*6)/FC52)</f>
        <v>0</v>
      </c>
      <c r="FD50" s="18">
        <f>IF(FD52=0,0,(FD51*FD52+FD53*FD54*6)/FD52)</f>
        <v>0</v>
      </c>
      <c r="FE50" s="306">
        <f>IF(FC50=0,0,(FD50-FC50)/FC50*100)</f>
        <v>0</v>
      </c>
      <c r="FF50" s="18">
        <f>IF(FF52=0,0,(FF51*FF52+FF53*FF54*6)/FF52)</f>
        <v>0</v>
      </c>
      <c r="FG50" s="18">
        <f>IF(FG52=0,0,(FG51*FG52+FG53*FG54*6)/FG52)</f>
        <v>0</v>
      </c>
      <c r="FH50" s="306">
        <f>IF(FF50=0,0,(FG50-FF50)/FF50*100)</f>
        <v>0</v>
      </c>
      <c r="FI50" s="18">
        <f>IF(FI52=0,0,(FI51*FI52+FI53*FI54*6)/FI52)</f>
        <v>0</v>
      </c>
      <c r="FJ50" s="18">
        <f>IF(FJ52=0,0,(FJ51*FJ52+FJ53*FJ54*6)/FJ52)</f>
        <v>0</v>
      </c>
      <c r="FK50" s="306">
        <f>IF(FI50=0,0,(FJ50-FI50)/FI50*100)</f>
        <v>0</v>
      </c>
      <c r="FL50" s="18">
        <f>IF(FL52=0,0,(FL51*FL52+FL53*FL54*6)/FL52)</f>
        <v>0</v>
      </c>
      <c r="FM50" s="18">
        <f>IF(FM52=0,0,(FM51*FM52+FM53*FM54*6)/FM52)</f>
        <v>0</v>
      </c>
      <c r="FN50" s="306">
        <f>IF(FL50=0,0,(FM50-FL50)/FL50*100)</f>
        <v>0</v>
      </c>
      <c r="FO50" s="18">
        <f>IF(FO52=0,0,(FO51*FO52+FO53*FO54*6)/FO52)</f>
        <v>0</v>
      </c>
      <c r="FP50" s="18">
        <f>IF(FP52=0,0,(FP51*FP52+FP53*FP54*6)/FP52)</f>
        <v>0</v>
      </c>
      <c r="FQ50" s="306">
        <f>IF(FO50=0,0,(FP50-FO50)/FO50*100)</f>
        <v>0</v>
      </c>
      <c r="FR50" s="18">
        <f>IF(FR52=0,0,(FR51*FR52+FR53*FR54*6)/FR52)</f>
        <v>0</v>
      </c>
      <c r="FS50" s="18">
        <f>IF(FS52=0,0,(FS51*FS52+FS53*FS54*6)/FS52)</f>
        <v>0</v>
      </c>
      <c r="FT50" s="306">
        <f>IF(FR50=0,0,(FS50-FR50)/FR50*100)</f>
        <v>0</v>
      </c>
      <c r="FU50" s="18">
        <f>IF(FU52=0,0,(FU51*FU52+FU53*FU54*6)/FU52)</f>
        <v>0</v>
      </c>
      <c r="FV50" s="18">
        <f>IF(FV52=0,0,(FV51*FV52+FV53*FV54*6)/FV52)</f>
        <v>0</v>
      </c>
      <c r="FW50" s="306">
        <f>IF(FU50=0,0,(FV50-FU50)/FU50*100)</f>
        <v>0</v>
      </c>
      <c r="FZ50" s="971" t="s">
        <v>2164</v>
      </c>
      <c r="GA50" s="971"/>
      <c r="GB50" s="971"/>
      <c r="GC50" s="971"/>
      <c r="GD50" s="971"/>
    </row>
    <row r="51" spans="2:186" ht="15.4" hidden="1" customHeight="1" x14ac:dyDescent="0.15">
      <c r="B51" s="803" t="b" cm="1">
        <f t="array" ref="B51">B50</f>
        <v>0</v>
      </c>
      <c r="C51" s="1108" t="s">
        <v>2165</v>
      </c>
      <c r="D51" s="1077" t="s">
        <v>2166</v>
      </c>
      <c r="E51" s="668">
        <v>15.8</v>
      </c>
      <c r="F51" s="769" cm="1">
        <f t="array" aca="1" ref="F51" ca="1">OFFSET(G51,-1,-1)</f>
        <v>0</v>
      </c>
      <c r="G51" s="612" t="s">
        <v>1788</v>
      </c>
      <c r="H51" s="160" t="s">
        <v>2167</v>
      </c>
      <c r="I51" s="160" t="s">
        <v>2114</v>
      </c>
      <c r="J51" s="1098"/>
      <c r="K51" s="1098" cm="1">
        <f t="array" aca="1" ref="K51" ca="1">OFFSET(J51,-1,1)</f>
        <v>0</v>
      </c>
      <c r="L51" s="1098"/>
      <c r="M51" s="1098" t="s">
        <v>1750</v>
      </c>
      <c r="N51" s="1098" t="s">
        <v>2117</v>
      </c>
      <c r="O51" s="1099" t="s">
        <v>2118</v>
      </c>
      <c r="P51" s="1098" t="s">
        <v>2168</v>
      </c>
      <c r="Q51" s="1098"/>
      <c r="T51" s="679" t="b" cm="1">
        <f t="array" aca="1" ref="T51" ca="1">T50</f>
        <v>0</v>
      </c>
      <c r="X51" s="1485"/>
      <c r="Z51" s="1485"/>
      <c r="AB51" s="220" t="s">
        <v>2169</v>
      </c>
      <c r="AC51" s="120" t="s">
        <v>920</v>
      </c>
      <c r="AD51" s="18">
        <f ca="1">IF(method_reg="Метод экономически обоснованных расходов",SUMIFS('Калькуляция (4.6)'!AJ$25:AJ$162,'Калькуляция (4.6)'!$F$25:$F$162,$F51,'Калькуляция (4.6)'!$G$25:$G$162,$G51),IF(method_reg="Метод сравнения аналогов",SUMIFS(INDEX('Калькуляция (МСА)'!$AE$25:$BC$82,,MATCH(AD$8,'Калькуляция (МСА)'!$AE$8:$BC$8,0)),'Калькуляция (МСА)'!$F$25:$F$82,$F51,'Калькуляция (МСА)'!$G$25:$G$82,$G51),SUMIFS(INDEX('Калькуляция (5.9)'!$AJ$25:$BC$137,,MATCH(AD$8,'Калькуляция (5.9)'!$AJ$8:$BC$8,0)),'Калькуляция (5.9)'!$F$25:$F$137,$F51,'Калькуляция (5.9)'!$G$25:$G$137,$G51)))</f>
        <v>0</v>
      </c>
      <c r="AE51" s="18">
        <f ca="1">IF(method_reg="Метод экономически обоснованных расходов",SUMIFS('Калькуляция (4.6)'!AK$25:AK$162,'Калькуляция (4.6)'!$F$25:$F$162,$F51,'Калькуляция (4.6)'!$G$25:$G$162,$G51),IF(method_reg="Метод сравнения аналогов",SUMIFS(INDEX('Калькуляция (МСА)'!$AE$25:$BC$82,,MATCH(AE$8,'Калькуляция (МСА)'!$AE$8:$BC$8,0)),'Калькуляция (МСА)'!$F$25:$F$82,$F51,'Калькуляция (МСА)'!$G$25:$G$82,$G51),SUMIFS(INDEX('Калькуляция (5.9)'!$AJ$25:$BC$137,,MATCH(AE$8,'Калькуляция (5.9)'!$AJ$8:$BC$8,0)),'Калькуляция (5.9)'!$F$25:$F$137,$F51,'Калькуляция (5.9)'!$G$25:$G$137,$G51)))</f>
        <v>0</v>
      </c>
      <c r="AF51" s="306">
        <f ca="1">IF(AD51=0,0,(AE51-AD51)/AD51*100)</f>
        <v>0</v>
      </c>
      <c r="AG51" s="1215">
        <f ca="1">IF(method_reg="Метод сравнения аналогов",SUMIFS(INDEX('Калькуляция (МСА)'!$AE$25:$BC$82,,MATCH(AG$8,'Калькуляция (МСА)'!$AE$8:$BC$8,0)),'Калькуляция (МСА)'!$F$25:$F$82,$F51,'Калькуляция (МСА)'!$G$25:$G$82,$G51),SUMIFS(INDEX('Калькуляция (5.9)'!$AJ$25:$BC$137,,MATCH(AG$8,'Калькуляция (5.9)'!$AJ$8:$BC$8,0)),'Калькуляция (5.9)'!$F$25:$F$137,$F51,'Калькуляция (5.9)'!$G$25:$G$137,$G51))</f>
        <v>0</v>
      </c>
      <c r="AH51" s="1215">
        <f ca="1">IF(method_reg="Метод сравнения аналогов",SUMIFS(INDEX('Калькуляция (МСА)'!$AE$25:$BC$82,,MATCH(AH$8,'Калькуляция (МСА)'!$AE$8:$BC$8,0)),'Калькуляция (МСА)'!$F$25:$F$82,$F51,'Калькуляция (МСА)'!$G$25:$G$82,$G51),SUMIFS(INDEX('Калькуляция (5.9)'!$AJ$25:$BC$137,,MATCH(AH$8,'Калькуляция (5.9)'!$AJ$8:$BC$8,0)),'Калькуляция (5.9)'!$F$25:$F$137,$F51,'Калькуляция (5.9)'!$G$25:$G$137,$G51))</f>
        <v>0</v>
      </c>
      <c r="AI51" s="306">
        <f ca="1">IF(AG51=0,0,(AH51-AG51)/AG51*100)</f>
        <v>0</v>
      </c>
      <c r="AJ51" s="1215">
        <f ca="1">IF(method_reg="Метод сравнения аналогов",SUMIFS(INDEX('Калькуляция (МСА)'!$AE$25:$BC$82,,MATCH(AJ$8,'Калькуляция (МСА)'!$AE$8:$BC$8,0)),'Калькуляция (МСА)'!$F$25:$F$82,$F51,'Калькуляция (МСА)'!$G$25:$G$82,$G51),SUMIFS(INDEX('Калькуляция (5.9)'!$AJ$25:$BC$137,,MATCH(AJ$8,'Калькуляция (5.9)'!$AJ$8:$BC$8,0)),'Калькуляция (5.9)'!$F$25:$F$137,$F51,'Калькуляция (5.9)'!$G$25:$G$137,$G51))</f>
        <v>0</v>
      </c>
      <c r="AK51" s="1215">
        <f ca="1">IF(method_reg="Метод сравнения аналогов",SUMIFS(INDEX('Калькуляция (МСА)'!$AE$25:$BC$82,,MATCH(AK$8,'Калькуляция (МСА)'!$AE$8:$BC$8,0)),'Калькуляция (МСА)'!$F$25:$F$82,$F51,'Калькуляция (МСА)'!$G$25:$G$82,$G51),SUMIFS(INDEX('Калькуляция (5.9)'!$AJ$25:$BC$137,,MATCH(AK$8,'Калькуляция (5.9)'!$AJ$8:$BC$8,0)),'Калькуляция (5.9)'!$F$25:$F$137,$F51,'Калькуляция (5.9)'!$G$25:$G$137,$G51))</f>
        <v>0</v>
      </c>
      <c r="AL51" s="306">
        <f ca="1">IF(AJ51=0,0,(AK51-AJ51)/AJ51*100)</f>
        <v>0</v>
      </c>
      <c r="AM51" s="18">
        <f ca="1">IF(method_reg="Метод сравнения аналогов",SUMIFS(INDEX('Калькуляция (МСА)'!$AE$25:$BC$82,,MATCH(AM$8,'Калькуляция (МСА)'!$AE$8:$BC$8,0)),'Калькуляция (МСА)'!$F$25:$F$82,$F51,'Калькуляция (МСА)'!$G$25:$G$82,$G51),SUMIFS(INDEX('Калькуляция (5.9)'!$AJ$25:$BC$137,,MATCH(AM$8,'Калькуляция (5.9)'!$AJ$8:$BC$8,0)),'Калькуляция (5.9)'!$F$25:$F$137,$F51,'Калькуляция (5.9)'!$G$25:$G$137,$G51))</f>
        <v>0</v>
      </c>
      <c r="AN51" s="18">
        <f ca="1">IF(method_reg="Метод сравнения аналогов",SUMIFS(INDEX('Калькуляция (МСА)'!$AE$25:$BC$82,,MATCH(AN$8,'Калькуляция (МСА)'!$AE$8:$BC$8,0)),'Калькуляция (МСА)'!$F$25:$F$82,$F51,'Калькуляция (МСА)'!$G$25:$G$82,$G51),SUMIFS(INDEX('Калькуляция (5.9)'!$AJ$25:$BC$137,,MATCH(AN$8,'Калькуляция (5.9)'!$AJ$8:$BC$8,0)),'Калькуляция (5.9)'!$F$25:$F$137,$F51,'Калькуляция (5.9)'!$G$25:$G$137,$G51))</f>
        <v>0</v>
      </c>
      <c r="AO51" s="306">
        <f ca="1">IF(AM51=0,0,(AN51-AM51)/AM51*100)</f>
        <v>0</v>
      </c>
      <c r="AP51" s="18">
        <f ca="1">IF(method_reg="Метод сравнения аналогов",SUMIFS(INDEX('Калькуляция (МСА)'!$AE$25:$BC$82,,MATCH(AP$8,'Калькуляция (МСА)'!$AE$8:$BC$8,0)),'Калькуляция (МСА)'!$F$25:$F$82,$F51,'Калькуляция (МСА)'!$G$25:$G$82,$G51),SUMIFS(INDEX('Калькуляция (5.9)'!$AJ$25:$BC$137,,MATCH(AP$8,'Калькуляция (5.9)'!$AJ$8:$BC$8,0)),'Калькуляция (5.9)'!$F$25:$F$137,$F51,'Калькуляция (5.9)'!$G$25:$G$137,$G51))</f>
        <v>0</v>
      </c>
      <c r="AQ51" s="18">
        <f ca="1">IF(method_reg="Метод сравнения аналогов",SUMIFS(INDEX('Калькуляция (МСА)'!$AE$25:$BC$82,,MATCH(AQ$8,'Калькуляция (МСА)'!$AE$8:$BC$8,0)),'Калькуляция (МСА)'!$F$25:$F$82,$F51,'Калькуляция (МСА)'!$G$25:$G$82,$G51),SUMIFS(INDEX('Калькуляция (5.9)'!$AJ$25:$BC$137,,MATCH(AQ$8,'Калькуляция (5.9)'!$AJ$8:$BC$8,0)),'Калькуляция (5.9)'!$F$25:$F$137,$F51,'Калькуляция (5.9)'!$G$25:$G$137,$G51))</f>
        <v>0</v>
      </c>
      <c r="AR51" s="306">
        <f ca="1">IF(AP51=0,0,(AQ51-AP51)/AP51*100)</f>
        <v>0</v>
      </c>
      <c r="AS51" s="18">
        <f ca="1">IF(method_reg="Метод сравнения аналогов",SUMIFS(INDEX('Калькуляция (МСА)'!$AE$25:$BC$82,,MATCH(AS$8,'Калькуляция (МСА)'!$AE$8:$BC$8,0)),'Калькуляция (МСА)'!$F$25:$F$82,$F51,'Калькуляция (МСА)'!$G$25:$G$82,$G51),SUMIFS(INDEX('Калькуляция (5.9)'!$AJ$25:$BC$137,,MATCH(AS$8,'Калькуляция (5.9)'!$AJ$8:$BC$8,0)),'Калькуляция (5.9)'!$F$25:$F$137,$F51,'Калькуляция (5.9)'!$G$25:$G$137,$G51))</f>
        <v>0</v>
      </c>
      <c r="AT51" s="18">
        <f ca="1">IF(method_reg="Метод сравнения аналогов",SUMIFS(INDEX('Калькуляция (МСА)'!$AE$25:$BC$82,,MATCH(AT$8,'Калькуляция (МСА)'!$AE$8:$BC$8,0)),'Калькуляция (МСА)'!$F$25:$F$82,$F51,'Калькуляция (МСА)'!$G$25:$G$82,$G51),SUMIFS(INDEX('Калькуляция (5.9)'!$AJ$25:$BC$137,,MATCH(AT$8,'Калькуляция (5.9)'!$AJ$8:$BC$8,0)),'Калькуляция (5.9)'!$F$25:$F$137,$F51,'Калькуляция (5.9)'!$G$25:$G$137,$G51))</f>
        <v>0</v>
      </c>
      <c r="AU51" s="306">
        <f ca="1">IF(AS51=0,0,(AT51-AS51)/AS51*100)</f>
        <v>0</v>
      </c>
      <c r="AV51" s="18">
        <f ca="1">IF(method_reg="Метод сравнения аналогов",SUMIFS(INDEX('Калькуляция (МСА)'!$AE$25:$BC$82,,MATCH(AV$8,'Калькуляция (МСА)'!$AE$8:$BC$8,0)),'Калькуляция (МСА)'!$F$25:$F$82,$F51,'Калькуляция (МСА)'!$G$25:$G$82,$G51),SUMIFS(INDEX('Калькуляция (5.9)'!$AJ$25:$BC$137,,MATCH(AV$8,'Калькуляция (5.9)'!$AJ$8:$BC$8,0)),'Калькуляция (5.9)'!$F$25:$F$137,$F51,'Калькуляция (5.9)'!$G$25:$G$137,$G51))</f>
        <v>0</v>
      </c>
      <c r="AW51" s="18">
        <f ca="1">IF(method_reg="Метод сравнения аналогов",SUMIFS(INDEX('Калькуляция (МСА)'!$AE$25:$BC$82,,MATCH(AW$8,'Калькуляция (МСА)'!$AE$8:$BC$8,0)),'Калькуляция (МСА)'!$F$25:$F$82,$F51,'Калькуляция (МСА)'!$G$25:$G$82,$G51),SUMIFS(INDEX('Калькуляция (5.9)'!$AJ$25:$BC$137,,MATCH(AW$8,'Калькуляция (5.9)'!$AJ$8:$BC$8,0)),'Калькуляция (5.9)'!$F$25:$F$137,$F51,'Калькуляция (5.9)'!$G$25:$G$137,$G51))</f>
        <v>0</v>
      </c>
      <c r="AX51" s="306">
        <f ca="1">IF(AV51=0,0,(AW51-AV51)/AV51*100)</f>
        <v>0</v>
      </c>
      <c r="AY51" s="18">
        <f ca="1">IF(method_reg="Метод сравнения аналогов",SUMIFS(INDEX('Калькуляция (МСА)'!$AE$25:$BC$82,,MATCH(AY$8,'Калькуляция (МСА)'!$AE$8:$BC$8,0)),'Калькуляция (МСА)'!$F$25:$F$82,$F51,'Калькуляция (МСА)'!$G$25:$G$82,$G51),SUMIFS(INDEX('Калькуляция (5.9)'!$AJ$25:$BC$137,,MATCH(AY$8,'Калькуляция (5.9)'!$AJ$8:$BC$8,0)),'Калькуляция (5.9)'!$F$25:$F$137,$F51,'Калькуляция (5.9)'!$G$25:$G$137,$G51))</f>
        <v>0</v>
      </c>
      <c r="AZ51" s="18">
        <f ca="1">IF(method_reg="Метод сравнения аналогов",SUMIFS(INDEX('Калькуляция (МСА)'!$AE$25:$BC$82,,MATCH(AZ$8,'Калькуляция (МСА)'!$AE$8:$BC$8,0)),'Калькуляция (МСА)'!$F$25:$F$82,$F51,'Калькуляция (МСА)'!$G$25:$G$82,$G51),SUMIFS(INDEX('Калькуляция (5.9)'!$AJ$25:$BC$137,,MATCH(AZ$8,'Калькуляция (5.9)'!$AJ$8:$BC$8,0)),'Калькуляция (5.9)'!$F$25:$F$137,$F51,'Калькуляция (5.9)'!$G$25:$G$137,$G51))</f>
        <v>0</v>
      </c>
      <c r="BA51" s="306">
        <f ca="1">IF(AY51=0,0,(AZ51-AY51)/AY51*100)</f>
        <v>0</v>
      </c>
      <c r="BB51" s="18">
        <f ca="1">IF(method_reg="Метод сравнения аналогов",SUMIFS(INDEX('Калькуляция (МСА)'!$AE$25:$BC$82,,MATCH(BB$8,'Калькуляция (МСА)'!$AE$8:$BC$8,0)),'Калькуляция (МСА)'!$F$25:$F$82,$F51,'Калькуляция (МСА)'!$G$25:$G$82,$G51),SUMIFS(INDEX('Калькуляция (5.9)'!$AJ$25:$BC$137,,MATCH(BB$8,'Калькуляция (5.9)'!$AJ$8:$BC$8,0)),'Калькуляция (5.9)'!$F$25:$F$137,$F51,'Калькуляция (5.9)'!$G$25:$G$137,$G51))</f>
        <v>0</v>
      </c>
      <c r="BC51" s="18">
        <f ca="1">IF(method_reg="Метод сравнения аналогов",SUMIFS(INDEX('Калькуляция (МСА)'!$AE$25:$BC$82,,MATCH(BC$8,'Калькуляция (МСА)'!$AE$8:$BC$8,0)),'Калькуляция (МСА)'!$F$25:$F$82,$F51,'Калькуляция (МСА)'!$G$25:$G$82,$G51),SUMIFS(INDEX('Калькуляция (5.9)'!$AJ$25:$BC$137,,MATCH(BC$8,'Калькуляция (5.9)'!$AJ$8:$BC$8,0)),'Калькуляция (5.9)'!$F$25:$F$137,$F51,'Калькуляция (5.9)'!$G$25:$G$137,$G51))</f>
        <v>0</v>
      </c>
      <c r="BD51" s="306">
        <f ca="1">IF(BB51=0,0,(BC51-BB51)/BB51*100)</f>
        <v>0</v>
      </c>
      <c r="BE51" s="18">
        <f ca="1">IF(method_reg="Метод сравнения аналогов",SUMIFS(INDEX('Калькуляция (МСА)'!$AE$25:$BC$82,,MATCH(BE$8,'Калькуляция (МСА)'!$AE$8:$BC$8,0)),'Калькуляция (МСА)'!$F$25:$F$82,$F51,'Калькуляция (МСА)'!$G$25:$G$82,$G51),SUMIFS(INDEX('Калькуляция (5.9)'!$AJ$25:$BC$137,,MATCH(BE$8,'Калькуляция (5.9)'!$AJ$8:$BC$8,0)),'Калькуляция (5.9)'!$F$25:$F$137,$F51,'Калькуляция (5.9)'!$G$25:$G$137,$G51))</f>
        <v>0</v>
      </c>
      <c r="BF51" s="18">
        <f ca="1">IF(method_reg="Метод сравнения аналогов",SUMIFS(INDEX('Калькуляция (МСА)'!$AE$25:$BC$82,,MATCH(BF$8,'Калькуляция (МСА)'!$AE$8:$BC$8,0)),'Калькуляция (МСА)'!$F$25:$F$82,$F51,'Калькуляция (МСА)'!$G$25:$G$82,$G51),SUMIFS(INDEX('Калькуляция (5.9)'!$AJ$25:$BC$137,,MATCH(BF$8,'Калькуляция (5.9)'!$AJ$8:$BC$8,0)),'Калькуляция (5.9)'!$F$25:$F$137,$F51,'Калькуляция (5.9)'!$G$25:$G$137,$G51))</f>
        <v>0</v>
      </c>
      <c r="BG51" s="306">
        <f ca="1">IF(BE51=0,0,(BF51-BE51)/BE51*100)</f>
        <v>0</v>
      </c>
      <c r="BH51" s="18"/>
      <c r="BI51" s="18"/>
      <c r="BJ51" s="306">
        <f>IF(BH51=0,0,(BI51-BH51)/BH51*100)</f>
        <v>0</v>
      </c>
      <c r="BK51" s="18"/>
      <c r="BL51" s="18"/>
      <c r="BM51" s="306">
        <f>IF(BK51=0,0,(BL51-BK51)/BK51*100)</f>
        <v>0</v>
      </c>
      <c r="BN51" s="18"/>
      <c r="BO51" s="18"/>
      <c r="BP51" s="306">
        <f>IF(BN51=0,0,(BO51-BN51)/BN51*100)</f>
        <v>0</v>
      </c>
      <c r="BQ51" s="18"/>
      <c r="BR51" s="18"/>
      <c r="BS51" s="306">
        <f>IF(BQ51=0,0,(BR51-BQ51)/BQ51*100)</f>
        <v>0</v>
      </c>
      <c r="BT51" s="18"/>
      <c r="BU51" s="18"/>
      <c r="BV51" s="306">
        <f>IF(BT51=0,0,(BU51-BT51)/BT51*100)</f>
        <v>0</v>
      </c>
      <c r="BW51" s="18"/>
      <c r="BX51" s="18"/>
      <c r="BY51" s="306">
        <f>IF(BW51=0,0,(BX51-BW51)/BW51*100)</f>
        <v>0</v>
      </c>
      <c r="BZ51" s="18"/>
      <c r="CA51" s="18"/>
      <c r="CB51" s="306">
        <f>IF(BZ51=0,0,(CA51-BZ51)/BZ51*100)</f>
        <v>0</v>
      </c>
      <c r="CC51" s="18"/>
      <c r="CD51" s="18"/>
      <c r="CE51" s="306">
        <f>IF(CC51=0,0,(CD51-CC51)/CC51*100)</f>
        <v>0</v>
      </c>
      <c r="CF51" s="18"/>
      <c r="CG51" s="18"/>
      <c r="CH51" s="306">
        <f>IF(CF51=0,0,(CG51-CF51)/CF51*100)</f>
        <v>0</v>
      </c>
      <c r="CI51" s="18"/>
      <c r="CJ51" s="18"/>
      <c r="CK51" s="306">
        <f>IF(CI51=0,0,(CJ51-CI51)/CI51*100)</f>
        <v>0</v>
      </c>
      <c r="CL51" s="18"/>
      <c r="CM51" s="18"/>
      <c r="CN51" s="306">
        <f>IF(CL51=0,0,(CM51-CL51)/CL51*100)</f>
        <v>0</v>
      </c>
      <c r="CO51" s="18"/>
      <c r="CP51" s="18"/>
      <c r="CQ51" s="306">
        <f>IF(CO51=0,0,(CP51-CO51)/CO51*100)</f>
        <v>0</v>
      </c>
      <c r="CR51" s="18"/>
      <c r="CS51" s="18"/>
      <c r="CT51" s="306">
        <f>IF(CR51=0,0,(CS51-CR51)/CR51*100)</f>
        <v>0</v>
      </c>
      <c r="CU51" s="18"/>
      <c r="CV51" s="18"/>
      <c r="CW51" s="306">
        <f>IF(CU51=0,0,(CV51-CU51)/CU51*100)</f>
        <v>0</v>
      </c>
      <c r="CX51" s="18"/>
      <c r="CY51" s="18"/>
      <c r="CZ51" s="306">
        <f>IF(CX51=0,0,(CY51-CX51)/CX51*100)</f>
        <v>0</v>
      </c>
      <c r="DA51" s="18"/>
      <c r="DB51" s="18"/>
      <c r="DC51" s="306">
        <f>IF(DA51=0,0,(DB51-DA51)/DA51*100)</f>
        <v>0</v>
      </c>
      <c r="DD51" s="18"/>
      <c r="DE51" s="18"/>
      <c r="DF51" s="306">
        <f>IF(DD51=0,0,(DE51-DD51)/DD51*100)</f>
        <v>0</v>
      </c>
      <c r="DG51" s="18"/>
      <c r="DH51" s="18"/>
      <c r="DI51" s="306">
        <f>IF(DG51=0,0,(DH51-DG51)/DG51*100)</f>
        <v>0</v>
      </c>
      <c r="DJ51" s="18"/>
      <c r="DK51" s="18"/>
      <c r="DL51" s="306">
        <f>IF(DJ51=0,0,(DK51-DJ51)/DJ51*100)</f>
        <v>0</v>
      </c>
      <c r="DM51" s="18"/>
      <c r="DN51" s="18"/>
      <c r="DO51" s="306">
        <f>IF(DM51=0,0,(DN51-DM51)/DM51*100)</f>
        <v>0</v>
      </c>
      <c r="DP51" s="18"/>
      <c r="DQ51" s="18"/>
      <c r="DR51" s="306">
        <f>IF(DP51=0,0,(DQ51-DP51)/DP51*100)</f>
        <v>0</v>
      </c>
      <c r="DS51" s="18"/>
      <c r="DT51" s="18"/>
      <c r="DU51" s="306">
        <f>IF(DS51=0,0,(DT51-DS51)/DS51*100)</f>
        <v>0</v>
      </c>
      <c r="DV51" s="18"/>
      <c r="DW51" s="18"/>
      <c r="DX51" s="306">
        <f>IF(DV51=0,0,(DW51-DV51)/DV51*100)</f>
        <v>0</v>
      </c>
      <c r="DY51" s="18"/>
      <c r="DZ51" s="18"/>
      <c r="EA51" s="306">
        <f>IF(DY51=0,0,(DZ51-DY51)/DY51*100)</f>
        <v>0</v>
      </c>
      <c r="EB51" s="18"/>
      <c r="EC51" s="18"/>
      <c r="ED51" s="306">
        <f>IF(EB51=0,0,(EC51-EB51)/EB51*100)</f>
        <v>0</v>
      </c>
      <c r="EE51" s="18"/>
      <c r="EF51" s="18"/>
      <c r="EG51" s="306">
        <f>IF(EE51=0,0,(EF51-EE51)/EE51*100)</f>
        <v>0</v>
      </c>
      <c r="EH51" s="18"/>
      <c r="EI51" s="18"/>
      <c r="EJ51" s="306">
        <f>IF(EH51=0,0,(EI51-EH51)/EH51*100)</f>
        <v>0</v>
      </c>
      <c r="EK51" s="18"/>
      <c r="EL51" s="18"/>
      <c r="EM51" s="306">
        <f>IF(EK51=0,0,(EL51-EK51)/EK51*100)</f>
        <v>0</v>
      </c>
      <c r="EN51" s="18"/>
      <c r="EO51" s="18"/>
      <c r="EP51" s="306">
        <f>IF(EN51=0,0,(EO51-EN51)/EN51*100)</f>
        <v>0</v>
      </c>
      <c r="EQ51" s="18"/>
      <c r="ER51" s="18"/>
      <c r="ES51" s="306">
        <f>IF(EQ51=0,0,(ER51-EQ51)/EQ51*100)</f>
        <v>0</v>
      </c>
      <c r="ET51" s="18"/>
      <c r="EU51" s="18"/>
      <c r="EV51" s="306">
        <f>IF(ET51=0,0,(EU51-ET51)/ET51*100)</f>
        <v>0</v>
      </c>
      <c r="EW51" s="18"/>
      <c r="EX51" s="18"/>
      <c r="EY51" s="306">
        <f>IF(EW51=0,0,(EX51-EW51)/EW51*100)</f>
        <v>0</v>
      </c>
      <c r="EZ51" s="18"/>
      <c r="FA51" s="18"/>
      <c r="FB51" s="306">
        <f>IF(EZ51=0,0,(FA51-EZ51)/EZ51*100)</f>
        <v>0</v>
      </c>
      <c r="FC51" s="18"/>
      <c r="FD51" s="18"/>
      <c r="FE51" s="306">
        <f>IF(FC51=0,0,(FD51-FC51)/FC51*100)</f>
        <v>0</v>
      </c>
      <c r="FF51" s="18"/>
      <c r="FG51" s="18"/>
      <c r="FH51" s="306">
        <f>IF(FF51=0,0,(FG51-FF51)/FF51*100)</f>
        <v>0</v>
      </c>
      <c r="FI51" s="18"/>
      <c r="FJ51" s="18"/>
      <c r="FK51" s="306">
        <f>IF(FI51=0,0,(FJ51-FI51)/FI51*100)</f>
        <v>0</v>
      </c>
      <c r="FL51" s="18"/>
      <c r="FM51" s="18"/>
      <c r="FN51" s="306">
        <f>IF(FL51=0,0,(FM51-FL51)/FL51*100)</f>
        <v>0</v>
      </c>
      <c r="FO51" s="18"/>
      <c r="FP51" s="18"/>
      <c r="FQ51" s="306">
        <f>IF(FO51=0,0,(FP51-FO51)/FO51*100)</f>
        <v>0</v>
      </c>
      <c r="FR51" s="18"/>
      <c r="FS51" s="18"/>
      <c r="FT51" s="306">
        <f>IF(FR51=0,0,(FS51-FR51)/FR51*100)</f>
        <v>0</v>
      </c>
      <c r="FU51" s="18"/>
      <c r="FV51" s="18"/>
      <c r="FW51" s="306">
        <f>IF(FU51=0,0,(FV51-FU51)/FU51*100)</f>
        <v>0</v>
      </c>
      <c r="FZ51" s="971" t="s">
        <v>2170</v>
      </c>
      <c r="GA51" s="971"/>
      <c r="GB51" s="971"/>
      <c r="GC51" s="971"/>
      <c r="GD51" s="971"/>
    </row>
    <row r="52" spans="2:186" ht="15.4" hidden="1" customHeight="1" x14ac:dyDescent="0.15">
      <c r="B52" s="803" t="b" cm="1">
        <f t="array" ref="B52">B51</f>
        <v>0</v>
      </c>
      <c r="C52" s="1108" t="s">
        <v>1747</v>
      </c>
      <c r="D52" s="1077" t="s">
        <v>1748</v>
      </c>
      <c r="E52" s="668">
        <v>15.8</v>
      </c>
      <c r="F52" s="769" cm="1">
        <f t="array" aca="1" ref="F52" ca="1">OFFSET(G52,-1,-1)</f>
        <v>0</v>
      </c>
      <c r="G52" s="140" t="s">
        <v>1749</v>
      </c>
      <c r="H52" s="160" t="s">
        <v>2171</v>
      </c>
      <c r="I52" s="160" t="s">
        <v>2114</v>
      </c>
      <c r="J52" s="1098"/>
      <c r="K52" s="1098" cm="1">
        <f t="array" aca="1" ref="K52" ca="1">OFFSET(J52,-1,1)</f>
        <v>0</v>
      </c>
      <c r="L52" s="1098"/>
      <c r="M52" s="1098" t="s">
        <v>1750</v>
      </c>
      <c r="N52" s="1098" t="s">
        <v>2117</v>
      </c>
      <c r="O52" s="1099" t="s">
        <v>2118</v>
      </c>
      <c r="P52" s="1098" t="s">
        <v>2172</v>
      </c>
      <c r="Q52" s="1098"/>
      <c r="T52" s="679" t="b" cm="1">
        <f t="array" aca="1" ref="T52" ca="1">T51</f>
        <v>0</v>
      </c>
      <c r="X52" s="1485"/>
      <c r="Z52" s="1485"/>
      <c r="AB52" s="220" t="s">
        <v>2173</v>
      </c>
      <c r="AC52" s="120" t="s">
        <v>622</v>
      </c>
      <c r="AD52" s="97">
        <f ca="1">IF(method_reg="Метод экономически обоснованных расходов",SUMIFS('Калькуляция (4.6)'!AJ$25:AJ$162,'Калькуляция (4.6)'!$F$25:$F$162,$F52,'Калькуляция (4.6)'!$G$25:$G$162,$G52),IF(method_reg="Метод сравнения аналогов",SUMIFS(INDEX('Калькуляция (МСА)'!$AE$25:$BC$82,,MATCH(AD$8,'Калькуляция (МСА)'!$AE$8:$BC$8,0)),'Калькуляция (МСА)'!$F$25:$F$82,$F52,'Калькуляция (МСА)'!$G$25:$G$82,$G52),SUMIFS(INDEX('Калькуляция (5.9)'!$AJ$25:$BC$137,,MATCH(AD$8,'Калькуляция (5.9)'!$AJ$8:$BC$8,0)),'Калькуляция (5.9)'!$F$25:$F$137,$F52,'Калькуляция (5.9)'!$G$25:$G$137,$G52)))</f>
        <v>0</v>
      </c>
      <c r="AE52" s="97">
        <f ca="1">IF(method_reg="Метод экономически обоснованных расходов",SUMIFS('Калькуляция (4.6)'!AK$25:AK$162,'Калькуляция (4.6)'!$F$25:$F$162,$F52,'Калькуляция (4.6)'!$G$25:$G$162,$G52),IF(method_reg="Метод сравнения аналогов",SUMIFS(INDEX('Калькуляция (МСА)'!$AE$25:$BC$82,,MATCH(AE$8,'Калькуляция (МСА)'!$AE$8:$BC$8,0)),'Калькуляция (МСА)'!$F$25:$F$82,$F52,'Калькуляция (МСА)'!$G$25:$G$82,$G52),SUMIFS(INDEX('Калькуляция (5.9)'!$AJ$25:$BC$137,,MATCH(AE$8,'Калькуляция (5.9)'!$AJ$8:$BC$8,0)),'Калькуляция (5.9)'!$F$25:$F$137,$F52,'Калькуляция (5.9)'!$G$25:$G$137,$G52)))</f>
        <v>0</v>
      </c>
      <c r="AF52" s="333">
        <f ca="1">IF(AD52=0,0,(AE52-AD52)/AD52*100)</f>
        <v>0</v>
      </c>
      <c r="AG52" s="1350">
        <f ca="1">IF(method_reg="Метод сравнения аналогов",SUMIFS(INDEX('Калькуляция (МСА)'!$AE$25:$BC$82,,MATCH(AG$8,'Калькуляция (МСА)'!$AE$8:$BC$8,0)),'Калькуляция (МСА)'!$F$25:$F$82,$F52,'Калькуляция (МСА)'!$G$25:$G$82,$G52),SUMIFS(INDEX('Калькуляция (5.9)'!$AJ$25:$BC$137,,MATCH(AG$8,'Калькуляция (5.9)'!$AJ$8:$BC$8,0)),'Калькуляция (5.9)'!$F$25:$F$137,$F52,'Калькуляция (5.9)'!$G$25:$G$137,$G52))</f>
        <v>0</v>
      </c>
      <c r="AH52" s="1350">
        <f ca="1">IF(method_reg="Метод сравнения аналогов",SUMIFS(INDEX('Калькуляция (МСА)'!$AE$25:$BC$82,,MATCH(AH$8,'Калькуляция (МСА)'!$AE$8:$BC$8,0)),'Калькуляция (МСА)'!$F$25:$F$82,$F52,'Калькуляция (МСА)'!$G$25:$G$82,$G52),SUMIFS(INDEX('Калькуляция (5.9)'!$AJ$25:$BC$137,,MATCH(AH$8,'Калькуляция (5.9)'!$AJ$8:$BC$8,0)),'Калькуляция (5.9)'!$F$25:$F$137,$F52,'Калькуляция (5.9)'!$G$25:$G$137,$G52))</f>
        <v>0</v>
      </c>
      <c r="AI52" s="333">
        <f ca="1">IF(AG52=0,0,(AH52-AG52)/AG52*100)</f>
        <v>0</v>
      </c>
      <c r="AJ52" s="1350">
        <f ca="1">IF(method_reg="Метод сравнения аналогов",SUMIFS(INDEX('Калькуляция (МСА)'!$AE$25:$BC$82,,MATCH(AJ$8,'Калькуляция (МСА)'!$AE$8:$BC$8,0)),'Калькуляция (МСА)'!$F$25:$F$82,$F52,'Калькуляция (МСА)'!$G$25:$G$82,$G52),SUMIFS(INDEX('Калькуляция (5.9)'!$AJ$25:$BC$137,,MATCH(AJ$8,'Калькуляция (5.9)'!$AJ$8:$BC$8,0)),'Калькуляция (5.9)'!$F$25:$F$137,$F52,'Калькуляция (5.9)'!$G$25:$G$137,$G52))</f>
        <v>0</v>
      </c>
      <c r="AK52" s="1350">
        <f ca="1">IF(method_reg="Метод сравнения аналогов",SUMIFS(INDEX('Калькуляция (МСА)'!$AE$25:$BC$82,,MATCH(AK$8,'Калькуляция (МСА)'!$AE$8:$BC$8,0)),'Калькуляция (МСА)'!$F$25:$F$82,$F52,'Калькуляция (МСА)'!$G$25:$G$82,$G52),SUMIFS(INDEX('Калькуляция (5.9)'!$AJ$25:$BC$137,,MATCH(AK$8,'Калькуляция (5.9)'!$AJ$8:$BC$8,0)),'Калькуляция (5.9)'!$F$25:$F$137,$F52,'Калькуляция (5.9)'!$G$25:$G$137,$G52))</f>
        <v>0</v>
      </c>
      <c r="AL52" s="333">
        <f ca="1">IF(AJ52=0,0,(AK52-AJ52)/AJ52*100)</f>
        <v>0</v>
      </c>
      <c r="AM52" s="97">
        <f ca="1">IF(method_reg="Метод сравнения аналогов",SUMIFS(INDEX('Калькуляция (МСА)'!$AE$25:$BC$82,,MATCH(AM$8,'Калькуляция (МСА)'!$AE$8:$BC$8,0)),'Калькуляция (МСА)'!$F$25:$F$82,$F52,'Калькуляция (МСА)'!$G$25:$G$82,$G52),SUMIFS(INDEX('Калькуляция (5.9)'!$AJ$25:$BC$137,,MATCH(AM$8,'Калькуляция (5.9)'!$AJ$8:$BC$8,0)),'Калькуляция (5.9)'!$F$25:$F$137,$F52,'Калькуляция (5.9)'!$G$25:$G$137,$G52))</f>
        <v>0</v>
      </c>
      <c r="AN52" s="97">
        <f ca="1">IF(method_reg="Метод сравнения аналогов",SUMIFS(INDEX('Калькуляция (МСА)'!$AE$25:$BC$82,,MATCH(AN$8,'Калькуляция (МСА)'!$AE$8:$BC$8,0)),'Калькуляция (МСА)'!$F$25:$F$82,$F52,'Калькуляция (МСА)'!$G$25:$G$82,$G52),SUMIFS(INDEX('Калькуляция (5.9)'!$AJ$25:$BC$137,,MATCH(AN$8,'Калькуляция (5.9)'!$AJ$8:$BC$8,0)),'Калькуляция (5.9)'!$F$25:$F$137,$F52,'Калькуляция (5.9)'!$G$25:$G$137,$G52))</f>
        <v>0</v>
      </c>
      <c r="AO52" s="333">
        <f ca="1">IF(AM52=0,0,(AN52-AM52)/AM52*100)</f>
        <v>0</v>
      </c>
      <c r="AP52" s="97">
        <f ca="1">IF(method_reg="Метод сравнения аналогов",SUMIFS(INDEX('Калькуляция (МСА)'!$AE$25:$BC$82,,MATCH(AP$8,'Калькуляция (МСА)'!$AE$8:$BC$8,0)),'Калькуляция (МСА)'!$F$25:$F$82,$F52,'Калькуляция (МСА)'!$G$25:$G$82,$G52),SUMIFS(INDEX('Калькуляция (5.9)'!$AJ$25:$BC$137,,MATCH(AP$8,'Калькуляция (5.9)'!$AJ$8:$BC$8,0)),'Калькуляция (5.9)'!$F$25:$F$137,$F52,'Калькуляция (5.9)'!$G$25:$G$137,$G52))</f>
        <v>0</v>
      </c>
      <c r="AQ52" s="97">
        <f ca="1">IF(method_reg="Метод сравнения аналогов",SUMIFS(INDEX('Калькуляция (МСА)'!$AE$25:$BC$82,,MATCH(AQ$8,'Калькуляция (МСА)'!$AE$8:$BC$8,0)),'Калькуляция (МСА)'!$F$25:$F$82,$F52,'Калькуляция (МСА)'!$G$25:$G$82,$G52),SUMIFS(INDEX('Калькуляция (5.9)'!$AJ$25:$BC$137,,MATCH(AQ$8,'Калькуляция (5.9)'!$AJ$8:$BC$8,0)),'Калькуляция (5.9)'!$F$25:$F$137,$F52,'Калькуляция (5.9)'!$G$25:$G$137,$G52))</f>
        <v>0</v>
      </c>
      <c r="AR52" s="333">
        <f ca="1">IF(AP52=0,0,(AQ52-AP52)/AP52*100)</f>
        <v>0</v>
      </c>
      <c r="AS52" s="97">
        <f ca="1">IF(method_reg="Метод сравнения аналогов",SUMIFS(INDEX('Калькуляция (МСА)'!$AE$25:$BC$82,,MATCH(AS$8,'Калькуляция (МСА)'!$AE$8:$BC$8,0)),'Калькуляция (МСА)'!$F$25:$F$82,$F52,'Калькуляция (МСА)'!$G$25:$G$82,$G52),SUMIFS(INDEX('Калькуляция (5.9)'!$AJ$25:$BC$137,,MATCH(AS$8,'Калькуляция (5.9)'!$AJ$8:$BC$8,0)),'Калькуляция (5.9)'!$F$25:$F$137,$F52,'Калькуляция (5.9)'!$G$25:$G$137,$G52))</f>
        <v>0</v>
      </c>
      <c r="AT52" s="97">
        <f ca="1">IF(method_reg="Метод сравнения аналогов",SUMIFS(INDEX('Калькуляция (МСА)'!$AE$25:$BC$82,,MATCH(AT$8,'Калькуляция (МСА)'!$AE$8:$BC$8,0)),'Калькуляция (МСА)'!$F$25:$F$82,$F52,'Калькуляция (МСА)'!$G$25:$G$82,$G52),SUMIFS(INDEX('Калькуляция (5.9)'!$AJ$25:$BC$137,,MATCH(AT$8,'Калькуляция (5.9)'!$AJ$8:$BC$8,0)),'Калькуляция (5.9)'!$F$25:$F$137,$F52,'Калькуляция (5.9)'!$G$25:$G$137,$G52))</f>
        <v>0</v>
      </c>
      <c r="AU52" s="333">
        <f ca="1">IF(AS52=0,0,(AT52-AS52)/AS52*100)</f>
        <v>0</v>
      </c>
      <c r="AV52" s="97">
        <f ca="1">IF(method_reg="Метод сравнения аналогов",SUMIFS(INDEX('Калькуляция (МСА)'!$AE$25:$BC$82,,MATCH(AV$8,'Калькуляция (МСА)'!$AE$8:$BC$8,0)),'Калькуляция (МСА)'!$F$25:$F$82,$F52,'Калькуляция (МСА)'!$G$25:$G$82,$G52),SUMIFS(INDEX('Калькуляция (5.9)'!$AJ$25:$BC$137,,MATCH(AV$8,'Калькуляция (5.9)'!$AJ$8:$BC$8,0)),'Калькуляция (5.9)'!$F$25:$F$137,$F52,'Калькуляция (5.9)'!$G$25:$G$137,$G52))</f>
        <v>0</v>
      </c>
      <c r="AW52" s="97">
        <f ca="1">IF(method_reg="Метод сравнения аналогов",SUMIFS(INDEX('Калькуляция (МСА)'!$AE$25:$BC$82,,MATCH(AW$8,'Калькуляция (МСА)'!$AE$8:$BC$8,0)),'Калькуляция (МСА)'!$F$25:$F$82,$F52,'Калькуляция (МСА)'!$G$25:$G$82,$G52),SUMIFS(INDEX('Калькуляция (5.9)'!$AJ$25:$BC$137,,MATCH(AW$8,'Калькуляция (5.9)'!$AJ$8:$BC$8,0)),'Калькуляция (5.9)'!$F$25:$F$137,$F52,'Калькуляция (5.9)'!$G$25:$G$137,$G52))</f>
        <v>0</v>
      </c>
      <c r="AX52" s="333">
        <f ca="1">IF(AV52=0,0,(AW52-AV52)/AV52*100)</f>
        <v>0</v>
      </c>
      <c r="AY52" s="97">
        <f ca="1">IF(method_reg="Метод сравнения аналогов",SUMIFS(INDEX('Калькуляция (МСА)'!$AE$25:$BC$82,,MATCH(AY$8,'Калькуляция (МСА)'!$AE$8:$BC$8,0)),'Калькуляция (МСА)'!$F$25:$F$82,$F52,'Калькуляция (МСА)'!$G$25:$G$82,$G52),SUMIFS(INDEX('Калькуляция (5.9)'!$AJ$25:$BC$137,,MATCH(AY$8,'Калькуляция (5.9)'!$AJ$8:$BC$8,0)),'Калькуляция (5.9)'!$F$25:$F$137,$F52,'Калькуляция (5.9)'!$G$25:$G$137,$G52))</f>
        <v>0</v>
      </c>
      <c r="AZ52" s="97">
        <f ca="1">IF(method_reg="Метод сравнения аналогов",SUMIFS(INDEX('Калькуляция (МСА)'!$AE$25:$BC$82,,MATCH(AZ$8,'Калькуляция (МСА)'!$AE$8:$BC$8,0)),'Калькуляция (МСА)'!$F$25:$F$82,$F52,'Калькуляция (МСА)'!$G$25:$G$82,$G52),SUMIFS(INDEX('Калькуляция (5.9)'!$AJ$25:$BC$137,,MATCH(AZ$8,'Калькуляция (5.9)'!$AJ$8:$BC$8,0)),'Калькуляция (5.9)'!$F$25:$F$137,$F52,'Калькуляция (5.9)'!$G$25:$G$137,$G52))</f>
        <v>0</v>
      </c>
      <c r="BA52" s="333">
        <f ca="1">IF(AY52=0,0,(AZ52-AY52)/AY52*100)</f>
        <v>0</v>
      </c>
      <c r="BB52" s="97">
        <f ca="1">IF(method_reg="Метод сравнения аналогов",SUMIFS(INDEX('Калькуляция (МСА)'!$AE$25:$BC$82,,MATCH(BB$8,'Калькуляция (МСА)'!$AE$8:$BC$8,0)),'Калькуляция (МСА)'!$F$25:$F$82,$F52,'Калькуляция (МСА)'!$G$25:$G$82,$G52),SUMIFS(INDEX('Калькуляция (5.9)'!$AJ$25:$BC$137,,MATCH(BB$8,'Калькуляция (5.9)'!$AJ$8:$BC$8,0)),'Калькуляция (5.9)'!$F$25:$F$137,$F52,'Калькуляция (5.9)'!$G$25:$G$137,$G52))</f>
        <v>0</v>
      </c>
      <c r="BC52" s="97">
        <f ca="1">IF(method_reg="Метод сравнения аналогов",SUMIFS(INDEX('Калькуляция (МСА)'!$AE$25:$BC$82,,MATCH(BC$8,'Калькуляция (МСА)'!$AE$8:$BC$8,0)),'Калькуляция (МСА)'!$F$25:$F$82,$F52,'Калькуляция (МСА)'!$G$25:$G$82,$G52),SUMIFS(INDEX('Калькуляция (5.9)'!$AJ$25:$BC$137,,MATCH(BC$8,'Калькуляция (5.9)'!$AJ$8:$BC$8,0)),'Калькуляция (5.9)'!$F$25:$F$137,$F52,'Калькуляция (5.9)'!$G$25:$G$137,$G52))</f>
        <v>0</v>
      </c>
      <c r="BD52" s="333">
        <f ca="1">IF(BB52=0,0,(BC52-BB52)/BB52*100)</f>
        <v>0</v>
      </c>
      <c r="BE52" s="97">
        <f ca="1">IF(method_reg="Метод сравнения аналогов",SUMIFS(INDEX('Калькуляция (МСА)'!$AE$25:$BC$82,,MATCH(BE$8,'Калькуляция (МСА)'!$AE$8:$BC$8,0)),'Калькуляция (МСА)'!$F$25:$F$82,$F52,'Калькуляция (МСА)'!$G$25:$G$82,$G52),SUMIFS(INDEX('Калькуляция (5.9)'!$AJ$25:$BC$137,,MATCH(BE$8,'Калькуляция (5.9)'!$AJ$8:$BC$8,0)),'Калькуляция (5.9)'!$F$25:$F$137,$F52,'Калькуляция (5.9)'!$G$25:$G$137,$G52))</f>
        <v>0</v>
      </c>
      <c r="BF52" s="97">
        <f ca="1">IF(method_reg="Метод сравнения аналогов",SUMIFS(INDEX('Калькуляция (МСА)'!$AE$25:$BC$82,,MATCH(BF$8,'Калькуляция (МСА)'!$AE$8:$BC$8,0)),'Калькуляция (МСА)'!$F$25:$F$82,$F52,'Калькуляция (МСА)'!$G$25:$G$82,$G52),SUMIFS(INDEX('Калькуляция (5.9)'!$AJ$25:$BC$137,,MATCH(BF$8,'Калькуляция (5.9)'!$AJ$8:$BC$8,0)),'Калькуляция (5.9)'!$F$25:$F$137,$F52,'Калькуляция (5.9)'!$G$25:$G$137,$G52))</f>
        <v>0</v>
      </c>
      <c r="BG52" s="333">
        <f ca="1">IF(BE52=0,0,(BF52-BE52)/BE52*100)</f>
        <v>0</v>
      </c>
      <c r="BH52" s="97"/>
      <c r="BI52" s="97"/>
      <c r="BJ52" s="333">
        <f>IF(BH52=0,0,(BI52-BH52)/BH52*100)</f>
        <v>0</v>
      </c>
      <c r="BK52" s="97"/>
      <c r="BL52" s="97"/>
      <c r="BM52" s="333">
        <f>IF(BK52=0,0,(BL52-BK52)/BK52*100)</f>
        <v>0</v>
      </c>
      <c r="BN52" s="97"/>
      <c r="BO52" s="97"/>
      <c r="BP52" s="333">
        <f>IF(BN52=0,0,(BO52-BN52)/BN52*100)</f>
        <v>0</v>
      </c>
      <c r="BQ52" s="97"/>
      <c r="BR52" s="97"/>
      <c r="BS52" s="333">
        <f>IF(BQ52=0,0,(BR52-BQ52)/BQ52*100)</f>
        <v>0</v>
      </c>
      <c r="BT52" s="97"/>
      <c r="BU52" s="97"/>
      <c r="BV52" s="333">
        <f>IF(BT52=0,0,(BU52-BT52)/BT52*100)</f>
        <v>0</v>
      </c>
      <c r="BW52" s="97"/>
      <c r="BX52" s="97"/>
      <c r="BY52" s="333">
        <f>IF(BW52=0,0,(BX52-BW52)/BW52*100)</f>
        <v>0</v>
      </c>
      <c r="BZ52" s="97"/>
      <c r="CA52" s="97"/>
      <c r="CB52" s="333">
        <f>IF(BZ52=0,0,(CA52-BZ52)/BZ52*100)</f>
        <v>0</v>
      </c>
      <c r="CC52" s="97"/>
      <c r="CD52" s="97"/>
      <c r="CE52" s="333">
        <f>IF(CC52=0,0,(CD52-CC52)/CC52*100)</f>
        <v>0</v>
      </c>
      <c r="CF52" s="97"/>
      <c r="CG52" s="97"/>
      <c r="CH52" s="333">
        <f>IF(CF52=0,0,(CG52-CF52)/CF52*100)</f>
        <v>0</v>
      </c>
      <c r="CI52" s="97"/>
      <c r="CJ52" s="97"/>
      <c r="CK52" s="333">
        <f>IF(CI52=0,0,(CJ52-CI52)/CI52*100)</f>
        <v>0</v>
      </c>
      <c r="CL52" s="97"/>
      <c r="CM52" s="97"/>
      <c r="CN52" s="333">
        <f>IF(CL52=0,0,(CM52-CL52)/CL52*100)</f>
        <v>0</v>
      </c>
      <c r="CO52" s="97"/>
      <c r="CP52" s="97"/>
      <c r="CQ52" s="333">
        <f>IF(CO52=0,0,(CP52-CO52)/CO52*100)</f>
        <v>0</v>
      </c>
      <c r="CR52" s="97"/>
      <c r="CS52" s="97"/>
      <c r="CT52" s="333">
        <f>IF(CR52=0,0,(CS52-CR52)/CR52*100)</f>
        <v>0</v>
      </c>
      <c r="CU52" s="97"/>
      <c r="CV52" s="97"/>
      <c r="CW52" s="333">
        <f>IF(CU52=0,0,(CV52-CU52)/CU52*100)</f>
        <v>0</v>
      </c>
      <c r="CX52" s="97"/>
      <c r="CY52" s="97"/>
      <c r="CZ52" s="333">
        <f>IF(CX52=0,0,(CY52-CX52)/CX52*100)</f>
        <v>0</v>
      </c>
      <c r="DA52" s="97"/>
      <c r="DB52" s="97"/>
      <c r="DC52" s="333">
        <f>IF(DA52=0,0,(DB52-DA52)/DA52*100)</f>
        <v>0</v>
      </c>
      <c r="DD52" s="97"/>
      <c r="DE52" s="97"/>
      <c r="DF52" s="333">
        <f>IF(DD52=0,0,(DE52-DD52)/DD52*100)</f>
        <v>0</v>
      </c>
      <c r="DG52" s="97"/>
      <c r="DH52" s="97"/>
      <c r="DI52" s="333">
        <f>IF(DG52=0,0,(DH52-DG52)/DG52*100)</f>
        <v>0</v>
      </c>
      <c r="DJ52" s="97"/>
      <c r="DK52" s="97"/>
      <c r="DL52" s="333">
        <f>IF(DJ52=0,0,(DK52-DJ52)/DJ52*100)</f>
        <v>0</v>
      </c>
      <c r="DM52" s="97"/>
      <c r="DN52" s="97"/>
      <c r="DO52" s="333">
        <f>IF(DM52=0,0,(DN52-DM52)/DM52*100)</f>
        <v>0</v>
      </c>
      <c r="DP52" s="97"/>
      <c r="DQ52" s="97"/>
      <c r="DR52" s="333">
        <f>IF(DP52=0,0,(DQ52-DP52)/DP52*100)</f>
        <v>0</v>
      </c>
      <c r="DS52" s="97"/>
      <c r="DT52" s="97"/>
      <c r="DU52" s="333">
        <f>IF(DS52=0,0,(DT52-DS52)/DS52*100)</f>
        <v>0</v>
      </c>
      <c r="DV52" s="97"/>
      <c r="DW52" s="97"/>
      <c r="DX52" s="333">
        <f>IF(DV52=0,0,(DW52-DV52)/DV52*100)</f>
        <v>0</v>
      </c>
      <c r="DY52" s="97"/>
      <c r="DZ52" s="97"/>
      <c r="EA52" s="333">
        <f>IF(DY52=0,0,(DZ52-DY52)/DY52*100)</f>
        <v>0</v>
      </c>
      <c r="EB52" s="97"/>
      <c r="EC52" s="97"/>
      <c r="ED52" s="333">
        <f>IF(EB52=0,0,(EC52-EB52)/EB52*100)</f>
        <v>0</v>
      </c>
      <c r="EE52" s="97"/>
      <c r="EF52" s="97"/>
      <c r="EG52" s="333">
        <f>IF(EE52=0,0,(EF52-EE52)/EE52*100)</f>
        <v>0</v>
      </c>
      <c r="EH52" s="97"/>
      <c r="EI52" s="97"/>
      <c r="EJ52" s="333">
        <f>IF(EH52=0,0,(EI52-EH52)/EH52*100)</f>
        <v>0</v>
      </c>
      <c r="EK52" s="97"/>
      <c r="EL52" s="97"/>
      <c r="EM52" s="333">
        <f>IF(EK52=0,0,(EL52-EK52)/EK52*100)</f>
        <v>0</v>
      </c>
      <c r="EN52" s="97"/>
      <c r="EO52" s="97"/>
      <c r="EP52" s="333">
        <f>IF(EN52=0,0,(EO52-EN52)/EN52*100)</f>
        <v>0</v>
      </c>
      <c r="EQ52" s="97"/>
      <c r="ER52" s="97"/>
      <c r="ES52" s="333">
        <f>IF(EQ52=0,0,(ER52-EQ52)/EQ52*100)</f>
        <v>0</v>
      </c>
      <c r="ET52" s="97"/>
      <c r="EU52" s="97"/>
      <c r="EV52" s="333">
        <f>IF(ET52=0,0,(EU52-ET52)/ET52*100)</f>
        <v>0</v>
      </c>
      <c r="EW52" s="97"/>
      <c r="EX52" s="97"/>
      <c r="EY52" s="333">
        <f>IF(EW52=0,0,(EX52-EW52)/EW52*100)</f>
        <v>0</v>
      </c>
      <c r="EZ52" s="97"/>
      <c r="FA52" s="97"/>
      <c r="FB52" s="333">
        <f>IF(EZ52=0,0,(FA52-EZ52)/EZ52*100)</f>
        <v>0</v>
      </c>
      <c r="FC52" s="97"/>
      <c r="FD52" s="97"/>
      <c r="FE52" s="333">
        <f>IF(FC52=0,0,(FD52-FC52)/FC52*100)</f>
        <v>0</v>
      </c>
      <c r="FF52" s="97"/>
      <c r="FG52" s="97"/>
      <c r="FH52" s="333">
        <f>IF(FF52=0,0,(FG52-FF52)/FF52*100)</f>
        <v>0</v>
      </c>
      <c r="FI52" s="97"/>
      <c r="FJ52" s="97"/>
      <c r="FK52" s="333">
        <f>IF(FI52=0,0,(FJ52-FI52)/FI52*100)</f>
        <v>0</v>
      </c>
      <c r="FL52" s="97"/>
      <c r="FM52" s="97"/>
      <c r="FN52" s="333">
        <f>IF(FL52=0,0,(FM52-FL52)/FL52*100)</f>
        <v>0</v>
      </c>
      <c r="FO52" s="97"/>
      <c r="FP52" s="97"/>
      <c r="FQ52" s="333">
        <f>IF(FO52=0,0,(FP52-FO52)/FO52*100)</f>
        <v>0</v>
      </c>
      <c r="FR52" s="97"/>
      <c r="FS52" s="97"/>
      <c r="FT52" s="333">
        <f>IF(FR52=0,0,(FS52-FR52)/FR52*100)</f>
        <v>0</v>
      </c>
      <c r="FU52" s="97"/>
      <c r="FV52" s="97"/>
      <c r="FW52" s="333">
        <f>IF(FU52=0,0,(FV52-FU52)/FU52*100)</f>
        <v>0</v>
      </c>
      <c r="FZ52" s="971" t="s">
        <v>2174</v>
      </c>
      <c r="GA52" s="971"/>
      <c r="GB52" s="971"/>
      <c r="GC52" s="971"/>
      <c r="GD52" s="971"/>
    </row>
    <row r="53" spans="2:186" ht="30.75" hidden="1" customHeight="1" x14ac:dyDescent="0.15">
      <c r="B53" s="803" t="b" cm="1">
        <f t="array" ref="B53">B52</f>
        <v>0</v>
      </c>
      <c r="C53" s="1108" t="s">
        <v>1801</v>
      </c>
      <c r="D53" s="1077" t="s">
        <v>1802</v>
      </c>
      <c r="E53" s="668">
        <v>31.5</v>
      </c>
      <c r="F53" s="769" cm="1">
        <f t="array" aca="1" ref="F53" ca="1">OFFSET(G53,-1,-1)</f>
        <v>0</v>
      </c>
      <c r="G53" s="612" t="s">
        <v>1803</v>
      </c>
      <c r="H53" s="160" t="s">
        <v>2175</v>
      </c>
      <c r="I53" s="160" t="s">
        <v>2114</v>
      </c>
      <c r="J53" s="1098"/>
      <c r="K53" s="1098" cm="1">
        <f t="array" aca="1" ref="K53" ca="1">OFFSET(J53,-1,1)</f>
        <v>0</v>
      </c>
      <c r="L53" s="1098"/>
      <c r="M53" s="1098" t="s">
        <v>1750</v>
      </c>
      <c r="N53" s="1098" t="s">
        <v>2117</v>
      </c>
      <c r="O53" s="1099" t="s">
        <v>2118</v>
      </c>
      <c r="P53" s="1098" t="s">
        <v>2176</v>
      </c>
      <c r="Q53" s="1098"/>
      <c r="T53" s="679" t="b" cm="1">
        <f t="array" aca="1" ref="T53" ca="1">T52</f>
        <v>0</v>
      </c>
      <c r="X53" s="1485"/>
      <c r="Z53" s="1485"/>
      <c r="AB53" s="220" t="s">
        <v>2177</v>
      </c>
      <c r="AC53" s="435" t="s">
        <v>1805</v>
      </c>
      <c r="AD53" s="18">
        <f ca="1">IF(method_reg="Метод экономически обоснованных расходов",SUMIFS('Калькуляция (4.6)'!AJ$25:AJ$162,'Калькуляция (4.6)'!$F$25:$F$162,$F53,'Калькуляция (4.6)'!$G$25:$G$162,$G53),IF(method_reg="Метод сравнения аналогов",SUMIFS(INDEX('Калькуляция (МСА)'!$AE$25:$BC$82,,MATCH(AD$8,'Калькуляция (МСА)'!$AE$8:$BC$8,0)),'Калькуляция (МСА)'!$F$25:$F$82,$F53,'Калькуляция (МСА)'!$G$25:$G$82,$G53),SUMIFS(INDEX('Калькуляция (5.9)'!$AJ$25:$BC$137,,MATCH(AD$8,'Калькуляция (5.9)'!$AJ$8:$BC$8,0)),'Калькуляция (5.9)'!$F$25:$F$137,$F53,'Калькуляция (5.9)'!$G$25:$G$137,$G53)))</f>
        <v>0</v>
      </c>
      <c r="AE53" s="18">
        <f ca="1">IF(method_reg="Метод экономически обоснованных расходов",SUMIFS('Калькуляция (4.6)'!AK$25:AK$162,'Калькуляция (4.6)'!$F$25:$F$162,$F53,'Калькуляция (4.6)'!$G$25:$G$162,$G53),IF(method_reg="Метод сравнения аналогов",SUMIFS(INDEX('Калькуляция (МСА)'!$AE$25:$BC$82,,MATCH(AE$8,'Калькуляция (МСА)'!$AE$8:$BC$8,0)),'Калькуляция (МСА)'!$F$25:$F$82,$F53,'Калькуляция (МСА)'!$G$25:$G$82,$G53),SUMIFS(INDEX('Калькуляция (5.9)'!$AJ$25:$BC$137,,MATCH(AE$8,'Калькуляция (5.9)'!$AJ$8:$BC$8,0)),'Калькуляция (5.9)'!$F$25:$F$137,$F53,'Калькуляция (5.9)'!$G$25:$G$137,$G53)))</f>
        <v>0</v>
      </c>
      <c r="AF53" s="306">
        <f ca="1">IF(AD53=0,0,(AE53-AD53)/AD53*100)</f>
        <v>0</v>
      </c>
      <c r="AG53" s="1215">
        <f ca="1">IF(method_reg="Метод сравнения аналогов",SUMIFS(INDEX('Калькуляция (МСА)'!$AE$25:$BC$82,,MATCH(AG$8,'Калькуляция (МСА)'!$AE$8:$BC$8,0)),'Калькуляция (МСА)'!$F$25:$F$82,$F53,'Калькуляция (МСА)'!$G$25:$G$82,$G53),SUMIFS(INDEX('Калькуляция (5.9)'!$AJ$25:$BC$137,,MATCH(AG$8,'Калькуляция (5.9)'!$AJ$8:$BC$8,0)),'Калькуляция (5.9)'!$F$25:$F$137,$F53,'Калькуляция (5.9)'!$G$25:$G$137,$G53))</f>
        <v>0</v>
      </c>
      <c r="AH53" s="1215">
        <f ca="1">IF(method_reg="Метод сравнения аналогов",SUMIFS(INDEX('Калькуляция (МСА)'!$AE$25:$BC$82,,MATCH(AH$8,'Калькуляция (МСА)'!$AE$8:$BC$8,0)),'Калькуляция (МСА)'!$F$25:$F$82,$F53,'Калькуляция (МСА)'!$G$25:$G$82,$G53),SUMIFS(INDEX('Калькуляция (5.9)'!$AJ$25:$BC$137,,MATCH(AH$8,'Калькуляция (5.9)'!$AJ$8:$BC$8,0)),'Калькуляция (5.9)'!$F$25:$F$137,$F53,'Калькуляция (5.9)'!$G$25:$G$137,$G53))</f>
        <v>0</v>
      </c>
      <c r="AI53" s="306">
        <f ca="1">IF(AG53=0,0,(AH53-AG53)/AG53*100)</f>
        <v>0</v>
      </c>
      <c r="AJ53" s="1215">
        <f ca="1">IF(method_reg="Метод сравнения аналогов",SUMIFS(INDEX('Калькуляция (МСА)'!$AE$25:$BC$82,,MATCH(AJ$8,'Калькуляция (МСА)'!$AE$8:$BC$8,0)),'Калькуляция (МСА)'!$F$25:$F$82,$F53,'Калькуляция (МСА)'!$G$25:$G$82,$G53),SUMIFS(INDEX('Калькуляция (5.9)'!$AJ$25:$BC$137,,MATCH(AJ$8,'Калькуляция (5.9)'!$AJ$8:$BC$8,0)),'Калькуляция (5.9)'!$F$25:$F$137,$F53,'Калькуляция (5.9)'!$G$25:$G$137,$G53))</f>
        <v>0</v>
      </c>
      <c r="AK53" s="1215">
        <f ca="1">IF(method_reg="Метод сравнения аналогов",SUMIFS(INDEX('Калькуляция (МСА)'!$AE$25:$BC$82,,MATCH(AK$8,'Калькуляция (МСА)'!$AE$8:$BC$8,0)),'Калькуляция (МСА)'!$F$25:$F$82,$F53,'Калькуляция (МСА)'!$G$25:$G$82,$G53),SUMIFS(INDEX('Калькуляция (5.9)'!$AJ$25:$BC$137,,MATCH(AK$8,'Калькуляция (5.9)'!$AJ$8:$BC$8,0)),'Калькуляция (5.9)'!$F$25:$F$137,$F53,'Калькуляция (5.9)'!$G$25:$G$137,$G53))</f>
        <v>0</v>
      </c>
      <c r="AL53" s="306">
        <f ca="1">IF(AJ53=0,0,(AK53-AJ53)/AJ53*100)</f>
        <v>0</v>
      </c>
      <c r="AM53" s="18">
        <f ca="1">IF(method_reg="Метод сравнения аналогов",SUMIFS(INDEX('Калькуляция (МСА)'!$AE$25:$BC$82,,MATCH(AM$8,'Калькуляция (МСА)'!$AE$8:$BC$8,0)),'Калькуляция (МСА)'!$F$25:$F$82,$F53,'Калькуляция (МСА)'!$G$25:$G$82,$G53),SUMIFS(INDEX('Калькуляция (5.9)'!$AJ$25:$BC$137,,MATCH(AM$8,'Калькуляция (5.9)'!$AJ$8:$BC$8,0)),'Калькуляция (5.9)'!$F$25:$F$137,$F53,'Калькуляция (5.9)'!$G$25:$G$137,$G53))</f>
        <v>0</v>
      </c>
      <c r="AN53" s="18">
        <f ca="1">IF(method_reg="Метод сравнения аналогов",SUMIFS(INDEX('Калькуляция (МСА)'!$AE$25:$BC$82,,MATCH(AN$8,'Калькуляция (МСА)'!$AE$8:$BC$8,0)),'Калькуляция (МСА)'!$F$25:$F$82,$F53,'Калькуляция (МСА)'!$G$25:$G$82,$G53),SUMIFS(INDEX('Калькуляция (5.9)'!$AJ$25:$BC$137,,MATCH(AN$8,'Калькуляция (5.9)'!$AJ$8:$BC$8,0)),'Калькуляция (5.9)'!$F$25:$F$137,$F53,'Калькуляция (5.9)'!$G$25:$G$137,$G53))</f>
        <v>0</v>
      </c>
      <c r="AO53" s="306">
        <f ca="1">IF(AM53=0,0,(AN53-AM53)/AM53*100)</f>
        <v>0</v>
      </c>
      <c r="AP53" s="18">
        <f ca="1">IF(method_reg="Метод сравнения аналогов",SUMIFS(INDEX('Калькуляция (МСА)'!$AE$25:$BC$82,,MATCH(AP$8,'Калькуляция (МСА)'!$AE$8:$BC$8,0)),'Калькуляция (МСА)'!$F$25:$F$82,$F53,'Калькуляция (МСА)'!$G$25:$G$82,$G53),SUMIFS(INDEX('Калькуляция (5.9)'!$AJ$25:$BC$137,,MATCH(AP$8,'Калькуляция (5.9)'!$AJ$8:$BC$8,0)),'Калькуляция (5.9)'!$F$25:$F$137,$F53,'Калькуляция (5.9)'!$G$25:$G$137,$G53))</f>
        <v>0</v>
      </c>
      <c r="AQ53" s="18">
        <f ca="1">IF(method_reg="Метод сравнения аналогов",SUMIFS(INDEX('Калькуляция (МСА)'!$AE$25:$BC$82,,MATCH(AQ$8,'Калькуляция (МСА)'!$AE$8:$BC$8,0)),'Калькуляция (МСА)'!$F$25:$F$82,$F53,'Калькуляция (МСА)'!$G$25:$G$82,$G53),SUMIFS(INDEX('Калькуляция (5.9)'!$AJ$25:$BC$137,,MATCH(AQ$8,'Калькуляция (5.9)'!$AJ$8:$BC$8,0)),'Калькуляция (5.9)'!$F$25:$F$137,$F53,'Калькуляция (5.9)'!$G$25:$G$137,$G53))</f>
        <v>0</v>
      </c>
      <c r="AR53" s="306">
        <f ca="1">IF(AP53=0,0,(AQ53-AP53)/AP53*100)</f>
        <v>0</v>
      </c>
      <c r="AS53" s="18">
        <f ca="1">IF(method_reg="Метод сравнения аналогов",SUMIFS(INDEX('Калькуляция (МСА)'!$AE$25:$BC$82,,MATCH(AS$8,'Калькуляция (МСА)'!$AE$8:$BC$8,0)),'Калькуляция (МСА)'!$F$25:$F$82,$F53,'Калькуляция (МСА)'!$G$25:$G$82,$G53),SUMIFS(INDEX('Калькуляция (5.9)'!$AJ$25:$BC$137,,MATCH(AS$8,'Калькуляция (5.9)'!$AJ$8:$BC$8,0)),'Калькуляция (5.9)'!$F$25:$F$137,$F53,'Калькуляция (5.9)'!$G$25:$G$137,$G53))</f>
        <v>0</v>
      </c>
      <c r="AT53" s="18">
        <f ca="1">IF(method_reg="Метод сравнения аналогов",SUMIFS(INDEX('Калькуляция (МСА)'!$AE$25:$BC$82,,MATCH(AT$8,'Калькуляция (МСА)'!$AE$8:$BC$8,0)),'Калькуляция (МСА)'!$F$25:$F$82,$F53,'Калькуляция (МСА)'!$G$25:$G$82,$G53),SUMIFS(INDEX('Калькуляция (5.9)'!$AJ$25:$BC$137,,MATCH(AT$8,'Калькуляция (5.9)'!$AJ$8:$BC$8,0)),'Калькуляция (5.9)'!$F$25:$F$137,$F53,'Калькуляция (5.9)'!$G$25:$G$137,$G53))</f>
        <v>0</v>
      </c>
      <c r="AU53" s="306">
        <f ca="1">IF(AS53=0,0,(AT53-AS53)/AS53*100)</f>
        <v>0</v>
      </c>
      <c r="AV53" s="18">
        <f ca="1">IF(method_reg="Метод сравнения аналогов",SUMIFS(INDEX('Калькуляция (МСА)'!$AE$25:$BC$82,,MATCH(AV$8,'Калькуляция (МСА)'!$AE$8:$BC$8,0)),'Калькуляция (МСА)'!$F$25:$F$82,$F53,'Калькуляция (МСА)'!$G$25:$G$82,$G53),SUMIFS(INDEX('Калькуляция (5.9)'!$AJ$25:$BC$137,,MATCH(AV$8,'Калькуляция (5.9)'!$AJ$8:$BC$8,0)),'Калькуляция (5.9)'!$F$25:$F$137,$F53,'Калькуляция (5.9)'!$G$25:$G$137,$G53))</f>
        <v>0</v>
      </c>
      <c r="AW53" s="18">
        <f ca="1">IF(method_reg="Метод сравнения аналогов",SUMIFS(INDEX('Калькуляция (МСА)'!$AE$25:$BC$82,,MATCH(AW$8,'Калькуляция (МСА)'!$AE$8:$BC$8,0)),'Калькуляция (МСА)'!$F$25:$F$82,$F53,'Калькуляция (МСА)'!$G$25:$G$82,$G53),SUMIFS(INDEX('Калькуляция (5.9)'!$AJ$25:$BC$137,,MATCH(AW$8,'Калькуляция (5.9)'!$AJ$8:$BC$8,0)),'Калькуляция (5.9)'!$F$25:$F$137,$F53,'Калькуляция (5.9)'!$G$25:$G$137,$G53))</f>
        <v>0</v>
      </c>
      <c r="AX53" s="306">
        <f ca="1">IF(AV53=0,0,(AW53-AV53)/AV53*100)</f>
        <v>0</v>
      </c>
      <c r="AY53" s="18">
        <f ca="1">IF(method_reg="Метод сравнения аналогов",SUMIFS(INDEX('Калькуляция (МСА)'!$AE$25:$BC$82,,MATCH(AY$8,'Калькуляция (МСА)'!$AE$8:$BC$8,0)),'Калькуляция (МСА)'!$F$25:$F$82,$F53,'Калькуляция (МСА)'!$G$25:$G$82,$G53),SUMIFS(INDEX('Калькуляция (5.9)'!$AJ$25:$BC$137,,MATCH(AY$8,'Калькуляция (5.9)'!$AJ$8:$BC$8,0)),'Калькуляция (5.9)'!$F$25:$F$137,$F53,'Калькуляция (5.9)'!$G$25:$G$137,$G53))</f>
        <v>0</v>
      </c>
      <c r="AZ53" s="18">
        <f ca="1">IF(method_reg="Метод сравнения аналогов",SUMIFS(INDEX('Калькуляция (МСА)'!$AE$25:$BC$82,,MATCH(AZ$8,'Калькуляция (МСА)'!$AE$8:$BC$8,0)),'Калькуляция (МСА)'!$F$25:$F$82,$F53,'Калькуляция (МСА)'!$G$25:$G$82,$G53),SUMIFS(INDEX('Калькуляция (5.9)'!$AJ$25:$BC$137,,MATCH(AZ$8,'Калькуляция (5.9)'!$AJ$8:$BC$8,0)),'Калькуляция (5.9)'!$F$25:$F$137,$F53,'Калькуляция (5.9)'!$G$25:$G$137,$G53))</f>
        <v>0</v>
      </c>
      <c r="BA53" s="306">
        <f ca="1">IF(AY53=0,0,(AZ53-AY53)/AY53*100)</f>
        <v>0</v>
      </c>
      <c r="BB53" s="18">
        <f ca="1">IF(method_reg="Метод сравнения аналогов",SUMIFS(INDEX('Калькуляция (МСА)'!$AE$25:$BC$82,,MATCH(BB$8,'Калькуляция (МСА)'!$AE$8:$BC$8,0)),'Калькуляция (МСА)'!$F$25:$F$82,$F53,'Калькуляция (МСА)'!$G$25:$G$82,$G53),SUMIFS(INDEX('Калькуляция (5.9)'!$AJ$25:$BC$137,,MATCH(BB$8,'Калькуляция (5.9)'!$AJ$8:$BC$8,0)),'Калькуляция (5.9)'!$F$25:$F$137,$F53,'Калькуляция (5.9)'!$G$25:$G$137,$G53))</f>
        <v>0</v>
      </c>
      <c r="BC53" s="18">
        <f ca="1">IF(method_reg="Метод сравнения аналогов",SUMIFS(INDEX('Калькуляция (МСА)'!$AE$25:$BC$82,,MATCH(BC$8,'Калькуляция (МСА)'!$AE$8:$BC$8,0)),'Калькуляция (МСА)'!$F$25:$F$82,$F53,'Калькуляция (МСА)'!$G$25:$G$82,$G53),SUMIFS(INDEX('Калькуляция (5.9)'!$AJ$25:$BC$137,,MATCH(BC$8,'Калькуляция (5.9)'!$AJ$8:$BC$8,0)),'Калькуляция (5.9)'!$F$25:$F$137,$F53,'Калькуляция (5.9)'!$G$25:$G$137,$G53))</f>
        <v>0</v>
      </c>
      <c r="BD53" s="306">
        <f ca="1">IF(BB53=0,0,(BC53-BB53)/BB53*100)</f>
        <v>0</v>
      </c>
      <c r="BE53" s="18">
        <f ca="1">IF(method_reg="Метод сравнения аналогов",SUMIFS(INDEX('Калькуляция (МСА)'!$AE$25:$BC$82,,MATCH(BE$8,'Калькуляция (МСА)'!$AE$8:$BC$8,0)),'Калькуляция (МСА)'!$F$25:$F$82,$F53,'Калькуляция (МСА)'!$G$25:$G$82,$G53),SUMIFS(INDEX('Калькуляция (5.9)'!$AJ$25:$BC$137,,MATCH(BE$8,'Калькуляция (5.9)'!$AJ$8:$BC$8,0)),'Калькуляция (5.9)'!$F$25:$F$137,$F53,'Калькуляция (5.9)'!$G$25:$G$137,$G53))</f>
        <v>0</v>
      </c>
      <c r="BF53" s="18">
        <f ca="1">IF(method_reg="Метод сравнения аналогов",SUMIFS(INDEX('Калькуляция (МСА)'!$AE$25:$BC$82,,MATCH(BF$8,'Калькуляция (МСА)'!$AE$8:$BC$8,0)),'Калькуляция (МСА)'!$F$25:$F$82,$F53,'Калькуляция (МСА)'!$G$25:$G$82,$G53),SUMIFS(INDEX('Калькуляция (5.9)'!$AJ$25:$BC$137,,MATCH(BF$8,'Калькуляция (5.9)'!$AJ$8:$BC$8,0)),'Калькуляция (5.9)'!$F$25:$F$137,$F53,'Калькуляция (5.9)'!$G$25:$G$137,$G53))</f>
        <v>0</v>
      </c>
      <c r="BG53" s="306">
        <f ca="1">IF(BE53=0,0,(BF53-BE53)/BE53*100)</f>
        <v>0</v>
      </c>
      <c r="BH53" s="18"/>
      <c r="BI53" s="18"/>
      <c r="BJ53" s="306">
        <f>IF(BH53=0,0,(BI53-BH53)/BH53*100)</f>
        <v>0</v>
      </c>
      <c r="BK53" s="18"/>
      <c r="BL53" s="18"/>
      <c r="BM53" s="306">
        <f>IF(BK53=0,0,(BL53-BK53)/BK53*100)</f>
        <v>0</v>
      </c>
      <c r="BN53" s="18"/>
      <c r="BO53" s="18"/>
      <c r="BP53" s="306">
        <f>IF(BN53=0,0,(BO53-BN53)/BN53*100)</f>
        <v>0</v>
      </c>
      <c r="BQ53" s="18"/>
      <c r="BR53" s="18"/>
      <c r="BS53" s="306">
        <f>IF(BQ53=0,0,(BR53-BQ53)/BQ53*100)</f>
        <v>0</v>
      </c>
      <c r="BT53" s="18"/>
      <c r="BU53" s="18"/>
      <c r="BV53" s="306">
        <f>IF(BT53=0,0,(BU53-BT53)/BT53*100)</f>
        <v>0</v>
      </c>
      <c r="BW53" s="18"/>
      <c r="BX53" s="18"/>
      <c r="BY53" s="306">
        <f>IF(BW53=0,0,(BX53-BW53)/BW53*100)</f>
        <v>0</v>
      </c>
      <c r="BZ53" s="18"/>
      <c r="CA53" s="18"/>
      <c r="CB53" s="306">
        <f>IF(BZ53=0,0,(CA53-BZ53)/BZ53*100)</f>
        <v>0</v>
      </c>
      <c r="CC53" s="18"/>
      <c r="CD53" s="18"/>
      <c r="CE53" s="306">
        <f>IF(CC53=0,0,(CD53-CC53)/CC53*100)</f>
        <v>0</v>
      </c>
      <c r="CF53" s="18"/>
      <c r="CG53" s="18"/>
      <c r="CH53" s="306">
        <f>IF(CF53=0,0,(CG53-CF53)/CF53*100)</f>
        <v>0</v>
      </c>
      <c r="CI53" s="18"/>
      <c r="CJ53" s="18"/>
      <c r="CK53" s="306">
        <f>IF(CI53=0,0,(CJ53-CI53)/CI53*100)</f>
        <v>0</v>
      </c>
      <c r="CL53" s="18"/>
      <c r="CM53" s="18"/>
      <c r="CN53" s="306">
        <f>IF(CL53=0,0,(CM53-CL53)/CL53*100)</f>
        <v>0</v>
      </c>
      <c r="CO53" s="18"/>
      <c r="CP53" s="18"/>
      <c r="CQ53" s="306">
        <f>IF(CO53=0,0,(CP53-CO53)/CO53*100)</f>
        <v>0</v>
      </c>
      <c r="CR53" s="18"/>
      <c r="CS53" s="18"/>
      <c r="CT53" s="306">
        <f>IF(CR53=0,0,(CS53-CR53)/CR53*100)</f>
        <v>0</v>
      </c>
      <c r="CU53" s="18"/>
      <c r="CV53" s="18"/>
      <c r="CW53" s="306">
        <f>IF(CU53=0,0,(CV53-CU53)/CU53*100)</f>
        <v>0</v>
      </c>
      <c r="CX53" s="18"/>
      <c r="CY53" s="18"/>
      <c r="CZ53" s="306">
        <f>IF(CX53=0,0,(CY53-CX53)/CX53*100)</f>
        <v>0</v>
      </c>
      <c r="DA53" s="18"/>
      <c r="DB53" s="18"/>
      <c r="DC53" s="306">
        <f>IF(DA53=0,0,(DB53-DA53)/DA53*100)</f>
        <v>0</v>
      </c>
      <c r="DD53" s="18"/>
      <c r="DE53" s="18"/>
      <c r="DF53" s="306">
        <f>IF(DD53=0,0,(DE53-DD53)/DD53*100)</f>
        <v>0</v>
      </c>
      <c r="DG53" s="18"/>
      <c r="DH53" s="18"/>
      <c r="DI53" s="306">
        <f>IF(DG53=0,0,(DH53-DG53)/DG53*100)</f>
        <v>0</v>
      </c>
      <c r="DJ53" s="18"/>
      <c r="DK53" s="18"/>
      <c r="DL53" s="306">
        <f>IF(DJ53=0,0,(DK53-DJ53)/DJ53*100)</f>
        <v>0</v>
      </c>
      <c r="DM53" s="18"/>
      <c r="DN53" s="18"/>
      <c r="DO53" s="306">
        <f>IF(DM53=0,0,(DN53-DM53)/DM53*100)</f>
        <v>0</v>
      </c>
      <c r="DP53" s="18"/>
      <c r="DQ53" s="18"/>
      <c r="DR53" s="306">
        <f>IF(DP53=0,0,(DQ53-DP53)/DP53*100)</f>
        <v>0</v>
      </c>
      <c r="DS53" s="18"/>
      <c r="DT53" s="18"/>
      <c r="DU53" s="306">
        <f>IF(DS53=0,0,(DT53-DS53)/DS53*100)</f>
        <v>0</v>
      </c>
      <c r="DV53" s="18"/>
      <c r="DW53" s="18"/>
      <c r="DX53" s="306">
        <f>IF(DV53=0,0,(DW53-DV53)/DV53*100)</f>
        <v>0</v>
      </c>
      <c r="DY53" s="18"/>
      <c r="DZ53" s="18"/>
      <c r="EA53" s="306">
        <f>IF(DY53=0,0,(DZ53-DY53)/DY53*100)</f>
        <v>0</v>
      </c>
      <c r="EB53" s="18"/>
      <c r="EC53" s="18"/>
      <c r="ED53" s="306">
        <f>IF(EB53=0,0,(EC53-EB53)/EB53*100)</f>
        <v>0</v>
      </c>
      <c r="EE53" s="18"/>
      <c r="EF53" s="18"/>
      <c r="EG53" s="306">
        <f>IF(EE53=0,0,(EF53-EE53)/EE53*100)</f>
        <v>0</v>
      </c>
      <c r="EH53" s="18"/>
      <c r="EI53" s="18"/>
      <c r="EJ53" s="306">
        <f>IF(EH53=0,0,(EI53-EH53)/EH53*100)</f>
        <v>0</v>
      </c>
      <c r="EK53" s="18"/>
      <c r="EL53" s="18"/>
      <c r="EM53" s="306">
        <f>IF(EK53=0,0,(EL53-EK53)/EK53*100)</f>
        <v>0</v>
      </c>
      <c r="EN53" s="18"/>
      <c r="EO53" s="18"/>
      <c r="EP53" s="306">
        <f>IF(EN53=0,0,(EO53-EN53)/EN53*100)</f>
        <v>0</v>
      </c>
      <c r="EQ53" s="18"/>
      <c r="ER53" s="18"/>
      <c r="ES53" s="306">
        <f>IF(EQ53=0,0,(ER53-EQ53)/EQ53*100)</f>
        <v>0</v>
      </c>
      <c r="ET53" s="18"/>
      <c r="EU53" s="18"/>
      <c r="EV53" s="306">
        <f>IF(ET53=0,0,(EU53-ET53)/ET53*100)</f>
        <v>0</v>
      </c>
      <c r="EW53" s="18"/>
      <c r="EX53" s="18"/>
      <c r="EY53" s="306">
        <f>IF(EW53=0,0,(EX53-EW53)/EW53*100)</f>
        <v>0</v>
      </c>
      <c r="EZ53" s="18"/>
      <c r="FA53" s="18"/>
      <c r="FB53" s="306">
        <f>IF(EZ53=0,0,(FA53-EZ53)/EZ53*100)</f>
        <v>0</v>
      </c>
      <c r="FC53" s="18"/>
      <c r="FD53" s="18"/>
      <c r="FE53" s="306">
        <f>IF(FC53=0,0,(FD53-FC53)/FC53*100)</f>
        <v>0</v>
      </c>
      <c r="FF53" s="18"/>
      <c r="FG53" s="18"/>
      <c r="FH53" s="306">
        <f>IF(FF53=0,0,(FG53-FF53)/FF53*100)</f>
        <v>0</v>
      </c>
      <c r="FI53" s="18"/>
      <c r="FJ53" s="18"/>
      <c r="FK53" s="306">
        <f>IF(FI53=0,0,(FJ53-FI53)/FI53*100)</f>
        <v>0</v>
      </c>
      <c r="FL53" s="18"/>
      <c r="FM53" s="18"/>
      <c r="FN53" s="306">
        <f>IF(FL53=0,0,(FM53-FL53)/FL53*100)</f>
        <v>0</v>
      </c>
      <c r="FO53" s="18"/>
      <c r="FP53" s="18"/>
      <c r="FQ53" s="306">
        <f>IF(FO53=0,0,(FP53-FO53)/FO53*100)</f>
        <v>0</v>
      </c>
      <c r="FR53" s="18"/>
      <c r="FS53" s="18"/>
      <c r="FT53" s="306">
        <f>IF(FR53=0,0,(FS53-FR53)/FR53*100)</f>
        <v>0</v>
      </c>
      <c r="FU53" s="18"/>
      <c r="FV53" s="18"/>
      <c r="FW53" s="306">
        <f>IF(FU53=0,0,(FV53-FU53)/FU53*100)</f>
        <v>0</v>
      </c>
      <c r="FZ53" s="971" t="s">
        <v>2178</v>
      </c>
      <c r="GA53" s="971"/>
      <c r="GB53" s="971"/>
      <c r="GC53" s="971"/>
      <c r="GD53" s="971"/>
    </row>
    <row r="54" spans="2:186" ht="15.4" hidden="1" customHeight="1" x14ac:dyDescent="0.15">
      <c r="B54" s="803" t="b" cm="1">
        <f t="array" ref="B54">B53</f>
        <v>0</v>
      </c>
      <c r="C54" s="1108" t="s">
        <v>1773</v>
      </c>
      <c r="D54" s="1077" t="s">
        <v>1774</v>
      </c>
      <c r="E54" s="668">
        <v>15.8</v>
      </c>
      <c r="F54" s="769" cm="1">
        <f t="array" aca="1" ref="F54" ca="1">OFFSET(G54,-1,-1)</f>
        <v>0</v>
      </c>
      <c r="G54" s="612" t="s">
        <v>1777</v>
      </c>
      <c r="H54" s="160" t="s">
        <v>2179</v>
      </c>
      <c r="I54" s="160" t="s">
        <v>2114</v>
      </c>
      <c r="J54" s="1098"/>
      <c r="K54" s="1098" cm="1">
        <f t="array" aca="1" ref="K54" ca="1">OFFSET(J54,-1,1)</f>
        <v>0</v>
      </c>
      <c r="L54" s="1098"/>
      <c r="M54" s="1098" t="s">
        <v>1750</v>
      </c>
      <c r="N54" s="1098" t="s">
        <v>2117</v>
      </c>
      <c r="O54" s="1099" t="s">
        <v>2118</v>
      </c>
      <c r="P54" s="1098" t="s">
        <v>2180</v>
      </c>
      <c r="Q54" s="1098"/>
      <c r="T54" s="679" t="b" cm="1">
        <f t="array" aca="1" ref="T54" ca="1">T53</f>
        <v>0</v>
      </c>
      <c r="X54" s="1485"/>
      <c r="Z54" s="1485"/>
      <c r="AB54" s="220" t="s">
        <v>2181</v>
      </c>
      <c r="AC54" s="549" t="s">
        <v>715</v>
      </c>
      <c r="AD54" s="18">
        <f ca="1">IF(method_reg="Метод экономически обоснованных расходов",SUMIFS('Калькуляция (4.6)'!AJ$25:AJ$162,'Калькуляция (4.6)'!$F$25:$F$162,$F54,'Калькуляция (4.6)'!$G$25:$G$162,$G54),IF(method_reg="Метод сравнения аналогов",SUMIFS(INDEX('Калькуляция (МСА)'!$AE$25:$BC$82,,MATCH(AD$8,'Калькуляция (МСА)'!$AE$8:$BC$8,0)),'Калькуляция (МСА)'!$F$25:$F$82,$F54,'Калькуляция (МСА)'!$G$25:$G$82,$G54),SUMIFS(INDEX('Калькуляция (5.9)'!$AJ$25:$BC$137,,MATCH(AD$8,'Калькуляция (5.9)'!$AJ$8:$BC$8,0)),'Калькуляция (5.9)'!$F$25:$F$137,$F54,'Калькуляция (5.9)'!$G$25:$G$137,$G54)))</f>
        <v>0</v>
      </c>
      <c r="AE54" s="18">
        <f ca="1">IF(method_reg="Метод экономически обоснованных расходов",SUMIFS('Калькуляция (4.6)'!AK$25:AK$162,'Калькуляция (4.6)'!$F$25:$F$162,$F54,'Калькуляция (4.6)'!$G$25:$G$162,$G54),IF(method_reg="Метод сравнения аналогов",SUMIFS(INDEX('Калькуляция (МСА)'!$AE$25:$BC$82,,MATCH(AE$8,'Калькуляция (МСА)'!$AE$8:$BC$8,0)),'Калькуляция (МСА)'!$F$25:$F$82,$F54,'Калькуляция (МСА)'!$G$25:$G$82,$G54),SUMIFS(INDEX('Калькуляция (5.9)'!$AJ$25:$BC$137,,MATCH(AE$8,'Калькуляция (5.9)'!$AJ$8:$BC$8,0)),'Калькуляция (5.9)'!$F$25:$F$137,$F54,'Калькуляция (5.9)'!$G$25:$G$137,$G54)))</f>
        <v>0</v>
      </c>
      <c r="AF54" s="306">
        <f ca="1">IF(AD54=0,0,(AE54-AD54)/AD54*100)</f>
        <v>0</v>
      </c>
      <c r="AG54" s="1215">
        <f ca="1">IF(method_reg="Метод сравнения аналогов",SUMIFS(INDEX('Калькуляция (МСА)'!$AE$25:$BC$82,,MATCH(AG$8,'Калькуляция (МСА)'!$AE$8:$BC$8,0)),'Калькуляция (МСА)'!$F$25:$F$82,$F54,'Калькуляция (МСА)'!$G$25:$G$82,$G54),SUMIFS(INDEX('Калькуляция (5.9)'!$AJ$25:$BC$137,,MATCH(AG$8,'Калькуляция (5.9)'!$AJ$8:$BC$8,0)),'Калькуляция (5.9)'!$F$25:$F$137,$F54,'Калькуляция (5.9)'!$G$25:$G$137,$G54))</f>
        <v>0</v>
      </c>
      <c r="AH54" s="1215">
        <f ca="1">IF(method_reg="Метод сравнения аналогов",SUMIFS(INDEX('Калькуляция (МСА)'!$AE$25:$BC$82,,MATCH(AH$8,'Калькуляция (МСА)'!$AE$8:$BC$8,0)),'Калькуляция (МСА)'!$F$25:$F$82,$F54,'Калькуляция (МСА)'!$G$25:$G$82,$G54),SUMIFS(INDEX('Калькуляция (5.9)'!$AJ$25:$BC$137,,MATCH(AH$8,'Калькуляция (5.9)'!$AJ$8:$BC$8,0)),'Калькуляция (5.9)'!$F$25:$F$137,$F54,'Калькуляция (5.9)'!$G$25:$G$137,$G54))</f>
        <v>0</v>
      </c>
      <c r="AI54" s="306">
        <f ca="1">IF(AG54=0,0,(AH54-AG54)/AG54*100)</f>
        <v>0</v>
      </c>
      <c r="AJ54" s="1215">
        <f ca="1">IF(method_reg="Метод сравнения аналогов",SUMIFS(INDEX('Калькуляция (МСА)'!$AE$25:$BC$82,,MATCH(AJ$8,'Калькуляция (МСА)'!$AE$8:$BC$8,0)),'Калькуляция (МСА)'!$F$25:$F$82,$F54,'Калькуляция (МСА)'!$G$25:$G$82,$G54),SUMIFS(INDEX('Калькуляция (5.9)'!$AJ$25:$BC$137,,MATCH(AJ$8,'Калькуляция (5.9)'!$AJ$8:$BC$8,0)),'Калькуляция (5.9)'!$F$25:$F$137,$F54,'Калькуляция (5.9)'!$G$25:$G$137,$G54))</f>
        <v>0</v>
      </c>
      <c r="AK54" s="1215">
        <f ca="1">IF(method_reg="Метод сравнения аналогов",SUMIFS(INDEX('Калькуляция (МСА)'!$AE$25:$BC$82,,MATCH(AK$8,'Калькуляция (МСА)'!$AE$8:$BC$8,0)),'Калькуляция (МСА)'!$F$25:$F$82,$F54,'Калькуляция (МСА)'!$G$25:$G$82,$G54),SUMIFS(INDEX('Калькуляция (5.9)'!$AJ$25:$BC$137,,MATCH(AK$8,'Калькуляция (5.9)'!$AJ$8:$BC$8,0)),'Калькуляция (5.9)'!$F$25:$F$137,$F54,'Калькуляция (5.9)'!$G$25:$G$137,$G54))</f>
        <v>0</v>
      </c>
      <c r="AL54" s="306">
        <f ca="1">IF(AJ54=0,0,(AK54-AJ54)/AJ54*100)</f>
        <v>0</v>
      </c>
      <c r="AM54" s="18">
        <f ca="1">IF(method_reg="Метод сравнения аналогов",SUMIFS(INDEX('Калькуляция (МСА)'!$AE$25:$BC$82,,MATCH(AM$8,'Калькуляция (МСА)'!$AE$8:$BC$8,0)),'Калькуляция (МСА)'!$F$25:$F$82,$F54,'Калькуляция (МСА)'!$G$25:$G$82,$G54),SUMIFS(INDEX('Калькуляция (5.9)'!$AJ$25:$BC$137,,MATCH(AM$8,'Калькуляция (5.9)'!$AJ$8:$BC$8,0)),'Калькуляция (5.9)'!$F$25:$F$137,$F54,'Калькуляция (5.9)'!$G$25:$G$137,$G54))</f>
        <v>0</v>
      </c>
      <c r="AN54" s="18">
        <f ca="1">IF(method_reg="Метод сравнения аналогов",SUMIFS(INDEX('Калькуляция (МСА)'!$AE$25:$BC$82,,MATCH(AN$8,'Калькуляция (МСА)'!$AE$8:$BC$8,0)),'Калькуляция (МСА)'!$F$25:$F$82,$F54,'Калькуляция (МСА)'!$G$25:$G$82,$G54),SUMIFS(INDEX('Калькуляция (5.9)'!$AJ$25:$BC$137,,MATCH(AN$8,'Калькуляция (5.9)'!$AJ$8:$BC$8,0)),'Калькуляция (5.9)'!$F$25:$F$137,$F54,'Калькуляция (5.9)'!$G$25:$G$137,$G54))</f>
        <v>0</v>
      </c>
      <c r="AO54" s="306">
        <f ca="1">IF(AM54=0,0,(AN54-AM54)/AM54*100)</f>
        <v>0</v>
      </c>
      <c r="AP54" s="18">
        <f ca="1">IF(method_reg="Метод сравнения аналогов",SUMIFS(INDEX('Калькуляция (МСА)'!$AE$25:$BC$82,,MATCH(AP$8,'Калькуляция (МСА)'!$AE$8:$BC$8,0)),'Калькуляция (МСА)'!$F$25:$F$82,$F54,'Калькуляция (МСА)'!$G$25:$G$82,$G54),SUMIFS(INDEX('Калькуляция (5.9)'!$AJ$25:$BC$137,,MATCH(AP$8,'Калькуляция (5.9)'!$AJ$8:$BC$8,0)),'Калькуляция (5.9)'!$F$25:$F$137,$F54,'Калькуляция (5.9)'!$G$25:$G$137,$G54))</f>
        <v>0</v>
      </c>
      <c r="AQ54" s="18">
        <f ca="1">IF(method_reg="Метод сравнения аналогов",SUMIFS(INDEX('Калькуляция (МСА)'!$AE$25:$BC$82,,MATCH(AQ$8,'Калькуляция (МСА)'!$AE$8:$BC$8,0)),'Калькуляция (МСА)'!$F$25:$F$82,$F54,'Калькуляция (МСА)'!$G$25:$G$82,$G54),SUMIFS(INDEX('Калькуляция (5.9)'!$AJ$25:$BC$137,,MATCH(AQ$8,'Калькуляция (5.9)'!$AJ$8:$BC$8,0)),'Калькуляция (5.9)'!$F$25:$F$137,$F54,'Калькуляция (5.9)'!$G$25:$G$137,$G54))</f>
        <v>0</v>
      </c>
      <c r="AR54" s="306">
        <f ca="1">IF(AP54=0,0,(AQ54-AP54)/AP54*100)</f>
        <v>0</v>
      </c>
      <c r="AS54" s="18">
        <f ca="1">IF(method_reg="Метод сравнения аналогов",SUMIFS(INDEX('Калькуляция (МСА)'!$AE$25:$BC$82,,MATCH(AS$8,'Калькуляция (МСА)'!$AE$8:$BC$8,0)),'Калькуляция (МСА)'!$F$25:$F$82,$F54,'Калькуляция (МСА)'!$G$25:$G$82,$G54),SUMIFS(INDEX('Калькуляция (5.9)'!$AJ$25:$BC$137,,MATCH(AS$8,'Калькуляция (5.9)'!$AJ$8:$BC$8,0)),'Калькуляция (5.9)'!$F$25:$F$137,$F54,'Калькуляция (5.9)'!$G$25:$G$137,$G54))</f>
        <v>0</v>
      </c>
      <c r="AT54" s="18">
        <f ca="1">IF(method_reg="Метод сравнения аналогов",SUMIFS(INDEX('Калькуляция (МСА)'!$AE$25:$BC$82,,MATCH(AT$8,'Калькуляция (МСА)'!$AE$8:$BC$8,0)),'Калькуляция (МСА)'!$F$25:$F$82,$F54,'Калькуляция (МСА)'!$G$25:$G$82,$G54),SUMIFS(INDEX('Калькуляция (5.9)'!$AJ$25:$BC$137,,MATCH(AT$8,'Калькуляция (5.9)'!$AJ$8:$BC$8,0)),'Калькуляция (5.9)'!$F$25:$F$137,$F54,'Калькуляция (5.9)'!$G$25:$G$137,$G54))</f>
        <v>0</v>
      </c>
      <c r="AU54" s="306">
        <f ca="1">IF(AS54=0,0,(AT54-AS54)/AS54*100)</f>
        <v>0</v>
      </c>
      <c r="AV54" s="18">
        <f ca="1">IF(method_reg="Метод сравнения аналогов",SUMIFS(INDEX('Калькуляция (МСА)'!$AE$25:$BC$82,,MATCH(AV$8,'Калькуляция (МСА)'!$AE$8:$BC$8,0)),'Калькуляция (МСА)'!$F$25:$F$82,$F54,'Калькуляция (МСА)'!$G$25:$G$82,$G54),SUMIFS(INDEX('Калькуляция (5.9)'!$AJ$25:$BC$137,,MATCH(AV$8,'Калькуляция (5.9)'!$AJ$8:$BC$8,0)),'Калькуляция (5.9)'!$F$25:$F$137,$F54,'Калькуляция (5.9)'!$G$25:$G$137,$G54))</f>
        <v>0</v>
      </c>
      <c r="AW54" s="18">
        <f ca="1">IF(method_reg="Метод сравнения аналогов",SUMIFS(INDEX('Калькуляция (МСА)'!$AE$25:$BC$82,,MATCH(AW$8,'Калькуляция (МСА)'!$AE$8:$BC$8,0)),'Калькуляция (МСА)'!$F$25:$F$82,$F54,'Калькуляция (МСА)'!$G$25:$G$82,$G54),SUMIFS(INDEX('Калькуляция (5.9)'!$AJ$25:$BC$137,,MATCH(AW$8,'Калькуляция (5.9)'!$AJ$8:$BC$8,0)),'Калькуляция (5.9)'!$F$25:$F$137,$F54,'Калькуляция (5.9)'!$G$25:$G$137,$G54))</f>
        <v>0</v>
      </c>
      <c r="AX54" s="306">
        <f ca="1">IF(AV54=0,0,(AW54-AV54)/AV54*100)</f>
        <v>0</v>
      </c>
      <c r="AY54" s="18">
        <f ca="1">IF(method_reg="Метод сравнения аналогов",SUMIFS(INDEX('Калькуляция (МСА)'!$AE$25:$BC$82,,MATCH(AY$8,'Калькуляция (МСА)'!$AE$8:$BC$8,0)),'Калькуляция (МСА)'!$F$25:$F$82,$F54,'Калькуляция (МСА)'!$G$25:$G$82,$G54),SUMIFS(INDEX('Калькуляция (5.9)'!$AJ$25:$BC$137,,MATCH(AY$8,'Калькуляция (5.9)'!$AJ$8:$BC$8,0)),'Калькуляция (5.9)'!$F$25:$F$137,$F54,'Калькуляция (5.9)'!$G$25:$G$137,$G54))</f>
        <v>0</v>
      </c>
      <c r="AZ54" s="18">
        <f ca="1">IF(method_reg="Метод сравнения аналогов",SUMIFS(INDEX('Калькуляция (МСА)'!$AE$25:$BC$82,,MATCH(AZ$8,'Калькуляция (МСА)'!$AE$8:$BC$8,0)),'Калькуляция (МСА)'!$F$25:$F$82,$F54,'Калькуляция (МСА)'!$G$25:$G$82,$G54),SUMIFS(INDEX('Калькуляция (5.9)'!$AJ$25:$BC$137,,MATCH(AZ$8,'Калькуляция (5.9)'!$AJ$8:$BC$8,0)),'Калькуляция (5.9)'!$F$25:$F$137,$F54,'Калькуляция (5.9)'!$G$25:$G$137,$G54))</f>
        <v>0</v>
      </c>
      <c r="BA54" s="306">
        <f ca="1">IF(AY54=0,0,(AZ54-AY54)/AY54*100)</f>
        <v>0</v>
      </c>
      <c r="BB54" s="18">
        <f ca="1">IF(method_reg="Метод сравнения аналогов",SUMIFS(INDEX('Калькуляция (МСА)'!$AE$25:$BC$82,,MATCH(BB$8,'Калькуляция (МСА)'!$AE$8:$BC$8,0)),'Калькуляция (МСА)'!$F$25:$F$82,$F54,'Калькуляция (МСА)'!$G$25:$G$82,$G54),SUMIFS(INDEX('Калькуляция (5.9)'!$AJ$25:$BC$137,,MATCH(BB$8,'Калькуляция (5.9)'!$AJ$8:$BC$8,0)),'Калькуляция (5.9)'!$F$25:$F$137,$F54,'Калькуляция (5.9)'!$G$25:$G$137,$G54))</f>
        <v>0</v>
      </c>
      <c r="BC54" s="18">
        <f ca="1">IF(method_reg="Метод сравнения аналогов",SUMIFS(INDEX('Калькуляция (МСА)'!$AE$25:$BC$82,,MATCH(BC$8,'Калькуляция (МСА)'!$AE$8:$BC$8,0)),'Калькуляция (МСА)'!$F$25:$F$82,$F54,'Калькуляция (МСА)'!$G$25:$G$82,$G54),SUMIFS(INDEX('Калькуляция (5.9)'!$AJ$25:$BC$137,,MATCH(BC$8,'Калькуляция (5.9)'!$AJ$8:$BC$8,0)),'Калькуляция (5.9)'!$F$25:$F$137,$F54,'Калькуляция (5.9)'!$G$25:$G$137,$G54))</f>
        <v>0</v>
      </c>
      <c r="BD54" s="306">
        <f ca="1">IF(BB54=0,0,(BC54-BB54)/BB54*100)</f>
        <v>0</v>
      </c>
      <c r="BE54" s="18">
        <f ca="1">IF(method_reg="Метод сравнения аналогов",SUMIFS(INDEX('Калькуляция (МСА)'!$AE$25:$BC$82,,MATCH(BE$8,'Калькуляция (МСА)'!$AE$8:$BC$8,0)),'Калькуляция (МСА)'!$F$25:$F$82,$F54,'Калькуляция (МСА)'!$G$25:$G$82,$G54),SUMIFS(INDEX('Калькуляция (5.9)'!$AJ$25:$BC$137,,MATCH(BE$8,'Калькуляция (5.9)'!$AJ$8:$BC$8,0)),'Калькуляция (5.9)'!$F$25:$F$137,$F54,'Калькуляция (5.9)'!$G$25:$G$137,$G54))</f>
        <v>0</v>
      </c>
      <c r="BF54" s="18">
        <f ca="1">IF(method_reg="Метод сравнения аналогов",SUMIFS(INDEX('Калькуляция (МСА)'!$AE$25:$BC$82,,MATCH(BF$8,'Калькуляция (МСА)'!$AE$8:$BC$8,0)),'Калькуляция (МСА)'!$F$25:$F$82,$F54,'Калькуляция (МСА)'!$G$25:$G$82,$G54),SUMIFS(INDEX('Калькуляция (5.9)'!$AJ$25:$BC$137,,MATCH(BF$8,'Калькуляция (5.9)'!$AJ$8:$BC$8,0)),'Калькуляция (5.9)'!$F$25:$F$137,$F54,'Калькуляция (5.9)'!$G$25:$G$137,$G54))</f>
        <v>0</v>
      </c>
      <c r="BG54" s="306">
        <f ca="1">IF(BE54=0,0,(BF54-BE54)/BE54*100)</f>
        <v>0</v>
      </c>
      <c r="BH54" s="18"/>
      <c r="BI54" s="18"/>
      <c r="BJ54" s="306">
        <f>IF(BH54=0,0,(BI54-BH54)/BH54*100)</f>
        <v>0</v>
      </c>
      <c r="BK54" s="18"/>
      <c r="BL54" s="18"/>
      <c r="BM54" s="306">
        <f>IF(BK54=0,0,(BL54-BK54)/BK54*100)</f>
        <v>0</v>
      </c>
      <c r="BN54" s="18"/>
      <c r="BO54" s="18"/>
      <c r="BP54" s="306">
        <f>IF(BN54=0,0,(BO54-BN54)/BN54*100)</f>
        <v>0</v>
      </c>
      <c r="BQ54" s="18"/>
      <c r="BR54" s="18"/>
      <c r="BS54" s="306">
        <f>IF(BQ54=0,0,(BR54-BQ54)/BQ54*100)</f>
        <v>0</v>
      </c>
      <c r="BT54" s="18"/>
      <c r="BU54" s="18"/>
      <c r="BV54" s="306">
        <f>IF(BT54=0,0,(BU54-BT54)/BT54*100)</f>
        <v>0</v>
      </c>
      <c r="BW54" s="18"/>
      <c r="BX54" s="18"/>
      <c r="BY54" s="306">
        <f>IF(BW54=0,0,(BX54-BW54)/BW54*100)</f>
        <v>0</v>
      </c>
      <c r="BZ54" s="18"/>
      <c r="CA54" s="18"/>
      <c r="CB54" s="306">
        <f>IF(BZ54=0,0,(CA54-BZ54)/BZ54*100)</f>
        <v>0</v>
      </c>
      <c r="CC54" s="18"/>
      <c r="CD54" s="18"/>
      <c r="CE54" s="306">
        <f>IF(CC54=0,0,(CD54-CC54)/CC54*100)</f>
        <v>0</v>
      </c>
      <c r="CF54" s="18"/>
      <c r="CG54" s="18"/>
      <c r="CH54" s="306">
        <f>IF(CF54=0,0,(CG54-CF54)/CF54*100)</f>
        <v>0</v>
      </c>
      <c r="CI54" s="18"/>
      <c r="CJ54" s="18"/>
      <c r="CK54" s="306">
        <f>IF(CI54=0,0,(CJ54-CI54)/CI54*100)</f>
        <v>0</v>
      </c>
      <c r="CL54" s="18"/>
      <c r="CM54" s="18"/>
      <c r="CN54" s="306">
        <f>IF(CL54=0,0,(CM54-CL54)/CL54*100)</f>
        <v>0</v>
      </c>
      <c r="CO54" s="18"/>
      <c r="CP54" s="18"/>
      <c r="CQ54" s="306">
        <f>IF(CO54=0,0,(CP54-CO54)/CO54*100)</f>
        <v>0</v>
      </c>
      <c r="CR54" s="18"/>
      <c r="CS54" s="18"/>
      <c r="CT54" s="306">
        <f>IF(CR54=0,0,(CS54-CR54)/CR54*100)</f>
        <v>0</v>
      </c>
      <c r="CU54" s="18"/>
      <c r="CV54" s="18"/>
      <c r="CW54" s="306">
        <f>IF(CU54=0,0,(CV54-CU54)/CU54*100)</f>
        <v>0</v>
      </c>
      <c r="CX54" s="18"/>
      <c r="CY54" s="18"/>
      <c r="CZ54" s="306">
        <f>IF(CX54=0,0,(CY54-CX54)/CX54*100)</f>
        <v>0</v>
      </c>
      <c r="DA54" s="18"/>
      <c r="DB54" s="18"/>
      <c r="DC54" s="306">
        <f>IF(DA54=0,0,(DB54-DA54)/DA54*100)</f>
        <v>0</v>
      </c>
      <c r="DD54" s="18"/>
      <c r="DE54" s="18"/>
      <c r="DF54" s="306">
        <f>IF(DD54=0,0,(DE54-DD54)/DD54*100)</f>
        <v>0</v>
      </c>
      <c r="DG54" s="18"/>
      <c r="DH54" s="18"/>
      <c r="DI54" s="306">
        <f>IF(DG54=0,0,(DH54-DG54)/DG54*100)</f>
        <v>0</v>
      </c>
      <c r="DJ54" s="18"/>
      <c r="DK54" s="18"/>
      <c r="DL54" s="306">
        <f>IF(DJ54=0,0,(DK54-DJ54)/DJ54*100)</f>
        <v>0</v>
      </c>
      <c r="DM54" s="18"/>
      <c r="DN54" s="18"/>
      <c r="DO54" s="306">
        <f>IF(DM54=0,0,(DN54-DM54)/DM54*100)</f>
        <v>0</v>
      </c>
      <c r="DP54" s="18"/>
      <c r="DQ54" s="18"/>
      <c r="DR54" s="306">
        <f>IF(DP54=0,0,(DQ54-DP54)/DP54*100)</f>
        <v>0</v>
      </c>
      <c r="DS54" s="18"/>
      <c r="DT54" s="18"/>
      <c r="DU54" s="306">
        <f>IF(DS54=0,0,(DT54-DS54)/DS54*100)</f>
        <v>0</v>
      </c>
      <c r="DV54" s="18"/>
      <c r="DW54" s="18"/>
      <c r="DX54" s="306">
        <f>IF(DV54=0,0,(DW54-DV54)/DV54*100)</f>
        <v>0</v>
      </c>
      <c r="DY54" s="18"/>
      <c r="DZ54" s="18"/>
      <c r="EA54" s="306">
        <f>IF(DY54=0,0,(DZ54-DY54)/DY54*100)</f>
        <v>0</v>
      </c>
      <c r="EB54" s="18"/>
      <c r="EC54" s="18"/>
      <c r="ED54" s="306">
        <f>IF(EB54=0,0,(EC54-EB54)/EB54*100)</f>
        <v>0</v>
      </c>
      <c r="EE54" s="18"/>
      <c r="EF54" s="18"/>
      <c r="EG54" s="306">
        <f>IF(EE54=0,0,(EF54-EE54)/EE54*100)</f>
        <v>0</v>
      </c>
      <c r="EH54" s="18"/>
      <c r="EI54" s="18"/>
      <c r="EJ54" s="306">
        <f>IF(EH54=0,0,(EI54-EH54)/EH54*100)</f>
        <v>0</v>
      </c>
      <c r="EK54" s="18"/>
      <c r="EL54" s="18"/>
      <c r="EM54" s="306">
        <f>IF(EK54=0,0,(EL54-EK54)/EK54*100)</f>
        <v>0</v>
      </c>
      <c r="EN54" s="18"/>
      <c r="EO54" s="18"/>
      <c r="EP54" s="306">
        <f>IF(EN54=0,0,(EO54-EN54)/EN54*100)</f>
        <v>0</v>
      </c>
      <c r="EQ54" s="18"/>
      <c r="ER54" s="18"/>
      <c r="ES54" s="306">
        <f>IF(EQ54=0,0,(ER54-EQ54)/EQ54*100)</f>
        <v>0</v>
      </c>
      <c r="ET54" s="18"/>
      <c r="EU54" s="18"/>
      <c r="EV54" s="306">
        <f>IF(ET54=0,0,(EU54-ET54)/ET54*100)</f>
        <v>0</v>
      </c>
      <c r="EW54" s="18"/>
      <c r="EX54" s="18"/>
      <c r="EY54" s="306">
        <f>IF(EW54=0,0,(EX54-EW54)/EW54*100)</f>
        <v>0</v>
      </c>
      <c r="EZ54" s="18"/>
      <c r="FA54" s="18"/>
      <c r="FB54" s="306">
        <f>IF(EZ54=0,0,(FA54-EZ54)/EZ54*100)</f>
        <v>0</v>
      </c>
      <c r="FC54" s="18"/>
      <c r="FD54" s="18"/>
      <c r="FE54" s="306">
        <f>IF(FC54=0,0,(FD54-FC54)/FC54*100)</f>
        <v>0</v>
      </c>
      <c r="FF54" s="18"/>
      <c r="FG54" s="18"/>
      <c r="FH54" s="306">
        <f>IF(FF54=0,0,(FG54-FF54)/FF54*100)</f>
        <v>0</v>
      </c>
      <c r="FI54" s="18"/>
      <c r="FJ54" s="18"/>
      <c r="FK54" s="306">
        <f>IF(FI54=0,0,(FJ54-FI54)/FI54*100)</f>
        <v>0</v>
      </c>
      <c r="FL54" s="18"/>
      <c r="FM54" s="18"/>
      <c r="FN54" s="306">
        <f>IF(FL54=0,0,(FM54-FL54)/FL54*100)</f>
        <v>0</v>
      </c>
      <c r="FO54" s="18"/>
      <c r="FP54" s="18"/>
      <c r="FQ54" s="306">
        <f>IF(FO54=0,0,(FP54-FO54)/FO54*100)</f>
        <v>0</v>
      </c>
      <c r="FR54" s="18"/>
      <c r="FS54" s="18"/>
      <c r="FT54" s="306">
        <f>IF(FR54=0,0,(FS54-FR54)/FR54*100)</f>
        <v>0</v>
      </c>
      <c r="FU54" s="18"/>
      <c r="FV54" s="18"/>
      <c r="FW54" s="306">
        <f>IF(FU54=0,0,(FV54-FU54)/FU54*100)</f>
        <v>0</v>
      </c>
      <c r="FZ54" s="971" t="s">
        <v>2182</v>
      </c>
      <c r="GA54" s="971"/>
      <c r="GB54" s="971"/>
      <c r="GC54" s="971"/>
      <c r="GD54" s="971"/>
    </row>
    <row r="55" spans="2:186" ht="15.4" hidden="1" customHeight="1" x14ac:dyDescent="0.15">
      <c r="B55" s="803" t="b" cm="1">
        <f t="array" ref="B55">B54</f>
        <v>0</v>
      </c>
      <c r="E55" s="668">
        <v>15.8</v>
      </c>
      <c r="F55" s="769" cm="1">
        <f t="array" aca="1" ref="F55" ca="1">OFFSET(G55,-1,-1)</f>
        <v>0</v>
      </c>
      <c r="K55" s="1098" cm="1">
        <f t="array" aca="1" ref="K55" ca="1">OFFSET(J55,-1,1)</f>
        <v>0</v>
      </c>
      <c r="P55" s="1098"/>
      <c r="Q55" s="1098"/>
      <c r="T55" s="679" t="b" cm="1">
        <f t="array" aca="1" ref="T55" ca="1">T54</f>
        <v>0</v>
      </c>
      <c r="X55" s="1485"/>
      <c r="Z55" s="1485"/>
      <c r="AB55" s="1130" t="s">
        <v>2183</v>
      </c>
      <c r="AC55" s="308"/>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09"/>
      <c r="BD55" s="309"/>
      <c r="BE55" s="309"/>
      <c r="BF55" s="309"/>
      <c r="BG55" s="309"/>
      <c r="BH55" s="309"/>
      <c r="BI55" s="309"/>
      <c r="BJ55" s="309"/>
      <c r="BK55" s="309"/>
      <c r="BL55" s="309"/>
      <c r="BM55" s="309"/>
      <c r="BN55" s="309"/>
      <c r="BO55" s="309"/>
      <c r="BP55" s="309"/>
      <c r="BQ55" s="309"/>
      <c r="BR55" s="309"/>
      <c r="BS55" s="309"/>
      <c r="BT55" s="309"/>
      <c r="BU55" s="309"/>
      <c r="BV55" s="309"/>
      <c r="BW55" s="309"/>
      <c r="BX55" s="309"/>
      <c r="BY55" s="309"/>
      <c r="BZ55" s="309"/>
      <c r="CA55" s="309"/>
      <c r="CB55" s="309"/>
      <c r="CC55" s="309"/>
      <c r="CD55" s="309"/>
      <c r="CE55" s="309"/>
      <c r="CF55" s="309"/>
      <c r="CG55" s="309"/>
      <c r="CH55" s="309"/>
      <c r="CI55" s="309"/>
      <c r="CJ55" s="309"/>
      <c r="CK55" s="309"/>
      <c r="CL55" s="309"/>
      <c r="CM55" s="309"/>
      <c r="CN55" s="309"/>
      <c r="CO55" s="309"/>
      <c r="CP55" s="309"/>
      <c r="CQ55" s="309"/>
      <c r="CR55" s="309"/>
      <c r="CS55" s="309"/>
      <c r="CT55" s="309"/>
      <c r="CU55" s="309"/>
      <c r="CV55" s="309"/>
      <c r="CW55" s="309"/>
      <c r="CX55" s="309"/>
      <c r="CY55" s="309"/>
      <c r="CZ55" s="309"/>
      <c r="DA55" s="309"/>
      <c r="DB55" s="309"/>
      <c r="DC55" s="309"/>
      <c r="DD55" s="309"/>
      <c r="DE55" s="309"/>
      <c r="DF55" s="309"/>
      <c r="DG55" s="309"/>
      <c r="DH55" s="309"/>
      <c r="DI55" s="309"/>
      <c r="DJ55" s="309"/>
      <c r="DK55" s="309"/>
      <c r="DL55" s="309"/>
      <c r="DM55" s="309"/>
      <c r="DN55" s="309"/>
      <c r="DO55" s="309"/>
      <c r="DP55" s="309"/>
      <c r="DQ55" s="309"/>
      <c r="DR55" s="309"/>
      <c r="DS55" s="309"/>
      <c r="DT55" s="309"/>
      <c r="DU55" s="309"/>
      <c r="DV55" s="309"/>
      <c r="DW55" s="309"/>
      <c r="DX55" s="309"/>
      <c r="DY55" s="309"/>
      <c r="DZ55" s="309"/>
      <c r="EA55" s="309"/>
      <c r="EB55" s="309"/>
      <c r="EC55" s="309"/>
      <c r="ED55" s="309"/>
      <c r="EE55" s="309"/>
      <c r="EF55" s="309"/>
      <c r="EG55" s="309"/>
      <c r="EH55" s="309"/>
      <c r="EI55" s="309"/>
      <c r="EJ55" s="309"/>
      <c r="EK55" s="309"/>
      <c r="EL55" s="309"/>
      <c r="EM55" s="309"/>
      <c r="EN55" s="309"/>
      <c r="EO55" s="309"/>
      <c r="EP55" s="309"/>
      <c r="EQ55" s="309"/>
      <c r="ER55" s="309"/>
      <c r="ES55" s="309"/>
      <c r="ET55" s="309"/>
      <c r="EU55" s="309"/>
      <c r="EV55" s="309"/>
      <c r="EW55" s="309"/>
      <c r="EX55" s="309"/>
      <c r="EY55" s="309"/>
      <c r="EZ55" s="309"/>
      <c r="FA55" s="309"/>
      <c r="FB55" s="309"/>
      <c r="FC55" s="309"/>
      <c r="FD55" s="309"/>
      <c r="FE55" s="309"/>
      <c r="FF55" s="309"/>
      <c r="FG55" s="309"/>
      <c r="FH55" s="309"/>
      <c r="FI55" s="309"/>
      <c r="FJ55" s="309"/>
      <c r="FK55" s="309"/>
      <c r="FL55" s="309"/>
      <c r="FM55" s="309"/>
      <c r="FN55" s="309"/>
      <c r="FO55" s="309"/>
      <c r="FP55" s="309"/>
      <c r="FQ55" s="309"/>
      <c r="FR55" s="309"/>
      <c r="FS55" s="309"/>
      <c r="FT55" s="309"/>
      <c r="FU55" s="309"/>
      <c r="FV55" s="309"/>
      <c r="FW55" s="310"/>
      <c r="GA55" s="971"/>
      <c r="GB55" s="971"/>
      <c r="GC55" s="971"/>
      <c r="GD55" s="971"/>
    </row>
    <row r="56" spans="2:186" ht="15.4" hidden="1" customHeight="1" x14ac:dyDescent="0.15">
      <c r="B56" s="803" t="b" cm="1">
        <f t="array" ref="B56">B55</f>
        <v>0</v>
      </c>
      <c r="C56" s="1108" t="s">
        <v>2159</v>
      </c>
      <c r="D56" s="1077" t="s">
        <v>2160</v>
      </c>
      <c r="E56" s="668">
        <v>15.8</v>
      </c>
      <c r="F56" s="769" cm="1">
        <f t="array" aca="1" ref="F56" ca="1">OFFSET(G56,-1,-1)</f>
        <v>0</v>
      </c>
      <c r="G56" s="612" t="s">
        <v>1762</v>
      </c>
      <c r="H56" s="160" t="s">
        <v>2161</v>
      </c>
      <c r="I56" s="160" t="s">
        <v>2121</v>
      </c>
      <c r="J56" s="1098"/>
      <c r="K56" s="1098" cm="1">
        <f t="array" aca="1" ref="K56" ca="1">OFFSET(J56,-1,1)</f>
        <v>0</v>
      </c>
      <c r="L56" s="1098"/>
      <c r="M56" s="1098" t="s">
        <v>1759</v>
      </c>
      <c r="N56" s="1098" t="s">
        <v>2117</v>
      </c>
      <c r="O56" s="1099" t="s">
        <v>2118</v>
      </c>
      <c r="P56" s="1098" t="s">
        <v>2162</v>
      </c>
      <c r="Q56" s="1098"/>
      <c r="T56" s="679" t="b" cm="1">
        <f t="array" aca="1" ref="T56" ca="1">T55</f>
        <v>0</v>
      </c>
      <c r="X56" s="1485"/>
      <c r="Z56" s="1485"/>
      <c r="AB56" s="220" t="s">
        <v>2163</v>
      </c>
      <c r="AC56" s="120" t="s">
        <v>920</v>
      </c>
      <c r="AD56" s="18">
        <f ca="1">IF(method_reg="Метод экономически обоснованных расходов",SUMIFS('Калькуляция (4.6)'!AJ$25:AJ$162,'Калькуляция (4.6)'!$F$25:$F$162,$F56,'Калькуляция (4.6)'!$G$25:$G$162,$G56),IF(method_reg="Метод сравнения аналогов",SUMIFS(INDEX('Калькуляция (МСА)'!$AE$25:$BC$82,,MATCH(AD$8,'Калькуляция (МСА)'!$AE$8:$BC$8,0)),'Калькуляция (МСА)'!$F$25:$F$82,$F56,'Калькуляция (МСА)'!$G$25:$G$82,$G56),SUMIFS(INDEX('Калькуляция (5.9)'!$AJ$25:$BC$137,,MATCH(AD$8,'Калькуляция (5.9)'!$AJ$8:$BC$8,0)),'Калькуляция (5.9)'!$F$25:$F$137,$F56,'Калькуляция (5.9)'!$G$25:$G$137,$G56)))</f>
        <v>0</v>
      </c>
      <c r="AE56" s="18">
        <f ca="1">IF(method_reg="Метод экономически обоснованных расходов",SUMIFS('Калькуляция (4.6)'!AK$25:AK$162,'Калькуляция (4.6)'!$F$25:$F$162,$F56,'Калькуляция (4.6)'!$G$25:$G$162,$G56),IF(method_reg="Метод сравнения аналогов",SUMIFS(INDEX('Калькуляция (МСА)'!$AE$25:$BC$82,,MATCH(AE$8,'Калькуляция (МСА)'!$AE$8:$BC$8,0)),'Калькуляция (МСА)'!$F$25:$F$82,$F56,'Калькуляция (МСА)'!$G$25:$G$82,$G56),SUMIFS(INDEX('Калькуляция (5.9)'!$AJ$25:$BC$137,,MATCH(AE$8,'Калькуляция (5.9)'!$AJ$8:$BC$8,0)),'Калькуляция (5.9)'!$F$25:$F$137,$F56,'Калькуляция (5.9)'!$G$25:$G$137,$G56)))</f>
        <v>0</v>
      </c>
      <c r="AF56" s="306">
        <f ca="1">IF(AD56=0,0,(AE56-AD56)/AD56*100)</f>
        <v>0</v>
      </c>
      <c r="AG56" s="1215">
        <f ca="1">IF(method_reg="Метод сравнения аналогов",SUMIFS(INDEX('Калькуляция (МСА)'!$AE$25:$BC$82,,MATCH(AG$8,'Калькуляция (МСА)'!$AE$8:$BC$8,0)),'Калькуляция (МСА)'!$F$25:$F$82,$F56,'Калькуляция (МСА)'!$G$25:$G$82,$G56),SUMIFS(INDEX('Калькуляция (5.9)'!$AJ$25:$BC$137,,MATCH(AG$8,'Калькуляция (5.9)'!$AJ$8:$BC$8,0)),'Калькуляция (5.9)'!$F$25:$F$137,$F56,'Калькуляция (5.9)'!$G$25:$G$137,$G56))</f>
        <v>0</v>
      </c>
      <c r="AH56" s="1215">
        <f ca="1">IF(method_reg="Метод сравнения аналогов",SUMIFS(INDEX('Калькуляция (МСА)'!$AE$25:$BC$82,,MATCH(AH$8,'Калькуляция (МСА)'!$AE$8:$BC$8,0)),'Калькуляция (МСА)'!$F$25:$F$82,$F56,'Калькуляция (МСА)'!$G$25:$G$82,$G56),SUMIFS(INDEX('Калькуляция (5.9)'!$AJ$25:$BC$137,,MATCH(AH$8,'Калькуляция (5.9)'!$AJ$8:$BC$8,0)),'Калькуляция (5.9)'!$F$25:$F$137,$F56,'Калькуляция (5.9)'!$G$25:$G$137,$G56))</f>
        <v>0</v>
      </c>
      <c r="AI56" s="306">
        <f ca="1">IF(AG56=0,0,(AH56-AG56)/AG56*100)</f>
        <v>0</v>
      </c>
      <c r="AJ56" s="1215">
        <f ca="1">IF(method_reg="Метод сравнения аналогов",SUMIFS(INDEX('Калькуляция (МСА)'!$AE$25:$BC$82,,MATCH(AJ$8,'Калькуляция (МСА)'!$AE$8:$BC$8,0)),'Калькуляция (МСА)'!$F$25:$F$82,$F56,'Калькуляция (МСА)'!$G$25:$G$82,$G56),SUMIFS(INDEX('Калькуляция (5.9)'!$AJ$25:$BC$137,,MATCH(AJ$8,'Калькуляция (5.9)'!$AJ$8:$BC$8,0)),'Калькуляция (5.9)'!$F$25:$F$137,$F56,'Калькуляция (5.9)'!$G$25:$G$137,$G56))</f>
        <v>0</v>
      </c>
      <c r="AK56" s="1215">
        <f ca="1">IF(method_reg="Метод сравнения аналогов",SUMIFS(INDEX('Калькуляция (МСА)'!$AE$25:$BC$82,,MATCH(AK$8,'Калькуляция (МСА)'!$AE$8:$BC$8,0)),'Калькуляция (МСА)'!$F$25:$F$82,$F56,'Калькуляция (МСА)'!$G$25:$G$82,$G56),SUMIFS(INDEX('Калькуляция (5.9)'!$AJ$25:$BC$137,,MATCH(AK$8,'Калькуляция (5.9)'!$AJ$8:$BC$8,0)),'Калькуляция (5.9)'!$F$25:$F$137,$F56,'Калькуляция (5.9)'!$G$25:$G$137,$G56))</f>
        <v>0</v>
      </c>
      <c r="AL56" s="306">
        <f ca="1">IF(AJ56=0,0,(AK56-AJ56)/AJ56*100)</f>
        <v>0</v>
      </c>
      <c r="AM56" s="18">
        <f ca="1">IF(method_reg="Метод сравнения аналогов",SUMIFS(INDEX('Калькуляция (МСА)'!$AE$25:$BC$82,,MATCH(AM$8,'Калькуляция (МСА)'!$AE$8:$BC$8,0)),'Калькуляция (МСА)'!$F$25:$F$82,$F56,'Калькуляция (МСА)'!$G$25:$G$82,$G56),SUMIFS(INDEX('Калькуляция (5.9)'!$AJ$25:$BC$137,,MATCH(AM$8,'Калькуляция (5.9)'!$AJ$8:$BC$8,0)),'Калькуляция (5.9)'!$F$25:$F$137,$F56,'Калькуляция (5.9)'!$G$25:$G$137,$G56))</f>
        <v>0</v>
      </c>
      <c r="AN56" s="18">
        <f ca="1">IF(method_reg="Метод сравнения аналогов",SUMIFS(INDEX('Калькуляция (МСА)'!$AE$25:$BC$82,,MATCH(AN$8,'Калькуляция (МСА)'!$AE$8:$BC$8,0)),'Калькуляция (МСА)'!$F$25:$F$82,$F56,'Калькуляция (МСА)'!$G$25:$G$82,$G56),SUMIFS(INDEX('Калькуляция (5.9)'!$AJ$25:$BC$137,,MATCH(AN$8,'Калькуляция (5.9)'!$AJ$8:$BC$8,0)),'Калькуляция (5.9)'!$F$25:$F$137,$F56,'Калькуляция (5.9)'!$G$25:$G$137,$G56))</f>
        <v>0</v>
      </c>
      <c r="AO56" s="306">
        <f ca="1">IF(AM56=0,0,(AN56-AM56)/AM56*100)</f>
        <v>0</v>
      </c>
      <c r="AP56" s="18">
        <f ca="1">IF(method_reg="Метод сравнения аналогов",SUMIFS(INDEX('Калькуляция (МСА)'!$AE$25:$BC$82,,MATCH(AP$8,'Калькуляция (МСА)'!$AE$8:$BC$8,0)),'Калькуляция (МСА)'!$F$25:$F$82,$F56,'Калькуляция (МСА)'!$G$25:$G$82,$G56),SUMIFS(INDEX('Калькуляция (5.9)'!$AJ$25:$BC$137,,MATCH(AP$8,'Калькуляция (5.9)'!$AJ$8:$BC$8,0)),'Калькуляция (5.9)'!$F$25:$F$137,$F56,'Калькуляция (5.9)'!$G$25:$G$137,$G56))</f>
        <v>0</v>
      </c>
      <c r="AQ56" s="18">
        <f ca="1">IF(method_reg="Метод сравнения аналогов",SUMIFS(INDEX('Калькуляция (МСА)'!$AE$25:$BC$82,,MATCH(AQ$8,'Калькуляция (МСА)'!$AE$8:$BC$8,0)),'Калькуляция (МСА)'!$F$25:$F$82,$F56,'Калькуляция (МСА)'!$G$25:$G$82,$G56),SUMIFS(INDEX('Калькуляция (5.9)'!$AJ$25:$BC$137,,MATCH(AQ$8,'Калькуляция (5.9)'!$AJ$8:$BC$8,0)),'Калькуляция (5.9)'!$F$25:$F$137,$F56,'Калькуляция (5.9)'!$G$25:$G$137,$G56))</f>
        <v>0</v>
      </c>
      <c r="AR56" s="306">
        <f ca="1">IF(AP56=0,0,(AQ56-AP56)/AP56*100)</f>
        <v>0</v>
      </c>
      <c r="AS56" s="18">
        <f ca="1">IF(method_reg="Метод сравнения аналогов",SUMIFS(INDEX('Калькуляция (МСА)'!$AE$25:$BC$82,,MATCH(AS$8,'Калькуляция (МСА)'!$AE$8:$BC$8,0)),'Калькуляция (МСА)'!$F$25:$F$82,$F56,'Калькуляция (МСА)'!$G$25:$G$82,$G56),SUMIFS(INDEX('Калькуляция (5.9)'!$AJ$25:$BC$137,,MATCH(AS$8,'Калькуляция (5.9)'!$AJ$8:$BC$8,0)),'Калькуляция (5.9)'!$F$25:$F$137,$F56,'Калькуляция (5.9)'!$G$25:$G$137,$G56))</f>
        <v>0</v>
      </c>
      <c r="AT56" s="18">
        <f ca="1">IF(method_reg="Метод сравнения аналогов",SUMIFS(INDEX('Калькуляция (МСА)'!$AE$25:$BC$82,,MATCH(AT$8,'Калькуляция (МСА)'!$AE$8:$BC$8,0)),'Калькуляция (МСА)'!$F$25:$F$82,$F56,'Калькуляция (МСА)'!$G$25:$G$82,$G56),SUMIFS(INDEX('Калькуляция (5.9)'!$AJ$25:$BC$137,,MATCH(AT$8,'Калькуляция (5.9)'!$AJ$8:$BC$8,0)),'Калькуляция (5.9)'!$F$25:$F$137,$F56,'Калькуляция (5.9)'!$G$25:$G$137,$G56))</f>
        <v>0</v>
      </c>
      <c r="AU56" s="306">
        <f ca="1">IF(AS56=0,0,(AT56-AS56)/AS56*100)</f>
        <v>0</v>
      </c>
      <c r="AV56" s="18">
        <f ca="1">IF(method_reg="Метод сравнения аналогов",SUMIFS(INDEX('Калькуляция (МСА)'!$AE$25:$BC$82,,MATCH(AV$8,'Калькуляция (МСА)'!$AE$8:$BC$8,0)),'Калькуляция (МСА)'!$F$25:$F$82,$F56,'Калькуляция (МСА)'!$G$25:$G$82,$G56),SUMIFS(INDEX('Калькуляция (5.9)'!$AJ$25:$BC$137,,MATCH(AV$8,'Калькуляция (5.9)'!$AJ$8:$BC$8,0)),'Калькуляция (5.9)'!$F$25:$F$137,$F56,'Калькуляция (5.9)'!$G$25:$G$137,$G56))</f>
        <v>0</v>
      </c>
      <c r="AW56" s="18">
        <f ca="1">IF(method_reg="Метод сравнения аналогов",SUMIFS(INDEX('Калькуляция (МСА)'!$AE$25:$BC$82,,MATCH(AW$8,'Калькуляция (МСА)'!$AE$8:$BC$8,0)),'Калькуляция (МСА)'!$F$25:$F$82,$F56,'Калькуляция (МСА)'!$G$25:$G$82,$G56),SUMIFS(INDEX('Калькуляция (5.9)'!$AJ$25:$BC$137,,MATCH(AW$8,'Калькуляция (5.9)'!$AJ$8:$BC$8,0)),'Калькуляция (5.9)'!$F$25:$F$137,$F56,'Калькуляция (5.9)'!$G$25:$G$137,$G56))</f>
        <v>0</v>
      </c>
      <c r="AX56" s="306">
        <f ca="1">IF(AV56=0,0,(AW56-AV56)/AV56*100)</f>
        <v>0</v>
      </c>
      <c r="AY56" s="18">
        <f ca="1">IF(method_reg="Метод сравнения аналогов",SUMIFS(INDEX('Калькуляция (МСА)'!$AE$25:$BC$82,,MATCH(AY$8,'Калькуляция (МСА)'!$AE$8:$BC$8,0)),'Калькуляция (МСА)'!$F$25:$F$82,$F56,'Калькуляция (МСА)'!$G$25:$G$82,$G56),SUMIFS(INDEX('Калькуляция (5.9)'!$AJ$25:$BC$137,,MATCH(AY$8,'Калькуляция (5.9)'!$AJ$8:$BC$8,0)),'Калькуляция (5.9)'!$F$25:$F$137,$F56,'Калькуляция (5.9)'!$G$25:$G$137,$G56))</f>
        <v>0</v>
      </c>
      <c r="AZ56" s="18">
        <f ca="1">IF(method_reg="Метод сравнения аналогов",SUMIFS(INDEX('Калькуляция (МСА)'!$AE$25:$BC$82,,MATCH(AZ$8,'Калькуляция (МСА)'!$AE$8:$BC$8,0)),'Калькуляция (МСА)'!$F$25:$F$82,$F56,'Калькуляция (МСА)'!$G$25:$G$82,$G56),SUMIFS(INDEX('Калькуляция (5.9)'!$AJ$25:$BC$137,,MATCH(AZ$8,'Калькуляция (5.9)'!$AJ$8:$BC$8,0)),'Калькуляция (5.9)'!$F$25:$F$137,$F56,'Калькуляция (5.9)'!$G$25:$G$137,$G56))</f>
        <v>0</v>
      </c>
      <c r="BA56" s="306">
        <f ca="1">IF(AY56=0,0,(AZ56-AY56)/AY56*100)</f>
        <v>0</v>
      </c>
      <c r="BB56" s="18">
        <f ca="1">IF(method_reg="Метод сравнения аналогов",SUMIFS(INDEX('Калькуляция (МСА)'!$AE$25:$BC$82,,MATCH(BB$8,'Калькуляция (МСА)'!$AE$8:$BC$8,0)),'Калькуляция (МСА)'!$F$25:$F$82,$F56,'Калькуляция (МСА)'!$G$25:$G$82,$G56),SUMIFS(INDEX('Калькуляция (5.9)'!$AJ$25:$BC$137,,MATCH(BB$8,'Калькуляция (5.9)'!$AJ$8:$BC$8,0)),'Калькуляция (5.9)'!$F$25:$F$137,$F56,'Калькуляция (5.9)'!$G$25:$G$137,$G56))</f>
        <v>0</v>
      </c>
      <c r="BC56" s="18">
        <f ca="1">IF(method_reg="Метод сравнения аналогов",SUMIFS(INDEX('Калькуляция (МСА)'!$AE$25:$BC$82,,MATCH(BC$8,'Калькуляция (МСА)'!$AE$8:$BC$8,0)),'Калькуляция (МСА)'!$F$25:$F$82,$F56,'Калькуляция (МСА)'!$G$25:$G$82,$G56),SUMIFS(INDEX('Калькуляция (5.9)'!$AJ$25:$BC$137,,MATCH(BC$8,'Калькуляция (5.9)'!$AJ$8:$BC$8,0)),'Калькуляция (5.9)'!$F$25:$F$137,$F56,'Калькуляция (5.9)'!$G$25:$G$137,$G56))</f>
        <v>0</v>
      </c>
      <c r="BD56" s="306">
        <f ca="1">IF(BB56=0,0,(BC56-BB56)/BB56*100)</f>
        <v>0</v>
      </c>
      <c r="BE56" s="18">
        <f ca="1">IF(method_reg="Метод сравнения аналогов",SUMIFS(INDEX('Калькуляция (МСА)'!$AE$25:$BC$82,,MATCH(BE$8,'Калькуляция (МСА)'!$AE$8:$BC$8,0)),'Калькуляция (МСА)'!$F$25:$F$82,$F56,'Калькуляция (МСА)'!$G$25:$G$82,$G56),SUMIFS(INDEX('Калькуляция (5.9)'!$AJ$25:$BC$137,,MATCH(BE$8,'Калькуляция (5.9)'!$AJ$8:$BC$8,0)),'Калькуляция (5.9)'!$F$25:$F$137,$F56,'Калькуляция (5.9)'!$G$25:$G$137,$G56))</f>
        <v>0</v>
      </c>
      <c r="BF56" s="18">
        <f ca="1">IF(method_reg="Метод сравнения аналогов",SUMIFS(INDEX('Калькуляция (МСА)'!$AE$25:$BC$82,,MATCH(BF$8,'Калькуляция (МСА)'!$AE$8:$BC$8,0)),'Калькуляция (МСА)'!$F$25:$F$82,$F56,'Калькуляция (МСА)'!$G$25:$G$82,$G56),SUMIFS(INDEX('Калькуляция (5.9)'!$AJ$25:$BC$137,,MATCH(BF$8,'Калькуляция (5.9)'!$AJ$8:$BC$8,0)),'Калькуляция (5.9)'!$F$25:$F$137,$F56,'Калькуляция (5.9)'!$G$25:$G$137,$G56))</f>
        <v>0</v>
      </c>
      <c r="BG56" s="306">
        <f ca="1">IF(BE56=0,0,(BF56-BE56)/BE56*100)</f>
        <v>0</v>
      </c>
      <c r="BH56" s="18">
        <f>IF(BH58=0,0,(BH57*BH58+BH59*BH60*6)/BH58)</f>
        <v>0</v>
      </c>
      <c r="BI56" s="18">
        <f>IF(BI58=0,0,(BI57*BI58+BI59*BI60*6)/BI58)</f>
        <v>0</v>
      </c>
      <c r="BJ56" s="306">
        <f>IF(BH56=0,0,(BI56-BH56)/BH56*100)</f>
        <v>0</v>
      </c>
      <c r="BK56" s="18">
        <f>IF(BK58=0,0,(BK57*BK58+BK59*BK60*6)/BK58)</f>
        <v>0</v>
      </c>
      <c r="BL56" s="18">
        <f>IF(BL58=0,0,(BL57*BL58+BL59*BL60*6)/BL58)</f>
        <v>0</v>
      </c>
      <c r="BM56" s="306">
        <f>IF(BK56=0,0,(BL56-BK56)/BK56*100)</f>
        <v>0</v>
      </c>
      <c r="BN56" s="18">
        <f>IF(BN58=0,0,(BN57*BN58+BN59*BN60*6)/BN58)</f>
        <v>0</v>
      </c>
      <c r="BO56" s="18">
        <f>IF(BO58=0,0,(BO57*BO58+BO59*BO60*6)/BO58)</f>
        <v>0</v>
      </c>
      <c r="BP56" s="306">
        <f>IF(BN56=0,0,(BO56-BN56)/BN56*100)</f>
        <v>0</v>
      </c>
      <c r="BQ56" s="18">
        <f>IF(BQ58=0,0,(BQ57*BQ58+BQ59*BQ60*6)/BQ58)</f>
        <v>0</v>
      </c>
      <c r="BR56" s="18">
        <f>IF(BR58=0,0,(BR57*BR58+BR59*BR60*6)/BR58)</f>
        <v>0</v>
      </c>
      <c r="BS56" s="306">
        <f>IF(BQ56=0,0,(BR56-BQ56)/BQ56*100)</f>
        <v>0</v>
      </c>
      <c r="BT56" s="18">
        <f>IF(BT58=0,0,(BT57*BT58+BT59*BT60*6)/BT58)</f>
        <v>0</v>
      </c>
      <c r="BU56" s="18">
        <f>IF(BU58=0,0,(BU57*BU58+BU59*BU60*6)/BU58)</f>
        <v>0</v>
      </c>
      <c r="BV56" s="306">
        <f>IF(BT56=0,0,(BU56-BT56)/BT56*100)</f>
        <v>0</v>
      </c>
      <c r="BW56" s="18">
        <f>IF(BW58=0,0,(BW57*BW58+BW59*BW60*6)/BW58)</f>
        <v>0</v>
      </c>
      <c r="BX56" s="18">
        <f>IF(BX58=0,0,(BX57*BX58+BX59*BX60*6)/BX58)</f>
        <v>0</v>
      </c>
      <c r="BY56" s="306">
        <f>IF(BW56=0,0,(BX56-BW56)/BW56*100)</f>
        <v>0</v>
      </c>
      <c r="BZ56" s="18">
        <f>IF(BZ58=0,0,(BZ57*BZ58+BZ59*BZ60*6)/BZ58)</f>
        <v>0</v>
      </c>
      <c r="CA56" s="18">
        <f>IF(CA58=0,0,(CA57*CA58+CA59*CA60*6)/CA58)</f>
        <v>0</v>
      </c>
      <c r="CB56" s="306">
        <f>IF(BZ56=0,0,(CA56-BZ56)/BZ56*100)</f>
        <v>0</v>
      </c>
      <c r="CC56" s="18">
        <f>IF(CC58=0,0,(CC57*CC58+CC59*CC60*6)/CC58)</f>
        <v>0</v>
      </c>
      <c r="CD56" s="18">
        <f>IF(CD58=0,0,(CD57*CD58+CD59*CD60*6)/CD58)</f>
        <v>0</v>
      </c>
      <c r="CE56" s="306">
        <f>IF(CC56=0,0,(CD56-CC56)/CC56*100)</f>
        <v>0</v>
      </c>
      <c r="CF56" s="18">
        <f>IF(CF58=0,0,(CF57*CF58+CF59*CF60*6)/CF58)</f>
        <v>0</v>
      </c>
      <c r="CG56" s="18">
        <f>IF(CG58=0,0,(CG57*CG58+CG59*CG60*6)/CG58)</f>
        <v>0</v>
      </c>
      <c r="CH56" s="306">
        <f>IF(CF56=0,0,(CG56-CF56)/CF56*100)</f>
        <v>0</v>
      </c>
      <c r="CI56" s="18">
        <f>IF(CI58=0,0,(CI57*CI58+CI59*CI60*6)/CI58)</f>
        <v>0</v>
      </c>
      <c r="CJ56" s="18">
        <f>IF(CJ58=0,0,(CJ57*CJ58+CJ59*CJ60*6)/CJ58)</f>
        <v>0</v>
      </c>
      <c r="CK56" s="306">
        <f>IF(CI56=0,0,(CJ56-CI56)/CI56*100)</f>
        <v>0</v>
      </c>
      <c r="CL56" s="18">
        <f>IF(CL58=0,0,(CL57*CL58+CL59*CL60*6)/CL58)</f>
        <v>0</v>
      </c>
      <c r="CM56" s="18">
        <f>IF(CM58=0,0,(CM57*CM58+CM59*CM60*6)/CM58)</f>
        <v>0</v>
      </c>
      <c r="CN56" s="306">
        <f>IF(CL56=0,0,(CM56-CL56)/CL56*100)</f>
        <v>0</v>
      </c>
      <c r="CO56" s="18">
        <f>IF(CO58=0,0,(CO57*CO58+CO59*CO60*6)/CO58)</f>
        <v>0</v>
      </c>
      <c r="CP56" s="18">
        <f>IF(CP58=0,0,(CP57*CP58+CP59*CP60*6)/CP58)</f>
        <v>0</v>
      </c>
      <c r="CQ56" s="306">
        <f>IF(CO56=0,0,(CP56-CO56)/CO56*100)</f>
        <v>0</v>
      </c>
      <c r="CR56" s="18">
        <f>IF(CR58=0,0,(CR57*CR58+CR59*CR60*6)/CR58)</f>
        <v>0</v>
      </c>
      <c r="CS56" s="18">
        <f>IF(CS58=0,0,(CS57*CS58+CS59*CS60*6)/CS58)</f>
        <v>0</v>
      </c>
      <c r="CT56" s="306">
        <f>IF(CR56=0,0,(CS56-CR56)/CR56*100)</f>
        <v>0</v>
      </c>
      <c r="CU56" s="18">
        <f>IF(CU58=0,0,(CU57*CU58+CU59*CU60*6)/CU58)</f>
        <v>0</v>
      </c>
      <c r="CV56" s="18">
        <f>IF(CV58=0,0,(CV57*CV58+CV59*CV60*6)/CV58)</f>
        <v>0</v>
      </c>
      <c r="CW56" s="306">
        <f>IF(CU56=0,0,(CV56-CU56)/CU56*100)</f>
        <v>0</v>
      </c>
      <c r="CX56" s="18">
        <f>IF(CX58=0,0,(CX57*CX58+CX59*CX60*6)/CX58)</f>
        <v>0</v>
      </c>
      <c r="CY56" s="18">
        <f>IF(CY58=0,0,(CY57*CY58+CY59*CY60*6)/CY58)</f>
        <v>0</v>
      </c>
      <c r="CZ56" s="306">
        <f>IF(CX56=0,0,(CY56-CX56)/CX56*100)</f>
        <v>0</v>
      </c>
      <c r="DA56" s="18">
        <f>IF(DA58=0,0,(DA57*DA58+DA59*DA60*6)/DA58)</f>
        <v>0</v>
      </c>
      <c r="DB56" s="18">
        <f>IF(DB58=0,0,(DB57*DB58+DB59*DB60*6)/DB58)</f>
        <v>0</v>
      </c>
      <c r="DC56" s="306">
        <f>IF(DA56=0,0,(DB56-DA56)/DA56*100)</f>
        <v>0</v>
      </c>
      <c r="DD56" s="18">
        <f>IF(DD58=0,0,(DD57*DD58+DD59*DD60*6)/DD58)</f>
        <v>0</v>
      </c>
      <c r="DE56" s="18">
        <f>IF(DE58=0,0,(DE57*DE58+DE59*DE60*6)/DE58)</f>
        <v>0</v>
      </c>
      <c r="DF56" s="306">
        <f>IF(DD56=0,0,(DE56-DD56)/DD56*100)</f>
        <v>0</v>
      </c>
      <c r="DG56" s="18">
        <f>IF(DG58=0,0,(DG57*DG58+DG59*DG60*6)/DG58)</f>
        <v>0</v>
      </c>
      <c r="DH56" s="18">
        <f>IF(DH58=0,0,(DH57*DH58+DH59*DH60*6)/DH58)</f>
        <v>0</v>
      </c>
      <c r="DI56" s="306">
        <f>IF(DG56=0,0,(DH56-DG56)/DG56*100)</f>
        <v>0</v>
      </c>
      <c r="DJ56" s="18">
        <f>IF(DJ58=0,0,(DJ57*DJ58+DJ59*DJ60*6)/DJ58)</f>
        <v>0</v>
      </c>
      <c r="DK56" s="18">
        <f>IF(DK58=0,0,(DK57*DK58+DK59*DK60*6)/DK58)</f>
        <v>0</v>
      </c>
      <c r="DL56" s="306">
        <f>IF(DJ56=0,0,(DK56-DJ56)/DJ56*100)</f>
        <v>0</v>
      </c>
      <c r="DM56" s="18">
        <f>IF(DM58=0,0,(DM57*DM58+DM59*DM60*6)/DM58)</f>
        <v>0</v>
      </c>
      <c r="DN56" s="18">
        <f>IF(DN58=0,0,(DN57*DN58+DN59*DN60*6)/DN58)</f>
        <v>0</v>
      </c>
      <c r="DO56" s="306">
        <f>IF(DM56=0,0,(DN56-DM56)/DM56*100)</f>
        <v>0</v>
      </c>
      <c r="DP56" s="18">
        <f>IF(DP58=0,0,(DP57*DP58+DP59*DP60*6)/DP58)</f>
        <v>0</v>
      </c>
      <c r="DQ56" s="18">
        <f>IF(DQ58=0,0,(DQ57*DQ58+DQ59*DQ60*6)/DQ58)</f>
        <v>0</v>
      </c>
      <c r="DR56" s="306">
        <f>IF(DP56=0,0,(DQ56-DP56)/DP56*100)</f>
        <v>0</v>
      </c>
      <c r="DS56" s="18">
        <f>IF(DS58=0,0,(DS57*DS58+DS59*DS60*6)/DS58)</f>
        <v>0</v>
      </c>
      <c r="DT56" s="18">
        <f>IF(DT58=0,0,(DT57*DT58+DT59*DT60*6)/DT58)</f>
        <v>0</v>
      </c>
      <c r="DU56" s="306">
        <f>IF(DS56=0,0,(DT56-DS56)/DS56*100)</f>
        <v>0</v>
      </c>
      <c r="DV56" s="18">
        <f>IF(DV58=0,0,(DV57*DV58+DV59*DV60*6)/DV58)</f>
        <v>0</v>
      </c>
      <c r="DW56" s="18">
        <f>IF(DW58=0,0,(DW57*DW58+DW59*DW60*6)/DW58)</f>
        <v>0</v>
      </c>
      <c r="DX56" s="306">
        <f>IF(DV56=0,0,(DW56-DV56)/DV56*100)</f>
        <v>0</v>
      </c>
      <c r="DY56" s="18">
        <f>IF(DY58=0,0,(DY57*DY58+DY59*DY60*6)/DY58)</f>
        <v>0</v>
      </c>
      <c r="DZ56" s="18">
        <f>IF(DZ58=0,0,(DZ57*DZ58+DZ59*DZ60*6)/DZ58)</f>
        <v>0</v>
      </c>
      <c r="EA56" s="306">
        <f>IF(DY56=0,0,(DZ56-DY56)/DY56*100)</f>
        <v>0</v>
      </c>
      <c r="EB56" s="18">
        <f>IF(EB58=0,0,(EB57*EB58+EB59*EB60*6)/EB58)</f>
        <v>0</v>
      </c>
      <c r="EC56" s="18">
        <f>IF(EC58=0,0,(EC57*EC58+EC59*EC60*6)/EC58)</f>
        <v>0</v>
      </c>
      <c r="ED56" s="306">
        <f>IF(EB56=0,0,(EC56-EB56)/EB56*100)</f>
        <v>0</v>
      </c>
      <c r="EE56" s="18">
        <f>IF(EE58=0,0,(EE57*EE58+EE59*EE60*6)/EE58)</f>
        <v>0</v>
      </c>
      <c r="EF56" s="18">
        <f>IF(EF58=0,0,(EF57*EF58+EF59*EF60*6)/EF58)</f>
        <v>0</v>
      </c>
      <c r="EG56" s="306">
        <f>IF(EE56=0,0,(EF56-EE56)/EE56*100)</f>
        <v>0</v>
      </c>
      <c r="EH56" s="18">
        <f>IF(EH58=0,0,(EH57*EH58+EH59*EH60*6)/EH58)</f>
        <v>0</v>
      </c>
      <c r="EI56" s="18">
        <f>IF(EI58=0,0,(EI57*EI58+EI59*EI60*6)/EI58)</f>
        <v>0</v>
      </c>
      <c r="EJ56" s="306">
        <f>IF(EH56=0,0,(EI56-EH56)/EH56*100)</f>
        <v>0</v>
      </c>
      <c r="EK56" s="18">
        <f>IF(EK58=0,0,(EK57*EK58+EK59*EK60*6)/EK58)</f>
        <v>0</v>
      </c>
      <c r="EL56" s="18">
        <f>IF(EL58=0,0,(EL57*EL58+EL59*EL60*6)/EL58)</f>
        <v>0</v>
      </c>
      <c r="EM56" s="306">
        <f>IF(EK56=0,0,(EL56-EK56)/EK56*100)</f>
        <v>0</v>
      </c>
      <c r="EN56" s="18">
        <f>IF(EN58=0,0,(EN57*EN58+EN59*EN60*6)/EN58)</f>
        <v>0</v>
      </c>
      <c r="EO56" s="18">
        <f>IF(EO58=0,0,(EO57*EO58+EO59*EO60*6)/EO58)</f>
        <v>0</v>
      </c>
      <c r="EP56" s="306">
        <f>IF(EN56=0,0,(EO56-EN56)/EN56*100)</f>
        <v>0</v>
      </c>
      <c r="EQ56" s="18">
        <f>IF(EQ58=0,0,(EQ57*EQ58+EQ59*EQ60*6)/EQ58)</f>
        <v>0</v>
      </c>
      <c r="ER56" s="18">
        <f>IF(ER58=0,0,(ER57*ER58+ER59*ER60*6)/ER58)</f>
        <v>0</v>
      </c>
      <c r="ES56" s="306">
        <f>IF(EQ56=0,0,(ER56-EQ56)/EQ56*100)</f>
        <v>0</v>
      </c>
      <c r="ET56" s="18">
        <f>IF(ET58=0,0,(ET57*ET58+ET59*ET60*6)/ET58)</f>
        <v>0</v>
      </c>
      <c r="EU56" s="18">
        <f>IF(EU58=0,0,(EU57*EU58+EU59*EU60*6)/EU58)</f>
        <v>0</v>
      </c>
      <c r="EV56" s="306">
        <f>IF(ET56=0,0,(EU56-ET56)/ET56*100)</f>
        <v>0</v>
      </c>
      <c r="EW56" s="18">
        <f>IF(EW58=0,0,(EW57*EW58+EW59*EW60*6)/EW58)</f>
        <v>0</v>
      </c>
      <c r="EX56" s="18">
        <f>IF(EX58=0,0,(EX57*EX58+EX59*EX60*6)/EX58)</f>
        <v>0</v>
      </c>
      <c r="EY56" s="306">
        <f>IF(EW56=0,0,(EX56-EW56)/EW56*100)</f>
        <v>0</v>
      </c>
      <c r="EZ56" s="18">
        <f>IF(EZ58=0,0,(EZ57*EZ58+EZ59*EZ60*6)/EZ58)</f>
        <v>0</v>
      </c>
      <c r="FA56" s="18">
        <f>IF(FA58=0,0,(FA57*FA58+FA59*FA60*6)/FA58)</f>
        <v>0</v>
      </c>
      <c r="FB56" s="306">
        <f>IF(EZ56=0,0,(FA56-EZ56)/EZ56*100)</f>
        <v>0</v>
      </c>
      <c r="FC56" s="18">
        <f>IF(FC58=0,0,(FC57*FC58+FC59*FC60*6)/FC58)</f>
        <v>0</v>
      </c>
      <c r="FD56" s="18">
        <f>IF(FD58=0,0,(FD57*FD58+FD59*FD60*6)/FD58)</f>
        <v>0</v>
      </c>
      <c r="FE56" s="306">
        <f>IF(FC56=0,0,(FD56-FC56)/FC56*100)</f>
        <v>0</v>
      </c>
      <c r="FF56" s="18">
        <f>IF(FF58=0,0,(FF57*FF58+FF59*FF60*6)/FF58)</f>
        <v>0</v>
      </c>
      <c r="FG56" s="18">
        <f>IF(FG58=0,0,(FG57*FG58+FG59*FG60*6)/FG58)</f>
        <v>0</v>
      </c>
      <c r="FH56" s="306">
        <f>IF(FF56=0,0,(FG56-FF56)/FF56*100)</f>
        <v>0</v>
      </c>
      <c r="FI56" s="18">
        <f>IF(FI58=0,0,(FI57*FI58+FI59*FI60*6)/FI58)</f>
        <v>0</v>
      </c>
      <c r="FJ56" s="18">
        <f>IF(FJ58=0,0,(FJ57*FJ58+FJ59*FJ60*6)/FJ58)</f>
        <v>0</v>
      </c>
      <c r="FK56" s="306">
        <f>IF(FI56=0,0,(FJ56-FI56)/FI56*100)</f>
        <v>0</v>
      </c>
      <c r="FL56" s="18">
        <f>IF(FL58=0,0,(FL57*FL58+FL59*FL60*6)/FL58)</f>
        <v>0</v>
      </c>
      <c r="FM56" s="18">
        <f>IF(FM58=0,0,(FM57*FM58+FM59*FM60*6)/FM58)</f>
        <v>0</v>
      </c>
      <c r="FN56" s="306">
        <f>IF(FL56=0,0,(FM56-FL56)/FL56*100)</f>
        <v>0</v>
      </c>
      <c r="FO56" s="18">
        <f>IF(FO58=0,0,(FO57*FO58+FO59*FO60*6)/FO58)</f>
        <v>0</v>
      </c>
      <c r="FP56" s="18">
        <f>IF(FP58=0,0,(FP57*FP58+FP59*FP60*6)/FP58)</f>
        <v>0</v>
      </c>
      <c r="FQ56" s="306">
        <f>IF(FO56=0,0,(FP56-FO56)/FO56*100)</f>
        <v>0</v>
      </c>
      <c r="FR56" s="18">
        <f>IF(FR58=0,0,(FR57*FR58+FR59*FR60*6)/FR58)</f>
        <v>0</v>
      </c>
      <c r="FS56" s="18">
        <f>IF(FS58=0,0,(FS57*FS58+FS59*FS60*6)/FS58)</f>
        <v>0</v>
      </c>
      <c r="FT56" s="306">
        <f>IF(FR56=0,0,(FS56-FR56)/FR56*100)</f>
        <v>0</v>
      </c>
      <c r="FU56" s="18">
        <f>IF(FU58=0,0,(FU57*FU58+FU59*FU60*6)/FU58)</f>
        <v>0</v>
      </c>
      <c r="FV56" s="18">
        <f>IF(FV58=0,0,(FV57*FV58+FV59*FV60*6)/FV58)</f>
        <v>0</v>
      </c>
      <c r="FW56" s="306">
        <f>IF(FU56=0,0,(FV56-FU56)/FU56*100)</f>
        <v>0</v>
      </c>
      <c r="FZ56" s="971" t="s">
        <v>2184</v>
      </c>
      <c r="GA56" s="971"/>
      <c r="GB56" s="971"/>
      <c r="GC56" s="971"/>
      <c r="GD56" s="971"/>
    </row>
    <row r="57" spans="2:186" ht="15.4" hidden="1" customHeight="1" x14ac:dyDescent="0.15">
      <c r="B57" s="803" t="b" cm="1">
        <f t="array" ref="B57">B56</f>
        <v>0</v>
      </c>
      <c r="C57" s="1108" t="s">
        <v>2165</v>
      </c>
      <c r="D57" s="1077" t="s">
        <v>2166</v>
      </c>
      <c r="E57" s="668">
        <v>15.8</v>
      </c>
      <c r="F57" s="769" cm="1">
        <f t="array" aca="1" ref="F57" ca="1">OFFSET(G57,-1,-1)</f>
        <v>0</v>
      </c>
      <c r="G57" s="612" t="s">
        <v>1791</v>
      </c>
      <c r="H57" s="160" t="s">
        <v>2167</v>
      </c>
      <c r="I57" s="160" t="s">
        <v>2121</v>
      </c>
      <c r="J57" s="1098"/>
      <c r="K57" s="1098" cm="1">
        <f t="array" aca="1" ref="K57" ca="1">OFFSET(J57,-1,1)</f>
        <v>0</v>
      </c>
      <c r="L57" s="1098"/>
      <c r="M57" s="1098" t="s">
        <v>1759</v>
      </c>
      <c r="N57" s="1098" t="s">
        <v>2117</v>
      </c>
      <c r="O57" s="1099" t="s">
        <v>2118</v>
      </c>
      <c r="P57" s="1098" t="s">
        <v>2168</v>
      </c>
      <c r="Q57" s="1098"/>
      <c r="T57" s="679" t="b" cm="1">
        <f t="array" aca="1" ref="T57" ca="1">T56</f>
        <v>0</v>
      </c>
      <c r="X57" s="1485"/>
      <c r="Z57" s="1485"/>
      <c r="AB57" s="220" t="s">
        <v>2169</v>
      </c>
      <c r="AC57" s="120" t="s">
        <v>920</v>
      </c>
      <c r="AD57" s="18">
        <f ca="1">IF(method_reg="Метод экономически обоснованных расходов",SUMIFS('Калькуляция (4.6)'!AJ$25:AJ$162,'Калькуляция (4.6)'!$F$25:$F$162,$F57,'Калькуляция (4.6)'!$G$25:$G$162,$G57),IF(method_reg="Метод сравнения аналогов",SUMIFS(INDEX('Калькуляция (МСА)'!$AE$25:$BC$82,,MATCH(AD$8,'Калькуляция (МСА)'!$AE$8:$BC$8,0)),'Калькуляция (МСА)'!$F$25:$F$82,$F57,'Калькуляция (МСА)'!$G$25:$G$82,$G57),SUMIFS(INDEX('Калькуляция (5.9)'!$AJ$25:$BC$137,,MATCH(AD$8,'Калькуляция (5.9)'!$AJ$8:$BC$8,0)),'Калькуляция (5.9)'!$F$25:$F$137,$F57,'Калькуляция (5.9)'!$G$25:$G$137,$G57)))</f>
        <v>0</v>
      </c>
      <c r="AE57" s="18">
        <f ca="1">IF(method_reg="Метод экономически обоснованных расходов",SUMIFS('Калькуляция (4.6)'!AK$25:AK$162,'Калькуляция (4.6)'!$F$25:$F$162,$F57,'Калькуляция (4.6)'!$G$25:$G$162,$G57),IF(method_reg="Метод сравнения аналогов",SUMIFS(INDEX('Калькуляция (МСА)'!$AE$25:$BC$82,,MATCH(AE$8,'Калькуляция (МСА)'!$AE$8:$BC$8,0)),'Калькуляция (МСА)'!$F$25:$F$82,$F57,'Калькуляция (МСА)'!$G$25:$G$82,$G57),SUMIFS(INDEX('Калькуляция (5.9)'!$AJ$25:$BC$137,,MATCH(AE$8,'Калькуляция (5.9)'!$AJ$8:$BC$8,0)),'Калькуляция (5.9)'!$F$25:$F$137,$F57,'Калькуляция (5.9)'!$G$25:$G$137,$G57)))</f>
        <v>0</v>
      </c>
      <c r="AF57" s="306">
        <f ca="1">IF(AD57=0,0,(AE57-AD57)/AD57*100)</f>
        <v>0</v>
      </c>
      <c r="AG57" s="1215">
        <f ca="1">IF(method_reg="Метод сравнения аналогов",SUMIFS(INDEX('Калькуляция (МСА)'!$AE$25:$BC$82,,MATCH(AG$8,'Калькуляция (МСА)'!$AE$8:$BC$8,0)),'Калькуляция (МСА)'!$F$25:$F$82,$F57,'Калькуляция (МСА)'!$G$25:$G$82,$G57),SUMIFS(INDEX('Калькуляция (5.9)'!$AJ$25:$BC$137,,MATCH(AG$8,'Калькуляция (5.9)'!$AJ$8:$BC$8,0)),'Калькуляция (5.9)'!$F$25:$F$137,$F57,'Калькуляция (5.9)'!$G$25:$G$137,$G57))</f>
        <v>0</v>
      </c>
      <c r="AH57" s="1215">
        <f ca="1">IF(method_reg="Метод сравнения аналогов",SUMIFS(INDEX('Калькуляция (МСА)'!$AE$25:$BC$82,,MATCH(AH$8,'Калькуляция (МСА)'!$AE$8:$BC$8,0)),'Калькуляция (МСА)'!$F$25:$F$82,$F57,'Калькуляция (МСА)'!$G$25:$G$82,$G57),SUMIFS(INDEX('Калькуляция (5.9)'!$AJ$25:$BC$137,,MATCH(AH$8,'Калькуляция (5.9)'!$AJ$8:$BC$8,0)),'Калькуляция (5.9)'!$F$25:$F$137,$F57,'Калькуляция (5.9)'!$G$25:$G$137,$G57))</f>
        <v>0</v>
      </c>
      <c r="AI57" s="306">
        <f ca="1">IF(AG57=0,0,(AH57-AG57)/AG57*100)</f>
        <v>0</v>
      </c>
      <c r="AJ57" s="1215">
        <f ca="1">IF(method_reg="Метод сравнения аналогов",SUMIFS(INDEX('Калькуляция (МСА)'!$AE$25:$BC$82,,MATCH(AJ$8,'Калькуляция (МСА)'!$AE$8:$BC$8,0)),'Калькуляция (МСА)'!$F$25:$F$82,$F57,'Калькуляция (МСА)'!$G$25:$G$82,$G57),SUMIFS(INDEX('Калькуляция (5.9)'!$AJ$25:$BC$137,,MATCH(AJ$8,'Калькуляция (5.9)'!$AJ$8:$BC$8,0)),'Калькуляция (5.9)'!$F$25:$F$137,$F57,'Калькуляция (5.9)'!$G$25:$G$137,$G57))</f>
        <v>0</v>
      </c>
      <c r="AK57" s="1215">
        <f ca="1">IF(method_reg="Метод сравнения аналогов",SUMIFS(INDEX('Калькуляция (МСА)'!$AE$25:$BC$82,,MATCH(AK$8,'Калькуляция (МСА)'!$AE$8:$BC$8,0)),'Калькуляция (МСА)'!$F$25:$F$82,$F57,'Калькуляция (МСА)'!$G$25:$G$82,$G57),SUMIFS(INDEX('Калькуляция (5.9)'!$AJ$25:$BC$137,,MATCH(AK$8,'Калькуляция (5.9)'!$AJ$8:$BC$8,0)),'Калькуляция (5.9)'!$F$25:$F$137,$F57,'Калькуляция (5.9)'!$G$25:$G$137,$G57))</f>
        <v>0</v>
      </c>
      <c r="AL57" s="306">
        <f ca="1">IF(AJ57=0,0,(AK57-AJ57)/AJ57*100)</f>
        <v>0</v>
      </c>
      <c r="AM57" s="18">
        <f ca="1">IF(method_reg="Метод сравнения аналогов",SUMIFS(INDEX('Калькуляция (МСА)'!$AE$25:$BC$82,,MATCH(AM$8,'Калькуляция (МСА)'!$AE$8:$BC$8,0)),'Калькуляция (МСА)'!$F$25:$F$82,$F57,'Калькуляция (МСА)'!$G$25:$G$82,$G57),SUMIFS(INDEX('Калькуляция (5.9)'!$AJ$25:$BC$137,,MATCH(AM$8,'Калькуляция (5.9)'!$AJ$8:$BC$8,0)),'Калькуляция (5.9)'!$F$25:$F$137,$F57,'Калькуляция (5.9)'!$G$25:$G$137,$G57))</f>
        <v>0</v>
      </c>
      <c r="AN57" s="18">
        <f ca="1">IF(method_reg="Метод сравнения аналогов",SUMIFS(INDEX('Калькуляция (МСА)'!$AE$25:$BC$82,,MATCH(AN$8,'Калькуляция (МСА)'!$AE$8:$BC$8,0)),'Калькуляция (МСА)'!$F$25:$F$82,$F57,'Калькуляция (МСА)'!$G$25:$G$82,$G57),SUMIFS(INDEX('Калькуляция (5.9)'!$AJ$25:$BC$137,,MATCH(AN$8,'Калькуляция (5.9)'!$AJ$8:$BC$8,0)),'Калькуляция (5.9)'!$F$25:$F$137,$F57,'Калькуляция (5.9)'!$G$25:$G$137,$G57))</f>
        <v>0</v>
      </c>
      <c r="AO57" s="306">
        <f ca="1">IF(AM57=0,0,(AN57-AM57)/AM57*100)</f>
        <v>0</v>
      </c>
      <c r="AP57" s="18">
        <f ca="1">IF(method_reg="Метод сравнения аналогов",SUMIFS(INDEX('Калькуляция (МСА)'!$AE$25:$BC$82,,MATCH(AP$8,'Калькуляция (МСА)'!$AE$8:$BC$8,0)),'Калькуляция (МСА)'!$F$25:$F$82,$F57,'Калькуляция (МСА)'!$G$25:$G$82,$G57),SUMIFS(INDEX('Калькуляция (5.9)'!$AJ$25:$BC$137,,MATCH(AP$8,'Калькуляция (5.9)'!$AJ$8:$BC$8,0)),'Калькуляция (5.9)'!$F$25:$F$137,$F57,'Калькуляция (5.9)'!$G$25:$G$137,$G57))</f>
        <v>0</v>
      </c>
      <c r="AQ57" s="18">
        <f ca="1">IF(method_reg="Метод сравнения аналогов",SUMIFS(INDEX('Калькуляция (МСА)'!$AE$25:$BC$82,,MATCH(AQ$8,'Калькуляция (МСА)'!$AE$8:$BC$8,0)),'Калькуляция (МСА)'!$F$25:$F$82,$F57,'Калькуляция (МСА)'!$G$25:$G$82,$G57),SUMIFS(INDEX('Калькуляция (5.9)'!$AJ$25:$BC$137,,MATCH(AQ$8,'Калькуляция (5.9)'!$AJ$8:$BC$8,0)),'Калькуляция (5.9)'!$F$25:$F$137,$F57,'Калькуляция (5.9)'!$G$25:$G$137,$G57))</f>
        <v>0</v>
      </c>
      <c r="AR57" s="306">
        <f ca="1">IF(AP57=0,0,(AQ57-AP57)/AP57*100)</f>
        <v>0</v>
      </c>
      <c r="AS57" s="18">
        <f ca="1">IF(method_reg="Метод сравнения аналогов",SUMIFS(INDEX('Калькуляция (МСА)'!$AE$25:$BC$82,,MATCH(AS$8,'Калькуляция (МСА)'!$AE$8:$BC$8,0)),'Калькуляция (МСА)'!$F$25:$F$82,$F57,'Калькуляция (МСА)'!$G$25:$G$82,$G57),SUMIFS(INDEX('Калькуляция (5.9)'!$AJ$25:$BC$137,,MATCH(AS$8,'Калькуляция (5.9)'!$AJ$8:$BC$8,0)),'Калькуляция (5.9)'!$F$25:$F$137,$F57,'Калькуляция (5.9)'!$G$25:$G$137,$G57))</f>
        <v>0</v>
      </c>
      <c r="AT57" s="18">
        <f ca="1">IF(method_reg="Метод сравнения аналогов",SUMIFS(INDEX('Калькуляция (МСА)'!$AE$25:$BC$82,,MATCH(AT$8,'Калькуляция (МСА)'!$AE$8:$BC$8,0)),'Калькуляция (МСА)'!$F$25:$F$82,$F57,'Калькуляция (МСА)'!$G$25:$G$82,$G57),SUMIFS(INDEX('Калькуляция (5.9)'!$AJ$25:$BC$137,,MATCH(AT$8,'Калькуляция (5.9)'!$AJ$8:$BC$8,0)),'Калькуляция (5.9)'!$F$25:$F$137,$F57,'Калькуляция (5.9)'!$G$25:$G$137,$G57))</f>
        <v>0</v>
      </c>
      <c r="AU57" s="306">
        <f ca="1">IF(AS57=0,0,(AT57-AS57)/AS57*100)</f>
        <v>0</v>
      </c>
      <c r="AV57" s="18">
        <f ca="1">IF(method_reg="Метод сравнения аналогов",SUMIFS(INDEX('Калькуляция (МСА)'!$AE$25:$BC$82,,MATCH(AV$8,'Калькуляция (МСА)'!$AE$8:$BC$8,0)),'Калькуляция (МСА)'!$F$25:$F$82,$F57,'Калькуляция (МСА)'!$G$25:$G$82,$G57),SUMIFS(INDEX('Калькуляция (5.9)'!$AJ$25:$BC$137,,MATCH(AV$8,'Калькуляция (5.9)'!$AJ$8:$BC$8,0)),'Калькуляция (5.9)'!$F$25:$F$137,$F57,'Калькуляция (5.9)'!$G$25:$G$137,$G57))</f>
        <v>0</v>
      </c>
      <c r="AW57" s="18">
        <f ca="1">IF(method_reg="Метод сравнения аналогов",SUMIFS(INDEX('Калькуляция (МСА)'!$AE$25:$BC$82,,MATCH(AW$8,'Калькуляция (МСА)'!$AE$8:$BC$8,0)),'Калькуляция (МСА)'!$F$25:$F$82,$F57,'Калькуляция (МСА)'!$G$25:$G$82,$G57),SUMIFS(INDEX('Калькуляция (5.9)'!$AJ$25:$BC$137,,MATCH(AW$8,'Калькуляция (5.9)'!$AJ$8:$BC$8,0)),'Калькуляция (5.9)'!$F$25:$F$137,$F57,'Калькуляция (5.9)'!$G$25:$G$137,$G57))</f>
        <v>0</v>
      </c>
      <c r="AX57" s="306">
        <f ca="1">IF(AV57=0,0,(AW57-AV57)/AV57*100)</f>
        <v>0</v>
      </c>
      <c r="AY57" s="18">
        <f ca="1">IF(method_reg="Метод сравнения аналогов",SUMIFS(INDEX('Калькуляция (МСА)'!$AE$25:$BC$82,,MATCH(AY$8,'Калькуляция (МСА)'!$AE$8:$BC$8,0)),'Калькуляция (МСА)'!$F$25:$F$82,$F57,'Калькуляция (МСА)'!$G$25:$G$82,$G57),SUMIFS(INDEX('Калькуляция (5.9)'!$AJ$25:$BC$137,,MATCH(AY$8,'Калькуляция (5.9)'!$AJ$8:$BC$8,0)),'Калькуляция (5.9)'!$F$25:$F$137,$F57,'Калькуляция (5.9)'!$G$25:$G$137,$G57))</f>
        <v>0</v>
      </c>
      <c r="AZ57" s="18">
        <f ca="1">IF(method_reg="Метод сравнения аналогов",SUMIFS(INDEX('Калькуляция (МСА)'!$AE$25:$BC$82,,MATCH(AZ$8,'Калькуляция (МСА)'!$AE$8:$BC$8,0)),'Калькуляция (МСА)'!$F$25:$F$82,$F57,'Калькуляция (МСА)'!$G$25:$G$82,$G57),SUMIFS(INDEX('Калькуляция (5.9)'!$AJ$25:$BC$137,,MATCH(AZ$8,'Калькуляция (5.9)'!$AJ$8:$BC$8,0)),'Калькуляция (5.9)'!$F$25:$F$137,$F57,'Калькуляция (5.9)'!$G$25:$G$137,$G57))</f>
        <v>0</v>
      </c>
      <c r="BA57" s="306">
        <f ca="1">IF(AY57=0,0,(AZ57-AY57)/AY57*100)</f>
        <v>0</v>
      </c>
      <c r="BB57" s="18">
        <f ca="1">IF(method_reg="Метод сравнения аналогов",SUMIFS(INDEX('Калькуляция (МСА)'!$AE$25:$BC$82,,MATCH(BB$8,'Калькуляция (МСА)'!$AE$8:$BC$8,0)),'Калькуляция (МСА)'!$F$25:$F$82,$F57,'Калькуляция (МСА)'!$G$25:$G$82,$G57),SUMIFS(INDEX('Калькуляция (5.9)'!$AJ$25:$BC$137,,MATCH(BB$8,'Калькуляция (5.9)'!$AJ$8:$BC$8,0)),'Калькуляция (5.9)'!$F$25:$F$137,$F57,'Калькуляция (5.9)'!$G$25:$G$137,$G57))</f>
        <v>0</v>
      </c>
      <c r="BC57" s="18">
        <f ca="1">IF(method_reg="Метод сравнения аналогов",SUMIFS(INDEX('Калькуляция (МСА)'!$AE$25:$BC$82,,MATCH(BC$8,'Калькуляция (МСА)'!$AE$8:$BC$8,0)),'Калькуляция (МСА)'!$F$25:$F$82,$F57,'Калькуляция (МСА)'!$G$25:$G$82,$G57),SUMIFS(INDEX('Калькуляция (5.9)'!$AJ$25:$BC$137,,MATCH(BC$8,'Калькуляция (5.9)'!$AJ$8:$BC$8,0)),'Калькуляция (5.9)'!$F$25:$F$137,$F57,'Калькуляция (5.9)'!$G$25:$G$137,$G57))</f>
        <v>0</v>
      </c>
      <c r="BD57" s="306">
        <f ca="1">IF(BB57=0,0,(BC57-BB57)/BB57*100)</f>
        <v>0</v>
      </c>
      <c r="BE57" s="18">
        <f ca="1">IF(method_reg="Метод сравнения аналогов",SUMIFS(INDEX('Калькуляция (МСА)'!$AE$25:$BC$82,,MATCH(BE$8,'Калькуляция (МСА)'!$AE$8:$BC$8,0)),'Калькуляция (МСА)'!$F$25:$F$82,$F57,'Калькуляция (МСА)'!$G$25:$G$82,$G57),SUMIFS(INDEX('Калькуляция (5.9)'!$AJ$25:$BC$137,,MATCH(BE$8,'Калькуляция (5.9)'!$AJ$8:$BC$8,0)),'Калькуляция (5.9)'!$F$25:$F$137,$F57,'Калькуляция (5.9)'!$G$25:$G$137,$G57))</f>
        <v>0</v>
      </c>
      <c r="BF57" s="18">
        <f ca="1">IF(method_reg="Метод сравнения аналогов",SUMIFS(INDEX('Калькуляция (МСА)'!$AE$25:$BC$82,,MATCH(BF$8,'Калькуляция (МСА)'!$AE$8:$BC$8,0)),'Калькуляция (МСА)'!$F$25:$F$82,$F57,'Калькуляция (МСА)'!$G$25:$G$82,$G57),SUMIFS(INDEX('Калькуляция (5.9)'!$AJ$25:$BC$137,,MATCH(BF$8,'Калькуляция (5.9)'!$AJ$8:$BC$8,0)),'Калькуляция (5.9)'!$F$25:$F$137,$F57,'Калькуляция (5.9)'!$G$25:$G$137,$G57))</f>
        <v>0</v>
      </c>
      <c r="BG57" s="306">
        <f ca="1">IF(BE57=0,0,(BF57-BE57)/BE57*100)</f>
        <v>0</v>
      </c>
      <c r="BH57" s="18"/>
      <c r="BI57" s="18"/>
      <c r="BJ57" s="306">
        <f>IF(BH57=0,0,(BI57-BH57)/BH57*100)</f>
        <v>0</v>
      </c>
      <c r="BK57" s="18"/>
      <c r="BL57" s="18"/>
      <c r="BM57" s="306">
        <f>IF(BK57=0,0,(BL57-BK57)/BK57*100)</f>
        <v>0</v>
      </c>
      <c r="BN57" s="18"/>
      <c r="BO57" s="18"/>
      <c r="BP57" s="306">
        <f>IF(BN57=0,0,(BO57-BN57)/BN57*100)</f>
        <v>0</v>
      </c>
      <c r="BQ57" s="18"/>
      <c r="BR57" s="18"/>
      <c r="BS57" s="306">
        <f>IF(BQ57=0,0,(BR57-BQ57)/BQ57*100)</f>
        <v>0</v>
      </c>
      <c r="BT57" s="18"/>
      <c r="BU57" s="18"/>
      <c r="BV57" s="306">
        <f>IF(BT57=0,0,(BU57-BT57)/BT57*100)</f>
        <v>0</v>
      </c>
      <c r="BW57" s="18"/>
      <c r="BX57" s="18"/>
      <c r="BY57" s="306">
        <f>IF(BW57=0,0,(BX57-BW57)/BW57*100)</f>
        <v>0</v>
      </c>
      <c r="BZ57" s="18"/>
      <c r="CA57" s="18"/>
      <c r="CB57" s="306">
        <f>IF(BZ57=0,0,(CA57-BZ57)/BZ57*100)</f>
        <v>0</v>
      </c>
      <c r="CC57" s="18"/>
      <c r="CD57" s="18"/>
      <c r="CE57" s="306">
        <f>IF(CC57=0,0,(CD57-CC57)/CC57*100)</f>
        <v>0</v>
      </c>
      <c r="CF57" s="18"/>
      <c r="CG57" s="18"/>
      <c r="CH57" s="306">
        <f>IF(CF57=0,0,(CG57-CF57)/CF57*100)</f>
        <v>0</v>
      </c>
      <c r="CI57" s="18"/>
      <c r="CJ57" s="18"/>
      <c r="CK57" s="306">
        <f>IF(CI57=0,0,(CJ57-CI57)/CI57*100)</f>
        <v>0</v>
      </c>
      <c r="CL57" s="18"/>
      <c r="CM57" s="18"/>
      <c r="CN57" s="306">
        <f>IF(CL57=0,0,(CM57-CL57)/CL57*100)</f>
        <v>0</v>
      </c>
      <c r="CO57" s="18"/>
      <c r="CP57" s="18"/>
      <c r="CQ57" s="306">
        <f>IF(CO57=0,0,(CP57-CO57)/CO57*100)</f>
        <v>0</v>
      </c>
      <c r="CR57" s="18"/>
      <c r="CS57" s="18"/>
      <c r="CT57" s="306">
        <f>IF(CR57=0,0,(CS57-CR57)/CR57*100)</f>
        <v>0</v>
      </c>
      <c r="CU57" s="18"/>
      <c r="CV57" s="18"/>
      <c r="CW57" s="306">
        <f>IF(CU57=0,0,(CV57-CU57)/CU57*100)</f>
        <v>0</v>
      </c>
      <c r="CX57" s="18"/>
      <c r="CY57" s="18"/>
      <c r="CZ57" s="306">
        <f>IF(CX57=0,0,(CY57-CX57)/CX57*100)</f>
        <v>0</v>
      </c>
      <c r="DA57" s="18"/>
      <c r="DB57" s="18"/>
      <c r="DC57" s="306">
        <f>IF(DA57=0,0,(DB57-DA57)/DA57*100)</f>
        <v>0</v>
      </c>
      <c r="DD57" s="18"/>
      <c r="DE57" s="18"/>
      <c r="DF57" s="306">
        <f>IF(DD57=0,0,(DE57-DD57)/DD57*100)</f>
        <v>0</v>
      </c>
      <c r="DG57" s="18"/>
      <c r="DH57" s="18"/>
      <c r="DI57" s="306">
        <f>IF(DG57=0,0,(DH57-DG57)/DG57*100)</f>
        <v>0</v>
      </c>
      <c r="DJ57" s="18"/>
      <c r="DK57" s="18"/>
      <c r="DL57" s="306">
        <f>IF(DJ57=0,0,(DK57-DJ57)/DJ57*100)</f>
        <v>0</v>
      </c>
      <c r="DM57" s="18"/>
      <c r="DN57" s="18"/>
      <c r="DO57" s="306">
        <f>IF(DM57=0,0,(DN57-DM57)/DM57*100)</f>
        <v>0</v>
      </c>
      <c r="DP57" s="18"/>
      <c r="DQ57" s="18"/>
      <c r="DR57" s="306">
        <f>IF(DP57=0,0,(DQ57-DP57)/DP57*100)</f>
        <v>0</v>
      </c>
      <c r="DS57" s="18"/>
      <c r="DT57" s="18"/>
      <c r="DU57" s="306">
        <f>IF(DS57=0,0,(DT57-DS57)/DS57*100)</f>
        <v>0</v>
      </c>
      <c r="DV57" s="18"/>
      <c r="DW57" s="18"/>
      <c r="DX57" s="306">
        <f>IF(DV57=0,0,(DW57-DV57)/DV57*100)</f>
        <v>0</v>
      </c>
      <c r="DY57" s="18"/>
      <c r="DZ57" s="18"/>
      <c r="EA57" s="306">
        <f>IF(DY57=0,0,(DZ57-DY57)/DY57*100)</f>
        <v>0</v>
      </c>
      <c r="EB57" s="18"/>
      <c r="EC57" s="18"/>
      <c r="ED57" s="306">
        <f>IF(EB57=0,0,(EC57-EB57)/EB57*100)</f>
        <v>0</v>
      </c>
      <c r="EE57" s="18"/>
      <c r="EF57" s="18"/>
      <c r="EG57" s="306">
        <f>IF(EE57=0,0,(EF57-EE57)/EE57*100)</f>
        <v>0</v>
      </c>
      <c r="EH57" s="18"/>
      <c r="EI57" s="18"/>
      <c r="EJ57" s="306">
        <f>IF(EH57=0,0,(EI57-EH57)/EH57*100)</f>
        <v>0</v>
      </c>
      <c r="EK57" s="18"/>
      <c r="EL57" s="18"/>
      <c r="EM57" s="306">
        <f>IF(EK57=0,0,(EL57-EK57)/EK57*100)</f>
        <v>0</v>
      </c>
      <c r="EN57" s="18"/>
      <c r="EO57" s="18"/>
      <c r="EP57" s="306">
        <f>IF(EN57=0,0,(EO57-EN57)/EN57*100)</f>
        <v>0</v>
      </c>
      <c r="EQ57" s="18"/>
      <c r="ER57" s="18"/>
      <c r="ES57" s="306">
        <f>IF(EQ57=0,0,(ER57-EQ57)/EQ57*100)</f>
        <v>0</v>
      </c>
      <c r="ET57" s="18"/>
      <c r="EU57" s="18"/>
      <c r="EV57" s="306">
        <f>IF(ET57=0,0,(EU57-ET57)/ET57*100)</f>
        <v>0</v>
      </c>
      <c r="EW57" s="18"/>
      <c r="EX57" s="18"/>
      <c r="EY57" s="306">
        <f>IF(EW57=0,0,(EX57-EW57)/EW57*100)</f>
        <v>0</v>
      </c>
      <c r="EZ57" s="18"/>
      <c r="FA57" s="18"/>
      <c r="FB57" s="306">
        <f>IF(EZ57=0,0,(FA57-EZ57)/EZ57*100)</f>
        <v>0</v>
      </c>
      <c r="FC57" s="18"/>
      <c r="FD57" s="18"/>
      <c r="FE57" s="306">
        <f>IF(FC57=0,0,(FD57-FC57)/FC57*100)</f>
        <v>0</v>
      </c>
      <c r="FF57" s="18"/>
      <c r="FG57" s="18"/>
      <c r="FH57" s="306">
        <f>IF(FF57=0,0,(FG57-FF57)/FF57*100)</f>
        <v>0</v>
      </c>
      <c r="FI57" s="18"/>
      <c r="FJ57" s="18"/>
      <c r="FK57" s="306">
        <f>IF(FI57=0,0,(FJ57-FI57)/FI57*100)</f>
        <v>0</v>
      </c>
      <c r="FL57" s="18"/>
      <c r="FM57" s="18"/>
      <c r="FN57" s="306">
        <f>IF(FL57=0,0,(FM57-FL57)/FL57*100)</f>
        <v>0</v>
      </c>
      <c r="FO57" s="18"/>
      <c r="FP57" s="18"/>
      <c r="FQ57" s="306">
        <f>IF(FO57=0,0,(FP57-FO57)/FO57*100)</f>
        <v>0</v>
      </c>
      <c r="FR57" s="18"/>
      <c r="FS57" s="18"/>
      <c r="FT57" s="306">
        <f>IF(FR57=0,0,(FS57-FR57)/FR57*100)</f>
        <v>0</v>
      </c>
      <c r="FU57" s="18"/>
      <c r="FV57" s="18"/>
      <c r="FW57" s="306">
        <f>IF(FU57=0,0,(FV57-FU57)/FU57*100)</f>
        <v>0</v>
      </c>
      <c r="FZ57" s="971" t="s">
        <v>2185</v>
      </c>
      <c r="GA57" s="971"/>
      <c r="GB57" s="971"/>
      <c r="GC57" s="971"/>
      <c r="GD57" s="971"/>
    </row>
    <row r="58" spans="2:186" ht="15.4" hidden="1" customHeight="1" x14ac:dyDescent="0.15">
      <c r="B58" s="803" t="b" cm="1">
        <f t="array" ref="B58">B57</f>
        <v>0</v>
      </c>
      <c r="C58" s="1108" t="s">
        <v>1747</v>
      </c>
      <c r="D58" s="1077" t="s">
        <v>1748</v>
      </c>
      <c r="E58" s="668">
        <v>15.8</v>
      </c>
      <c r="F58" s="769" cm="1">
        <f t="array" aca="1" ref="F58" ca="1">OFFSET(G58,-1,-1)</f>
        <v>0</v>
      </c>
      <c r="G58" s="140" t="s">
        <v>1758</v>
      </c>
      <c r="H58" s="160" t="s">
        <v>2171</v>
      </c>
      <c r="I58" s="160" t="s">
        <v>2121</v>
      </c>
      <c r="J58" s="1098"/>
      <c r="K58" s="1098" cm="1">
        <f t="array" aca="1" ref="K58" ca="1">OFFSET(J58,-1,1)</f>
        <v>0</v>
      </c>
      <c r="L58" s="1098"/>
      <c r="M58" s="1098" t="s">
        <v>1759</v>
      </c>
      <c r="N58" s="1098" t="s">
        <v>2117</v>
      </c>
      <c r="O58" s="1099" t="s">
        <v>2118</v>
      </c>
      <c r="P58" s="1098" t="s">
        <v>2172</v>
      </c>
      <c r="Q58" s="1098"/>
      <c r="T58" s="679" t="b" cm="1">
        <f t="array" aca="1" ref="T58" ca="1">T57</f>
        <v>0</v>
      </c>
      <c r="X58" s="1485"/>
      <c r="Z58" s="1485"/>
      <c r="AB58" s="220" t="s">
        <v>2173</v>
      </c>
      <c r="AC58" s="120" t="s">
        <v>622</v>
      </c>
      <c r="AD58" s="97">
        <f ca="1">IF(method_reg="Метод экономически обоснованных расходов",SUMIFS('Калькуляция (4.6)'!AJ$25:AJ$162,'Калькуляция (4.6)'!$F$25:$F$162,$F58,'Калькуляция (4.6)'!$G$25:$G$162,$G58),IF(method_reg="Метод сравнения аналогов",SUMIFS(INDEX('Калькуляция (МСА)'!$AE$25:$BC$82,,MATCH(AD$8,'Калькуляция (МСА)'!$AE$8:$BC$8,0)),'Калькуляция (МСА)'!$F$25:$F$82,$F58,'Калькуляция (МСА)'!$G$25:$G$82,$G58),SUMIFS(INDEX('Калькуляция (5.9)'!$AJ$25:$BC$137,,MATCH(AD$8,'Калькуляция (5.9)'!$AJ$8:$BC$8,0)),'Калькуляция (5.9)'!$F$25:$F$137,$F58,'Калькуляция (5.9)'!$G$25:$G$137,$G58)))</f>
        <v>0</v>
      </c>
      <c r="AE58" s="97">
        <f ca="1">IF(method_reg="Метод экономически обоснованных расходов",SUMIFS('Калькуляция (4.6)'!AK$25:AK$162,'Калькуляция (4.6)'!$F$25:$F$162,$F58,'Калькуляция (4.6)'!$G$25:$G$162,$G58),IF(method_reg="Метод сравнения аналогов",SUMIFS(INDEX('Калькуляция (МСА)'!$AE$25:$BC$82,,MATCH(AE$8,'Калькуляция (МСА)'!$AE$8:$BC$8,0)),'Калькуляция (МСА)'!$F$25:$F$82,$F58,'Калькуляция (МСА)'!$G$25:$G$82,$G58),SUMIFS(INDEX('Калькуляция (5.9)'!$AJ$25:$BC$137,,MATCH(AE$8,'Калькуляция (5.9)'!$AJ$8:$BC$8,0)),'Калькуляция (5.9)'!$F$25:$F$137,$F58,'Калькуляция (5.9)'!$G$25:$G$137,$G58)))</f>
        <v>0</v>
      </c>
      <c r="AF58" s="333">
        <f ca="1">IF(AD58=0,0,(AE58-AD58)/AD58*100)</f>
        <v>0</v>
      </c>
      <c r="AG58" s="1350">
        <f ca="1">IF(method_reg="Метод сравнения аналогов",SUMIFS(INDEX('Калькуляция (МСА)'!$AE$25:$BC$82,,MATCH(AG$8,'Калькуляция (МСА)'!$AE$8:$BC$8,0)),'Калькуляция (МСА)'!$F$25:$F$82,$F58,'Калькуляция (МСА)'!$G$25:$G$82,$G58),SUMIFS(INDEX('Калькуляция (5.9)'!$AJ$25:$BC$137,,MATCH(AG$8,'Калькуляция (5.9)'!$AJ$8:$BC$8,0)),'Калькуляция (5.9)'!$F$25:$F$137,$F58,'Калькуляция (5.9)'!$G$25:$G$137,$G58))</f>
        <v>0</v>
      </c>
      <c r="AH58" s="1350">
        <f ca="1">IF(method_reg="Метод сравнения аналогов",SUMIFS(INDEX('Калькуляция (МСА)'!$AE$25:$BC$82,,MATCH(AH$8,'Калькуляция (МСА)'!$AE$8:$BC$8,0)),'Калькуляция (МСА)'!$F$25:$F$82,$F58,'Калькуляция (МСА)'!$G$25:$G$82,$G58),SUMIFS(INDEX('Калькуляция (5.9)'!$AJ$25:$BC$137,,MATCH(AH$8,'Калькуляция (5.9)'!$AJ$8:$BC$8,0)),'Калькуляция (5.9)'!$F$25:$F$137,$F58,'Калькуляция (5.9)'!$G$25:$G$137,$G58))</f>
        <v>0</v>
      </c>
      <c r="AI58" s="333">
        <f ca="1">IF(AG58=0,0,(AH58-AG58)/AG58*100)</f>
        <v>0</v>
      </c>
      <c r="AJ58" s="1350">
        <f ca="1">IF(method_reg="Метод сравнения аналогов",SUMIFS(INDEX('Калькуляция (МСА)'!$AE$25:$BC$82,,MATCH(AJ$8,'Калькуляция (МСА)'!$AE$8:$BC$8,0)),'Калькуляция (МСА)'!$F$25:$F$82,$F58,'Калькуляция (МСА)'!$G$25:$G$82,$G58),SUMIFS(INDEX('Калькуляция (5.9)'!$AJ$25:$BC$137,,MATCH(AJ$8,'Калькуляция (5.9)'!$AJ$8:$BC$8,0)),'Калькуляция (5.9)'!$F$25:$F$137,$F58,'Калькуляция (5.9)'!$G$25:$G$137,$G58))</f>
        <v>0</v>
      </c>
      <c r="AK58" s="1350">
        <f ca="1">IF(method_reg="Метод сравнения аналогов",SUMIFS(INDEX('Калькуляция (МСА)'!$AE$25:$BC$82,,MATCH(AK$8,'Калькуляция (МСА)'!$AE$8:$BC$8,0)),'Калькуляция (МСА)'!$F$25:$F$82,$F58,'Калькуляция (МСА)'!$G$25:$G$82,$G58),SUMIFS(INDEX('Калькуляция (5.9)'!$AJ$25:$BC$137,,MATCH(AK$8,'Калькуляция (5.9)'!$AJ$8:$BC$8,0)),'Калькуляция (5.9)'!$F$25:$F$137,$F58,'Калькуляция (5.9)'!$G$25:$G$137,$G58))</f>
        <v>0</v>
      </c>
      <c r="AL58" s="333">
        <f ca="1">IF(AJ58=0,0,(AK58-AJ58)/AJ58*100)</f>
        <v>0</v>
      </c>
      <c r="AM58" s="97">
        <f ca="1">IF(method_reg="Метод сравнения аналогов",SUMIFS(INDEX('Калькуляция (МСА)'!$AE$25:$BC$82,,MATCH(AM$8,'Калькуляция (МСА)'!$AE$8:$BC$8,0)),'Калькуляция (МСА)'!$F$25:$F$82,$F58,'Калькуляция (МСА)'!$G$25:$G$82,$G58),SUMIFS(INDEX('Калькуляция (5.9)'!$AJ$25:$BC$137,,MATCH(AM$8,'Калькуляция (5.9)'!$AJ$8:$BC$8,0)),'Калькуляция (5.9)'!$F$25:$F$137,$F58,'Калькуляция (5.9)'!$G$25:$G$137,$G58))</f>
        <v>0</v>
      </c>
      <c r="AN58" s="97">
        <f ca="1">IF(method_reg="Метод сравнения аналогов",SUMIFS(INDEX('Калькуляция (МСА)'!$AE$25:$BC$82,,MATCH(AN$8,'Калькуляция (МСА)'!$AE$8:$BC$8,0)),'Калькуляция (МСА)'!$F$25:$F$82,$F58,'Калькуляция (МСА)'!$G$25:$G$82,$G58),SUMIFS(INDEX('Калькуляция (5.9)'!$AJ$25:$BC$137,,MATCH(AN$8,'Калькуляция (5.9)'!$AJ$8:$BC$8,0)),'Калькуляция (5.9)'!$F$25:$F$137,$F58,'Калькуляция (5.9)'!$G$25:$G$137,$G58))</f>
        <v>0</v>
      </c>
      <c r="AO58" s="333">
        <f ca="1">IF(AM58=0,0,(AN58-AM58)/AM58*100)</f>
        <v>0</v>
      </c>
      <c r="AP58" s="97">
        <f ca="1">IF(method_reg="Метод сравнения аналогов",SUMIFS(INDEX('Калькуляция (МСА)'!$AE$25:$BC$82,,MATCH(AP$8,'Калькуляция (МСА)'!$AE$8:$BC$8,0)),'Калькуляция (МСА)'!$F$25:$F$82,$F58,'Калькуляция (МСА)'!$G$25:$G$82,$G58),SUMIFS(INDEX('Калькуляция (5.9)'!$AJ$25:$BC$137,,MATCH(AP$8,'Калькуляция (5.9)'!$AJ$8:$BC$8,0)),'Калькуляция (5.9)'!$F$25:$F$137,$F58,'Калькуляция (5.9)'!$G$25:$G$137,$G58))</f>
        <v>0</v>
      </c>
      <c r="AQ58" s="97">
        <f ca="1">IF(method_reg="Метод сравнения аналогов",SUMIFS(INDEX('Калькуляция (МСА)'!$AE$25:$BC$82,,MATCH(AQ$8,'Калькуляция (МСА)'!$AE$8:$BC$8,0)),'Калькуляция (МСА)'!$F$25:$F$82,$F58,'Калькуляция (МСА)'!$G$25:$G$82,$G58),SUMIFS(INDEX('Калькуляция (5.9)'!$AJ$25:$BC$137,,MATCH(AQ$8,'Калькуляция (5.9)'!$AJ$8:$BC$8,0)),'Калькуляция (5.9)'!$F$25:$F$137,$F58,'Калькуляция (5.9)'!$G$25:$G$137,$G58))</f>
        <v>0</v>
      </c>
      <c r="AR58" s="333">
        <f ca="1">IF(AP58=0,0,(AQ58-AP58)/AP58*100)</f>
        <v>0</v>
      </c>
      <c r="AS58" s="97">
        <f ca="1">IF(method_reg="Метод сравнения аналогов",SUMIFS(INDEX('Калькуляция (МСА)'!$AE$25:$BC$82,,MATCH(AS$8,'Калькуляция (МСА)'!$AE$8:$BC$8,0)),'Калькуляция (МСА)'!$F$25:$F$82,$F58,'Калькуляция (МСА)'!$G$25:$G$82,$G58),SUMIFS(INDEX('Калькуляция (5.9)'!$AJ$25:$BC$137,,MATCH(AS$8,'Калькуляция (5.9)'!$AJ$8:$BC$8,0)),'Калькуляция (5.9)'!$F$25:$F$137,$F58,'Калькуляция (5.9)'!$G$25:$G$137,$G58))</f>
        <v>0</v>
      </c>
      <c r="AT58" s="97">
        <f ca="1">IF(method_reg="Метод сравнения аналогов",SUMIFS(INDEX('Калькуляция (МСА)'!$AE$25:$BC$82,,MATCH(AT$8,'Калькуляция (МСА)'!$AE$8:$BC$8,0)),'Калькуляция (МСА)'!$F$25:$F$82,$F58,'Калькуляция (МСА)'!$G$25:$G$82,$G58),SUMIFS(INDEX('Калькуляция (5.9)'!$AJ$25:$BC$137,,MATCH(AT$8,'Калькуляция (5.9)'!$AJ$8:$BC$8,0)),'Калькуляция (5.9)'!$F$25:$F$137,$F58,'Калькуляция (5.9)'!$G$25:$G$137,$G58))</f>
        <v>0</v>
      </c>
      <c r="AU58" s="333">
        <f ca="1">IF(AS58=0,0,(AT58-AS58)/AS58*100)</f>
        <v>0</v>
      </c>
      <c r="AV58" s="97">
        <f ca="1">IF(method_reg="Метод сравнения аналогов",SUMIFS(INDEX('Калькуляция (МСА)'!$AE$25:$BC$82,,MATCH(AV$8,'Калькуляция (МСА)'!$AE$8:$BC$8,0)),'Калькуляция (МСА)'!$F$25:$F$82,$F58,'Калькуляция (МСА)'!$G$25:$G$82,$G58),SUMIFS(INDEX('Калькуляция (5.9)'!$AJ$25:$BC$137,,MATCH(AV$8,'Калькуляция (5.9)'!$AJ$8:$BC$8,0)),'Калькуляция (5.9)'!$F$25:$F$137,$F58,'Калькуляция (5.9)'!$G$25:$G$137,$G58))</f>
        <v>0</v>
      </c>
      <c r="AW58" s="97">
        <f ca="1">IF(method_reg="Метод сравнения аналогов",SUMIFS(INDEX('Калькуляция (МСА)'!$AE$25:$BC$82,,MATCH(AW$8,'Калькуляция (МСА)'!$AE$8:$BC$8,0)),'Калькуляция (МСА)'!$F$25:$F$82,$F58,'Калькуляция (МСА)'!$G$25:$G$82,$G58),SUMIFS(INDEX('Калькуляция (5.9)'!$AJ$25:$BC$137,,MATCH(AW$8,'Калькуляция (5.9)'!$AJ$8:$BC$8,0)),'Калькуляция (5.9)'!$F$25:$F$137,$F58,'Калькуляция (5.9)'!$G$25:$G$137,$G58))</f>
        <v>0</v>
      </c>
      <c r="AX58" s="333">
        <f ca="1">IF(AV58=0,0,(AW58-AV58)/AV58*100)</f>
        <v>0</v>
      </c>
      <c r="AY58" s="97">
        <f ca="1">IF(method_reg="Метод сравнения аналогов",SUMIFS(INDEX('Калькуляция (МСА)'!$AE$25:$BC$82,,MATCH(AY$8,'Калькуляция (МСА)'!$AE$8:$BC$8,0)),'Калькуляция (МСА)'!$F$25:$F$82,$F58,'Калькуляция (МСА)'!$G$25:$G$82,$G58),SUMIFS(INDEX('Калькуляция (5.9)'!$AJ$25:$BC$137,,MATCH(AY$8,'Калькуляция (5.9)'!$AJ$8:$BC$8,0)),'Калькуляция (5.9)'!$F$25:$F$137,$F58,'Калькуляция (5.9)'!$G$25:$G$137,$G58))</f>
        <v>0</v>
      </c>
      <c r="AZ58" s="97">
        <f ca="1">IF(method_reg="Метод сравнения аналогов",SUMIFS(INDEX('Калькуляция (МСА)'!$AE$25:$BC$82,,MATCH(AZ$8,'Калькуляция (МСА)'!$AE$8:$BC$8,0)),'Калькуляция (МСА)'!$F$25:$F$82,$F58,'Калькуляция (МСА)'!$G$25:$G$82,$G58),SUMIFS(INDEX('Калькуляция (5.9)'!$AJ$25:$BC$137,,MATCH(AZ$8,'Калькуляция (5.9)'!$AJ$8:$BC$8,0)),'Калькуляция (5.9)'!$F$25:$F$137,$F58,'Калькуляция (5.9)'!$G$25:$G$137,$G58))</f>
        <v>0</v>
      </c>
      <c r="BA58" s="333">
        <f ca="1">IF(AY58=0,0,(AZ58-AY58)/AY58*100)</f>
        <v>0</v>
      </c>
      <c r="BB58" s="97">
        <f ca="1">IF(method_reg="Метод сравнения аналогов",SUMIFS(INDEX('Калькуляция (МСА)'!$AE$25:$BC$82,,MATCH(BB$8,'Калькуляция (МСА)'!$AE$8:$BC$8,0)),'Калькуляция (МСА)'!$F$25:$F$82,$F58,'Калькуляция (МСА)'!$G$25:$G$82,$G58),SUMIFS(INDEX('Калькуляция (5.9)'!$AJ$25:$BC$137,,MATCH(BB$8,'Калькуляция (5.9)'!$AJ$8:$BC$8,0)),'Калькуляция (5.9)'!$F$25:$F$137,$F58,'Калькуляция (5.9)'!$G$25:$G$137,$G58))</f>
        <v>0</v>
      </c>
      <c r="BC58" s="97">
        <f ca="1">IF(method_reg="Метод сравнения аналогов",SUMIFS(INDEX('Калькуляция (МСА)'!$AE$25:$BC$82,,MATCH(BC$8,'Калькуляция (МСА)'!$AE$8:$BC$8,0)),'Калькуляция (МСА)'!$F$25:$F$82,$F58,'Калькуляция (МСА)'!$G$25:$G$82,$G58),SUMIFS(INDEX('Калькуляция (5.9)'!$AJ$25:$BC$137,,MATCH(BC$8,'Калькуляция (5.9)'!$AJ$8:$BC$8,0)),'Калькуляция (5.9)'!$F$25:$F$137,$F58,'Калькуляция (5.9)'!$G$25:$G$137,$G58))</f>
        <v>0</v>
      </c>
      <c r="BD58" s="333">
        <f ca="1">IF(BB58=0,0,(BC58-BB58)/BB58*100)</f>
        <v>0</v>
      </c>
      <c r="BE58" s="97">
        <f ca="1">IF(method_reg="Метод сравнения аналогов",SUMIFS(INDEX('Калькуляция (МСА)'!$AE$25:$BC$82,,MATCH(BE$8,'Калькуляция (МСА)'!$AE$8:$BC$8,0)),'Калькуляция (МСА)'!$F$25:$F$82,$F58,'Калькуляция (МСА)'!$G$25:$G$82,$G58),SUMIFS(INDEX('Калькуляция (5.9)'!$AJ$25:$BC$137,,MATCH(BE$8,'Калькуляция (5.9)'!$AJ$8:$BC$8,0)),'Калькуляция (5.9)'!$F$25:$F$137,$F58,'Калькуляция (5.9)'!$G$25:$G$137,$G58))</f>
        <v>0</v>
      </c>
      <c r="BF58" s="97">
        <f ca="1">IF(method_reg="Метод сравнения аналогов",SUMIFS(INDEX('Калькуляция (МСА)'!$AE$25:$BC$82,,MATCH(BF$8,'Калькуляция (МСА)'!$AE$8:$BC$8,0)),'Калькуляция (МСА)'!$F$25:$F$82,$F58,'Калькуляция (МСА)'!$G$25:$G$82,$G58),SUMIFS(INDEX('Калькуляция (5.9)'!$AJ$25:$BC$137,,MATCH(BF$8,'Калькуляция (5.9)'!$AJ$8:$BC$8,0)),'Калькуляция (5.9)'!$F$25:$F$137,$F58,'Калькуляция (5.9)'!$G$25:$G$137,$G58))</f>
        <v>0</v>
      </c>
      <c r="BG58" s="333">
        <f ca="1">IF(BE58=0,0,(BF58-BE58)/BE58*100)</f>
        <v>0</v>
      </c>
      <c r="BH58" s="97"/>
      <c r="BI58" s="97"/>
      <c r="BJ58" s="333">
        <f>IF(BH58=0,0,(BI58-BH58)/BH58*100)</f>
        <v>0</v>
      </c>
      <c r="BK58" s="97"/>
      <c r="BL58" s="97"/>
      <c r="BM58" s="333">
        <f>IF(BK58=0,0,(BL58-BK58)/BK58*100)</f>
        <v>0</v>
      </c>
      <c r="BN58" s="97"/>
      <c r="BO58" s="97"/>
      <c r="BP58" s="333">
        <f>IF(BN58=0,0,(BO58-BN58)/BN58*100)</f>
        <v>0</v>
      </c>
      <c r="BQ58" s="97"/>
      <c r="BR58" s="97"/>
      <c r="BS58" s="333">
        <f>IF(BQ58=0,0,(BR58-BQ58)/BQ58*100)</f>
        <v>0</v>
      </c>
      <c r="BT58" s="97"/>
      <c r="BU58" s="97"/>
      <c r="BV58" s="333">
        <f>IF(BT58=0,0,(BU58-BT58)/BT58*100)</f>
        <v>0</v>
      </c>
      <c r="BW58" s="97"/>
      <c r="BX58" s="97"/>
      <c r="BY58" s="333">
        <f>IF(BW58=0,0,(BX58-BW58)/BW58*100)</f>
        <v>0</v>
      </c>
      <c r="BZ58" s="97"/>
      <c r="CA58" s="97"/>
      <c r="CB58" s="333">
        <f>IF(BZ58=0,0,(CA58-BZ58)/BZ58*100)</f>
        <v>0</v>
      </c>
      <c r="CC58" s="97"/>
      <c r="CD58" s="97"/>
      <c r="CE58" s="333">
        <f>IF(CC58=0,0,(CD58-CC58)/CC58*100)</f>
        <v>0</v>
      </c>
      <c r="CF58" s="97"/>
      <c r="CG58" s="97"/>
      <c r="CH58" s="333">
        <f>IF(CF58=0,0,(CG58-CF58)/CF58*100)</f>
        <v>0</v>
      </c>
      <c r="CI58" s="97"/>
      <c r="CJ58" s="97"/>
      <c r="CK58" s="333">
        <f>IF(CI58=0,0,(CJ58-CI58)/CI58*100)</f>
        <v>0</v>
      </c>
      <c r="CL58" s="97"/>
      <c r="CM58" s="97"/>
      <c r="CN58" s="333">
        <f>IF(CL58=0,0,(CM58-CL58)/CL58*100)</f>
        <v>0</v>
      </c>
      <c r="CO58" s="97"/>
      <c r="CP58" s="97"/>
      <c r="CQ58" s="333">
        <f>IF(CO58=0,0,(CP58-CO58)/CO58*100)</f>
        <v>0</v>
      </c>
      <c r="CR58" s="97"/>
      <c r="CS58" s="97"/>
      <c r="CT58" s="333">
        <f>IF(CR58=0,0,(CS58-CR58)/CR58*100)</f>
        <v>0</v>
      </c>
      <c r="CU58" s="97"/>
      <c r="CV58" s="97"/>
      <c r="CW58" s="333">
        <f>IF(CU58=0,0,(CV58-CU58)/CU58*100)</f>
        <v>0</v>
      </c>
      <c r="CX58" s="97"/>
      <c r="CY58" s="97"/>
      <c r="CZ58" s="333">
        <f>IF(CX58=0,0,(CY58-CX58)/CX58*100)</f>
        <v>0</v>
      </c>
      <c r="DA58" s="97"/>
      <c r="DB58" s="97"/>
      <c r="DC58" s="333">
        <f>IF(DA58=0,0,(DB58-DA58)/DA58*100)</f>
        <v>0</v>
      </c>
      <c r="DD58" s="97"/>
      <c r="DE58" s="97"/>
      <c r="DF58" s="333">
        <f>IF(DD58=0,0,(DE58-DD58)/DD58*100)</f>
        <v>0</v>
      </c>
      <c r="DG58" s="97"/>
      <c r="DH58" s="97"/>
      <c r="DI58" s="333">
        <f>IF(DG58=0,0,(DH58-DG58)/DG58*100)</f>
        <v>0</v>
      </c>
      <c r="DJ58" s="97"/>
      <c r="DK58" s="97"/>
      <c r="DL58" s="333">
        <f>IF(DJ58=0,0,(DK58-DJ58)/DJ58*100)</f>
        <v>0</v>
      </c>
      <c r="DM58" s="97"/>
      <c r="DN58" s="97"/>
      <c r="DO58" s="333">
        <f>IF(DM58=0,0,(DN58-DM58)/DM58*100)</f>
        <v>0</v>
      </c>
      <c r="DP58" s="97"/>
      <c r="DQ58" s="97"/>
      <c r="DR58" s="333">
        <f>IF(DP58=0,0,(DQ58-DP58)/DP58*100)</f>
        <v>0</v>
      </c>
      <c r="DS58" s="97"/>
      <c r="DT58" s="97"/>
      <c r="DU58" s="333">
        <f>IF(DS58=0,0,(DT58-DS58)/DS58*100)</f>
        <v>0</v>
      </c>
      <c r="DV58" s="97"/>
      <c r="DW58" s="97"/>
      <c r="DX58" s="333">
        <f>IF(DV58=0,0,(DW58-DV58)/DV58*100)</f>
        <v>0</v>
      </c>
      <c r="DY58" s="97"/>
      <c r="DZ58" s="97"/>
      <c r="EA58" s="333">
        <f>IF(DY58=0,0,(DZ58-DY58)/DY58*100)</f>
        <v>0</v>
      </c>
      <c r="EB58" s="97"/>
      <c r="EC58" s="97"/>
      <c r="ED58" s="333">
        <f>IF(EB58=0,0,(EC58-EB58)/EB58*100)</f>
        <v>0</v>
      </c>
      <c r="EE58" s="97"/>
      <c r="EF58" s="97"/>
      <c r="EG58" s="333">
        <f>IF(EE58=0,0,(EF58-EE58)/EE58*100)</f>
        <v>0</v>
      </c>
      <c r="EH58" s="97"/>
      <c r="EI58" s="97"/>
      <c r="EJ58" s="333">
        <f>IF(EH58=0,0,(EI58-EH58)/EH58*100)</f>
        <v>0</v>
      </c>
      <c r="EK58" s="97"/>
      <c r="EL58" s="97"/>
      <c r="EM58" s="333">
        <f>IF(EK58=0,0,(EL58-EK58)/EK58*100)</f>
        <v>0</v>
      </c>
      <c r="EN58" s="97"/>
      <c r="EO58" s="97"/>
      <c r="EP58" s="333">
        <f>IF(EN58=0,0,(EO58-EN58)/EN58*100)</f>
        <v>0</v>
      </c>
      <c r="EQ58" s="97"/>
      <c r="ER58" s="97"/>
      <c r="ES58" s="333">
        <f>IF(EQ58=0,0,(ER58-EQ58)/EQ58*100)</f>
        <v>0</v>
      </c>
      <c r="ET58" s="97"/>
      <c r="EU58" s="97"/>
      <c r="EV58" s="333">
        <f>IF(ET58=0,0,(EU58-ET58)/ET58*100)</f>
        <v>0</v>
      </c>
      <c r="EW58" s="97"/>
      <c r="EX58" s="97"/>
      <c r="EY58" s="333">
        <f>IF(EW58=0,0,(EX58-EW58)/EW58*100)</f>
        <v>0</v>
      </c>
      <c r="EZ58" s="97"/>
      <c r="FA58" s="97"/>
      <c r="FB58" s="333">
        <f>IF(EZ58=0,0,(FA58-EZ58)/EZ58*100)</f>
        <v>0</v>
      </c>
      <c r="FC58" s="97"/>
      <c r="FD58" s="97"/>
      <c r="FE58" s="333">
        <f>IF(FC58=0,0,(FD58-FC58)/FC58*100)</f>
        <v>0</v>
      </c>
      <c r="FF58" s="97"/>
      <c r="FG58" s="97"/>
      <c r="FH58" s="333">
        <f>IF(FF58=0,0,(FG58-FF58)/FF58*100)</f>
        <v>0</v>
      </c>
      <c r="FI58" s="97"/>
      <c r="FJ58" s="97"/>
      <c r="FK58" s="333">
        <f>IF(FI58=0,0,(FJ58-FI58)/FI58*100)</f>
        <v>0</v>
      </c>
      <c r="FL58" s="97"/>
      <c r="FM58" s="97"/>
      <c r="FN58" s="333">
        <f>IF(FL58=0,0,(FM58-FL58)/FL58*100)</f>
        <v>0</v>
      </c>
      <c r="FO58" s="97"/>
      <c r="FP58" s="97"/>
      <c r="FQ58" s="333">
        <f>IF(FO58=0,0,(FP58-FO58)/FO58*100)</f>
        <v>0</v>
      </c>
      <c r="FR58" s="97"/>
      <c r="FS58" s="97"/>
      <c r="FT58" s="333">
        <f>IF(FR58=0,0,(FS58-FR58)/FR58*100)</f>
        <v>0</v>
      </c>
      <c r="FU58" s="97"/>
      <c r="FV58" s="97"/>
      <c r="FW58" s="333">
        <f>IF(FU58=0,0,(FV58-FU58)/FU58*100)</f>
        <v>0</v>
      </c>
      <c r="FZ58" s="971" t="s">
        <v>2186</v>
      </c>
      <c r="GA58" s="971"/>
      <c r="GB58" s="971"/>
      <c r="GC58" s="971"/>
      <c r="GD58" s="971"/>
    </row>
    <row r="59" spans="2:186" ht="30.75" hidden="1" customHeight="1" x14ac:dyDescent="0.15">
      <c r="B59" s="803" t="b" cm="1">
        <f t="array" ref="B59">B58</f>
        <v>0</v>
      </c>
      <c r="C59" s="1108" t="s">
        <v>1801</v>
      </c>
      <c r="D59" s="1077" t="s">
        <v>1802</v>
      </c>
      <c r="E59" s="668">
        <v>31.5</v>
      </c>
      <c r="F59" s="769" cm="1">
        <f t="array" aca="1" ref="F59" ca="1">OFFSET(G59,-1,-1)</f>
        <v>0</v>
      </c>
      <c r="G59" s="612" t="s">
        <v>1807</v>
      </c>
      <c r="H59" s="160" t="s">
        <v>2175</v>
      </c>
      <c r="I59" s="160" t="s">
        <v>2121</v>
      </c>
      <c r="J59" s="1098"/>
      <c r="K59" s="1098" cm="1">
        <f t="array" aca="1" ref="K59" ca="1">OFFSET(J59,-1,1)</f>
        <v>0</v>
      </c>
      <c r="L59" s="1098"/>
      <c r="M59" s="1098" t="s">
        <v>1759</v>
      </c>
      <c r="N59" s="1098" t="s">
        <v>2117</v>
      </c>
      <c r="O59" s="1099" t="s">
        <v>2118</v>
      </c>
      <c r="P59" s="1098" t="s">
        <v>2176</v>
      </c>
      <c r="Q59" s="1098"/>
      <c r="T59" s="679" t="b" cm="1">
        <f t="array" aca="1" ref="T59" ca="1">T58</f>
        <v>0</v>
      </c>
      <c r="X59" s="1485"/>
      <c r="Z59" s="1485"/>
      <c r="AB59" s="220" t="s">
        <v>2177</v>
      </c>
      <c r="AC59" s="435" t="s">
        <v>1805</v>
      </c>
      <c r="AD59" s="18">
        <f ca="1">IF(method_reg="Метод экономически обоснованных расходов",SUMIFS('Калькуляция (4.6)'!AJ$25:AJ$162,'Калькуляция (4.6)'!$F$25:$F$162,$F59,'Калькуляция (4.6)'!$G$25:$G$162,$G59),IF(method_reg="Метод сравнения аналогов",SUMIFS(INDEX('Калькуляция (МСА)'!$AE$25:$BC$82,,MATCH(AD$8,'Калькуляция (МСА)'!$AE$8:$BC$8,0)),'Калькуляция (МСА)'!$F$25:$F$82,$F59,'Калькуляция (МСА)'!$G$25:$G$82,$G59),SUMIFS(INDEX('Калькуляция (5.9)'!$AJ$25:$BC$137,,MATCH(AD$8,'Калькуляция (5.9)'!$AJ$8:$BC$8,0)),'Калькуляция (5.9)'!$F$25:$F$137,$F59,'Калькуляция (5.9)'!$G$25:$G$137,$G59)))</f>
        <v>0</v>
      </c>
      <c r="AE59" s="18">
        <f ca="1">IF(method_reg="Метод экономически обоснованных расходов",SUMIFS('Калькуляция (4.6)'!AK$25:AK$162,'Калькуляция (4.6)'!$F$25:$F$162,$F59,'Калькуляция (4.6)'!$G$25:$G$162,$G59),IF(method_reg="Метод сравнения аналогов",SUMIFS(INDEX('Калькуляция (МСА)'!$AE$25:$BC$82,,MATCH(AE$8,'Калькуляция (МСА)'!$AE$8:$BC$8,0)),'Калькуляция (МСА)'!$F$25:$F$82,$F59,'Калькуляция (МСА)'!$G$25:$G$82,$G59),SUMIFS(INDEX('Калькуляция (5.9)'!$AJ$25:$BC$137,,MATCH(AE$8,'Калькуляция (5.9)'!$AJ$8:$BC$8,0)),'Калькуляция (5.9)'!$F$25:$F$137,$F59,'Калькуляция (5.9)'!$G$25:$G$137,$G59)))</f>
        <v>0</v>
      </c>
      <c r="AF59" s="306">
        <f ca="1">IF(AD59=0,0,(AE59-AD59)/AD59*100)</f>
        <v>0</v>
      </c>
      <c r="AG59" s="1215">
        <f ca="1">IF(method_reg="Метод сравнения аналогов",SUMIFS(INDEX('Калькуляция (МСА)'!$AE$25:$BC$82,,MATCH(AG$8,'Калькуляция (МСА)'!$AE$8:$BC$8,0)),'Калькуляция (МСА)'!$F$25:$F$82,$F59,'Калькуляция (МСА)'!$G$25:$G$82,$G59),SUMIFS(INDEX('Калькуляция (5.9)'!$AJ$25:$BC$137,,MATCH(AG$8,'Калькуляция (5.9)'!$AJ$8:$BC$8,0)),'Калькуляция (5.9)'!$F$25:$F$137,$F59,'Калькуляция (5.9)'!$G$25:$G$137,$G59))</f>
        <v>0</v>
      </c>
      <c r="AH59" s="1215">
        <f ca="1">IF(method_reg="Метод сравнения аналогов",SUMIFS(INDEX('Калькуляция (МСА)'!$AE$25:$BC$82,,MATCH(AH$8,'Калькуляция (МСА)'!$AE$8:$BC$8,0)),'Калькуляция (МСА)'!$F$25:$F$82,$F59,'Калькуляция (МСА)'!$G$25:$G$82,$G59),SUMIFS(INDEX('Калькуляция (5.9)'!$AJ$25:$BC$137,,MATCH(AH$8,'Калькуляция (5.9)'!$AJ$8:$BC$8,0)),'Калькуляция (5.9)'!$F$25:$F$137,$F59,'Калькуляция (5.9)'!$G$25:$G$137,$G59))</f>
        <v>0</v>
      </c>
      <c r="AI59" s="306">
        <f ca="1">IF(AG59=0,0,(AH59-AG59)/AG59*100)</f>
        <v>0</v>
      </c>
      <c r="AJ59" s="1215">
        <f ca="1">IF(method_reg="Метод сравнения аналогов",SUMIFS(INDEX('Калькуляция (МСА)'!$AE$25:$BC$82,,MATCH(AJ$8,'Калькуляция (МСА)'!$AE$8:$BC$8,0)),'Калькуляция (МСА)'!$F$25:$F$82,$F59,'Калькуляция (МСА)'!$G$25:$G$82,$G59),SUMIFS(INDEX('Калькуляция (5.9)'!$AJ$25:$BC$137,,MATCH(AJ$8,'Калькуляция (5.9)'!$AJ$8:$BC$8,0)),'Калькуляция (5.9)'!$F$25:$F$137,$F59,'Калькуляция (5.9)'!$G$25:$G$137,$G59))</f>
        <v>0</v>
      </c>
      <c r="AK59" s="1215">
        <f ca="1">IF(method_reg="Метод сравнения аналогов",SUMIFS(INDEX('Калькуляция (МСА)'!$AE$25:$BC$82,,MATCH(AK$8,'Калькуляция (МСА)'!$AE$8:$BC$8,0)),'Калькуляция (МСА)'!$F$25:$F$82,$F59,'Калькуляция (МСА)'!$G$25:$G$82,$G59),SUMIFS(INDEX('Калькуляция (5.9)'!$AJ$25:$BC$137,,MATCH(AK$8,'Калькуляция (5.9)'!$AJ$8:$BC$8,0)),'Калькуляция (5.9)'!$F$25:$F$137,$F59,'Калькуляция (5.9)'!$G$25:$G$137,$G59))</f>
        <v>0</v>
      </c>
      <c r="AL59" s="306">
        <f ca="1">IF(AJ59=0,0,(AK59-AJ59)/AJ59*100)</f>
        <v>0</v>
      </c>
      <c r="AM59" s="18">
        <f ca="1">IF(method_reg="Метод сравнения аналогов",SUMIFS(INDEX('Калькуляция (МСА)'!$AE$25:$BC$82,,MATCH(AM$8,'Калькуляция (МСА)'!$AE$8:$BC$8,0)),'Калькуляция (МСА)'!$F$25:$F$82,$F59,'Калькуляция (МСА)'!$G$25:$G$82,$G59),SUMIFS(INDEX('Калькуляция (5.9)'!$AJ$25:$BC$137,,MATCH(AM$8,'Калькуляция (5.9)'!$AJ$8:$BC$8,0)),'Калькуляция (5.9)'!$F$25:$F$137,$F59,'Калькуляция (5.9)'!$G$25:$G$137,$G59))</f>
        <v>0</v>
      </c>
      <c r="AN59" s="18">
        <f ca="1">IF(method_reg="Метод сравнения аналогов",SUMIFS(INDEX('Калькуляция (МСА)'!$AE$25:$BC$82,,MATCH(AN$8,'Калькуляция (МСА)'!$AE$8:$BC$8,0)),'Калькуляция (МСА)'!$F$25:$F$82,$F59,'Калькуляция (МСА)'!$G$25:$G$82,$G59),SUMIFS(INDEX('Калькуляция (5.9)'!$AJ$25:$BC$137,,MATCH(AN$8,'Калькуляция (5.9)'!$AJ$8:$BC$8,0)),'Калькуляция (5.9)'!$F$25:$F$137,$F59,'Калькуляция (5.9)'!$G$25:$G$137,$G59))</f>
        <v>0</v>
      </c>
      <c r="AO59" s="306">
        <f ca="1">IF(AM59=0,0,(AN59-AM59)/AM59*100)</f>
        <v>0</v>
      </c>
      <c r="AP59" s="18">
        <f ca="1">IF(method_reg="Метод сравнения аналогов",SUMIFS(INDEX('Калькуляция (МСА)'!$AE$25:$BC$82,,MATCH(AP$8,'Калькуляция (МСА)'!$AE$8:$BC$8,0)),'Калькуляция (МСА)'!$F$25:$F$82,$F59,'Калькуляция (МСА)'!$G$25:$G$82,$G59),SUMIFS(INDEX('Калькуляция (5.9)'!$AJ$25:$BC$137,,MATCH(AP$8,'Калькуляция (5.9)'!$AJ$8:$BC$8,0)),'Калькуляция (5.9)'!$F$25:$F$137,$F59,'Калькуляция (5.9)'!$G$25:$G$137,$G59))</f>
        <v>0</v>
      </c>
      <c r="AQ59" s="18">
        <f ca="1">IF(method_reg="Метод сравнения аналогов",SUMIFS(INDEX('Калькуляция (МСА)'!$AE$25:$BC$82,,MATCH(AQ$8,'Калькуляция (МСА)'!$AE$8:$BC$8,0)),'Калькуляция (МСА)'!$F$25:$F$82,$F59,'Калькуляция (МСА)'!$G$25:$G$82,$G59),SUMIFS(INDEX('Калькуляция (5.9)'!$AJ$25:$BC$137,,MATCH(AQ$8,'Калькуляция (5.9)'!$AJ$8:$BC$8,0)),'Калькуляция (5.9)'!$F$25:$F$137,$F59,'Калькуляция (5.9)'!$G$25:$G$137,$G59))</f>
        <v>0</v>
      </c>
      <c r="AR59" s="306">
        <f ca="1">IF(AP59=0,0,(AQ59-AP59)/AP59*100)</f>
        <v>0</v>
      </c>
      <c r="AS59" s="18">
        <f ca="1">IF(method_reg="Метод сравнения аналогов",SUMIFS(INDEX('Калькуляция (МСА)'!$AE$25:$BC$82,,MATCH(AS$8,'Калькуляция (МСА)'!$AE$8:$BC$8,0)),'Калькуляция (МСА)'!$F$25:$F$82,$F59,'Калькуляция (МСА)'!$G$25:$G$82,$G59),SUMIFS(INDEX('Калькуляция (5.9)'!$AJ$25:$BC$137,,MATCH(AS$8,'Калькуляция (5.9)'!$AJ$8:$BC$8,0)),'Калькуляция (5.9)'!$F$25:$F$137,$F59,'Калькуляция (5.9)'!$G$25:$G$137,$G59))</f>
        <v>0</v>
      </c>
      <c r="AT59" s="18">
        <f ca="1">IF(method_reg="Метод сравнения аналогов",SUMIFS(INDEX('Калькуляция (МСА)'!$AE$25:$BC$82,,MATCH(AT$8,'Калькуляция (МСА)'!$AE$8:$BC$8,0)),'Калькуляция (МСА)'!$F$25:$F$82,$F59,'Калькуляция (МСА)'!$G$25:$G$82,$G59),SUMIFS(INDEX('Калькуляция (5.9)'!$AJ$25:$BC$137,,MATCH(AT$8,'Калькуляция (5.9)'!$AJ$8:$BC$8,0)),'Калькуляция (5.9)'!$F$25:$F$137,$F59,'Калькуляция (5.9)'!$G$25:$G$137,$G59))</f>
        <v>0</v>
      </c>
      <c r="AU59" s="306">
        <f ca="1">IF(AS59=0,0,(AT59-AS59)/AS59*100)</f>
        <v>0</v>
      </c>
      <c r="AV59" s="18">
        <f ca="1">IF(method_reg="Метод сравнения аналогов",SUMIFS(INDEX('Калькуляция (МСА)'!$AE$25:$BC$82,,MATCH(AV$8,'Калькуляция (МСА)'!$AE$8:$BC$8,0)),'Калькуляция (МСА)'!$F$25:$F$82,$F59,'Калькуляция (МСА)'!$G$25:$G$82,$G59),SUMIFS(INDEX('Калькуляция (5.9)'!$AJ$25:$BC$137,,MATCH(AV$8,'Калькуляция (5.9)'!$AJ$8:$BC$8,0)),'Калькуляция (5.9)'!$F$25:$F$137,$F59,'Калькуляция (5.9)'!$G$25:$G$137,$G59))</f>
        <v>0</v>
      </c>
      <c r="AW59" s="18">
        <f ca="1">IF(method_reg="Метод сравнения аналогов",SUMIFS(INDEX('Калькуляция (МСА)'!$AE$25:$BC$82,,MATCH(AW$8,'Калькуляция (МСА)'!$AE$8:$BC$8,0)),'Калькуляция (МСА)'!$F$25:$F$82,$F59,'Калькуляция (МСА)'!$G$25:$G$82,$G59),SUMIFS(INDEX('Калькуляция (5.9)'!$AJ$25:$BC$137,,MATCH(AW$8,'Калькуляция (5.9)'!$AJ$8:$BC$8,0)),'Калькуляция (5.9)'!$F$25:$F$137,$F59,'Калькуляция (5.9)'!$G$25:$G$137,$G59))</f>
        <v>0</v>
      </c>
      <c r="AX59" s="306">
        <f ca="1">IF(AV59=0,0,(AW59-AV59)/AV59*100)</f>
        <v>0</v>
      </c>
      <c r="AY59" s="18">
        <f ca="1">IF(method_reg="Метод сравнения аналогов",SUMIFS(INDEX('Калькуляция (МСА)'!$AE$25:$BC$82,,MATCH(AY$8,'Калькуляция (МСА)'!$AE$8:$BC$8,0)),'Калькуляция (МСА)'!$F$25:$F$82,$F59,'Калькуляция (МСА)'!$G$25:$G$82,$G59),SUMIFS(INDEX('Калькуляция (5.9)'!$AJ$25:$BC$137,,MATCH(AY$8,'Калькуляция (5.9)'!$AJ$8:$BC$8,0)),'Калькуляция (5.9)'!$F$25:$F$137,$F59,'Калькуляция (5.9)'!$G$25:$G$137,$G59))</f>
        <v>0</v>
      </c>
      <c r="AZ59" s="18">
        <f ca="1">IF(method_reg="Метод сравнения аналогов",SUMIFS(INDEX('Калькуляция (МСА)'!$AE$25:$BC$82,,MATCH(AZ$8,'Калькуляция (МСА)'!$AE$8:$BC$8,0)),'Калькуляция (МСА)'!$F$25:$F$82,$F59,'Калькуляция (МСА)'!$G$25:$G$82,$G59),SUMIFS(INDEX('Калькуляция (5.9)'!$AJ$25:$BC$137,,MATCH(AZ$8,'Калькуляция (5.9)'!$AJ$8:$BC$8,0)),'Калькуляция (5.9)'!$F$25:$F$137,$F59,'Калькуляция (5.9)'!$G$25:$G$137,$G59))</f>
        <v>0</v>
      </c>
      <c r="BA59" s="306">
        <f ca="1">IF(AY59=0,0,(AZ59-AY59)/AY59*100)</f>
        <v>0</v>
      </c>
      <c r="BB59" s="18">
        <f ca="1">IF(method_reg="Метод сравнения аналогов",SUMIFS(INDEX('Калькуляция (МСА)'!$AE$25:$BC$82,,MATCH(BB$8,'Калькуляция (МСА)'!$AE$8:$BC$8,0)),'Калькуляция (МСА)'!$F$25:$F$82,$F59,'Калькуляция (МСА)'!$G$25:$G$82,$G59),SUMIFS(INDEX('Калькуляция (5.9)'!$AJ$25:$BC$137,,MATCH(BB$8,'Калькуляция (5.9)'!$AJ$8:$BC$8,0)),'Калькуляция (5.9)'!$F$25:$F$137,$F59,'Калькуляция (5.9)'!$G$25:$G$137,$G59))</f>
        <v>0</v>
      </c>
      <c r="BC59" s="18">
        <f ca="1">IF(method_reg="Метод сравнения аналогов",SUMIFS(INDEX('Калькуляция (МСА)'!$AE$25:$BC$82,,MATCH(BC$8,'Калькуляция (МСА)'!$AE$8:$BC$8,0)),'Калькуляция (МСА)'!$F$25:$F$82,$F59,'Калькуляция (МСА)'!$G$25:$G$82,$G59),SUMIFS(INDEX('Калькуляция (5.9)'!$AJ$25:$BC$137,,MATCH(BC$8,'Калькуляция (5.9)'!$AJ$8:$BC$8,0)),'Калькуляция (5.9)'!$F$25:$F$137,$F59,'Калькуляция (5.9)'!$G$25:$G$137,$G59))</f>
        <v>0</v>
      </c>
      <c r="BD59" s="306">
        <f ca="1">IF(BB59=0,0,(BC59-BB59)/BB59*100)</f>
        <v>0</v>
      </c>
      <c r="BE59" s="18">
        <f ca="1">IF(method_reg="Метод сравнения аналогов",SUMIFS(INDEX('Калькуляция (МСА)'!$AE$25:$BC$82,,MATCH(BE$8,'Калькуляция (МСА)'!$AE$8:$BC$8,0)),'Калькуляция (МСА)'!$F$25:$F$82,$F59,'Калькуляция (МСА)'!$G$25:$G$82,$G59),SUMIFS(INDEX('Калькуляция (5.9)'!$AJ$25:$BC$137,,MATCH(BE$8,'Калькуляция (5.9)'!$AJ$8:$BC$8,0)),'Калькуляция (5.9)'!$F$25:$F$137,$F59,'Калькуляция (5.9)'!$G$25:$G$137,$G59))</f>
        <v>0</v>
      </c>
      <c r="BF59" s="18">
        <f ca="1">IF(method_reg="Метод сравнения аналогов",SUMIFS(INDEX('Калькуляция (МСА)'!$AE$25:$BC$82,,MATCH(BF$8,'Калькуляция (МСА)'!$AE$8:$BC$8,0)),'Калькуляция (МСА)'!$F$25:$F$82,$F59,'Калькуляция (МСА)'!$G$25:$G$82,$G59),SUMIFS(INDEX('Калькуляция (5.9)'!$AJ$25:$BC$137,,MATCH(BF$8,'Калькуляция (5.9)'!$AJ$8:$BC$8,0)),'Калькуляция (5.9)'!$F$25:$F$137,$F59,'Калькуляция (5.9)'!$G$25:$G$137,$G59))</f>
        <v>0</v>
      </c>
      <c r="BG59" s="306">
        <f ca="1">IF(BE59=0,0,(BF59-BE59)/BE59*100)</f>
        <v>0</v>
      </c>
      <c r="BH59" s="18"/>
      <c r="BI59" s="18"/>
      <c r="BJ59" s="306">
        <f>IF(BH59=0,0,(BI59-BH59)/BH59*100)</f>
        <v>0</v>
      </c>
      <c r="BK59" s="18"/>
      <c r="BL59" s="18"/>
      <c r="BM59" s="306">
        <f>IF(BK59=0,0,(BL59-BK59)/BK59*100)</f>
        <v>0</v>
      </c>
      <c r="BN59" s="18"/>
      <c r="BO59" s="18"/>
      <c r="BP59" s="306">
        <f>IF(BN59=0,0,(BO59-BN59)/BN59*100)</f>
        <v>0</v>
      </c>
      <c r="BQ59" s="18"/>
      <c r="BR59" s="18"/>
      <c r="BS59" s="306">
        <f>IF(BQ59=0,0,(BR59-BQ59)/BQ59*100)</f>
        <v>0</v>
      </c>
      <c r="BT59" s="18"/>
      <c r="BU59" s="18"/>
      <c r="BV59" s="306">
        <f>IF(BT59=0,0,(BU59-BT59)/BT59*100)</f>
        <v>0</v>
      </c>
      <c r="BW59" s="18"/>
      <c r="BX59" s="18"/>
      <c r="BY59" s="306">
        <f>IF(BW59=0,0,(BX59-BW59)/BW59*100)</f>
        <v>0</v>
      </c>
      <c r="BZ59" s="18"/>
      <c r="CA59" s="18"/>
      <c r="CB59" s="306">
        <f>IF(BZ59=0,0,(CA59-BZ59)/BZ59*100)</f>
        <v>0</v>
      </c>
      <c r="CC59" s="18"/>
      <c r="CD59" s="18"/>
      <c r="CE59" s="306">
        <f>IF(CC59=0,0,(CD59-CC59)/CC59*100)</f>
        <v>0</v>
      </c>
      <c r="CF59" s="18"/>
      <c r="CG59" s="18"/>
      <c r="CH59" s="306">
        <f>IF(CF59=0,0,(CG59-CF59)/CF59*100)</f>
        <v>0</v>
      </c>
      <c r="CI59" s="18"/>
      <c r="CJ59" s="18"/>
      <c r="CK59" s="306">
        <f>IF(CI59=0,0,(CJ59-CI59)/CI59*100)</f>
        <v>0</v>
      </c>
      <c r="CL59" s="18"/>
      <c r="CM59" s="18"/>
      <c r="CN59" s="306">
        <f>IF(CL59=0,0,(CM59-CL59)/CL59*100)</f>
        <v>0</v>
      </c>
      <c r="CO59" s="18"/>
      <c r="CP59" s="18"/>
      <c r="CQ59" s="306">
        <f>IF(CO59=0,0,(CP59-CO59)/CO59*100)</f>
        <v>0</v>
      </c>
      <c r="CR59" s="18"/>
      <c r="CS59" s="18"/>
      <c r="CT59" s="306">
        <f>IF(CR59=0,0,(CS59-CR59)/CR59*100)</f>
        <v>0</v>
      </c>
      <c r="CU59" s="18"/>
      <c r="CV59" s="18"/>
      <c r="CW59" s="306">
        <f>IF(CU59=0,0,(CV59-CU59)/CU59*100)</f>
        <v>0</v>
      </c>
      <c r="CX59" s="18"/>
      <c r="CY59" s="18"/>
      <c r="CZ59" s="306">
        <f>IF(CX59=0,0,(CY59-CX59)/CX59*100)</f>
        <v>0</v>
      </c>
      <c r="DA59" s="18"/>
      <c r="DB59" s="18"/>
      <c r="DC59" s="306">
        <f>IF(DA59=0,0,(DB59-DA59)/DA59*100)</f>
        <v>0</v>
      </c>
      <c r="DD59" s="18"/>
      <c r="DE59" s="18"/>
      <c r="DF59" s="306">
        <f>IF(DD59=0,0,(DE59-DD59)/DD59*100)</f>
        <v>0</v>
      </c>
      <c r="DG59" s="18"/>
      <c r="DH59" s="18"/>
      <c r="DI59" s="306">
        <f>IF(DG59=0,0,(DH59-DG59)/DG59*100)</f>
        <v>0</v>
      </c>
      <c r="DJ59" s="18"/>
      <c r="DK59" s="18"/>
      <c r="DL59" s="306">
        <f>IF(DJ59=0,0,(DK59-DJ59)/DJ59*100)</f>
        <v>0</v>
      </c>
      <c r="DM59" s="18"/>
      <c r="DN59" s="18"/>
      <c r="DO59" s="306">
        <f>IF(DM59=0,0,(DN59-DM59)/DM59*100)</f>
        <v>0</v>
      </c>
      <c r="DP59" s="18"/>
      <c r="DQ59" s="18"/>
      <c r="DR59" s="306">
        <f>IF(DP59=0,0,(DQ59-DP59)/DP59*100)</f>
        <v>0</v>
      </c>
      <c r="DS59" s="18"/>
      <c r="DT59" s="18"/>
      <c r="DU59" s="306">
        <f>IF(DS59=0,0,(DT59-DS59)/DS59*100)</f>
        <v>0</v>
      </c>
      <c r="DV59" s="18"/>
      <c r="DW59" s="18"/>
      <c r="DX59" s="306">
        <f>IF(DV59=0,0,(DW59-DV59)/DV59*100)</f>
        <v>0</v>
      </c>
      <c r="DY59" s="18"/>
      <c r="DZ59" s="18"/>
      <c r="EA59" s="306">
        <f>IF(DY59=0,0,(DZ59-DY59)/DY59*100)</f>
        <v>0</v>
      </c>
      <c r="EB59" s="18"/>
      <c r="EC59" s="18"/>
      <c r="ED59" s="306">
        <f>IF(EB59=0,0,(EC59-EB59)/EB59*100)</f>
        <v>0</v>
      </c>
      <c r="EE59" s="18"/>
      <c r="EF59" s="18"/>
      <c r="EG59" s="306">
        <f>IF(EE59=0,0,(EF59-EE59)/EE59*100)</f>
        <v>0</v>
      </c>
      <c r="EH59" s="18"/>
      <c r="EI59" s="18"/>
      <c r="EJ59" s="306">
        <f>IF(EH59=0,0,(EI59-EH59)/EH59*100)</f>
        <v>0</v>
      </c>
      <c r="EK59" s="18"/>
      <c r="EL59" s="18"/>
      <c r="EM59" s="306">
        <f>IF(EK59=0,0,(EL59-EK59)/EK59*100)</f>
        <v>0</v>
      </c>
      <c r="EN59" s="18"/>
      <c r="EO59" s="18"/>
      <c r="EP59" s="306">
        <f>IF(EN59=0,0,(EO59-EN59)/EN59*100)</f>
        <v>0</v>
      </c>
      <c r="EQ59" s="18"/>
      <c r="ER59" s="18"/>
      <c r="ES59" s="306">
        <f>IF(EQ59=0,0,(ER59-EQ59)/EQ59*100)</f>
        <v>0</v>
      </c>
      <c r="ET59" s="18"/>
      <c r="EU59" s="18"/>
      <c r="EV59" s="306">
        <f>IF(ET59=0,0,(EU59-ET59)/ET59*100)</f>
        <v>0</v>
      </c>
      <c r="EW59" s="18"/>
      <c r="EX59" s="18"/>
      <c r="EY59" s="306">
        <f>IF(EW59=0,0,(EX59-EW59)/EW59*100)</f>
        <v>0</v>
      </c>
      <c r="EZ59" s="18"/>
      <c r="FA59" s="18"/>
      <c r="FB59" s="306">
        <f>IF(EZ59=0,0,(FA59-EZ59)/EZ59*100)</f>
        <v>0</v>
      </c>
      <c r="FC59" s="18"/>
      <c r="FD59" s="18"/>
      <c r="FE59" s="306">
        <f>IF(FC59=0,0,(FD59-FC59)/FC59*100)</f>
        <v>0</v>
      </c>
      <c r="FF59" s="18"/>
      <c r="FG59" s="18"/>
      <c r="FH59" s="306">
        <f>IF(FF59=0,0,(FG59-FF59)/FF59*100)</f>
        <v>0</v>
      </c>
      <c r="FI59" s="18"/>
      <c r="FJ59" s="18"/>
      <c r="FK59" s="306">
        <f>IF(FI59=0,0,(FJ59-FI59)/FI59*100)</f>
        <v>0</v>
      </c>
      <c r="FL59" s="18"/>
      <c r="FM59" s="18"/>
      <c r="FN59" s="306">
        <f>IF(FL59=0,0,(FM59-FL59)/FL59*100)</f>
        <v>0</v>
      </c>
      <c r="FO59" s="18"/>
      <c r="FP59" s="18"/>
      <c r="FQ59" s="306">
        <f>IF(FO59=0,0,(FP59-FO59)/FO59*100)</f>
        <v>0</v>
      </c>
      <c r="FR59" s="18"/>
      <c r="FS59" s="18"/>
      <c r="FT59" s="306">
        <f>IF(FR59=0,0,(FS59-FR59)/FR59*100)</f>
        <v>0</v>
      </c>
      <c r="FU59" s="18"/>
      <c r="FV59" s="18"/>
      <c r="FW59" s="306">
        <f>IF(FU59=0,0,(FV59-FU59)/FU59*100)</f>
        <v>0</v>
      </c>
      <c r="FZ59" s="971" t="s">
        <v>2187</v>
      </c>
      <c r="GA59" s="971"/>
      <c r="GB59" s="971"/>
      <c r="GC59" s="971"/>
      <c r="GD59" s="971"/>
    </row>
    <row r="60" spans="2:186" ht="15.4" hidden="1" customHeight="1" x14ac:dyDescent="0.15">
      <c r="B60" s="803" t="b" cm="1">
        <f t="array" ref="B60">B59</f>
        <v>0</v>
      </c>
      <c r="C60" s="1108" t="s">
        <v>1773</v>
      </c>
      <c r="D60" s="1077" t="s">
        <v>1774</v>
      </c>
      <c r="E60" s="668">
        <v>15.8</v>
      </c>
      <c r="F60" s="769" cm="1">
        <f t="array" aca="1" ref="F60" ca="1">OFFSET(G60,-1,-1)</f>
        <v>0</v>
      </c>
      <c r="G60" s="612" t="s">
        <v>1780</v>
      </c>
      <c r="H60" s="160" t="s">
        <v>2179</v>
      </c>
      <c r="I60" s="160" t="s">
        <v>2121</v>
      </c>
      <c r="J60" s="1098"/>
      <c r="K60" s="1098" cm="1">
        <f t="array" aca="1" ref="K60" ca="1">OFFSET(J60,-1,1)</f>
        <v>0</v>
      </c>
      <c r="L60" s="1098"/>
      <c r="M60" s="1098" t="s">
        <v>1759</v>
      </c>
      <c r="N60" s="1098" t="s">
        <v>2117</v>
      </c>
      <c r="O60" s="1099" t="s">
        <v>2118</v>
      </c>
      <c r="P60" s="1098" t="s">
        <v>2180</v>
      </c>
      <c r="Q60" s="1098"/>
      <c r="T60" s="679" t="b" cm="1">
        <f t="array" aca="1" ref="T60" ca="1">T59</f>
        <v>0</v>
      </c>
      <c r="X60" s="1485"/>
      <c r="Z60" s="1485"/>
      <c r="AB60" s="220" t="s">
        <v>2181</v>
      </c>
      <c r="AC60" s="549" t="s">
        <v>715</v>
      </c>
      <c r="AD60" s="18">
        <f ca="1">IF(method_reg="Метод экономически обоснованных расходов",SUMIFS('Калькуляция (4.6)'!AJ$25:AJ$162,'Калькуляция (4.6)'!$F$25:$F$162,$F60,'Калькуляция (4.6)'!$G$25:$G$162,$G60),IF(method_reg="Метод сравнения аналогов",SUMIFS(INDEX('Калькуляция (МСА)'!$AE$25:$BC$82,,MATCH(AD$8,'Калькуляция (МСА)'!$AE$8:$BC$8,0)),'Калькуляция (МСА)'!$F$25:$F$82,$F60,'Калькуляция (МСА)'!$G$25:$G$82,$G60),SUMIFS(INDEX('Калькуляция (5.9)'!$AJ$25:$BC$137,,MATCH(AD$8,'Калькуляция (5.9)'!$AJ$8:$BC$8,0)),'Калькуляция (5.9)'!$F$25:$F$137,$F60,'Калькуляция (5.9)'!$G$25:$G$137,$G60)))</f>
        <v>0</v>
      </c>
      <c r="AE60" s="18">
        <f ca="1">IF(method_reg="Метод экономически обоснованных расходов",SUMIFS('Калькуляция (4.6)'!AK$25:AK$162,'Калькуляция (4.6)'!$F$25:$F$162,$F60,'Калькуляция (4.6)'!$G$25:$G$162,$G60),IF(method_reg="Метод сравнения аналогов",SUMIFS(INDEX('Калькуляция (МСА)'!$AE$25:$BC$82,,MATCH(AE$8,'Калькуляция (МСА)'!$AE$8:$BC$8,0)),'Калькуляция (МСА)'!$F$25:$F$82,$F60,'Калькуляция (МСА)'!$G$25:$G$82,$G60),SUMIFS(INDEX('Калькуляция (5.9)'!$AJ$25:$BC$137,,MATCH(AE$8,'Калькуляция (5.9)'!$AJ$8:$BC$8,0)),'Калькуляция (5.9)'!$F$25:$F$137,$F60,'Калькуляция (5.9)'!$G$25:$G$137,$G60)))</f>
        <v>0</v>
      </c>
      <c r="AF60" s="306">
        <f ca="1">IF(AD60=0,0,(AE60-AD60)/AD60*100)</f>
        <v>0</v>
      </c>
      <c r="AG60" s="1215">
        <f ca="1">IF(method_reg="Метод сравнения аналогов",SUMIFS(INDEX('Калькуляция (МСА)'!$AE$25:$BC$82,,MATCH(AG$8,'Калькуляция (МСА)'!$AE$8:$BC$8,0)),'Калькуляция (МСА)'!$F$25:$F$82,$F60,'Калькуляция (МСА)'!$G$25:$G$82,$G60),SUMIFS(INDEX('Калькуляция (5.9)'!$AJ$25:$BC$137,,MATCH(AG$8,'Калькуляция (5.9)'!$AJ$8:$BC$8,0)),'Калькуляция (5.9)'!$F$25:$F$137,$F60,'Калькуляция (5.9)'!$G$25:$G$137,$G60))</f>
        <v>0</v>
      </c>
      <c r="AH60" s="1215">
        <f ca="1">IF(method_reg="Метод сравнения аналогов",SUMIFS(INDEX('Калькуляция (МСА)'!$AE$25:$BC$82,,MATCH(AH$8,'Калькуляция (МСА)'!$AE$8:$BC$8,0)),'Калькуляция (МСА)'!$F$25:$F$82,$F60,'Калькуляция (МСА)'!$G$25:$G$82,$G60),SUMIFS(INDEX('Калькуляция (5.9)'!$AJ$25:$BC$137,,MATCH(AH$8,'Калькуляция (5.9)'!$AJ$8:$BC$8,0)),'Калькуляция (5.9)'!$F$25:$F$137,$F60,'Калькуляция (5.9)'!$G$25:$G$137,$G60))</f>
        <v>0</v>
      </c>
      <c r="AI60" s="306">
        <f ca="1">IF(AG60=0,0,(AH60-AG60)/AG60*100)</f>
        <v>0</v>
      </c>
      <c r="AJ60" s="1215">
        <f ca="1">IF(method_reg="Метод сравнения аналогов",SUMIFS(INDEX('Калькуляция (МСА)'!$AE$25:$BC$82,,MATCH(AJ$8,'Калькуляция (МСА)'!$AE$8:$BC$8,0)),'Калькуляция (МСА)'!$F$25:$F$82,$F60,'Калькуляция (МСА)'!$G$25:$G$82,$G60),SUMIFS(INDEX('Калькуляция (5.9)'!$AJ$25:$BC$137,,MATCH(AJ$8,'Калькуляция (5.9)'!$AJ$8:$BC$8,0)),'Калькуляция (5.9)'!$F$25:$F$137,$F60,'Калькуляция (5.9)'!$G$25:$G$137,$G60))</f>
        <v>0</v>
      </c>
      <c r="AK60" s="1215">
        <f ca="1">IF(method_reg="Метод сравнения аналогов",SUMIFS(INDEX('Калькуляция (МСА)'!$AE$25:$BC$82,,MATCH(AK$8,'Калькуляция (МСА)'!$AE$8:$BC$8,0)),'Калькуляция (МСА)'!$F$25:$F$82,$F60,'Калькуляция (МСА)'!$G$25:$G$82,$G60),SUMIFS(INDEX('Калькуляция (5.9)'!$AJ$25:$BC$137,,MATCH(AK$8,'Калькуляция (5.9)'!$AJ$8:$BC$8,0)),'Калькуляция (5.9)'!$F$25:$F$137,$F60,'Калькуляция (5.9)'!$G$25:$G$137,$G60))</f>
        <v>0</v>
      </c>
      <c r="AL60" s="306">
        <f ca="1">IF(AJ60=0,0,(AK60-AJ60)/AJ60*100)</f>
        <v>0</v>
      </c>
      <c r="AM60" s="18">
        <f ca="1">IF(method_reg="Метод сравнения аналогов",SUMIFS(INDEX('Калькуляция (МСА)'!$AE$25:$BC$82,,MATCH(AM$8,'Калькуляция (МСА)'!$AE$8:$BC$8,0)),'Калькуляция (МСА)'!$F$25:$F$82,$F60,'Калькуляция (МСА)'!$G$25:$G$82,$G60),SUMIFS(INDEX('Калькуляция (5.9)'!$AJ$25:$BC$137,,MATCH(AM$8,'Калькуляция (5.9)'!$AJ$8:$BC$8,0)),'Калькуляция (5.9)'!$F$25:$F$137,$F60,'Калькуляция (5.9)'!$G$25:$G$137,$G60))</f>
        <v>0</v>
      </c>
      <c r="AN60" s="18">
        <f ca="1">IF(method_reg="Метод сравнения аналогов",SUMIFS(INDEX('Калькуляция (МСА)'!$AE$25:$BC$82,,MATCH(AN$8,'Калькуляция (МСА)'!$AE$8:$BC$8,0)),'Калькуляция (МСА)'!$F$25:$F$82,$F60,'Калькуляция (МСА)'!$G$25:$G$82,$G60),SUMIFS(INDEX('Калькуляция (5.9)'!$AJ$25:$BC$137,,MATCH(AN$8,'Калькуляция (5.9)'!$AJ$8:$BC$8,0)),'Калькуляция (5.9)'!$F$25:$F$137,$F60,'Калькуляция (5.9)'!$G$25:$G$137,$G60))</f>
        <v>0</v>
      </c>
      <c r="AO60" s="306">
        <f ca="1">IF(AM60=0,0,(AN60-AM60)/AM60*100)</f>
        <v>0</v>
      </c>
      <c r="AP60" s="18">
        <f ca="1">IF(method_reg="Метод сравнения аналогов",SUMIFS(INDEX('Калькуляция (МСА)'!$AE$25:$BC$82,,MATCH(AP$8,'Калькуляция (МСА)'!$AE$8:$BC$8,0)),'Калькуляция (МСА)'!$F$25:$F$82,$F60,'Калькуляция (МСА)'!$G$25:$G$82,$G60),SUMIFS(INDEX('Калькуляция (5.9)'!$AJ$25:$BC$137,,MATCH(AP$8,'Калькуляция (5.9)'!$AJ$8:$BC$8,0)),'Калькуляция (5.9)'!$F$25:$F$137,$F60,'Калькуляция (5.9)'!$G$25:$G$137,$G60))</f>
        <v>0</v>
      </c>
      <c r="AQ60" s="18">
        <f ca="1">IF(method_reg="Метод сравнения аналогов",SUMIFS(INDEX('Калькуляция (МСА)'!$AE$25:$BC$82,,MATCH(AQ$8,'Калькуляция (МСА)'!$AE$8:$BC$8,0)),'Калькуляция (МСА)'!$F$25:$F$82,$F60,'Калькуляция (МСА)'!$G$25:$G$82,$G60),SUMIFS(INDEX('Калькуляция (5.9)'!$AJ$25:$BC$137,,MATCH(AQ$8,'Калькуляция (5.9)'!$AJ$8:$BC$8,0)),'Калькуляция (5.9)'!$F$25:$F$137,$F60,'Калькуляция (5.9)'!$G$25:$G$137,$G60))</f>
        <v>0</v>
      </c>
      <c r="AR60" s="306">
        <f ca="1">IF(AP60=0,0,(AQ60-AP60)/AP60*100)</f>
        <v>0</v>
      </c>
      <c r="AS60" s="18">
        <f ca="1">IF(method_reg="Метод сравнения аналогов",SUMIFS(INDEX('Калькуляция (МСА)'!$AE$25:$BC$82,,MATCH(AS$8,'Калькуляция (МСА)'!$AE$8:$BC$8,0)),'Калькуляция (МСА)'!$F$25:$F$82,$F60,'Калькуляция (МСА)'!$G$25:$G$82,$G60),SUMIFS(INDEX('Калькуляция (5.9)'!$AJ$25:$BC$137,,MATCH(AS$8,'Калькуляция (5.9)'!$AJ$8:$BC$8,0)),'Калькуляция (5.9)'!$F$25:$F$137,$F60,'Калькуляция (5.9)'!$G$25:$G$137,$G60))</f>
        <v>0</v>
      </c>
      <c r="AT60" s="18">
        <f ca="1">IF(method_reg="Метод сравнения аналогов",SUMIFS(INDEX('Калькуляция (МСА)'!$AE$25:$BC$82,,MATCH(AT$8,'Калькуляция (МСА)'!$AE$8:$BC$8,0)),'Калькуляция (МСА)'!$F$25:$F$82,$F60,'Калькуляция (МСА)'!$G$25:$G$82,$G60),SUMIFS(INDEX('Калькуляция (5.9)'!$AJ$25:$BC$137,,MATCH(AT$8,'Калькуляция (5.9)'!$AJ$8:$BC$8,0)),'Калькуляция (5.9)'!$F$25:$F$137,$F60,'Калькуляция (5.9)'!$G$25:$G$137,$G60))</f>
        <v>0</v>
      </c>
      <c r="AU60" s="306">
        <f ca="1">IF(AS60=0,0,(AT60-AS60)/AS60*100)</f>
        <v>0</v>
      </c>
      <c r="AV60" s="18">
        <f ca="1">IF(method_reg="Метод сравнения аналогов",SUMIFS(INDEX('Калькуляция (МСА)'!$AE$25:$BC$82,,MATCH(AV$8,'Калькуляция (МСА)'!$AE$8:$BC$8,0)),'Калькуляция (МСА)'!$F$25:$F$82,$F60,'Калькуляция (МСА)'!$G$25:$G$82,$G60),SUMIFS(INDEX('Калькуляция (5.9)'!$AJ$25:$BC$137,,MATCH(AV$8,'Калькуляция (5.9)'!$AJ$8:$BC$8,0)),'Калькуляция (5.9)'!$F$25:$F$137,$F60,'Калькуляция (5.9)'!$G$25:$G$137,$G60))</f>
        <v>0</v>
      </c>
      <c r="AW60" s="18">
        <f ca="1">IF(method_reg="Метод сравнения аналогов",SUMIFS(INDEX('Калькуляция (МСА)'!$AE$25:$BC$82,,MATCH(AW$8,'Калькуляция (МСА)'!$AE$8:$BC$8,0)),'Калькуляция (МСА)'!$F$25:$F$82,$F60,'Калькуляция (МСА)'!$G$25:$G$82,$G60),SUMIFS(INDEX('Калькуляция (5.9)'!$AJ$25:$BC$137,,MATCH(AW$8,'Калькуляция (5.9)'!$AJ$8:$BC$8,0)),'Калькуляция (5.9)'!$F$25:$F$137,$F60,'Калькуляция (5.9)'!$G$25:$G$137,$G60))</f>
        <v>0</v>
      </c>
      <c r="AX60" s="306">
        <f ca="1">IF(AV60=0,0,(AW60-AV60)/AV60*100)</f>
        <v>0</v>
      </c>
      <c r="AY60" s="18">
        <f ca="1">IF(method_reg="Метод сравнения аналогов",SUMIFS(INDEX('Калькуляция (МСА)'!$AE$25:$BC$82,,MATCH(AY$8,'Калькуляция (МСА)'!$AE$8:$BC$8,0)),'Калькуляция (МСА)'!$F$25:$F$82,$F60,'Калькуляция (МСА)'!$G$25:$G$82,$G60),SUMIFS(INDEX('Калькуляция (5.9)'!$AJ$25:$BC$137,,MATCH(AY$8,'Калькуляция (5.9)'!$AJ$8:$BC$8,0)),'Калькуляция (5.9)'!$F$25:$F$137,$F60,'Калькуляция (5.9)'!$G$25:$G$137,$G60))</f>
        <v>0</v>
      </c>
      <c r="AZ60" s="18">
        <f ca="1">IF(method_reg="Метод сравнения аналогов",SUMIFS(INDEX('Калькуляция (МСА)'!$AE$25:$BC$82,,MATCH(AZ$8,'Калькуляция (МСА)'!$AE$8:$BC$8,0)),'Калькуляция (МСА)'!$F$25:$F$82,$F60,'Калькуляция (МСА)'!$G$25:$G$82,$G60),SUMIFS(INDEX('Калькуляция (5.9)'!$AJ$25:$BC$137,,MATCH(AZ$8,'Калькуляция (5.9)'!$AJ$8:$BC$8,0)),'Калькуляция (5.9)'!$F$25:$F$137,$F60,'Калькуляция (5.9)'!$G$25:$G$137,$G60))</f>
        <v>0</v>
      </c>
      <c r="BA60" s="306">
        <f ca="1">IF(AY60=0,0,(AZ60-AY60)/AY60*100)</f>
        <v>0</v>
      </c>
      <c r="BB60" s="18">
        <f ca="1">IF(method_reg="Метод сравнения аналогов",SUMIFS(INDEX('Калькуляция (МСА)'!$AE$25:$BC$82,,MATCH(BB$8,'Калькуляция (МСА)'!$AE$8:$BC$8,0)),'Калькуляция (МСА)'!$F$25:$F$82,$F60,'Калькуляция (МСА)'!$G$25:$G$82,$G60),SUMIFS(INDEX('Калькуляция (5.9)'!$AJ$25:$BC$137,,MATCH(BB$8,'Калькуляция (5.9)'!$AJ$8:$BC$8,0)),'Калькуляция (5.9)'!$F$25:$F$137,$F60,'Калькуляция (5.9)'!$G$25:$G$137,$G60))</f>
        <v>0</v>
      </c>
      <c r="BC60" s="18">
        <f ca="1">IF(method_reg="Метод сравнения аналогов",SUMIFS(INDEX('Калькуляция (МСА)'!$AE$25:$BC$82,,MATCH(BC$8,'Калькуляция (МСА)'!$AE$8:$BC$8,0)),'Калькуляция (МСА)'!$F$25:$F$82,$F60,'Калькуляция (МСА)'!$G$25:$G$82,$G60),SUMIFS(INDEX('Калькуляция (5.9)'!$AJ$25:$BC$137,,MATCH(BC$8,'Калькуляция (5.9)'!$AJ$8:$BC$8,0)),'Калькуляция (5.9)'!$F$25:$F$137,$F60,'Калькуляция (5.9)'!$G$25:$G$137,$G60))</f>
        <v>0</v>
      </c>
      <c r="BD60" s="306">
        <f ca="1">IF(BB60=0,0,(BC60-BB60)/BB60*100)</f>
        <v>0</v>
      </c>
      <c r="BE60" s="18">
        <f ca="1">IF(method_reg="Метод сравнения аналогов",SUMIFS(INDEX('Калькуляция (МСА)'!$AE$25:$BC$82,,MATCH(BE$8,'Калькуляция (МСА)'!$AE$8:$BC$8,0)),'Калькуляция (МСА)'!$F$25:$F$82,$F60,'Калькуляция (МСА)'!$G$25:$G$82,$G60),SUMIFS(INDEX('Калькуляция (5.9)'!$AJ$25:$BC$137,,MATCH(BE$8,'Калькуляция (5.9)'!$AJ$8:$BC$8,0)),'Калькуляция (5.9)'!$F$25:$F$137,$F60,'Калькуляция (5.9)'!$G$25:$G$137,$G60))</f>
        <v>0</v>
      </c>
      <c r="BF60" s="18">
        <f ca="1">IF(method_reg="Метод сравнения аналогов",SUMIFS(INDEX('Калькуляция (МСА)'!$AE$25:$BC$82,,MATCH(BF$8,'Калькуляция (МСА)'!$AE$8:$BC$8,0)),'Калькуляция (МСА)'!$F$25:$F$82,$F60,'Калькуляция (МСА)'!$G$25:$G$82,$G60),SUMIFS(INDEX('Калькуляция (5.9)'!$AJ$25:$BC$137,,MATCH(BF$8,'Калькуляция (5.9)'!$AJ$8:$BC$8,0)),'Калькуляция (5.9)'!$F$25:$F$137,$F60,'Калькуляция (5.9)'!$G$25:$G$137,$G60))</f>
        <v>0</v>
      </c>
      <c r="BG60" s="306">
        <f ca="1">IF(BE60=0,0,(BF60-BE60)/BE60*100)</f>
        <v>0</v>
      </c>
      <c r="BH60" s="18"/>
      <c r="BI60" s="18"/>
      <c r="BJ60" s="306">
        <f>IF(BH60=0,0,(BI60-BH60)/BH60*100)</f>
        <v>0</v>
      </c>
      <c r="BK60" s="18"/>
      <c r="BL60" s="18"/>
      <c r="BM60" s="306">
        <f>IF(BK60=0,0,(BL60-BK60)/BK60*100)</f>
        <v>0</v>
      </c>
      <c r="BN60" s="18"/>
      <c r="BO60" s="18"/>
      <c r="BP60" s="306">
        <f>IF(BN60=0,0,(BO60-BN60)/BN60*100)</f>
        <v>0</v>
      </c>
      <c r="BQ60" s="18"/>
      <c r="BR60" s="18"/>
      <c r="BS60" s="306">
        <f>IF(BQ60=0,0,(BR60-BQ60)/BQ60*100)</f>
        <v>0</v>
      </c>
      <c r="BT60" s="18"/>
      <c r="BU60" s="18"/>
      <c r="BV60" s="306">
        <f>IF(BT60=0,0,(BU60-BT60)/BT60*100)</f>
        <v>0</v>
      </c>
      <c r="BW60" s="18"/>
      <c r="BX60" s="18"/>
      <c r="BY60" s="306">
        <f>IF(BW60=0,0,(BX60-BW60)/BW60*100)</f>
        <v>0</v>
      </c>
      <c r="BZ60" s="18"/>
      <c r="CA60" s="18"/>
      <c r="CB60" s="306">
        <f>IF(BZ60=0,0,(CA60-BZ60)/BZ60*100)</f>
        <v>0</v>
      </c>
      <c r="CC60" s="18"/>
      <c r="CD60" s="18"/>
      <c r="CE60" s="306">
        <f>IF(CC60=0,0,(CD60-CC60)/CC60*100)</f>
        <v>0</v>
      </c>
      <c r="CF60" s="18"/>
      <c r="CG60" s="18"/>
      <c r="CH60" s="306">
        <f>IF(CF60=0,0,(CG60-CF60)/CF60*100)</f>
        <v>0</v>
      </c>
      <c r="CI60" s="18"/>
      <c r="CJ60" s="18"/>
      <c r="CK60" s="306">
        <f>IF(CI60=0,0,(CJ60-CI60)/CI60*100)</f>
        <v>0</v>
      </c>
      <c r="CL60" s="18"/>
      <c r="CM60" s="18"/>
      <c r="CN60" s="306">
        <f>IF(CL60=0,0,(CM60-CL60)/CL60*100)</f>
        <v>0</v>
      </c>
      <c r="CO60" s="18"/>
      <c r="CP60" s="18"/>
      <c r="CQ60" s="306">
        <f>IF(CO60=0,0,(CP60-CO60)/CO60*100)</f>
        <v>0</v>
      </c>
      <c r="CR60" s="18"/>
      <c r="CS60" s="18"/>
      <c r="CT60" s="306">
        <f>IF(CR60=0,0,(CS60-CR60)/CR60*100)</f>
        <v>0</v>
      </c>
      <c r="CU60" s="18"/>
      <c r="CV60" s="18"/>
      <c r="CW60" s="306">
        <f>IF(CU60=0,0,(CV60-CU60)/CU60*100)</f>
        <v>0</v>
      </c>
      <c r="CX60" s="18"/>
      <c r="CY60" s="18"/>
      <c r="CZ60" s="306">
        <f>IF(CX60=0,0,(CY60-CX60)/CX60*100)</f>
        <v>0</v>
      </c>
      <c r="DA60" s="18"/>
      <c r="DB60" s="18"/>
      <c r="DC60" s="306">
        <f>IF(DA60=0,0,(DB60-DA60)/DA60*100)</f>
        <v>0</v>
      </c>
      <c r="DD60" s="18"/>
      <c r="DE60" s="18"/>
      <c r="DF60" s="306">
        <f>IF(DD60=0,0,(DE60-DD60)/DD60*100)</f>
        <v>0</v>
      </c>
      <c r="DG60" s="18"/>
      <c r="DH60" s="18"/>
      <c r="DI60" s="306">
        <f>IF(DG60=0,0,(DH60-DG60)/DG60*100)</f>
        <v>0</v>
      </c>
      <c r="DJ60" s="18"/>
      <c r="DK60" s="18"/>
      <c r="DL60" s="306">
        <f>IF(DJ60=0,0,(DK60-DJ60)/DJ60*100)</f>
        <v>0</v>
      </c>
      <c r="DM60" s="18"/>
      <c r="DN60" s="18"/>
      <c r="DO60" s="306">
        <f>IF(DM60=0,0,(DN60-DM60)/DM60*100)</f>
        <v>0</v>
      </c>
      <c r="DP60" s="18"/>
      <c r="DQ60" s="18"/>
      <c r="DR60" s="306">
        <f>IF(DP60=0,0,(DQ60-DP60)/DP60*100)</f>
        <v>0</v>
      </c>
      <c r="DS60" s="18"/>
      <c r="DT60" s="18"/>
      <c r="DU60" s="306">
        <f>IF(DS60=0,0,(DT60-DS60)/DS60*100)</f>
        <v>0</v>
      </c>
      <c r="DV60" s="18"/>
      <c r="DW60" s="18"/>
      <c r="DX60" s="306">
        <f>IF(DV60=0,0,(DW60-DV60)/DV60*100)</f>
        <v>0</v>
      </c>
      <c r="DY60" s="18"/>
      <c r="DZ60" s="18"/>
      <c r="EA60" s="306">
        <f>IF(DY60=0,0,(DZ60-DY60)/DY60*100)</f>
        <v>0</v>
      </c>
      <c r="EB60" s="18"/>
      <c r="EC60" s="18"/>
      <c r="ED60" s="306">
        <f>IF(EB60=0,0,(EC60-EB60)/EB60*100)</f>
        <v>0</v>
      </c>
      <c r="EE60" s="18"/>
      <c r="EF60" s="18"/>
      <c r="EG60" s="306">
        <f>IF(EE60=0,0,(EF60-EE60)/EE60*100)</f>
        <v>0</v>
      </c>
      <c r="EH60" s="18"/>
      <c r="EI60" s="18"/>
      <c r="EJ60" s="306">
        <f>IF(EH60=0,0,(EI60-EH60)/EH60*100)</f>
        <v>0</v>
      </c>
      <c r="EK60" s="18"/>
      <c r="EL60" s="18"/>
      <c r="EM60" s="306">
        <f>IF(EK60=0,0,(EL60-EK60)/EK60*100)</f>
        <v>0</v>
      </c>
      <c r="EN60" s="18"/>
      <c r="EO60" s="18"/>
      <c r="EP60" s="306">
        <f>IF(EN60=0,0,(EO60-EN60)/EN60*100)</f>
        <v>0</v>
      </c>
      <c r="EQ60" s="18"/>
      <c r="ER60" s="18"/>
      <c r="ES60" s="306">
        <f>IF(EQ60=0,0,(ER60-EQ60)/EQ60*100)</f>
        <v>0</v>
      </c>
      <c r="ET60" s="18"/>
      <c r="EU60" s="18"/>
      <c r="EV60" s="306">
        <f>IF(ET60=0,0,(EU60-ET60)/ET60*100)</f>
        <v>0</v>
      </c>
      <c r="EW60" s="18"/>
      <c r="EX60" s="18"/>
      <c r="EY60" s="306">
        <f>IF(EW60=0,0,(EX60-EW60)/EW60*100)</f>
        <v>0</v>
      </c>
      <c r="EZ60" s="18"/>
      <c r="FA60" s="18"/>
      <c r="FB60" s="306">
        <f>IF(EZ60=0,0,(FA60-EZ60)/EZ60*100)</f>
        <v>0</v>
      </c>
      <c r="FC60" s="18"/>
      <c r="FD60" s="18"/>
      <c r="FE60" s="306">
        <f>IF(FC60=0,0,(FD60-FC60)/FC60*100)</f>
        <v>0</v>
      </c>
      <c r="FF60" s="18"/>
      <c r="FG60" s="18"/>
      <c r="FH60" s="306">
        <f>IF(FF60=0,0,(FG60-FF60)/FF60*100)</f>
        <v>0</v>
      </c>
      <c r="FI60" s="18"/>
      <c r="FJ60" s="18"/>
      <c r="FK60" s="306">
        <f>IF(FI60=0,0,(FJ60-FI60)/FI60*100)</f>
        <v>0</v>
      </c>
      <c r="FL60" s="18"/>
      <c r="FM60" s="18"/>
      <c r="FN60" s="306">
        <f>IF(FL60=0,0,(FM60-FL60)/FL60*100)</f>
        <v>0</v>
      </c>
      <c r="FO60" s="18"/>
      <c r="FP60" s="18"/>
      <c r="FQ60" s="306">
        <f>IF(FO60=0,0,(FP60-FO60)/FO60*100)</f>
        <v>0</v>
      </c>
      <c r="FR60" s="18"/>
      <c r="FS60" s="18"/>
      <c r="FT60" s="306">
        <f>IF(FR60=0,0,(FS60-FR60)/FR60*100)</f>
        <v>0</v>
      </c>
      <c r="FU60" s="18"/>
      <c r="FV60" s="18"/>
      <c r="FW60" s="306">
        <f>IF(FU60=0,0,(FV60-FU60)/FU60*100)</f>
        <v>0</v>
      </c>
      <c r="FZ60" s="971" t="s">
        <v>2188</v>
      </c>
      <c r="GA60" s="971"/>
      <c r="GB60" s="971"/>
      <c r="GC60" s="971"/>
      <c r="GD60" s="971"/>
    </row>
    <row r="61" spans="2:186" ht="15.4" hidden="1" customHeight="1" x14ac:dyDescent="0.15">
      <c r="B61" s="803" t="b" cm="1">
        <f t="array" ref="B61">B60</f>
        <v>0</v>
      </c>
      <c r="E61" s="668">
        <v>15.8</v>
      </c>
      <c r="F61" s="769" cm="1">
        <f t="array" aca="1" ref="F61" ca="1">OFFSET(G61,-1,-1)</f>
        <v>0</v>
      </c>
      <c r="K61" s="1098" cm="1">
        <f t="array" aca="1" ref="K61" ca="1">OFFSET(J61,-1,1)</f>
        <v>0</v>
      </c>
      <c r="P61" s="1098"/>
      <c r="Q61" s="1098"/>
      <c r="T61" s="679" t="b" cm="1">
        <f t="array" aca="1" ref="T61" ca="1">T60</f>
        <v>0</v>
      </c>
      <c r="X61" s="1485"/>
      <c r="Z61" s="1485"/>
      <c r="AB61" s="1130" t="s">
        <v>2139</v>
      </c>
      <c r="AC61" s="308"/>
      <c r="AD61" s="309"/>
      <c r="AE61" s="309"/>
      <c r="AF61" s="309"/>
      <c r="AG61" s="309"/>
      <c r="AH61" s="309"/>
      <c r="AI61" s="309"/>
      <c r="AJ61" s="309"/>
      <c r="AK61" s="309"/>
      <c r="AL61" s="309"/>
      <c r="AM61" s="309"/>
      <c r="AN61" s="309"/>
      <c r="AO61" s="309"/>
      <c r="AP61" s="309"/>
      <c r="AQ61" s="309"/>
      <c r="AR61" s="309"/>
      <c r="AS61" s="309"/>
      <c r="AT61" s="309"/>
      <c r="AU61" s="309"/>
      <c r="AV61" s="309"/>
      <c r="AW61" s="309"/>
      <c r="AX61" s="309"/>
      <c r="AY61" s="309"/>
      <c r="AZ61" s="309"/>
      <c r="BA61" s="309"/>
      <c r="BB61" s="309"/>
      <c r="BC61" s="309"/>
      <c r="BD61" s="309"/>
      <c r="BE61" s="309"/>
      <c r="BF61" s="309"/>
      <c r="BG61" s="309"/>
      <c r="BH61" s="309"/>
      <c r="BI61" s="309"/>
      <c r="BJ61" s="309"/>
      <c r="BK61" s="309"/>
      <c r="BL61" s="309"/>
      <c r="BM61" s="309"/>
      <c r="BN61" s="309"/>
      <c r="BO61" s="309"/>
      <c r="BP61" s="309"/>
      <c r="BQ61" s="309"/>
      <c r="BR61" s="309"/>
      <c r="BS61" s="309"/>
      <c r="BT61" s="309"/>
      <c r="BU61" s="309"/>
      <c r="BV61" s="309"/>
      <c r="BW61" s="309"/>
      <c r="BX61" s="309"/>
      <c r="BY61" s="309"/>
      <c r="BZ61" s="309"/>
      <c r="CA61" s="309"/>
      <c r="CB61" s="309"/>
      <c r="CC61" s="309"/>
      <c r="CD61" s="309"/>
      <c r="CE61" s="309"/>
      <c r="CF61" s="309"/>
      <c r="CG61" s="309"/>
      <c r="CH61" s="309"/>
      <c r="CI61" s="309"/>
      <c r="CJ61" s="309"/>
      <c r="CK61" s="309"/>
      <c r="CL61" s="309"/>
      <c r="CM61" s="309"/>
      <c r="CN61" s="309"/>
      <c r="CO61" s="309"/>
      <c r="CP61" s="309"/>
      <c r="CQ61" s="309"/>
      <c r="CR61" s="309"/>
      <c r="CS61" s="309"/>
      <c r="CT61" s="309"/>
      <c r="CU61" s="309"/>
      <c r="CV61" s="309"/>
      <c r="CW61" s="309"/>
      <c r="CX61" s="309"/>
      <c r="CY61" s="309"/>
      <c r="CZ61" s="309"/>
      <c r="DA61" s="309"/>
      <c r="DB61" s="309"/>
      <c r="DC61" s="309"/>
      <c r="DD61" s="309"/>
      <c r="DE61" s="309"/>
      <c r="DF61" s="309"/>
      <c r="DG61" s="309"/>
      <c r="DH61" s="309"/>
      <c r="DI61" s="309"/>
      <c r="DJ61" s="309"/>
      <c r="DK61" s="309"/>
      <c r="DL61" s="309"/>
      <c r="DM61" s="309"/>
      <c r="DN61" s="309"/>
      <c r="DO61" s="309"/>
      <c r="DP61" s="309"/>
      <c r="DQ61" s="309"/>
      <c r="DR61" s="309"/>
      <c r="DS61" s="309"/>
      <c r="DT61" s="309"/>
      <c r="DU61" s="309"/>
      <c r="DV61" s="309"/>
      <c r="DW61" s="309"/>
      <c r="DX61" s="309"/>
      <c r="DY61" s="309"/>
      <c r="DZ61" s="309"/>
      <c r="EA61" s="309"/>
      <c r="EB61" s="309"/>
      <c r="EC61" s="309"/>
      <c r="ED61" s="309"/>
      <c r="EE61" s="309"/>
      <c r="EF61" s="309"/>
      <c r="EG61" s="309"/>
      <c r="EH61" s="309"/>
      <c r="EI61" s="309"/>
      <c r="EJ61" s="309"/>
      <c r="EK61" s="309"/>
      <c r="EL61" s="309"/>
      <c r="EM61" s="309"/>
      <c r="EN61" s="309"/>
      <c r="EO61" s="309"/>
      <c r="EP61" s="309"/>
      <c r="EQ61" s="309"/>
      <c r="ER61" s="309"/>
      <c r="ES61" s="309"/>
      <c r="ET61" s="309"/>
      <c r="EU61" s="309"/>
      <c r="EV61" s="309"/>
      <c r="EW61" s="309"/>
      <c r="EX61" s="309"/>
      <c r="EY61" s="309"/>
      <c r="EZ61" s="309"/>
      <c r="FA61" s="309"/>
      <c r="FB61" s="309"/>
      <c r="FC61" s="309"/>
      <c r="FD61" s="309"/>
      <c r="FE61" s="309"/>
      <c r="FF61" s="309"/>
      <c r="FG61" s="309"/>
      <c r="FH61" s="309"/>
      <c r="FI61" s="309"/>
      <c r="FJ61" s="309"/>
      <c r="FK61" s="309"/>
      <c r="FL61" s="309"/>
      <c r="FM61" s="309"/>
      <c r="FN61" s="309"/>
      <c r="FO61" s="309"/>
      <c r="FP61" s="309"/>
      <c r="FQ61" s="309"/>
      <c r="FR61" s="309"/>
      <c r="FS61" s="309"/>
      <c r="FT61" s="309"/>
      <c r="FU61" s="309"/>
      <c r="FV61" s="309"/>
      <c r="FW61" s="310"/>
      <c r="GA61" s="971"/>
      <c r="GB61" s="971"/>
      <c r="GC61" s="971"/>
      <c r="GD61" s="971"/>
    </row>
    <row r="62" spans="2:186" ht="15.4" hidden="1" customHeight="1" x14ac:dyDescent="0.15">
      <c r="B62" s="803" t="b" cm="1">
        <f t="array" ref="B62">B61</f>
        <v>0</v>
      </c>
      <c r="C62" s="1108" t="s">
        <v>2189</v>
      </c>
      <c r="D62" s="1077" t="s">
        <v>2190</v>
      </c>
      <c r="E62" s="668">
        <v>15.8</v>
      </c>
      <c r="F62" s="769" cm="1">
        <f t="array" aca="1" ref="F62" ca="1">OFFSET(G62,-1,-1)</f>
        <v>0</v>
      </c>
      <c r="H62" s="160" t="s">
        <v>2161</v>
      </c>
      <c r="I62" s="160" t="s">
        <v>2136</v>
      </c>
      <c r="J62" s="1098"/>
      <c r="K62" s="1098" cm="1">
        <f t="array" aca="1" ref="K62" ca="1">OFFSET(J62,-1,1)</f>
        <v>0</v>
      </c>
      <c r="L62" s="1098"/>
      <c r="M62" s="1098" t="s">
        <v>1750</v>
      </c>
      <c r="N62" s="1098" t="s">
        <v>2137</v>
      </c>
      <c r="O62" s="1099" t="s">
        <v>2138</v>
      </c>
      <c r="P62" s="1098" t="s">
        <v>2162</v>
      </c>
      <c r="Q62" s="1098"/>
      <c r="T62" s="679" t="b" cm="1">
        <f t="array" aca="1" ref="T62" ca="1">T61</f>
        <v>0</v>
      </c>
      <c r="X62" s="1485"/>
      <c r="Z62" s="1485"/>
      <c r="AB62" s="220" t="s">
        <v>2163</v>
      </c>
      <c r="AC62" s="120" t="s">
        <v>920</v>
      </c>
      <c r="AD62" s="18">
        <f>IF(AD64=0,0,(AD63*AD64+AD65*AD66*IF(god=2026,9,6))/AD64)</f>
        <v>0</v>
      </c>
      <c r="AE62" s="18">
        <f>IF(AE64=0,0,(AE63*AE64+AE65*AE66*IF(god=2026,9,6))/AE64)</f>
        <v>0</v>
      </c>
      <c r="AF62" s="306">
        <f>IF(AD62=0,0,(AE62-AD62)/AD62*100)</f>
        <v>0</v>
      </c>
      <c r="AG62" s="1215">
        <f>IF(AG64=0,0,(AG63*AG64+AG65*AG66*IF(god=2025,9,6))/AG64)</f>
        <v>0</v>
      </c>
      <c r="AH62" s="1215">
        <f>IF(AH64=0,0,(AH63*AH64+AH65*AH66*IF(god=2025,9,6))/AH64)</f>
        <v>0</v>
      </c>
      <c r="AI62" s="306">
        <f>IF(AG62=0,0,(AH62-AG62)/AG62*100)</f>
        <v>0</v>
      </c>
      <c r="AJ62" s="1215">
        <f>IF(AJ64=0,0,(AJ63*AJ64+AJ65*AJ66*6)/AJ64)</f>
        <v>0</v>
      </c>
      <c r="AK62" s="1215">
        <f>IF(AK64=0,0,(AK63*AK64+AK65*AK66*6)/AK64)</f>
        <v>0</v>
      </c>
      <c r="AL62" s="306">
        <f>IF(AJ62=0,0,(AK62-AJ62)/AJ62*100)</f>
        <v>0</v>
      </c>
      <c r="AM62" s="18">
        <f>IF(AM64=0,0,(AM63*AM64+AM65*AM66*6)/AM64)</f>
        <v>0</v>
      </c>
      <c r="AN62" s="18">
        <f>IF(AN64=0,0,(AN63*AN64+AN65*AN66*6)/AN64)</f>
        <v>0</v>
      </c>
      <c r="AO62" s="306">
        <f>IF(AM62=0,0,(AN62-AM62)/AM62*100)</f>
        <v>0</v>
      </c>
      <c r="AP62" s="18">
        <f>IF(AP64=0,0,(AP63*AP64+AP65*AP66*6)/AP64)</f>
        <v>0</v>
      </c>
      <c r="AQ62" s="18">
        <f>IF(AQ64=0,0,(AQ63*AQ64+AQ65*AQ66*6)/AQ64)</f>
        <v>0</v>
      </c>
      <c r="AR62" s="306">
        <f>IF(AP62=0,0,(AQ62-AP62)/AP62*100)</f>
        <v>0</v>
      </c>
      <c r="AS62" s="18">
        <f>IF(AS64=0,0,(AS63*AS64+AS65*AS66*6)/AS64)</f>
        <v>0</v>
      </c>
      <c r="AT62" s="18">
        <f>IF(AT64=0,0,(AT63*AT64+AT65*AT66*6)/AT64)</f>
        <v>0</v>
      </c>
      <c r="AU62" s="306">
        <f>IF(AS62=0,0,(AT62-AS62)/AS62*100)</f>
        <v>0</v>
      </c>
      <c r="AV62" s="18">
        <f>IF(AV64=0,0,(AV63*AV64+AV65*AV66*6)/AV64)</f>
        <v>0</v>
      </c>
      <c r="AW62" s="18">
        <f>IF(AW64=0,0,(AW63*AW64+AW65*AW66*6)/AW64)</f>
        <v>0</v>
      </c>
      <c r="AX62" s="306">
        <f>IF(AV62=0,0,(AW62-AV62)/AV62*100)</f>
        <v>0</v>
      </c>
      <c r="AY62" s="18">
        <f>IF(AY64=0,0,(AY63*AY64+AY65*AY66*6)/AY64)</f>
        <v>0</v>
      </c>
      <c r="AZ62" s="18">
        <f>IF(AZ64=0,0,(AZ63*AZ64+AZ65*AZ66*6)/AZ64)</f>
        <v>0</v>
      </c>
      <c r="BA62" s="306">
        <f>IF(AY62=0,0,(AZ62-AY62)/AY62*100)</f>
        <v>0</v>
      </c>
      <c r="BB62" s="18">
        <f>IF(BB64=0,0,(BB63*BB64+BB65*BB66*6)/BB64)</f>
        <v>0</v>
      </c>
      <c r="BC62" s="18">
        <f>IF(BC64=0,0,(BC63*BC64+BC65*BC66*6)/BC64)</f>
        <v>0</v>
      </c>
      <c r="BD62" s="306">
        <f>IF(BB62=0,0,(BC62-BB62)/BB62*100)</f>
        <v>0</v>
      </c>
      <c r="BE62" s="18">
        <f>IF(BE64=0,0,(BE63*BE64+BE65*BE66*6)/BE64)</f>
        <v>0</v>
      </c>
      <c r="BF62" s="18">
        <f>IF(BF64=0,0,(BF63*BF64+BF65*BF66*6)/BF64)</f>
        <v>0</v>
      </c>
      <c r="BG62" s="306">
        <f>IF(BE62=0,0,(BF62-BE62)/BE62*100)</f>
        <v>0</v>
      </c>
      <c r="BH62" s="18">
        <f>IF(BH64=0,0,(BH63*BH64+BH65*BH66*6)/BH64)</f>
        <v>0</v>
      </c>
      <c r="BI62" s="18">
        <f>IF(BI64=0,0,(BI63*BI64+BI65*BI66*6)/BI64)</f>
        <v>0</v>
      </c>
      <c r="BJ62" s="306">
        <f>IF(BH62=0,0,(BI62-BH62)/BH62*100)</f>
        <v>0</v>
      </c>
      <c r="BK62" s="18">
        <f>IF(BK64=0,0,(BK63*BK64+BK65*BK66*6)/BK64)</f>
        <v>0</v>
      </c>
      <c r="BL62" s="18">
        <f>IF(BL64=0,0,(BL63*BL64+BL65*BL66*6)/BL64)</f>
        <v>0</v>
      </c>
      <c r="BM62" s="306">
        <f>IF(BK62=0,0,(BL62-BK62)/BK62*100)</f>
        <v>0</v>
      </c>
      <c r="BN62" s="18">
        <f>IF(BN64=0,0,(BN63*BN64+BN65*BN66*6)/BN64)</f>
        <v>0</v>
      </c>
      <c r="BO62" s="18">
        <f>IF(BO64=0,0,(BO63*BO64+BO65*BO66*6)/BO64)</f>
        <v>0</v>
      </c>
      <c r="BP62" s="306">
        <f>IF(BN62=0,0,(BO62-BN62)/BN62*100)</f>
        <v>0</v>
      </c>
      <c r="BQ62" s="18">
        <f>IF(BQ64=0,0,(BQ63*BQ64+BQ65*BQ66*6)/BQ64)</f>
        <v>0</v>
      </c>
      <c r="BR62" s="18">
        <f>IF(BR64=0,0,(BR63*BR64+BR65*BR66*6)/BR64)</f>
        <v>0</v>
      </c>
      <c r="BS62" s="306">
        <f>IF(BQ62=0,0,(BR62-BQ62)/BQ62*100)</f>
        <v>0</v>
      </c>
      <c r="BT62" s="18">
        <f>IF(BT64=0,0,(BT63*BT64+BT65*BT66*6)/BT64)</f>
        <v>0</v>
      </c>
      <c r="BU62" s="18">
        <f>IF(BU64=0,0,(BU63*BU64+BU65*BU66*6)/BU64)</f>
        <v>0</v>
      </c>
      <c r="BV62" s="306">
        <f>IF(BT62=0,0,(BU62-BT62)/BT62*100)</f>
        <v>0</v>
      </c>
      <c r="BW62" s="18">
        <f>IF(BW64=0,0,(BW63*BW64+BW65*BW66*6)/BW64)</f>
        <v>0</v>
      </c>
      <c r="BX62" s="18">
        <f>IF(BX64=0,0,(BX63*BX64+BX65*BX66*6)/BX64)</f>
        <v>0</v>
      </c>
      <c r="BY62" s="306">
        <f>IF(BW62=0,0,(BX62-BW62)/BW62*100)</f>
        <v>0</v>
      </c>
      <c r="BZ62" s="18">
        <f>IF(BZ64=0,0,(BZ63*BZ64+BZ65*BZ66*6)/BZ64)</f>
        <v>0</v>
      </c>
      <c r="CA62" s="18">
        <f>IF(CA64=0,0,(CA63*CA64+CA65*CA66*6)/CA64)</f>
        <v>0</v>
      </c>
      <c r="CB62" s="306">
        <f>IF(BZ62=0,0,(CA62-BZ62)/BZ62*100)</f>
        <v>0</v>
      </c>
      <c r="CC62" s="18">
        <f>IF(CC64=0,0,(CC63*CC64+CC65*CC66*6)/CC64)</f>
        <v>0</v>
      </c>
      <c r="CD62" s="18">
        <f>IF(CD64=0,0,(CD63*CD64+CD65*CD66*6)/CD64)</f>
        <v>0</v>
      </c>
      <c r="CE62" s="306">
        <f>IF(CC62=0,0,(CD62-CC62)/CC62*100)</f>
        <v>0</v>
      </c>
      <c r="CF62" s="18">
        <f>IF(CF64=0,0,(CF63*CF64+CF65*CF66*6)/CF64)</f>
        <v>0</v>
      </c>
      <c r="CG62" s="18">
        <f>IF(CG64=0,0,(CG63*CG64+CG65*CG66*6)/CG64)</f>
        <v>0</v>
      </c>
      <c r="CH62" s="306">
        <f>IF(CF62=0,0,(CG62-CF62)/CF62*100)</f>
        <v>0</v>
      </c>
      <c r="CI62" s="18">
        <f>IF(CI64=0,0,(CI63*CI64+CI65*CI66*6)/CI64)</f>
        <v>0</v>
      </c>
      <c r="CJ62" s="18">
        <f>IF(CJ64=0,0,(CJ63*CJ64+CJ65*CJ66*6)/CJ64)</f>
        <v>0</v>
      </c>
      <c r="CK62" s="306">
        <f>IF(CI62=0,0,(CJ62-CI62)/CI62*100)</f>
        <v>0</v>
      </c>
      <c r="CL62" s="18">
        <f>IF(CL64=0,0,(CL63*CL64+CL65*CL66*6)/CL64)</f>
        <v>0</v>
      </c>
      <c r="CM62" s="18">
        <f>IF(CM64=0,0,(CM63*CM64+CM65*CM66*6)/CM64)</f>
        <v>0</v>
      </c>
      <c r="CN62" s="306">
        <f>IF(CL62=0,0,(CM62-CL62)/CL62*100)</f>
        <v>0</v>
      </c>
      <c r="CO62" s="18">
        <f>IF(CO64=0,0,(CO63*CO64+CO65*CO66*6)/CO64)</f>
        <v>0</v>
      </c>
      <c r="CP62" s="18">
        <f>IF(CP64=0,0,(CP63*CP64+CP65*CP66*6)/CP64)</f>
        <v>0</v>
      </c>
      <c r="CQ62" s="306">
        <f>IF(CO62=0,0,(CP62-CO62)/CO62*100)</f>
        <v>0</v>
      </c>
      <c r="CR62" s="18">
        <f>IF(CR64=0,0,(CR63*CR64+CR65*CR66*6)/CR64)</f>
        <v>0</v>
      </c>
      <c r="CS62" s="18">
        <f>IF(CS64=0,0,(CS63*CS64+CS65*CS66*6)/CS64)</f>
        <v>0</v>
      </c>
      <c r="CT62" s="306">
        <f>IF(CR62=0,0,(CS62-CR62)/CR62*100)</f>
        <v>0</v>
      </c>
      <c r="CU62" s="18">
        <f>IF(CU64=0,0,(CU63*CU64+CU65*CU66*6)/CU64)</f>
        <v>0</v>
      </c>
      <c r="CV62" s="18">
        <f>IF(CV64=0,0,(CV63*CV64+CV65*CV66*6)/CV64)</f>
        <v>0</v>
      </c>
      <c r="CW62" s="306">
        <f>IF(CU62=0,0,(CV62-CU62)/CU62*100)</f>
        <v>0</v>
      </c>
      <c r="CX62" s="18">
        <f>IF(CX64=0,0,(CX63*CX64+CX65*CX66*6)/CX64)</f>
        <v>0</v>
      </c>
      <c r="CY62" s="18">
        <f>IF(CY64=0,0,(CY63*CY64+CY65*CY66*6)/CY64)</f>
        <v>0</v>
      </c>
      <c r="CZ62" s="306">
        <f>IF(CX62=0,0,(CY62-CX62)/CX62*100)</f>
        <v>0</v>
      </c>
      <c r="DA62" s="18">
        <f>IF(DA64=0,0,(DA63*DA64+DA65*DA66*6)/DA64)</f>
        <v>0</v>
      </c>
      <c r="DB62" s="18">
        <f>IF(DB64=0,0,(DB63*DB64+DB65*DB66*6)/DB64)</f>
        <v>0</v>
      </c>
      <c r="DC62" s="306">
        <f>IF(DA62=0,0,(DB62-DA62)/DA62*100)</f>
        <v>0</v>
      </c>
      <c r="DD62" s="18">
        <f>IF(DD64=0,0,(DD63*DD64+DD65*DD66*6)/DD64)</f>
        <v>0</v>
      </c>
      <c r="DE62" s="18">
        <f>IF(DE64=0,0,(DE63*DE64+DE65*DE66*6)/DE64)</f>
        <v>0</v>
      </c>
      <c r="DF62" s="306">
        <f>IF(DD62=0,0,(DE62-DD62)/DD62*100)</f>
        <v>0</v>
      </c>
      <c r="DG62" s="18">
        <f>IF(DG64=0,0,(DG63*DG64+DG65*DG66*6)/DG64)</f>
        <v>0</v>
      </c>
      <c r="DH62" s="18">
        <f>IF(DH64=0,0,(DH63*DH64+DH65*DH66*6)/DH64)</f>
        <v>0</v>
      </c>
      <c r="DI62" s="306">
        <f>IF(DG62=0,0,(DH62-DG62)/DG62*100)</f>
        <v>0</v>
      </c>
      <c r="DJ62" s="18">
        <f>IF(DJ64=0,0,(DJ63*DJ64+DJ65*DJ66*6)/DJ64)</f>
        <v>0</v>
      </c>
      <c r="DK62" s="18">
        <f>IF(DK64=0,0,(DK63*DK64+DK65*DK66*6)/DK64)</f>
        <v>0</v>
      </c>
      <c r="DL62" s="306">
        <f>IF(DJ62=0,0,(DK62-DJ62)/DJ62*100)</f>
        <v>0</v>
      </c>
      <c r="DM62" s="18">
        <f>IF(DM64=0,0,(DM63*DM64+DM65*DM66*6)/DM64)</f>
        <v>0</v>
      </c>
      <c r="DN62" s="18">
        <f>IF(DN64=0,0,(DN63*DN64+DN65*DN66*6)/DN64)</f>
        <v>0</v>
      </c>
      <c r="DO62" s="306">
        <f>IF(DM62=0,0,(DN62-DM62)/DM62*100)</f>
        <v>0</v>
      </c>
      <c r="DP62" s="18">
        <f>IF(DP64=0,0,(DP63*DP64+DP65*DP66*6)/DP64)</f>
        <v>0</v>
      </c>
      <c r="DQ62" s="18">
        <f>IF(DQ64=0,0,(DQ63*DQ64+DQ65*DQ66*6)/DQ64)</f>
        <v>0</v>
      </c>
      <c r="DR62" s="306">
        <f>IF(DP62=0,0,(DQ62-DP62)/DP62*100)</f>
        <v>0</v>
      </c>
      <c r="DS62" s="18">
        <f>IF(DS64=0,0,(DS63*DS64+DS65*DS66*6)/DS64)</f>
        <v>0</v>
      </c>
      <c r="DT62" s="18">
        <f>IF(DT64=0,0,(DT63*DT64+DT65*DT66*6)/DT64)</f>
        <v>0</v>
      </c>
      <c r="DU62" s="306">
        <f>IF(DS62=0,0,(DT62-DS62)/DS62*100)</f>
        <v>0</v>
      </c>
      <c r="DV62" s="18">
        <f>IF(DV64=0,0,(DV63*DV64+DV65*DV66*6)/DV64)</f>
        <v>0</v>
      </c>
      <c r="DW62" s="18">
        <f>IF(DW64=0,0,(DW63*DW64+DW65*DW66*6)/DW64)</f>
        <v>0</v>
      </c>
      <c r="DX62" s="306">
        <f>IF(DV62=0,0,(DW62-DV62)/DV62*100)</f>
        <v>0</v>
      </c>
      <c r="DY62" s="18">
        <f>IF(DY64=0,0,(DY63*DY64+DY65*DY66*6)/DY64)</f>
        <v>0</v>
      </c>
      <c r="DZ62" s="18">
        <f>IF(DZ64=0,0,(DZ63*DZ64+DZ65*DZ66*6)/DZ64)</f>
        <v>0</v>
      </c>
      <c r="EA62" s="306">
        <f>IF(DY62=0,0,(DZ62-DY62)/DY62*100)</f>
        <v>0</v>
      </c>
      <c r="EB62" s="18">
        <f>IF(EB64=0,0,(EB63*EB64+EB65*EB66*6)/EB64)</f>
        <v>0</v>
      </c>
      <c r="EC62" s="18">
        <f>IF(EC64=0,0,(EC63*EC64+EC65*EC66*6)/EC64)</f>
        <v>0</v>
      </c>
      <c r="ED62" s="306">
        <f>IF(EB62=0,0,(EC62-EB62)/EB62*100)</f>
        <v>0</v>
      </c>
      <c r="EE62" s="18">
        <f>IF(EE64=0,0,(EE63*EE64+EE65*EE66*6)/EE64)</f>
        <v>0</v>
      </c>
      <c r="EF62" s="18">
        <f>IF(EF64=0,0,(EF63*EF64+EF65*EF66*6)/EF64)</f>
        <v>0</v>
      </c>
      <c r="EG62" s="306">
        <f>IF(EE62=0,0,(EF62-EE62)/EE62*100)</f>
        <v>0</v>
      </c>
      <c r="EH62" s="18">
        <f>IF(EH64=0,0,(EH63*EH64+EH65*EH66*6)/EH64)</f>
        <v>0</v>
      </c>
      <c r="EI62" s="18">
        <f>IF(EI64=0,0,(EI63*EI64+EI65*EI66*6)/EI64)</f>
        <v>0</v>
      </c>
      <c r="EJ62" s="306">
        <f>IF(EH62=0,0,(EI62-EH62)/EH62*100)</f>
        <v>0</v>
      </c>
      <c r="EK62" s="18">
        <f>IF(EK64=0,0,(EK63*EK64+EK65*EK66*6)/EK64)</f>
        <v>0</v>
      </c>
      <c r="EL62" s="18">
        <f>IF(EL64=0,0,(EL63*EL64+EL65*EL66*6)/EL64)</f>
        <v>0</v>
      </c>
      <c r="EM62" s="306">
        <f>IF(EK62=0,0,(EL62-EK62)/EK62*100)</f>
        <v>0</v>
      </c>
      <c r="EN62" s="18">
        <f>IF(EN64=0,0,(EN63*EN64+EN65*EN66*6)/EN64)</f>
        <v>0</v>
      </c>
      <c r="EO62" s="18">
        <f>IF(EO64=0,0,(EO63*EO64+EO65*EO66*6)/EO64)</f>
        <v>0</v>
      </c>
      <c r="EP62" s="306">
        <f>IF(EN62=0,0,(EO62-EN62)/EN62*100)</f>
        <v>0</v>
      </c>
      <c r="EQ62" s="18">
        <f>IF(EQ64=0,0,(EQ63*EQ64+EQ65*EQ66*6)/EQ64)</f>
        <v>0</v>
      </c>
      <c r="ER62" s="18">
        <f>IF(ER64=0,0,(ER63*ER64+ER65*ER66*6)/ER64)</f>
        <v>0</v>
      </c>
      <c r="ES62" s="306">
        <f>IF(EQ62=0,0,(ER62-EQ62)/EQ62*100)</f>
        <v>0</v>
      </c>
      <c r="ET62" s="18">
        <f>IF(ET64=0,0,(ET63*ET64+ET65*ET66*6)/ET64)</f>
        <v>0</v>
      </c>
      <c r="EU62" s="18">
        <f>IF(EU64=0,0,(EU63*EU64+EU65*EU66*6)/EU64)</f>
        <v>0</v>
      </c>
      <c r="EV62" s="306">
        <f>IF(ET62=0,0,(EU62-ET62)/ET62*100)</f>
        <v>0</v>
      </c>
      <c r="EW62" s="18">
        <f>IF(EW64=0,0,(EW63*EW64+EW65*EW66*6)/EW64)</f>
        <v>0</v>
      </c>
      <c r="EX62" s="18">
        <f>IF(EX64=0,0,(EX63*EX64+EX65*EX66*6)/EX64)</f>
        <v>0</v>
      </c>
      <c r="EY62" s="306">
        <f>IF(EW62=0,0,(EX62-EW62)/EW62*100)</f>
        <v>0</v>
      </c>
      <c r="EZ62" s="18">
        <f>IF(EZ64=0,0,(EZ63*EZ64+EZ65*EZ66*6)/EZ64)</f>
        <v>0</v>
      </c>
      <c r="FA62" s="18">
        <f>IF(FA64=0,0,(FA63*FA64+FA65*FA66*6)/FA64)</f>
        <v>0</v>
      </c>
      <c r="FB62" s="306">
        <f>IF(EZ62=0,0,(FA62-EZ62)/EZ62*100)</f>
        <v>0</v>
      </c>
      <c r="FC62" s="18">
        <f>IF(FC64=0,0,(FC63*FC64+FC65*FC66*6)/FC64)</f>
        <v>0</v>
      </c>
      <c r="FD62" s="18">
        <f>IF(FD64=0,0,(FD63*FD64+FD65*FD66*6)/FD64)</f>
        <v>0</v>
      </c>
      <c r="FE62" s="306">
        <f>IF(FC62=0,0,(FD62-FC62)/FC62*100)</f>
        <v>0</v>
      </c>
      <c r="FF62" s="18">
        <f>IF(FF64=0,0,(FF63*FF64+FF65*FF66*6)/FF64)</f>
        <v>0</v>
      </c>
      <c r="FG62" s="18">
        <f>IF(FG64=0,0,(FG63*FG64+FG65*FG66*6)/FG64)</f>
        <v>0</v>
      </c>
      <c r="FH62" s="306">
        <f>IF(FF62=0,0,(FG62-FF62)/FF62*100)</f>
        <v>0</v>
      </c>
      <c r="FI62" s="18">
        <f>IF(FI64=0,0,(FI63*FI64+FI65*FI66*6)/FI64)</f>
        <v>0</v>
      </c>
      <c r="FJ62" s="18">
        <f>IF(FJ64=0,0,(FJ63*FJ64+FJ65*FJ66*6)/FJ64)</f>
        <v>0</v>
      </c>
      <c r="FK62" s="306">
        <f>IF(FI62=0,0,(FJ62-FI62)/FI62*100)</f>
        <v>0</v>
      </c>
      <c r="FL62" s="18">
        <f>IF(FL64=0,0,(FL63*FL64+FL65*FL66*6)/FL64)</f>
        <v>0</v>
      </c>
      <c r="FM62" s="18">
        <f>IF(FM64=0,0,(FM63*FM64+FM65*FM66*6)/FM64)</f>
        <v>0</v>
      </c>
      <c r="FN62" s="306">
        <f>IF(FL62=0,0,(FM62-FL62)/FL62*100)</f>
        <v>0</v>
      </c>
      <c r="FO62" s="18">
        <f>IF(FO64=0,0,(FO63*FO64+FO65*FO66*6)/FO64)</f>
        <v>0</v>
      </c>
      <c r="FP62" s="18">
        <f>IF(FP64=0,0,(FP63*FP64+FP65*FP66*6)/FP64)</f>
        <v>0</v>
      </c>
      <c r="FQ62" s="306">
        <f>IF(FO62=0,0,(FP62-FO62)/FO62*100)</f>
        <v>0</v>
      </c>
      <c r="FR62" s="18">
        <f>IF(FR64=0,0,(FR63*FR64+FR65*FR66*6)/FR64)</f>
        <v>0</v>
      </c>
      <c r="FS62" s="18">
        <f>IF(FS64=0,0,(FS63*FS64+FS65*FS66*6)/FS64)</f>
        <v>0</v>
      </c>
      <c r="FT62" s="306">
        <f>IF(FR62=0,0,(FS62-FR62)/FR62*100)</f>
        <v>0</v>
      </c>
      <c r="FU62" s="18">
        <f>IF(FU64=0,0,(FU63*FU64+FU65*FU66*6)/FU64)</f>
        <v>0</v>
      </c>
      <c r="FV62" s="18">
        <f>IF(FV64=0,0,(FV63*FV64+FV65*FV66*6)/FV64)</f>
        <v>0</v>
      </c>
      <c r="FW62" s="306">
        <f>IF(FU62=0,0,(FV62-FU62)/FU62*100)</f>
        <v>0</v>
      </c>
      <c r="FZ62" s="971" t="s">
        <v>2191</v>
      </c>
      <c r="GA62" s="971"/>
      <c r="GB62" s="971"/>
      <c r="GC62" s="971"/>
      <c r="GD62" s="971"/>
    </row>
    <row r="63" spans="2:186" ht="15.4" hidden="1" customHeight="1" x14ac:dyDescent="0.15">
      <c r="B63" s="803" t="b" cm="1">
        <f t="array" ref="B63">B62</f>
        <v>0</v>
      </c>
      <c r="C63" s="1108" t="s">
        <v>2192</v>
      </c>
      <c r="D63" s="1077" t="s">
        <v>2193</v>
      </c>
      <c r="E63" s="668">
        <v>15.8</v>
      </c>
      <c r="F63" s="769" cm="1">
        <f t="array" aca="1" ref="F63" ca="1">OFFSET(G63,-1,-1)</f>
        <v>0</v>
      </c>
      <c r="H63" s="160" t="s">
        <v>2167</v>
      </c>
      <c r="I63" s="160" t="s">
        <v>2136</v>
      </c>
      <c r="J63" s="1098"/>
      <c r="K63" s="1098" cm="1">
        <f t="array" aca="1" ref="K63" ca="1">OFFSET(J63,-1,1)</f>
        <v>0</v>
      </c>
      <c r="L63" s="1098"/>
      <c r="M63" s="1098" t="s">
        <v>1750</v>
      </c>
      <c r="N63" s="1098" t="s">
        <v>2137</v>
      </c>
      <c r="O63" s="1099" t="s">
        <v>2138</v>
      </c>
      <c r="P63" s="1098" t="s">
        <v>2168</v>
      </c>
      <c r="Q63" s="1098"/>
      <c r="T63" s="679" t="b" cm="1">
        <f t="array" aca="1" ref="T63" ca="1">T62</f>
        <v>0</v>
      </c>
      <c r="X63" s="1485"/>
      <c r="Z63" s="1485"/>
      <c r="AB63" s="220" t="s">
        <v>2169</v>
      </c>
      <c r="AC63" s="120" t="s">
        <v>920</v>
      </c>
      <c r="AD63" s="18"/>
      <c r="AE63" s="18"/>
      <c r="AF63" s="306">
        <f>IF(AD63=0,0,(AE63-AD63)/AD63*100)</f>
        <v>0</v>
      </c>
      <c r="AG63" s="1215"/>
      <c r="AH63" s="1215"/>
      <c r="AI63" s="306">
        <f>IF(AG63=0,0,(AH63-AG63)/AG63*100)</f>
        <v>0</v>
      </c>
      <c r="AJ63" s="1215"/>
      <c r="AK63" s="1215"/>
      <c r="AL63" s="306">
        <f>IF(AJ63=0,0,(AK63-AJ63)/AJ63*100)</f>
        <v>0</v>
      </c>
      <c r="AM63" s="18"/>
      <c r="AN63" s="18"/>
      <c r="AO63" s="306">
        <f>IF(AM63=0,0,(AN63-AM63)/AM63*100)</f>
        <v>0</v>
      </c>
      <c r="AP63" s="18"/>
      <c r="AQ63" s="18"/>
      <c r="AR63" s="306">
        <f>IF(AP63=0,0,(AQ63-AP63)/AP63*100)</f>
        <v>0</v>
      </c>
      <c r="AS63" s="18"/>
      <c r="AT63" s="18"/>
      <c r="AU63" s="306">
        <f>IF(AS63=0,0,(AT63-AS63)/AS63*100)</f>
        <v>0</v>
      </c>
      <c r="AV63" s="18"/>
      <c r="AW63" s="18"/>
      <c r="AX63" s="306">
        <f>IF(AV63=0,0,(AW63-AV63)/AV63*100)</f>
        <v>0</v>
      </c>
      <c r="AY63" s="18"/>
      <c r="AZ63" s="18"/>
      <c r="BA63" s="306">
        <f>IF(AY63=0,0,(AZ63-AY63)/AY63*100)</f>
        <v>0</v>
      </c>
      <c r="BB63" s="18"/>
      <c r="BC63" s="18"/>
      <c r="BD63" s="306">
        <f>IF(BB63=0,0,(BC63-BB63)/BB63*100)</f>
        <v>0</v>
      </c>
      <c r="BE63" s="18"/>
      <c r="BF63" s="18"/>
      <c r="BG63" s="306">
        <f>IF(BE63=0,0,(BF63-BE63)/BE63*100)</f>
        <v>0</v>
      </c>
      <c r="BH63" s="18"/>
      <c r="BI63" s="18"/>
      <c r="BJ63" s="306">
        <f>IF(BH63=0,0,(BI63-BH63)/BH63*100)</f>
        <v>0</v>
      </c>
      <c r="BK63" s="18"/>
      <c r="BL63" s="18"/>
      <c r="BM63" s="306">
        <f>IF(BK63=0,0,(BL63-BK63)/BK63*100)</f>
        <v>0</v>
      </c>
      <c r="BN63" s="18"/>
      <c r="BO63" s="18"/>
      <c r="BP63" s="306">
        <f>IF(BN63=0,0,(BO63-BN63)/BN63*100)</f>
        <v>0</v>
      </c>
      <c r="BQ63" s="18"/>
      <c r="BR63" s="18"/>
      <c r="BS63" s="306">
        <f>IF(BQ63=0,0,(BR63-BQ63)/BQ63*100)</f>
        <v>0</v>
      </c>
      <c r="BT63" s="18"/>
      <c r="BU63" s="18"/>
      <c r="BV63" s="306">
        <f>IF(BT63=0,0,(BU63-BT63)/BT63*100)</f>
        <v>0</v>
      </c>
      <c r="BW63" s="18"/>
      <c r="BX63" s="18"/>
      <c r="BY63" s="306">
        <f>IF(BW63=0,0,(BX63-BW63)/BW63*100)</f>
        <v>0</v>
      </c>
      <c r="BZ63" s="18"/>
      <c r="CA63" s="18"/>
      <c r="CB63" s="306">
        <f>IF(BZ63=0,0,(CA63-BZ63)/BZ63*100)</f>
        <v>0</v>
      </c>
      <c r="CC63" s="18"/>
      <c r="CD63" s="18"/>
      <c r="CE63" s="306">
        <f>IF(CC63=0,0,(CD63-CC63)/CC63*100)</f>
        <v>0</v>
      </c>
      <c r="CF63" s="18"/>
      <c r="CG63" s="18"/>
      <c r="CH63" s="306">
        <f>IF(CF63=0,0,(CG63-CF63)/CF63*100)</f>
        <v>0</v>
      </c>
      <c r="CI63" s="18"/>
      <c r="CJ63" s="18"/>
      <c r="CK63" s="306">
        <f>IF(CI63=0,0,(CJ63-CI63)/CI63*100)</f>
        <v>0</v>
      </c>
      <c r="CL63" s="18"/>
      <c r="CM63" s="18"/>
      <c r="CN63" s="306">
        <f>IF(CL63=0,0,(CM63-CL63)/CL63*100)</f>
        <v>0</v>
      </c>
      <c r="CO63" s="18"/>
      <c r="CP63" s="18"/>
      <c r="CQ63" s="306">
        <f>IF(CO63=0,0,(CP63-CO63)/CO63*100)</f>
        <v>0</v>
      </c>
      <c r="CR63" s="18"/>
      <c r="CS63" s="18"/>
      <c r="CT63" s="306">
        <f>IF(CR63=0,0,(CS63-CR63)/CR63*100)</f>
        <v>0</v>
      </c>
      <c r="CU63" s="18"/>
      <c r="CV63" s="18"/>
      <c r="CW63" s="306">
        <f>IF(CU63=0,0,(CV63-CU63)/CU63*100)</f>
        <v>0</v>
      </c>
      <c r="CX63" s="18"/>
      <c r="CY63" s="18"/>
      <c r="CZ63" s="306">
        <f>IF(CX63=0,0,(CY63-CX63)/CX63*100)</f>
        <v>0</v>
      </c>
      <c r="DA63" s="18"/>
      <c r="DB63" s="18"/>
      <c r="DC63" s="306">
        <f>IF(DA63=0,0,(DB63-DA63)/DA63*100)</f>
        <v>0</v>
      </c>
      <c r="DD63" s="18"/>
      <c r="DE63" s="18"/>
      <c r="DF63" s="306">
        <f>IF(DD63=0,0,(DE63-DD63)/DD63*100)</f>
        <v>0</v>
      </c>
      <c r="DG63" s="18"/>
      <c r="DH63" s="18"/>
      <c r="DI63" s="306">
        <f>IF(DG63=0,0,(DH63-DG63)/DG63*100)</f>
        <v>0</v>
      </c>
      <c r="DJ63" s="18"/>
      <c r="DK63" s="18"/>
      <c r="DL63" s="306">
        <f>IF(DJ63=0,0,(DK63-DJ63)/DJ63*100)</f>
        <v>0</v>
      </c>
      <c r="DM63" s="18"/>
      <c r="DN63" s="18"/>
      <c r="DO63" s="306">
        <f>IF(DM63=0,0,(DN63-DM63)/DM63*100)</f>
        <v>0</v>
      </c>
      <c r="DP63" s="18"/>
      <c r="DQ63" s="18"/>
      <c r="DR63" s="306">
        <f>IF(DP63=0,0,(DQ63-DP63)/DP63*100)</f>
        <v>0</v>
      </c>
      <c r="DS63" s="18"/>
      <c r="DT63" s="18"/>
      <c r="DU63" s="306">
        <f>IF(DS63=0,0,(DT63-DS63)/DS63*100)</f>
        <v>0</v>
      </c>
      <c r="DV63" s="18"/>
      <c r="DW63" s="18"/>
      <c r="DX63" s="306">
        <f>IF(DV63=0,0,(DW63-DV63)/DV63*100)</f>
        <v>0</v>
      </c>
      <c r="DY63" s="18"/>
      <c r="DZ63" s="18"/>
      <c r="EA63" s="306">
        <f>IF(DY63=0,0,(DZ63-DY63)/DY63*100)</f>
        <v>0</v>
      </c>
      <c r="EB63" s="18"/>
      <c r="EC63" s="18"/>
      <c r="ED63" s="306">
        <f>IF(EB63=0,0,(EC63-EB63)/EB63*100)</f>
        <v>0</v>
      </c>
      <c r="EE63" s="18"/>
      <c r="EF63" s="18"/>
      <c r="EG63" s="306">
        <f>IF(EE63=0,0,(EF63-EE63)/EE63*100)</f>
        <v>0</v>
      </c>
      <c r="EH63" s="18"/>
      <c r="EI63" s="18"/>
      <c r="EJ63" s="306">
        <f>IF(EH63=0,0,(EI63-EH63)/EH63*100)</f>
        <v>0</v>
      </c>
      <c r="EK63" s="18"/>
      <c r="EL63" s="18"/>
      <c r="EM63" s="306">
        <f>IF(EK63=0,0,(EL63-EK63)/EK63*100)</f>
        <v>0</v>
      </c>
      <c r="EN63" s="18"/>
      <c r="EO63" s="18"/>
      <c r="EP63" s="306">
        <f>IF(EN63=0,0,(EO63-EN63)/EN63*100)</f>
        <v>0</v>
      </c>
      <c r="EQ63" s="18"/>
      <c r="ER63" s="18"/>
      <c r="ES63" s="306">
        <f>IF(EQ63=0,0,(ER63-EQ63)/EQ63*100)</f>
        <v>0</v>
      </c>
      <c r="ET63" s="18"/>
      <c r="EU63" s="18"/>
      <c r="EV63" s="306">
        <f>IF(ET63=0,0,(EU63-ET63)/ET63*100)</f>
        <v>0</v>
      </c>
      <c r="EW63" s="18"/>
      <c r="EX63" s="18"/>
      <c r="EY63" s="306">
        <f>IF(EW63=0,0,(EX63-EW63)/EW63*100)</f>
        <v>0</v>
      </c>
      <c r="EZ63" s="18"/>
      <c r="FA63" s="18"/>
      <c r="FB63" s="306">
        <f>IF(EZ63=0,0,(FA63-EZ63)/EZ63*100)</f>
        <v>0</v>
      </c>
      <c r="FC63" s="18"/>
      <c r="FD63" s="18"/>
      <c r="FE63" s="306">
        <f>IF(FC63=0,0,(FD63-FC63)/FC63*100)</f>
        <v>0</v>
      </c>
      <c r="FF63" s="18"/>
      <c r="FG63" s="18"/>
      <c r="FH63" s="306">
        <f>IF(FF63=0,0,(FG63-FF63)/FF63*100)</f>
        <v>0</v>
      </c>
      <c r="FI63" s="18"/>
      <c r="FJ63" s="18"/>
      <c r="FK63" s="306">
        <f>IF(FI63=0,0,(FJ63-FI63)/FI63*100)</f>
        <v>0</v>
      </c>
      <c r="FL63" s="18"/>
      <c r="FM63" s="18"/>
      <c r="FN63" s="306">
        <f>IF(FL63=0,0,(FM63-FL63)/FL63*100)</f>
        <v>0</v>
      </c>
      <c r="FO63" s="18"/>
      <c r="FP63" s="18"/>
      <c r="FQ63" s="306">
        <f>IF(FO63=0,0,(FP63-FO63)/FO63*100)</f>
        <v>0</v>
      </c>
      <c r="FR63" s="18"/>
      <c r="FS63" s="18"/>
      <c r="FT63" s="306">
        <f>IF(FR63=0,0,(FS63-FR63)/FR63*100)</f>
        <v>0</v>
      </c>
      <c r="FU63" s="18"/>
      <c r="FV63" s="18"/>
      <c r="FW63" s="306">
        <f>IF(FU63=0,0,(FV63-FU63)/FU63*100)</f>
        <v>0</v>
      </c>
      <c r="FZ63" s="971" t="s">
        <v>2194</v>
      </c>
      <c r="GA63" s="971"/>
      <c r="GB63" s="971"/>
      <c r="GC63" s="971"/>
      <c r="GD63" s="971"/>
    </row>
    <row r="64" spans="2:186" ht="15.4" hidden="1" customHeight="1" x14ac:dyDescent="0.15">
      <c r="B64" s="803" t="b" cm="1">
        <f t="array" ref="B64">B63</f>
        <v>0</v>
      </c>
      <c r="C64" s="1108" t="s">
        <v>1747</v>
      </c>
      <c r="D64" s="1077" t="s">
        <v>1748</v>
      </c>
      <c r="E64" s="668">
        <v>15.8</v>
      </c>
      <c r="F64" s="769" cm="1">
        <f t="array" aca="1" ref="F64" ca="1">OFFSET(G64,-1,-1)</f>
        <v>0</v>
      </c>
      <c r="H64" s="160" t="s">
        <v>2171</v>
      </c>
      <c r="I64" s="160" t="s">
        <v>2136</v>
      </c>
      <c r="J64" s="1098"/>
      <c r="K64" s="1098" cm="1">
        <f t="array" aca="1" ref="K64" ca="1">OFFSET(J64,-1,1)</f>
        <v>0</v>
      </c>
      <c r="L64" s="1098"/>
      <c r="M64" s="1098" t="s">
        <v>1750</v>
      </c>
      <c r="N64" s="1098" t="s">
        <v>2137</v>
      </c>
      <c r="O64" s="1099" t="s">
        <v>2138</v>
      </c>
      <c r="P64" s="1098" t="s">
        <v>2172</v>
      </c>
      <c r="Q64" s="1098"/>
      <c r="T64" s="679" t="b" cm="1">
        <f t="array" aca="1" ref="T64" ca="1">T63</f>
        <v>0</v>
      </c>
      <c r="X64" s="1485"/>
      <c r="Z64" s="1485"/>
      <c r="AB64" s="220" t="s">
        <v>2173</v>
      </c>
      <c r="AC64" s="120" t="s">
        <v>622</v>
      </c>
      <c r="AD64" s="97"/>
      <c r="AE64" s="97"/>
      <c r="AF64" s="333">
        <f>IF(AD64=0,0,(AE64-AD64)/AD64*100)</f>
        <v>0</v>
      </c>
      <c r="AG64" s="1350"/>
      <c r="AH64" s="1350"/>
      <c r="AI64" s="333">
        <f>IF(AG64=0,0,(AH64-AG64)/AG64*100)</f>
        <v>0</v>
      </c>
      <c r="AJ64" s="1350"/>
      <c r="AK64" s="1350"/>
      <c r="AL64" s="333">
        <f>IF(AJ64=0,0,(AK64-AJ64)/AJ64*100)</f>
        <v>0</v>
      </c>
      <c r="AM64" s="97"/>
      <c r="AN64" s="97"/>
      <c r="AO64" s="333">
        <f>IF(AM64=0,0,(AN64-AM64)/AM64*100)</f>
        <v>0</v>
      </c>
      <c r="AP64" s="97"/>
      <c r="AQ64" s="97"/>
      <c r="AR64" s="333">
        <f>IF(AP64=0,0,(AQ64-AP64)/AP64*100)</f>
        <v>0</v>
      </c>
      <c r="AS64" s="97"/>
      <c r="AT64" s="97"/>
      <c r="AU64" s="333">
        <f>IF(AS64=0,0,(AT64-AS64)/AS64*100)</f>
        <v>0</v>
      </c>
      <c r="AV64" s="97"/>
      <c r="AW64" s="97"/>
      <c r="AX64" s="333">
        <f>IF(AV64=0,0,(AW64-AV64)/AV64*100)</f>
        <v>0</v>
      </c>
      <c r="AY64" s="97"/>
      <c r="AZ64" s="97"/>
      <c r="BA64" s="333">
        <f>IF(AY64=0,0,(AZ64-AY64)/AY64*100)</f>
        <v>0</v>
      </c>
      <c r="BB64" s="97"/>
      <c r="BC64" s="97"/>
      <c r="BD64" s="333">
        <f>IF(BB64=0,0,(BC64-BB64)/BB64*100)</f>
        <v>0</v>
      </c>
      <c r="BE64" s="97"/>
      <c r="BF64" s="97"/>
      <c r="BG64" s="333">
        <f>IF(BE64=0,0,(BF64-BE64)/BE64*100)</f>
        <v>0</v>
      </c>
      <c r="BH64" s="97"/>
      <c r="BI64" s="97"/>
      <c r="BJ64" s="333">
        <f>IF(BH64=0,0,(BI64-BH64)/BH64*100)</f>
        <v>0</v>
      </c>
      <c r="BK64" s="97"/>
      <c r="BL64" s="97"/>
      <c r="BM64" s="333">
        <f>IF(BK64=0,0,(BL64-BK64)/BK64*100)</f>
        <v>0</v>
      </c>
      <c r="BN64" s="97"/>
      <c r="BO64" s="97"/>
      <c r="BP64" s="333">
        <f>IF(BN64=0,0,(BO64-BN64)/BN64*100)</f>
        <v>0</v>
      </c>
      <c r="BQ64" s="97"/>
      <c r="BR64" s="97"/>
      <c r="BS64" s="333">
        <f>IF(BQ64=0,0,(BR64-BQ64)/BQ64*100)</f>
        <v>0</v>
      </c>
      <c r="BT64" s="97"/>
      <c r="BU64" s="97"/>
      <c r="BV64" s="333">
        <f>IF(BT64=0,0,(BU64-BT64)/BT64*100)</f>
        <v>0</v>
      </c>
      <c r="BW64" s="97"/>
      <c r="BX64" s="97"/>
      <c r="BY64" s="333">
        <f>IF(BW64=0,0,(BX64-BW64)/BW64*100)</f>
        <v>0</v>
      </c>
      <c r="BZ64" s="97"/>
      <c r="CA64" s="97"/>
      <c r="CB64" s="333">
        <f>IF(BZ64=0,0,(CA64-BZ64)/BZ64*100)</f>
        <v>0</v>
      </c>
      <c r="CC64" s="97"/>
      <c r="CD64" s="97"/>
      <c r="CE64" s="333">
        <f>IF(CC64=0,0,(CD64-CC64)/CC64*100)</f>
        <v>0</v>
      </c>
      <c r="CF64" s="97"/>
      <c r="CG64" s="97"/>
      <c r="CH64" s="333">
        <f>IF(CF64=0,0,(CG64-CF64)/CF64*100)</f>
        <v>0</v>
      </c>
      <c r="CI64" s="97"/>
      <c r="CJ64" s="97"/>
      <c r="CK64" s="333">
        <f>IF(CI64=0,0,(CJ64-CI64)/CI64*100)</f>
        <v>0</v>
      </c>
      <c r="CL64" s="97"/>
      <c r="CM64" s="97"/>
      <c r="CN64" s="333">
        <f>IF(CL64=0,0,(CM64-CL64)/CL64*100)</f>
        <v>0</v>
      </c>
      <c r="CO64" s="97"/>
      <c r="CP64" s="97"/>
      <c r="CQ64" s="333">
        <f>IF(CO64=0,0,(CP64-CO64)/CO64*100)</f>
        <v>0</v>
      </c>
      <c r="CR64" s="97"/>
      <c r="CS64" s="97"/>
      <c r="CT64" s="333">
        <f>IF(CR64=0,0,(CS64-CR64)/CR64*100)</f>
        <v>0</v>
      </c>
      <c r="CU64" s="97"/>
      <c r="CV64" s="97"/>
      <c r="CW64" s="333">
        <f>IF(CU64=0,0,(CV64-CU64)/CU64*100)</f>
        <v>0</v>
      </c>
      <c r="CX64" s="97"/>
      <c r="CY64" s="97"/>
      <c r="CZ64" s="333">
        <f>IF(CX64=0,0,(CY64-CX64)/CX64*100)</f>
        <v>0</v>
      </c>
      <c r="DA64" s="97"/>
      <c r="DB64" s="97"/>
      <c r="DC64" s="333">
        <f>IF(DA64=0,0,(DB64-DA64)/DA64*100)</f>
        <v>0</v>
      </c>
      <c r="DD64" s="97"/>
      <c r="DE64" s="97"/>
      <c r="DF64" s="333">
        <f>IF(DD64=0,0,(DE64-DD64)/DD64*100)</f>
        <v>0</v>
      </c>
      <c r="DG64" s="97"/>
      <c r="DH64" s="97"/>
      <c r="DI64" s="333">
        <f>IF(DG64=0,0,(DH64-DG64)/DG64*100)</f>
        <v>0</v>
      </c>
      <c r="DJ64" s="97"/>
      <c r="DK64" s="97"/>
      <c r="DL64" s="333">
        <f>IF(DJ64=0,0,(DK64-DJ64)/DJ64*100)</f>
        <v>0</v>
      </c>
      <c r="DM64" s="97"/>
      <c r="DN64" s="97"/>
      <c r="DO64" s="333">
        <f>IF(DM64=0,0,(DN64-DM64)/DM64*100)</f>
        <v>0</v>
      </c>
      <c r="DP64" s="97"/>
      <c r="DQ64" s="97"/>
      <c r="DR64" s="333">
        <f>IF(DP64=0,0,(DQ64-DP64)/DP64*100)</f>
        <v>0</v>
      </c>
      <c r="DS64" s="97"/>
      <c r="DT64" s="97"/>
      <c r="DU64" s="333">
        <f>IF(DS64=0,0,(DT64-DS64)/DS64*100)</f>
        <v>0</v>
      </c>
      <c r="DV64" s="97"/>
      <c r="DW64" s="97"/>
      <c r="DX64" s="333">
        <f>IF(DV64=0,0,(DW64-DV64)/DV64*100)</f>
        <v>0</v>
      </c>
      <c r="DY64" s="97"/>
      <c r="DZ64" s="97"/>
      <c r="EA64" s="333">
        <f>IF(DY64=0,0,(DZ64-DY64)/DY64*100)</f>
        <v>0</v>
      </c>
      <c r="EB64" s="97"/>
      <c r="EC64" s="97"/>
      <c r="ED64" s="333">
        <f>IF(EB64=0,0,(EC64-EB64)/EB64*100)</f>
        <v>0</v>
      </c>
      <c r="EE64" s="97"/>
      <c r="EF64" s="97"/>
      <c r="EG64" s="333">
        <f>IF(EE64=0,0,(EF64-EE64)/EE64*100)</f>
        <v>0</v>
      </c>
      <c r="EH64" s="97"/>
      <c r="EI64" s="97"/>
      <c r="EJ64" s="333">
        <f>IF(EH64=0,0,(EI64-EH64)/EH64*100)</f>
        <v>0</v>
      </c>
      <c r="EK64" s="97"/>
      <c r="EL64" s="97"/>
      <c r="EM64" s="333">
        <f>IF(EK64=0,0,(EL64-EK64)/EK64*100)</f>
        <v>0</v>
      </c>
      <c r="EN64" s="97"/>
      <c r="EO64" s="97"/>
      <c r="EP64" s="333">
        <f>IF(EN64=0,0,(EO64-EN64)/EN64*100)</f>
        <v>0</v>
      </c>
      <c r="EQ64" s="97"/>
      <c r="ER64" s="97"/>
      <c r="ES64" s="333">
        <f>IF(EQ64=0,0,(ER64-EQ64)/EQ64*100)</f>
        <v>0</v>
      </c>
      <c r="ET64" s="97"/>
      <c r="EU64" s="97"/>
      <c r="EV64" s="333">
        <f>IF(ET64=0,0,(EU64-ET64)/ET64*100)</f>
        <v>0</v>
      </c>
      <c r="EW64" s="97"/>
      <c r="EX64" s="97"/>
      <c r="EY64" s="333">
        <f>IF(EW64=0,0,(EX64-EW64)/EW64*100)</f>
        <v>0</v>
      </c>
      <c r="EZ64" s="97"/>
      <c r="FA64" s="97"/>
      <c r="FB64" s="333">
        <f>IF(EZ64=0,0,(FA64-EZ64)/EZ64*100)</f>
        <v>0</v>
      </c>
      <c r="FC64" s="97"/>
      <c r="FD64" s="97"/>
      <c r="FE64" s="333">
        <f>IF(FC64=0,0,(FD64-FC64)/FC64*100)</f>
        <v>0</v>
      </c>
      <c r="FF64" s="97"/>
      <c r="FG64" s="97"/>
      <c r="FH64" s="333">
        <f>IF(FF64=0,0,(FG64-FF64)/FF64*100)</f>
        <v>0</v>
      </c>
      <c r="FI64" s="97"/>
      <c r="FJ64" s="97"/>
      <c r="FK64" s="333">
        <f>IF(FI64=0,0,(FJ64-FI64)/FI64*100)</f>
        <v>0</v>
      </c>
      <c r="FL64" s="97"/>
      <c r="FM64" s="97"/>
      <c r="FN64" s="333">
        <f>IF(FL64=0,0,(FM64-FL64)/FL64*100)</f>
        <v>0</v>
      </c>
      <c r="FO64" s="97"/>
      <c r="FP64" s="97"/>
      <c r="FQ64" s="333">
        <f>IF(FO64=0,0,(FP64-FO64)/FO64*100)</f>
        <v>0</v>
      </c>
      <c r="FR64" s="97"/>
      <c r="FS64" s="97"/>
      <c r="FT64" s="333">
        <f>IF(FR64=0,0,(FS64-FR64)/FR64*100)</f>
        <v>0</v>
      </c>
      <c r="FU64" s="97"/>
      <c r="FV64" s="97"/>
      <c r="FW64" s="333">
        <f>IF(FU64=0,0,(FV64-FU64)/FU64*100)</f>
        <v>0</v>
      </c>
      <c r="FZ64" s="971" t="s">
        <v>2195</v>
      </c>
      <c r="GA64" s="971"/>
      <c r="GB64" s="971"/>
      <c r="GC64" s="971"/>
      <c r="GD64" s="971"/>
    </row>
    <row r="65" spans="1:186" ht="30.75" hidden="1" customHeight="1" x14ac:dyDescent="0.15">
      <c r="B65" s="803" t="b" cm="1">
        <f t="array" ref="B65">B64</f>
        <v>0</v>
      </c>
      <c r="C65" s="1108" t="s">
        <v>1801</v>
      </c>
      <c r="D65" s="1077" t="s">
        <v>1802</v>
      </c>
      <c r="E65" s="668">
        <v>31.5</v>
      </c>
      <c r="F65" s="769" cm="1">
        <f t="array" aca="1" ref="F65" ca="1">OFFSET(G65,-1,-1)</f>
        <v>0</v>
      </c>
      <c r="H65" s="160" t="s">
        <v>2175</v>
      </c>
      <c r="I65" s="160" t="s">
        <v>2136</v>
      </c>
      <c r="J65" s="1098"/>
      <c r="K65" s="1098" cm="1">
        <f t="array" aca="1" ref="K65" ca="1">OFFSET(J65,-1,1)</f>
        <v>0</v>
      </c>
      <c r="L65" s="1098"/>
      <c r="M65" s="1098" t="s">
        <v>1750</v>
      </c>
      <c r="N65" s="1098" t="s">
        <v>2137</v>
      </c>
      <c r="O65" s="1099" t="s">
        <v>2138</v>
      </c>
      <c r="P65" s="1098" t="s">
        <v>2176</v>
      </c>
      <c r="Q65" s="1098"/>
      <c r="T65" s="679" t="b" cm="1">
        <f t="array" aca="1" ref="T65" ca="1">T64</f>
        <v>0</v>
      </c>
      <c r="X65" s="1485"/>
      <c r="Z65" s="1485"/>
      <c r="AB65" s="220" t="s">
        <v>2177</v>
      </c>
      <c r="AC65" s="435" t="s">
        <v>1805</v>
      </c>
      <c r="AD65" s="18"/>
      <c r="AE65" s="18"/>
      <c r="AF65" s="306">
        <f>IF(AD65=0,0,(AE65-AD65)/AD65*100)</f>
        <v>0</v>
      </c>
      <c r="AG65" s="1215"/>
      <c r="AH65" s="1215"/>
      <c r="AI65" s="306">
        <f>IF(AG65=0,0,(AH65-AG65)/AG65*100)</f>
        <v>0</v>
      </c>
      <c r="AJ65" s="1215"/>
      <c r="AK65" s="1215"/>
      <c r="AL65" s="306">
        <f>IF(AJ65=0,0,(AK65-AJ65)/AJ65*100)</f>
        <v>0</v>
      </c>
      <c r="AM65" s="18"/>
      <c r="AN65" s="18"/>
      <c r="AO65" s="306">
        <f>IF(AM65=0,0,(AN65-AM65)/AM65*100)</f>
        <v>0</v>
      </c>
      <c r="AP65" s="18"/>
      <c r="AQ65" s="18"/>
      <c r="AR65" s="306">
        <f>IF(AP65=0,0,(AQ65-AP65)/AP65*100)</f>
        <v>0</v>
      </c>
      <c r="AS65" s="18"/>
      <c r="AT65" s="18"/>
      <c r="AU65" s="306">
        <f>IF(AS65=0,0,(AT65-AS65)/AS65*100)</f>
        <v>0</v>
      </c>
      <c r="AV65" s="18"/>
      <c r="AW65" s="18"/>
      <c r="AX65" s="306">
        <f>IF(AV65=0,0,(AW65-AV65)/AV65*100)</f>
        <v>0</v>
      </c>
      <c r="AY65" s="18"/>
      <c r="AZ65" s="18"/>
      <c r="BA65" s="306">
        <f>IF(AY65=0,0,(AZ65-AY65)/AY65*100)</f>
        <v>0</v>
      </c>
      <c r="BB65" s="18"/>
      <c r="BC65" s="18"/>
      <c r="BD65" s="306">
        <f>IF(BB65=0,0,(BC65-BB65)/BB65*100)</f>
        <v>0</v>
      </c>
      <c r="BE65" s="18"/>
      <c r="BF65" s="18"/>
      <c r="BG65" s="306">
        <f>IF(BE65=0,0,(BF65-BE65)/BE65*100)</f>
        <v>0</v>
      </c>
      <c r="BH65" s="18"/>
      <c r="BI65" s="18"/>
      <c r="BJ65" s="306">
        <f>IF(BH65=0,0,(BI65-BH65)/BH65*100)</f>
        <v>0</v>
      </c>
      <c r="BK65" s="18"/>
      <c r="BL65" s="18"/>
      <c r="BM65" s="306">
        <f>IF(BK65=0,0,(BL65-BK65)/BK65*100)</f>
        <v>0</v>
      </c>
      <c r="BN65" s="18"/>
      <c r="BO65" s="18"/>
      <c r="BP65" s="306">
        <f>IF(BN65=0,0,(BO65-BN65)/BN65*100)</f>
        <v>0</v>
      </c>
      <c r="BQ65" s="18"/>
      <c r="BR65" s="18"/>
      <c r="BS65" s="306">
        <f>IF(BQ65=0,0,(BR65-BQ65)/BQ65*100)</f>
        <v>0</v>
      </c>
      <c r="BT65" s="18"/>
      <c r="BU65" s="18"/>
      <c r="BV65" s="306">
        <f>IF(BT65=0,0,(BU65-BT65)/BT65*100)</f>
        <v>0</v>
      </c>
      <c r="BW65" s="18"/>
      <c r="BX65" s="18"/>
      <c r="BY65" s="306">
        <f>IF(BW65=0,0,(BX65-BW65)/BW65*100)</f>
        <v>0</v>
      </c>
      <c r="BZ65" s="18"/>
      <c r="CA65" s="18"/>
      <c r="CB65" s="306">
        <f>IF(BZ65=0,0,(CA65-BZ65)/BZ65*100)</f>
        <v>0</v>
      </c>
      <c r="CC65" s="18"/>
      <c r="CD65" s="18"/>
      <c r="CE65" s="306">
        <f>IF(CC65=0,0,(CD65-CC65)/CC65*100)</f>
        <v>0</v>
      </c>
      <c r="CF65" s="18"/>
      <c r="CG65" s="18"/>
      <c r="CH65" s="306">
        <f>IF(CF65=0,0,(CG65-CF65)/CF65*100)</f>
        <v>0</v>
      </c>
      <c r="CI65" s="18"/>
      <c r="CJ65" s="18"/>
      <c r="CK65" s="306">
        <f>IF(CI65=0,0,(CJ65-CI65)/CI65*100)</f>
        <v>0</v>
      </c>
      <c r="CL65" s="18"/>
      <c r="CM65" s="18"/>
      <c r="CN65" s="306">
        <f>IF(CL65=0,0,(CM65-CL65)/CL65*100)</f>
        <v>0</v>
      </c>
      <c r="CO65" s="18"/>
      <c r="CP65" s="18"/>
      <c r="CQ65" s="306">
        <f>IF(CO65=0,0,(CP65-CO65)/CO65*100)</f>
        <v>0</v>
      </c>
      <c r="CR65" s="18"/>
      <c r="CS65" s="18"/>
      <c r="CT65" s="306">
        <f>IF(CR65=0,0,(CS65-CR65)/CR65*100)</f>
        <v>0</v>
      </c>
      <c r="CU65" s="18"/>
      <c r="CV65" s="18"/>
      <c r="CW65" s="306">
        <f>IF(CU65=0,0,(CV65-CU65)/CU65*100)</f>
        <v>0</v>
      </c>
      <c r="CX65" s="18"/>
      <c r="CY65" s="18"/>
      <c r="CZ65" s="306">
        <f>IF(CX65=0,0,(CY65-CX65)/CX65*100)</f>
        <v>0</v>
      </c>
      <c r="DA65" s="18"/>
      <c r="DB65" s="18"/>
      <c r="DC65" s="306">
        <f>IF(DA65=0,0,(DB65-DA65)/DA65*100)</f>
        <v>0</v>
      </c>
      <c r="DD65" s="18"/>
      <c r="DE65" s="18"/>
      <c r="DF65" s="306">
        <f>IF(DD65=0,0,(DE65-DD65)/DD65*100)</f>
        <v>0</v>
      </c>
      <c r="DG65" s="18"/>
      <c r="DH65" s="18"/>
      <c r="DI65" s="306">
        <f>IF(DG65=0,0,(DH65-DG65)/DG65*100)</f>
        <v>0</v>
      </c>
      <c r="DJ65" s="18"/>
      <c r="DK65" s="18"/>
      <c r="DL65" s="306">
        <f>IF(DJ65=0,0,(DK65-DJ65)/DJ65*100)</f>
        <v>0</v>
      </c>
      <c r="DM65" s="18"/>
      <c r="DN65" s="18"/>
      <c r="DO65" s="306">
        <f>IF(DM65=0,0,(DN65-DM65)/DM65*100)</f>
        <v>0</v>
      </c>
      <c r="DP65" s="18"/>
      <c r="DQ65" s="18"/>
      <c r="DR65" s="306">
        <f>IF(DP65=0,0,(DQ65-DP65)/DP65*100)</f>
        <v>0</v>
      </c>
      <c r="DS65" s="18"/>
      <c r="DT65" s="18"/>
      <c r="DU65" s="306">
        <f>IF(DS65=0,0,(DT65-DS65)/DS65*100)</f>
        <v>0</v>
      </c>
      <c r="DV65" s="18"/>
      <c r="DW65" s="18"/>
      <c r="DX65" s="306">
        <f>IF(DV65=0,0,(DW65-DV65)/DV65*100)</f>
        <v>0</v>
      </c>
      <c r="DY65" s="18"/>
      <c r="DZ65" s="18"/>
      <c r="EA65" s="306">
        <f>IF(DY65=0,0,(DZ65-DY65)/DY65*100)</f>
        <v>0</v>
      </c>
      <c r="EB65" s="18"/>
      <c r="EC65" s="18"/>
      <c r="ED65" s="306">
        <f>IF(EB65=0,0,(EC65-EB65)/EB65*100)</f>
        <v>0</v>
      </c>
      <c r="EE65" s="18"/>
      <c r="EF65" s="18"/>
      <c r="EG65" s="306">
        <f>IF(EE65=0,0,(EF65-EE65)/EE65*100)</f>
        <v>0</v>
      </c>
      <c r="EH65" s="18"/>
      <c r="EI65" s="18"/>
      <c r="EJ65" s="306">
        <f>IF(EH65=0,0,(EI65-EH65)/EH65*100)</f>
        <v>0</v>
      </c>
      <c r="EK65" s="18"/>
      <c r="EL65" s="18"/>
      <c r="EM65" s="306">
        <f>IF(EK65=0,0,(EL65-EK65)/EK65*100)</f>
        <v>0</v>
      </c>
      <c r="EN65" s="18"/>
      <c r="EO65" s="18"/>
      <c r="EP65" s="306">
        <f>IF(EN65=0,0,(EO65-EN65)/EN65*100)</f>
        <v>0</v>
      </c>
      <c r="EQ65" s="18"/>
      <c r="ER65" s="18"/>
      <c r="ES65" s="306">
        <f>IF(EQ65=0,0,(ER65-EQ65)/EQ65*100)</f>
        <v>0</v>
      </c>
      <c r="ET65" s="18"/>
      <c r="EU65" s="18"/>
      <c r="EV65" s="306">
        <f>IF(ET65=0,0,(EU65-ET65)/ET65*100)</f>
        <v>0</v>
      </c>
      <c r="EW65" s="18"/>
      <c r="EX65" s="18"/>
      <c r="EY65" s="306">
        <f>IF(EW65=0,0,(EX65-EW65)/EW65*100)</f>
        <v>0</v>
      </c>
      <c r="EZ65" s="18"/>
      <c r="FA65" s="18"/>
      <c r="FB65" s="306">
        <f>IF(EZ65=0,0,(FA65-EZ65)/EZ65*100)</f>
        <v>0</v>
      </c>
      <c r="FC65" s="18"/>
      <c r="FD65" s="18"/>
      <c r="FE65" s="306">
        <f>IF(FC65=0,0,(FD65-FC65)/FC65*100)</f>
        <v>0</v>
      </c>
      <c r="FF65" s="18"/>
      <c r="FG65" s="18"/>
      <c r="FH65" s="306">
        <f>IF(FF65=0,0,(FG65-FF65)/FF65*100)</f>
        <v>0</v>
      </c>
      <c r="FI65" s="18"/>
      <c r="FJ65" s="18"/>
      <c r="FK65" s="306">
        <f>IF(FI65=0,0,(FJ65-FI65)/FI65*100)</f>
        <v>0</v>
      </c>
      <c r="FL65" s="18"/>
      <c r="FM65" s="18"/>
      <c r="FN65" s="306">
        <f>IF(FL65=0,0,(FM65-FL65)/FL65*100)</f>
        <v>0</v>
      </c>
      <c r="FO65" s="18"/>
      <c r="FP65" s="18"/>
      <c r="FQ65" s="306">
        <f>IF(FO65=0,0,(FP65-FO65)/FO65*100)</f>
        <v>0</v>
      </c>
      <c r="FR65" s="18"/>
      <c r="FS65" s="18"/>
      <c r="FT65" s="306">
        <f>IF(FR65=0,0,(FS65-FR65)/FR65*100)</f>
        <v>0</v>
      </c>
      <c r="FU65" s="18"/>
      <c r="FV65" s="18"/>
      <c r="FW65" s="306">
        <f>IF(FU65=0,0,(FV65-FU65)/FU65*100)</f>
        <v>0</v>
      </c>
      <c r="FZ65" s="971" t="s">
        <v>2196</v>
      </c>
      <c r="GA65" s="971"/>
      <c r="GB65" s="971"/>
      <c r="GC65" s="971"/>
      <c r="GD65" s="971"/>
    </row>
    <row r="66" spans="1:186" ht="15.4" hidden="1" customHeight="1" x14ac:dyDescent="0.15">
      <c r="B66" s="803" t="b" cm="1">
        <f t="array" ref="B66">B65</f>
        <v>0</v>
      </c>
      <c r="C66" s="1108" t="s">
        <v>1773</v>
      </c>
      <c r="D66" s="1077" t="s">
        <v>1774</v>
      </c>
      <c r="E66" s="668">
        <v>15.8</v>
      </c>
      <c r="F66" s="769" cm="1">
        <f t="array" aca="1" ref="F66" ca="1">OFFSET(G66,-1,-1)</f>
        <v>0</v>
      </c>
      <c r="H66" s="160" t="s">
        <v>2179</v>
      </c>
      <c r="I66" s="160" t="s">
        <v>2136</v>
      </c>
      <c r="J66" s="1098"/>
      <c r="K66" s="1098" cm="1">
        <f t="array" aca="1" ref="K66" ca="1">OFFSET(J66,-1,1)</f>
        <v>0</v>
      </c>
      <c r="L66" s="1098"/>
      <c r="M66" s="1098" t="s">
        <v>1750</v>
      </c>
      <c r="N66" s="1098" t="s">
        <v>2137</v>
      </c>
      <c r="O66" s="1099" t="s">
        <v>2138</v>
      </c>
      <c r="P66" s="1098" t="s">
        <v>2180</v>
      </c>
      <c r="Q66" s="1098"/>
      <c r="T66" s="679" t="b" cm="1">
        <f t="array" aca="1" ref="T66" ca="1">T65</f>
        <v>0</v>
      </c>
      <c r="X66" s="1485"/>
      <c r="Z66" s="1485"/>
      <c r="AB66" s="220" t="s">
        <v>2181</v>
      </c>
      <c r="AC66" s="549" t="s">
        <v>715</v>
      </c>
      <c r="AD66" s="18"/>
      <c r="AE66" s="18"/>
      <c r="AF66" s="306">
        <f>IF(AD66=0,0,(AE66-AD66)/AD66*100)</f>
        <v>0</v>
      </c>
      <c r="AG66" s="1215"/>
      <c r="AH66" s="1215"/>
      <c r="AI66" s="306">
        <f>IF(AG66=0,0,(AH66-AG66)/AG66*100)</f>
        <v>0</v>
      </c>
      <c r="AJ66" s="1215"/>
      <c r="AK66" s="1215"/>
      <c r="AL66" s="306">
        <f>IF(AJ66=0,0,(AK66-AJ66)/AJ66*100)</f>
        <v>0</v>
      </c>
      <c r="AM66" s="18"/>
      <c r="AN66" s="18"/>
      <c r="AO66" s="306">
        <f>IF(AM66=0,0,(AN66-AM66)/AM66*100)</f>
        <v>0</v>
      </c>
      <c r="AP66" s="18"/>
      <c r="AQ66" s="18"/>
      <c r="AR66" s="306">
        <f>IF(AP66=0,0,(AQ66-AP66)/AP66*100)</f>
        <v>0</v>
      </c>
      <c r="AS66" s="18"/>
      <c r="AT66" s="18"/>
      <c r="AU66" s="306">
        <f>IF(AS66=0,0,(AT66-AS66)/AS66*100)</f>
        <v>0</v>
      </c>
      <c r="AV66" s="18"/>
      <c r="AW66" s="18"/>
      <c r="AX66" s="306">
        <f>IF(AV66=0,0,(AW66-AV66)/AV66*100)</f>
        <v>0</v>
      </c>
      <c r="AY66" s="18"/>
      <c r="AZ66" s="18"/>
      <c r="BA66" s="306">
        <f>IF(AY66=0,0,(AZ66-AY66)/AY66*100)</f>
        <v>0</v>
      </c>
      <c r="BB66" s="18"/>
      <c r="BC66" s="18"/>
      <c r="BD66" s="306">
        <f>IF(BB66=0,0,(BC66-BB66)/BB66*100)</f>
        <v>0</v>
      </c>
      <c r="BE66" s="18"/>
      <c r="BF66" s="18"/>
      <c r="BG66" s="306">
        <f>IF(BE66=0,0,(BF66-BE66)/BE66*100)</f>
        <v>0</v>
      </c>
      <c r="BH66" s="18"/>
      <c r="BI66" s="18"/>
      <c r="BJ66" s="306">
        <f>IF(BH66=0,0,(BI66-BH66)/BH66*100)</f>
        <v>0</v>
      </c>
      <c r="BK66" s="18"/>
      <c r="BL66" s="18"/>
      <c r="BM66" s="306">
        <f>IF(BK66=0,0,(BL66-BK66)/BK66*100)</f>
        <v>0</v>
      </c>
      <c r="BN66" s="18"/>
      <c r="BO66" s="18"/>
      <c r="BP66" s="306">
        <f>IF(BN66=0,0,(BO66-BN66)/BN66*100)</f>
        <v>0</v>
      </c>
      <c r="BQ66" s="18"/>
      <c r="BR66" s="18"/>
      <c r="BS66" s="306">
        <f>IF(BQ66=0,0,(BR66-BQ66)/BQ66*100)</f>
        <v>0</v>
      </c>
      <c r="BT66" s="18"/>
      <c r="BU66" s="18"/>
      <c r="BV66" s="306">
        <f>IF(BT66=0,0,(BU66-BT66)/BT66*100)</f>
        <v>0</v>
      </c>
      <c r="BW66" s="18"/>
      <c r="BX66" s="18"/>
      <c r="BY66" s="306">
        <f>IF(BW66=0,0,(BX66-BW66)/BW66*100)</f>
        <v>0</v>
      </c>
      <c r="BZ66" s="18"/>
      <c r="CA66" s="18"/>
      <c r="CB66" s="306">
        <f>IF(BZ66=0,0,(CA66-BZ66)/BZ66*100)</f>
        <v>0</v>
      </c>
      <c r="CC66" s="18"/>
      <c r="CD66" s="18"/>
      <c r="CE66" s="306">
        <f>IF(CC66=0,0,(CD66-CC66)/CC66*100)</f>
        <v>0</v>
      </c>
      <c r="CF66" s="18"/>
      <c r="CG66" s="18"/>
      <c r="CH66" s="306">
        <f>IF(CF66=0,0,(CG66-CF66)/CF66*100)</f>
        <v>0</v>
      </c>
      <c r="CI66" s="18"/>
      <c r="CJ66" s="18"/>
      <c r="CK66" s="306">
        <f>IF(CI66=0,0,(CJ66-CI66)/CI66*100)</f>
        <v>0</v>
      </c>
      <c r="CL66" s="18"/>
      <c r="CM66" s="18"/>
      <c r="CN66" s="306">
        <f>IF(CL66=0,0,(CM66-CL66)/CL66*100)</f>
        <v>0</v>
      </c>
      <c r="CO66" s="18"/>
      <c r="CP66" s="18"/>
      <c r="CQ66" s="306">
        <f>IF(CO66=0,0,(CP66-CO66)/CO66*100)</f>
        <v>0</v>
      </c>
      <c r="CR66" s="18"/>
      <c r="CS66" s="18"/>
      <c r="CT66" s="306">
        <f>IF(CR66=0,0,(CS66-CR66)/CR66*100)</f>
        <v>0</v>
      </c>
      <c r="CU66" s="18"/>
      <c r="CV66" s="18"/>
      <c r="CW66" s="306">
        <f>IF(CU66=0,0,(CV66-CU66)/CU66*100)</f>
        <v>0</v>
      </c>
      <c r="CX66" s="18"/>
      <c r="CY66" s="18"/>
      <c r="CZ66" s="306">
        <f>IF(CX66=0,0,(CY66-CX66)/CX66*100)</f>
        <v>0</v>
      </c>
      <c r="DA66" s="18"/>
      <c r="DB66" s="18"/>
      <c r="DC66" s="306">
        <f>IF(DA66=0,0,(DB66-DA66)/DA66*100)</f>
        <v>0</v>
      </c>
      <c r="DD66" s="18"/>
      <c r="DE66" s="18"/>
      <c r="DF66" s="306">
        <f>IF(DD66=0,0,(DE66-DD66)/DD66*100)</f>
        <v>0</v>
      </c>
      <c r="DG66" s="18"/>
      <c r="DH66" s="18"/>
      <c r="DI66" s="306">
        <f>IF(DG66=0,0,(DH66-DG66)/DG66*100)</f>
        <v>0</v>
      </c>
      <c r="DJ66" s="18"/>
      <c r="DK66" s="18"/>
      <c r="DL66" s="306">
        <f>IF(DJ66=0,0,(DK66-DJ66)/DJ66*100)</f>
        <v>0</v>
      </c>
      <c r="DM66" s="18"/>
      <c r="DN66" s="18"/>
      <c r="DO66" s="306">
        <f>IF(DM66=0,0,(DN66-DM66)/DM66*100)</f>
        <v>0</v>
      </c>
      <c r="DP66" s="18"/>
      <c r="DQ66" s="18"/>
      <c r="DR66" s="306">
        <f>IF(DP66=0,0,(DQ66-DP66)/DP66*100)</f>
        <v>0</v>
      </c>
      <c r="DS66" s="18"/>
      <c r="DT66" s="18"/>
      <c r="DU66" s="306">
        <f>IF(DS66=0,0,(DT66-DS66)/DS66*100)</f>
        <v>0</v>
      </c>
      <c r="DV66" s="18"/>
      <c r="DW66" s="18"/>
      <c r="DX66" s="306">
        <f>IF(DV66=0,0,(DW66-DV66)/DV66*100)</f>
        <v>0</v>
      </c>
      <c r="DY66" s="18"/>
      <c r="DZ66" s="18"/>
      <c r="EA66" s="306">
        <f>IF(DY66=0,0,(DZ66-DY66)/DY66*100)</f>
        <v>0</v>
      </c>
      <c r="EB66" s="18"/>
      <c r="EC66" s="18"/>
      <c r="ED66" s="306">
        <f>IF(EB66=0,0,(EC66-EB66)/EB66*100)</f>
        <v>0</v>
      </c>
      <c r="EE66" s="18"/>
      <c r="EF66" s="18"/>
      <c r="EG66" s="306">
        <f>IF(EE66=0,0,(EF66-EE66)/EE66*100)</f>
        <v>0</v>
      </c>
      <c r="EH66" s="18"/>
      <c r="EI66" s="18"/>
      <c r="EJ66" s="306">
        <f>IF(EH66=0,0,(EI66-EH66)/EH66*100)</f>
        <v>0</v>
      </c>
      <c r="EK66" s="18"/>
      <c r="EL66" s="18"/>
      <c r="EM66" s="306">
        <f>IF(EK66=0,0,(EL66-EK66)/EK66*100)</f>
        <v>0</v>
      </c>
      <c r="EN66" s="18"/>
      <c r="EO66" s="18"/>
      <c r="EP66" s="306">
        <f>IF(EN66=0,0,(EO66-EN66)/EN66*100)</f>
        <v>0</v>
      </c>
      <c r="EQ66" s="18"/>
      <c r="ER66" s="18"/>
      <c r="ES66" s="306">
        <f>IF(EQ66=0,0,(ER66-EQ66)/EQ66*100)</f>
        <v>0</v>
      </c>
      <c r="ET66" s="18"/>
      <c r="EU66" s="18"/>
      <c r="EV66" s="306">
        <f>IF(ET66=0,0,(EU66-ET66)/ET66*100)</f>
        <v>0</v>
      </c>
      <c r="EW66" s="18"/>
      <c r="EX66" s="18"/>
      <c r="EY66" s="306">
        <f>IF(EW66=0,0,(EX66-EW66)/EW66*100)</f>
        <v>0</v>
      </c>
      <c r="EZ66" s="18"/>
      <c r="FA66" s="18"/>
      <c r="FB66" s="306">
        <f>IF(EZ66=0,0,(FA66-EZ66)/EZ66*100)</f>
        <v>0</v>
      </c>
      <c r="FC66" s="18"/>
      <c r="FD66" s="18"/>
      <c r="FE66" s="306">
        <f>IF(FC66=0,0,(FD66-FC66)/FC66*100)</f>
        <v>0</v>
      </c>
      <c r="FF66" s="18"/>
      <c r="FG66" s="18"/>
      <c r="FH66" s="306">
        <f>IF(FF66=0,0,(FG66-FF66)/FF66*100)</f>
        <v>0</v>
      </c>
      <c r="FI66" s="18"/>
      <c r="FJ66" s="18"/>
      <c r="FK66" s="306">
        <f>IF(FI66=0,0,(FJ66-FI66)/FI66*100)</f>
        <v>0</v>
      </c>
      <c r="FL66" s="18"/>
      <c r="FM66" s="18"/>
      <c r="FN66" s="306">
        <f>IF(FL66=0,0,(FM66-FL66)/FL66*100)</f>
        <v>0</v>
      </c>
      <c r="FO66" s="18"/>
      <c r="FP66" s="18"/>
      <c r="FQ66" s="306">
        <f>IF(FO66=0,0,(FP66-FO66)/FO66*100)</f>
        <v>0</v>
      </c>
      <c r="FR66" s="18"/>
      <c r="FS66" s="18"/>
      <c r="FT66" s="306">
        <f>IF(FR66=0,0,(FS66-FR66)/FR66*100)</f>
        <v>0</v>
      </c>
      <c r="FU66" s="18"/>
      <c r="FV66" s="18"/>
      <c r="FW66" s="306">
        <f>IF(FU66=0,0,(FV66-FU66)/FU66*100)</f>
        <v>0</v>
      </c>
      <c r="FZ66" s="971" t="s">
        <v>2197</v>
      </c>
      <c r="GA66" s="971"/>
      <c r="GB66" s="971"/>
      <c r="GC66" s="971"/>
      <c r="GD66" s="971"/>
    </row>
    <row r="67" spans="1:186" ht="15.4" hidden="1" customHeight="1" x14ac:dyDescent="0.15">
      <c r="B67" s="803" t="b" cm="1">
        <f t="array" ref="B67">B66</f>
        <v>0</v>
      </c>
      <c r="E67" s="668">
        <v>15.8</v>
      </c>
      <c r="F67" s="769" cm="1">
        <f t="array" aca="1" ref="F67" ca="1">OFFSET(G67,-1,-1)</f>
        <v>0</v>
      </c>
      <c r="K67" s="1098" cm="1">
        <f t="array" aca="1" ref="K67" ca="1">OFFSET(J67,-1,1)</f>
        <v>0</v>
      </c>
      <c r="P67" s="1098"/>
      <c r="Q67" s="1098"/>
      <c r="T67" s="679" t="b" cm="1">
        <f t="array" aca="1" ref="T67" ca="1">T66</f>
        <v>0</v>
      </c>
      <c r="X67" s="1485"/>
      <c r="Z67" s="1485"/>
      <c r="AB67" s="1130" t="s">
        <v>2142</v>
      </c>
      <c r="AC67" s="308"/>
      <c r="AD67" s="309"/>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309"/>
      <c r="BD67" s="309"/>
      <c r="BE67" s="309"/>
      <c r="BF67" s="309"/>
      <c r="BG67" s="309"/>
      <c r="BH67" s="309"/>
      <c r="BI67" s="309"/>
      <c r="BJ67" s="309"/>
      <c r="BK67" s="309"/>
      <c r="BL67" s="309"/>
      <c r="BM67" s="309"/>
      <c r="BN67" s="309"/>
      <c r="BO67" s="309"/>
      <c r="BP67" s="309"/>
      <c r="BQ67" s="309"/>
      <c r="BR67" s="309"/>
      <c r="BS67" s="309"/>
      <c r="BT67" s="309"/>
      <c r="BU67" s="309"/>
      <c r="BV67" s="309"/>
      <c r="BW67" s="309"/>
      <c r="BX67" s="309"/>
      <c r="BY67" s="309"/>
      <c r="BZ67" s="309"/>
      <c r="CA67" s="309"/>
      <c r="CB67" s="309"/>
      <c r="CC67" s="309"/>
      <c r="CD67" s="309"/>
      <c r="CE67" s="309"/>
      <c r="CF67" s="309"/>
      <c r="CG67" s="309"/>
      <c r="CH67" s="309"/>
      <c r="CI67" s="309"/>
      <c r="CJ67" s="309"/>
      <c r="CK67" s="309"/>
      <c r="CL67" s="309"/>
      <c r="CM67" s="309"/>
      <c r="CN67" s="309"/>
      <c r="CO67" s="309"/>
      <c r="CP67" s="309"/>
      <c r="CQ67" s="309"/>
      <c r="CR67" s="309"/>
      <c r="CS67" s="309"/>
      <c r="CT67" s="309"/>
      <c r="CU67" s="309"/>
      <c r="CV67" s="309"/>
      <c r="CW67" s="309"/>
      <c r="CX67" s="309"/>
      <c r="CY67" s="309"/>
      <c r="CZ67" s="309"/>
      <c r="DA67" s="309"/>
      <c r="DB67" s="309"/>
      <c r="DC67" s="309"/>
      <c r="DD67" s="309"/>
      <c r="DE67" s="309"/>
      <c r="DF67" s="309"/>
      <c r="DG67" s="309"/>
      <c r="DH67" s="309"/>
      <c r="DI67" s="309"/>
      <c r="DJ67" s="309"/>
      <c r="DK67" s="309"/>
      <c r="DL67" s="309"/>
      <c r="DM67" s="309"/>
      <c r="DN67" s="309"/>
      <c r="DO67" s="309"/>
      <c r="DP67" s="309"/>
      <c r="DQ67" s="309"/>
      <c r="DR67" s="309"/>
      <c r="DS67" s="309"/>
      <c r="DT67" s="309"/>
      <c r="DU67" s="309"/>
      <c r="DV67" s="309"/>
      <c r="DW67" s="309"/>
      <c r="DX67" s="309"/>
      <c r="DY67" s="309"/>
      <c r="DZ67" s="309"/>
      <c r="EA67" s="309"/>
      <c r="EB67" s="309"/>
      <c r="EC67" s="309"/>
      <c r="ED67" s="309"/>
      <c r="EE67" s="309"/>
      <c r="EF67" s="309"/>
      <c r="EG67" s="309"/>
      <c r="EH67" s="309"/>
      <c r="EI67" s="309"/>
      <c r="EJ67" s="309"/>
      <c r="EK67" s="309"/>
      <c r="EL67" s="309"/>
      <c r="EM67" s="309"/>
      <c r="EN67" s="309"/>
      <c r="EO67" s="309"/>
      <c r="EP67" s="309"/>
      <c r="EQ67" s="309"/>
      <c r="ER67" s="309"/>
      <c r="ES67" s="309"/>
      <c r="ET67" s="309"/>
      <c r="EU67" s="309"/>
      <c r="EV67" s="309"/>
      <c r="EW67" s="309"/>
      <c r="EX67" s="309"/>
      <c r="EY67" s="309"/>
      <c r="EZ67" s="309"/>
      <c r="FA67" s="309"/>
      <c r="FB67" s="309"/>
      <c r="FC67" s="309"/>
      <c r="FD67" s="309"/>
      <c r="FE67" s="309"/>
      <c r="FF67" s="309"/>
      <c r="FG67" s="309"/>
      <c r="FH67" s="309"/>
      <c r="FI67" s="309"/>
      <c r="FJ67" s="309"/>
      <c r="FK67" s="309"/>
      <c r="FL67" s="309"/>
      <c r="FM67" s="309"/>
      <c r="FN67" s="309"/>
      <c r="FO67" s="309"/>
      <c r="FP67" s="309"/>
      <c r="FQ67" s="309"/>
      <c r="FR67" s="309"/>
      <c r="FS67" s="309"/>
      <c r="FT67" s="309"/>
      <c r="FU67" s="309"/>
      <c r="FV67" s="309"/>
      <c r="FW67" s="310"/>
      <c r="GA67" s="971"/>
      <c r="GB67" s="971"/>
      <c r="GC67" s="971"/>
      <c r="GD67" s="971"/>
    </row>
    <row r="68" spans="1:186" ht="15.4" hidden="1" customHeight="1" x14ac:dyDescent="0.15">
      <c r="B68" s="803" t="b" cm="1">
        <f t="array" ref="B68">B67</f>
        <v>0</v>
      </c>
      <c r="C68" s="1108" t="s">
        <v>2189</v>
      </c>
      <c r="D68" s="1077" t="s">
        <v>2190</v>
      </c>
      <c r="E68" s="668">
        <v>15.8</v>
      </c>
      <c r="F68" s="769" cm="1">
        <f t="array" aca="1" ref="F68" ca="1">OFFSET(G68,-1,-1)</f>
        <v>0</v>
      </c>
      <c r="H68" s="160" t="s">
        <v>2161</v>
      </c>
      <c r="I68" s="160" t="s">
        <v>2141</v>
      </c>
      <c r="J68" s="1098"/>
      <c r="K68" s="1098" cm="1">
        <f t="array" aca="1" ref="K68" ca="1">OFFSET(J68,-1,1)</f>
        <v>0</v>
      </c>
      <c r="L68" s="1098"/>
      <c r="M68" s="1098" t="s">
        <v>1759</v>
      </c>
      <c r="N68" s="1098" t="s">
        <v>2137</v>
      </c>
      <c r="O68" s="1099" t="s">
        <v>2138</v>
      </c>
      <c r="P68" s="1098" t="s">
        <v>2162</v>
      </c>
      <c r="Q68" s="1098"/>
      <c r="T68" s="679" t="b" cm="1">
        <f t="array" aca="1" ref="T68" ca="1">T67</f>
        <v>0</v>
      </c>
      <c r="X68" s="1485"/>
      <c r="Z68" s="1485"/>
      <c r="AB68" s="220" t="s">
        <v>2163</v>
      </c>
      <c r="AC68" s="120" t="s">
        <v>920</v>
      </c>
      <c r="AD68" s="18">
        <f>IF(AD70=0,0,(AD69*AD70+AD71*AD72*IF(god=2026,3,6))/AD70)</f>
        <v>0</v>
      </c>
      <c r="AE68" s="18">
        <f>IF(AE70=0,0,(AE69*AE70+AE71*AE72*IF(god=2026,3,6))/AE70)</f>
        <v>0</v>
      </c>
      <c r="AF68" s="306">
        <f>IF(AD68=0,0,(AE68-AD68)/AD68*100)</f>
        <v>0</v>
      </c>
      <c r="AG68" s="1215">
        <f>IF(AG70=0,0,(AG69*AG70+AG71*AG72*IF(god=2025,3,6))/AG70)</f>
        <v>0</v>
      </c>
      <c r="AH68" s="1215">
        <f>IF(AH70=0,0,(AH69*AH70+AH71*AH72*IF(god=2025,3,6))/AH70)</f>
        <v>0</v>
      </c>
      <c r="AI68" s="306">
        <f>IF(AG68=0,0,(AH68-AG68)/AG68*100)</f>
        <v>0</v>
      </c>
      <c r="AJ68" s="1215">
        <f>IF(AJ70=0,0,(AJ69*AJ70+AJ71*AJ72*6)/AJ70)</f>
        <v>0</v>
      </c>
      <c r="AK68" s="1215">
        <f>IF(AK70=0,0,(AK69*AK70+AK71*AK72*6)/AK70)</f>
        <v>0</v>
      </c>
      <c r="AL68" s="306">
        <f>IF(AJ68=0,0,(AK68-AJ68)/AJ68*100)</f>
        <v>0</v>
      </c>
      <c r="AM68" s="18">
        <f>IF(AM70=0,0,(AM69*AM70+AM71*AM72*6)/AM70)</f>
        <v>0</v>
      </c>
      <c r="AN68" s="18">
        <f>IF(AN70=0,0,(AN69*AN70+AN71*AN72*6)/AN70)</f>
        <v>0</v>
      </c>
      <c r="AO68" s="306">
        <f>IF(AM68=0,0,(AN68-AM68)/AM68*100)</f>
        <v>0</v>
      </c>
      <c r="AP68" s="18">
        <f>IF(AP70=0,0,(AP69*AP70+AP71*AP72*6)/AP70)</f>
        <v>0</v>
      </c>
      <c r="AQ68" s="18">
        <f>IF(AQ70=0,0,(AQ69*AQ70+AQ71*AQ72*6)/AQ70)</f>
        <v>0</v>
      </c>
      <c r="AR68" s="306">
        <f>IF(AP68=0,0,(AQ68-AP68)/AP68*100)</f>
        <v>0</v>
      </c>
      <c r="AS68" s="18">
        <f>IF(AS70=0,0,(AS69*AS70+AS71*AS72*6)/AS70)</f>
        <v>0</v>
      </c>
      <c r="AT68" s="18">
        <f>IF(AT70=0,0,(AT69*AT70+AT71*AT72*6)/AT70)</f>
        <v>0</v>
      </c>
      <c r="AU68" s="306">
        <f>IF(AS68=0,0,(AT68-AS68)/AS68*100)</f>
        <v>0</v>
      </c>
      <c r="AV68" s="18">
        <f>IF(AV70=0,0,(AV69*AV70+AV71*AV72*6)/AV70)</f>
        <v>0</v>
      </c>
      <c r="AW68" s="18">
        <f>IF(AW70=0,0,(AW69*AW70+AW71*AW72*6)/AW70)</f>
        <v>0</v>
      </c>
      <c r="AX68" s="306">
        <f>IF(AV68=0,0,(AW68-AV68)/AV68*100)</f>
        <v>0</v>
      </c>
      <c r="AY68" s="18">
        <f>IF(AY70=0,0,(AY69*AY70+AY71*AY72*6)/AY70)</f>
        <v>0</v>
      </c>
      <c r="AZ68" s="18">
        <f>IF(AZ70=0,0,(AZ69*AZ70+AZ71*AZ72*6)/AZ70)</f>
        <v>0</v>
      </c>
      <c r="BA68" s="306">
        <f>IF(AY68=0,0,(AZ68-AY68)/AY68*100)</f>
        <v>0</v>
      </c>
      <c r="BB68" s="18">
        <f>IF(BB70=0,0,(BB69*BB70+BB71*BB72*6)/BB70)</f>
        <v>0</v>
      </c>
      <c r="BC68" s="18">
        <f>IF(BC70=0,0,(BC69*BC70+BC71*BC72*6)/BC70)</f>
        <v>0</v>
      </c>
      <c r="BD68" s="306">
        <f>IF(BB68=0,0,(BC68-BB68)/BB68*100)</f>
        <v>0</v>
      </c>
      <c r="BE68" s="18">
        <f>IF(BE70=0,0,(BE69*BE70+BE71*BE72*6)/BE70)</f>
        <v>0</v>
      </c>
      <c r="BF68" s="18">
        <f>IF(BF70=0,0,(BF69*BF70+BF71*BF72*6)/BF70)</f>
        <v>0</v>
      </c>
      <c r="BG68" s="306">
        <f>IF(BE68=0,0,(BF68-BE68)/BE68*100)</f>
        <v>0</v>
      </c>
      <c r="BH68" s="18">
        <f>IF(BH70=0,0,(BH69*BH70+BH71*BH72*6)/BH70)</f>
        <v>0</v>
      </c>
      <c r="BI68" s="18">
        <f>IF(BI70=0,0,(BI69*BI70+BI71*BI72*6)/BI70)</f>
        <v>0</v>
      </c>
      <c r="BJ68" s="306">
        <f>IF(BH68=0,0,(BI68-BH68)/BH68*100)</f>
        <v>0</v>
      </c>
      <c r="BK68" s="18">
        <f>IF(BK70=0,0,(BK69*BK70+BK71*BK72*6)/BK70)</f>
        <v>0</v>
      </c>
      <c r="BL68" s="18">
        <f>IF(BL70=0,0,(BL69*BL70+BL71*BL72*6)/BL70)</f>
        <v>0</v>
      </c>
      <c r="BM68" s="306">
        <f>IF(BK68=0,0,(BL68-BK68)/BK68*100)</f>
        <v>0</v>
      </c>
      <c r="BN68" s="18">
        <f>IF(BN70=0,0,(BN69*BN70+BN71*BN72*6)/BN70)</f>
        <v>0</v>
      </c>
      <c r="BO68" s="18">
        <f>IF(BO70=0,0,(BO69*BO70+BO71*BO72*6)/BO70)</f>
        <v>0</v>
      </c>
      <c r="BP68" s="306">
        <f>IF(BN68=0,0,(BO68-BN68)/BN68*100)</f>
        <v>0</v>
      </c>
      <c r="BQ68" s="18">
        <f>IF(BQ70=0,0,(BQ69*BQ70+BQ71*BQ72*6)/BQ70)</f>
        <v>0</v>
      </c>
      <c r="BR68" s="18">
        <f>IF(BR70=0,0,(BR69*BR70+BR71*BR72*6)/BR70)</f>
        <v>0</v>
      </c>
      <c r="BS68" s="306">
        <f>IF(BQ68=0,0,(BR68-BQ68)/BQ68*100)</f>
        <v>0</v>
      </c>
      <c r="BT68" s="18">
        <f>IF(BT70=0,0,(BT69*BT70+BT71*BT72*6)/BT70)</f>
        <v>0</v>
      </c>
      <c r="BU68" s="18">
        <f>IF(BU70=0,0,(BU69*BU70+BU71*BU72*6)/BU70)</f>
        <v>0</v>
      </c>
      <c r="BV68" s="306">
        <f>IF(BT68=0,0,(BU68-BT68)/BT68*100)</f>
        <v>0</v>
      </c>
      <c r="BW68" s="18">
        <f>IF(BW70=0,0,(BW69*BW70+BW71*BW72*6)/BW70)</f>
        <v>0</v>
      </c>
      <c r="BX68" s="18">
        <f>IF(BX70=0,0,(BX69*BX70+BX71*BX72*6)/BX70)</f>
        <v>0</v>
      </c>
      <c r="BY68" s="306">
        <f>IF(BW68=0,0,(BX68-BW68)/BW68*100)</f>
        <v>0</v>
      </c>
      <c r="BZ68" s="18">
        <f>IF(BZ70=0,0,(BZ69*BZ70+BZ71*BZ72*6)/BZ70)</f>
        <v>0</v>
      </c>
      <c r="CA68" s="18">
        <f>IF(CA70=0,0,(CA69*CA70+CA71*CA72*6)/CA70)</f>
        <v>0</v>
      </c>
      <c r="CB68" s="306">
        <f>IF(BZ68=0,0,(CA68-BZ68)/BZ68*100)</f>
        <v>0</v>
      </c>
      <c r="CC68" s="18">
        <f>IF(CC70=0,0,(CC69*CC70+CC71*CC72*6)/CC70)</f>
        <v>0</v>
      </c>
      <c r="CD68" s="18">
        <f>IF(CD70=0,0,(CD69*CD70+CD71*CD72*6)/CD70)</f>
        <v>0</v>
      </c>
      <c r="CE68" s="306">
        <f>IF(CC68=0,0,(CD68-CC68)/CC68*100)</f>
        <v>0</v>
      </c>
      <c r="CF68" s="18">
        <f>IF(CF70=0,0,(CF69*CF70+CF71*CF72*6)/CF70)</f>
        <v>0</v>
      </c>
      <c r="CG68" s="18">
        <f>IF(CG70=0,0,(CG69*CG70+CG71*CG72*6)/CG70)</f>
        <v>0</v>
      </c>
      <c r="CH68" s="306">
        <f>IF(CF68=0,0,(CG68-CF68)/CF68*100)</f>
        <v>0</v>
      </c>
      <c r="CI68" s="18">
        <f>IF(CI70=0,0,(CI69*CI70+CI71*CI72*6)/CI70)</f>
        <v>0</v>
      </c>
      <c r="CJ68" s="18">
        <f>IF(CJ70=0,0,(CJ69*CJ70+CJ71*CJ72*6)/CJ70)</f>
        <v>0</v>
      </c>
      <c r="CK68" s="306">
        <f>IF(CI68=0,0,(CJ68-CI68)/CI68*100)</f>
        <v>0</v>
      </c>
      <c r="CL68" s="18">
        <f>IF(CL70=0,0,(CL69*CL70+CL71*CL72*6)/CL70)</f>
        <v>0</v>
      </c>
      <c r="CM68" s="18">
        <f>IF(CM70=0,0,(CM69*CM70+CM71*CM72*6)/CM70)</f>
        <v>0</v>
      </c>
      <c r="CN68" s="306">
        <f>IF(CL68=0,0,(CM68-CL68)/CL68*100)</f>
        <v>0</v>
      </c>
      <c r="CO68" s="18">
        <f>IF(CO70=0,0,(CO69*CO70+CO71*CO72*6)/CO70)</f>
        <v>0</v>
      </c>
      <c r="CP68" s="18">
        <f>IF(CP70=0,0,(CP69*CP70+CP71*CP72*6)/CP70)</f>
        <v>0</v>
      </c>
      <c r="CQ68" s="306">
        <f>IF(CO68=0,0,(CP68-CO68)/CO68*100)</f>
        <v>0</v>
      </c>
      <c r="CR68" s="18">
        <f>IF(CR70=0,0,(CR69*CR70+CR71*CR72*6)/CR70)</f>
        <v>0</v>
      </c>
      <c r="CS68" s="18">
        <f>IF(CS70=0,0,(CS69*CS70+CS71*CS72*6)/CS70)</f>
        <v>0</v>
      </c>
      <c r="CT68" s="306">
        <f>IF(CR68=0,0,(CS68-CR68)/CR68*100)</f>
        <v>0</v>
      </c>
      <c r="CU68" s="18">
        <f>IF(CU70=0,0,(CU69*CU70+CU71*CU72*6)/CU70)</f>
        <v>0</v>
      </c>
      <c r="CV68" s="18">
        <f>IF(CV70=0,0,(CV69*CV70+CV71*CV72*6)/CV70)</f>
        <v>0</v>
      </c>
      <c r="CW68" s="306">
        <f>IF(CU68=0,0,(CV68-CU68)/CU68*100)</f>
        <v>0</v>
      </c>
      <c r="CX68" s="18">
        <f>IF(CX70=0,0,(CX69*CX70+CX71*CX72*6)/CX70)</f>
        <v>0</v>
      </c>
      <c r="CY68" s="18">
        <f>IF(CY70=0,0,(CY69*CY70+CY71*CY72*6)/CY70)</f>
        <v>0</v>
      </c>
      <c r="CZ68" s="306">
        <f>IF(CX68=0,0,(CY68-CX68)/CX68*100)</f>
        <v>0</v>
      </c>
      <c r="DA68" s="18">
        <f>IF(DA70=0,0,(DA69*DA70+DA71*DA72*6)/DA70)</f>
        <v>0</v>
      </c>
      <c r="DB68" s="18">
        <f>IF(DB70=0,0,(DB69*DB70+DB71*DB72*6)/DB70)</f>
        <v>0</v>
      </c>
      <c r="DC68" s="306">
        <f>IF(DA68=0,0,(DB68-DA68)/DA68*100)</f>
        <v>0</v>
      </c>
      <c r="DD68" s="18">
        <f>IF(DD70=0,0,(DD69*DD70+DD71*DD72*6)/DD70)</f>
        <v>0</v>
      </c>
      <c r="DE68" s="18">
        <f>IF(DE70=0,0,(DE69*DE70+DE71*DE72*6)/DE70)</f>
        <v>0</v>
      </c>
      <c r="DF68" s="306">
        <f>IF(DD68=0,0,(DE68-DD68)/DD68*100)</f>
        <v>0</v>
      </c>
      <c r="DG68" s="18">
        <f>IF(DG70=0,0,(DG69*DG70+DG71*DG72*6)/DG70)</f>
        <v>0</v>
      </c>
      <c r="DH68" s="18">
        <f>IF(DH70=0,0,(DH69*DH70+DH71*DH72*6)/DH70)</f>
        <v>0</v>
      </c>
      <c r="DI68" s="306">
        <f>IF(DG68=0,0,(DH68-DG68)/DG68*100)</f>
        <v>0</v>
      </c>
      <c r="DJ68" s="18">
        <f>IF(DJ70=0,0,(DJ69*DJ70+DJ71*DJ72*6)/DJ70)</f>
        <v>0</v>
      </c>
      <c r="DK68" s="18">
        <f>IF(DK70=0,0,(DK69*DK70+DK71*DK72*6)/DK70)</f>
        <v>0</v>
      </c>
      <c r="DL68" s="306">
        <f>IF(DJ68=0,0,(DK68-DJ68)/DJ68*100)</f>
        <v>0</v>
      </c>
      <c r="DM68" s="18">
        <f>IF(DM70=0,0,(DM69*DM70+DM71*DM72*6)/DM70)</f>
        <v>0</v>
      </c>
      <c r="DN68" s="18">
        <f>IF(DN70=0,0,(DN69*DN70+DN71*DN72*6)/DN70)</f>
        <v>0</v>
      </c>
      <c r="DO68" s="306">
        <f>IF(DM68=0,0,(DN68-DM68)/DM68*100)</f>
        <v>0</v>
      </c>
      <c r="DP68" s="18">
        <f>IF(DP70=0,0,(DP69*DP70+DP71*DP72*6)/DP70)</f>
        <v>0</v>
      </c>
      <c r="DQ68" s="18">
        <f>IF(DQ70=0,0,(DQ69*DQ70+DQ71*DQ72*6)/DQ70)</f>
        <v>0</v>
      </c>
      <c r="DR68" s="306">
        <f>IF(DP68=0,0,(DQ68-DP68)/DP68*100)</f>
        <v>0</v>
      </c>
      <c r="DS68" s="18">
        <f>IF(DS70=0,0,(DS69*DS70+DS71*DS72*6)/DS70)</f>
        <v>0</v>
      </c>
      <c r="DT68" s="18">
        <f>IF(DT70=0,0,(DT69*DT70+DT71*DT72*6)/DT70)</f>
        <v>0</v>
      </c>
      <c r="DU68" s="306">
        <f>IF(DS68=0,0,(DT68-DS68)/DS68*100)</f>
        <v>0</v>
      </c>
      <c r="DV68" s="18">
        <f>IF(DV70=0,0,(DV69*DV70+DV71*DV72*6)/DV70)</f>
        <v>0</v>
      </c>
      <c r="DW68" s="18">
        <f>IF(DW70=0,0,(DW69*DW70+DW71*DW72*6)/DW70)</f>
        <v>0</v>
      </c>
      <c r="DX68" s="306">
        <f>IF(DV68=0,0,(DW68-DV68)/DV68*100)</f>
        <v>0</v>
      </c>
      <c r="DY68" s="18">
        <f>IF(DY70=0,0,(DY69*DY70+DY71*DY72*6)/DY70)</f>
        <v>0</v>
      </c>
      <c r="DZ68" s="18">
        <f>IF(DZ70=0,0,(DZ69*DZ70+DZ71*DZ72*6)/DZ70)</f>
        <v>0</v>
      </c>
      <c r="EA68" s="306">
        <f>IF(DY68=0,0,(DZ68-DY68)/DY68*100)</f>
        <v>0</v>
      </c>
      <c r="EB68" s="18">
        <f>IF(EB70=0,0,(EB69*EB70+EB71*EB72*6)/EB70)</f>
        <v>0</v>
      </c>
      <c r="EC68" s="18">
        <f>IF(EC70=0,0,(EC69*EC70+EC71*EC72*6)/EC70)</f>
        <v>0</v>
      </c>
      <c r="ED68" s="306">
        <f>IF(EB68=0,0,(EC68-EB68)/EB68*100)</f>
        <v>0</v>
      </c>
      <c r="EE68" s="18">
        <f>IF(EE70=0,0,(EE69*EE70+EE71*EE72*6)/EE70)</f>
        <v>0</v>
      </c>
      <c r="EF68" s="18">
        <f>IF(EF70=0,0,(EF69*EF70+EF71*EF72*6)/EF70)</f>
        <v>0</v>
      </c>
      <c r="EG68" s="306">
        <f>IF(EE68=0,0,(EF68-EE68)/EE68*100)</f>
        <v>0</v>
      </c>
      <c r="EH68" s="18">
        <f>IF(EH70=0,0,(EH69*EH70+EH71*EH72*6)/EH70)</f>
        <v>0</v>
      </c>
      <c r="EI68" s="18">
        <f>IF(EI70=0,0,(EI69*EI70+EI71*EI72*6)/EI70)</f>
        <v>0</v>
      </c>
      <c r="EJ68" s="306">
        <f>IF(EH68=0,0,(EI68-EH68)/EH68*100)</f>
        <v>0</v>
      </c>
      <c r="EK68" s="18">
        <f>IF(EK70=0,0,(EK69*EK70+EK71*EK72*6)/EK70)</f>
        <v>0</v>
      </c>
      <c r="EL68" s="18">
        <f>IF(EL70=0,0,(EL69*EL70+EL71*EL72*6)/EL70)</f>
        <v>0</v>
      </c>
      <c r="EM68" s="306">
        <f>IF(EK68=0,0,(EL68-EK68)/EK68*100)</f>
        <v>0</v>
      </c>
      <c r="EN68" s="18">
        <f>IF(EN70=0,0,(EN69*EN70+EN71*EN72*6)/EN70)</f>
        <v>0</v>
      </c>
      <c r="EO68" s="18">
        <f>IF(EO70=0,0,(EO69*EO70+EO71*EO72*6)/EO70)</f>
        <v>0</v>
      </c>
      <c r="EP68" s="306">
        <f>IF(EN68=0,0,(EO68-EN68)/EN68*100)</f>
        <v>0</v>
      </c>
      <c r="EQ68" s="18">
        <f>IF(EQ70=0,0,(EQ69*EQ70+EQ71*EQ72*6)/EQ70)</f>
        <v>0</v>
      </c>
      <c r="ER68" s="18">
        <f>IF(ER70=0,0,(ER69*ER70+ER71*ER72*6)/ER70)</f>
        <v>0</v>
      </c>
      <c r="ES68" s="306">
        <f>IF(EQ68=0,0,(ER68-EQ68)/EQ68*100)</f>
        <v>0</v>
      </c>
      <c r="ET68" s="18">
        <f>IF(ET70=0,0,(ET69*ET70+ET71*ET72*6)/ET70)</f>
        <v>0</v>
      </c>
      <c r="EU68" s="18">
        <f>IF(EU70=0,0,(EU69*EU70+EU71*EU72*6)/EU70)</f>
        <v>0</v>
      </c>
      <c r="EV68" s="306">
        <f>IF(ET68=0,0,(EU68-ET68)/ET68*100)</f>
        <v>0</v>
      </c>
      <c r="EW68" s="18">
        <f>IF(EW70=0,0,(EW69*EW70+EW71*EW72*6)/EW70)</f>
        <v>0</v>
      </c>
      <c r="EX68" s="18">
        <f>IF(EX70=0,0,(EX69*EX70+EX71*EX72*6)/EX70)</f>
        <v>0</v>
      </c>
      <c r="EY68" s="306">
        <f>IF(EW68=0,0,(EX68-EW68)/EW68*100)</f>
        <v>0</v>
      </c>
      <c r="EZ68" s="18">
        <f>IF(EZ70=0,0,(EZ69*EZ70+EZ71*EZ72*6)/EZ70)</f>
        <v>0</v>
      </c>
      <c r="FA68" s="18">
        <f>IF(FA70=0,0,(FA69*FA70+FA71*FA72*6)/FA70)</f>
        <v>0</v>
      </c>
      <c r="FB68" s="306">
        <f>IF(EZ68=0,0,(FA68-EZ68)/EZ68*100)</f>
        <v>0</v>
      </c>
      <c r="FC68" s="18">
        <f>IF(FC70=0,0,(FC69*FC70+FC71*FC72*6)/FC70)</f>
        <v>0</v>
      </c>
      <c r="FD68" s="18">
        <f>IF(FD70=0,0,(FD69*FD70+FD71*FD72*6)/FD70)</f>
        <v>0</v>
      </c>
      <c r="FE68" s="306">
        <f>IF(FC68=0,0,(FD68-FC68)/FC68*100)</f>
        <v>0</v>
      </c>
      <c r="FF68" s="18">
        <f>IF(FF70=0,0,(FF69*FF70+FF71*FF72*6)/FF70)</f>
        <v>0</v>
      </c>
      <c r="FG68" s="18">
        <f>IF(FG70=0,0,(FG69*FG70+FG71*FG72*6)/FG70)</f>
        <v>0</v>
      </c>
      <c r="FH68" s="306">
        <f>IF(FF68=0,0,(FG68-FF68)/FF68*100)</f>
        <v>0</v>
      </c>
      <c r="FI68" s="18">
        <f>IF(FI70=0,0,(FI69*FI70+FI71*FI72*6)/FI70)</f>
        <v>0</v>
      </c>
      <c r="FJ68" s="18">
        <f>IF(FJ70=0,0,(FJ69*FJ70+FJ71*FJ72*6)/FJ70)</f>
        <v>0</v>
      </c>
      <c r="FK68" s="306">
        <f>IF(FI68=0,0,(FJ68-FI68)/FI68*100)</f>
        <v>0</v>
      </c>
      <c r="FL68" s="18">
        <f>IF(FL70=0,0,(FL69*FL70+FL71*FL72*6)/FL70)</f>
        <v>0</v>
      </c>
      <c r="FM68" s="18">
        <f>IF(FM70=0,0,(FM69*FM70+FM71*FM72*6)/FM70)</f>
        <v>0</v>
      </c>
      <c r="FN68" s="306">
        <f>IF(FL68=0,0,(FM68-FL68)/FL68*100)</f>
        <v>0</v>
      </c>
      <c r="FO68" s="18">
        <f>IF(FO70=0,0,(FO69*FO70+FO71*FO72*6)/FO70)</f>
        <v>0</v>
      </c>
      <c r="FP68" s="18">
        <f>IF(FP70=0,0,(FP69*FP70+FP71*FP72*6)/FP70)</f>
        <v>0</v>
      </c>
      <c r="FQ68" s="306">
        <f>IF(FO68=0,0,(FP68-FO68)/FO68*100)</f>
        <v>0</v>
      </c>
      <c r="FR68" s="18">
        <f>IF(FR70=0,0,(FR69*FR70+FR71*FR72*6)/FR70)</f>
        <v>0</v>
      </c>
      <c r="FS68" s="18">
        <f>IF(FS70=0,0,(FS69*FS70+FS71*FS72*6)/FS70)</f>
        <v>0</v>
      </c>
      <c r="FT68" s="306">
        <f>IF(FR68=0,0,(FS68-FR68)/FR68*100)</f>
        <v>0</v>
      </c>
      <c r="FU68" s="18">
        <f>IF(FU70=0,0,(FU69*FU70+FU71*FU72*6)/FU70)</f>
        <v>0</v>
      </c>
      <c r="FV68" s="18">
        <f>IF(FV70=0,0,(FV69*FV70+FV71*FV72*6)/FV70)</f>
        <v>0</v>
      </c>
      <c r="FW68" s="306">
        <f>IF(FU68=0,0,(FV68-FU68)/FU68*100)</f>
        <v>0</v>
      </c>
      <c r="FZ68" s="971" t="s">
        <v>2198</v>
      </c>
      <c r="GA68" s="971"/>
      <c r="GB68" s="971"/>
      <c r="GC68" s="971"/>
      <c r="GD68" s="971"/>
    </row>
    <row r="69" spans="1:186" ht="15.4" hidden="1" customHeight="1" x14ac:dyDescent="0.15">
      <c r="B69" s="803" t="b" cm="1">
        <f t="array" ref="B69">B68</f>
        <v>0</v>
      </c>
      <c r="C69" s="1108" t="s">
        <v>2192</v>
      </c>
      <c r="D69" s="1077" t="s">
        <v>2193</v>
      </c>
      <c r="E69" s="668">
        <v>15.8</v>
      </c>
      <c r="F69" s="769" cm="1">
        <f t="array" aca="1" ref="F69" ca="1">OFFSET(G69,-1,-1)</f>
        <v>0</v>
      </c>
      <c r="H69" s="160" t="s">
        <v>2167</v>
      </c>
      <c r="I69" s="160" t="s">
        <v>2141</v>
      </c>
      <c r="J69" s="1098"/>
      <c r="K69" s="1098" cm="1">
        <f t="array" aca="1" ref="K69" ca="1">OFFSET(J69,-1,1)</f>
        <v>0</v>
      </c>
      <c r="L69" s="1098"/>
      <c r="M69" s="1098" t="s">
        <v>1759</v>
      </c>
      <c r="N69" s="1098" t="s">
        <v>2137</v>
      </c>
      <c r="O69" s="1099" t="s">
        <v>2138</v>
      </c>
      <c r="P69" s="1098" t="s">
        <v>2168</v>
      </c>
      <c r="Q69" s="1098"/>
      <c r="T69" s="679" t="b" cm="1">
        <f t="array" aca="1" ref="T69" ca="1">T68</f>
        <v>0</v>
      </c>
      <c r="X69" s="1485"/>
      <c r="Z69" s="1485"/>
      <c r="AB69" s="220" t="s">
        <v>2169</v>
      </c>
      <c r="AC69" s="120" t="s">
        <v>920</v>
      </c>
      <c r="AD69" s="18"/>
      <c r="AE69" s="18"/>
      <c r="AF69" s="306">
        <f>IF(AD69=0,0,(AE69-AD69)/AD69*100)</f>
        <v>0</v>
      </c>
      <c r="AG69" s="1215"/>
      <c r="AH69" s="1215"/>
      <c r="AI69" s="306">
        <f>IF(AG69=0,0,(AH69-AG69)/AG69*100)</f>
        <v>0</v>
      </c>
      <c r="AJ69" s="1215"/>
      <c r="AK69" s="1215"/>
      <c r="AL69" s="306">
        <f>IF(AJ69=0,0,(AK69-AJ69)/AJ69*100)</f>
        <v>0</v>
      </c>
      <c r="AM69" s="18"/>
      <c r="AN69" s="18"/>
      <c r="AO69" s="306">
        <f>IF(AM69=0,0,(AN69-AM69)/AM69*100)</f>
        <v>0</v>
      </c>
      <c r="AP69" s="18"/>
      <c r="AQ69" s="18"/>
      <c r="AR69" s="306">
        <f>IF(AP69=0,0,(AQ69-AP69)/AP69*100)</f>
        <v>0</v>
      </c>
      <c r="AS69" s="18"/>
      <c r="AT69" s="18"/>
      <c r="AU69" s="306">
        <f>IF(AS69=0,0,(AT69-AS69)/AS69*100)</f>
        <v>0</v>
      </c>
      <c r="AV69" s="18"/>
      <c r="AW69" s="18"/>
      <c r="AX69" s="306">
        <f>IF(AV69=0,0,(AW69-AV69)/AV69*100)</f>
        <v>0</v>
      </c>
      <c r="AY69" s="18"/>
      <c r="AZ69" s="18"/>
      <c r="BA69" s="306">
        <f>IF(AY69=0,0,(AZ69-AY69)/AY69*100)</f>
        <v>0</v>
      </c>
      <c r="BB69" s="18"/>
      <c r="BC69" s="18"/>
      <c r="BD69" s="306">
        <f>IF(BB69=0,0,(BC69-BB69)/BB69*100)</f>
        <v>0</v>
      </c>
      <c r="BE69" s="18"/>
      <c r="BF69" s="18"/>
      <c r="BG69" s="306">
        <f>IF(BE69=0,0,(BF69-BE69)/BE69*100)</f>
        <v>0</v>
      </c>
      <c r="BH69" s="18"/>
      <c r="BI69" s="18"/>
      <c r="BJ69" s="306">
        <f>IF(BH69=0,0,(BI69-BH69)/BH69*100)</f>
        <v>0</v>
      </c>
      <c r="BK69" s="18"/>
      <c r="BL69" s="18"/>
      <c r="BM69" s="306">
        <f>IF(BK69=0,0,(BL69-BK69)/BK69*100)</f>
        <v>0</v>
      </c>
      <c r="BN69" s="18"/>
      <c r="BO69" s="18"/>
      <c r="BP69" s="306">
        <f>IF(BN69=0,0,(BO69-BN69)/BN69*100)</f>
        <v>0</v>
      </c>
      <c r="BQ69" s="18"/>
      <c r="BR69" s="18"/>
      <c r="BS69" s="306">
        <f>IF(BQ69=0,0,(BR69-BQ69)/BQ69*100)</f>
        <v>0</v>
      </c>
      <c r="BT69" s="18"/>
      <c r="BU69" s="18"/>
      <c r="BV69" s="306">
        <f>IF(BT69=0,0,(BU69-BT69)/BT69*100)</f>
        <v>0</v>
      </c>
      <c r="BW69" s="18"/>
      <c r="BX69" s="18"/>
      <c r="BY69" s="306">
        <f>IF(BW69=0,0,(BX69-BW69)/BW69*100)</f>
        <v>0</v>
      </c>
      <c r="BZ69" s="18"/>
      <c r="CA69" s="18"/>
      <c r="CB69" s="306">
        <f>IF(BZ69=0,0,(CA69-BZ69)/BZ69*100)</f>
        <v>0</v>
      </c>
      <c r="CC69" s="18"/>
      <c r="CD69" s="18"/>
      <c r="CE69" s="306">
        <f>IF(CC69=0,0,(CD69-CC69)/CC69*100)</f>
        <v>0</v>
      </c>
      <c r="CF69" s="18"/>
      <c r="CG69" s="18"/>
      <c r="CH69" s="306">
        <f>IF(CF69=0,0,(CG69-CF69)/CF69*100)</f>
        <v>0</v>
      </c>
      <c r="CI69" s="18"/>
      <c r="CJ69" s="18"/>
      <c r="CK69" s="306">
        <f>IF(CI69=0,0,(CJ69-CI69)/CI69*100)</f>
        <v>0</v>
      </c>
      <c r="CL69" s="18"/>
      <c r="CM69" s="18"/>
      <c r="CN69" s="306">
        <f>IF(CL69=0,0,(CM69-CL69)/CL69*100)</f>
        <v>0</v>
      </c>
      <c r="CO69" s="18"/>
      <c r="CP69" s="18"/>
      <c r="CQ69" s="306">
        <f>IF(CO69=0,0,(CP69-CO69)/CO69*100)</f>
        <v>0</v>
      </c>
      <c r="CR69" s="18"/>
      <c r="CS69" s="18"/>
      <c r="CT69" s="306">
        <f>IF(CR69=0,0,(CS69-CR69)/CR69*100)</f>
        <v>0</v>
      </c>
      <c r="CU69" s="18"/>
      <c r="CV69" s="18"/>
      <c r="CW69" s="306">
        <f>IF(CU69=0,0,(CV69-CU69)/CU69*100)</f>
        <v>0</v>
      </c>
      <c r="CX69" s="18"/>
      <c r="CY69" s="18"/>
      <c r="CZ69" s="306">
        <f>IF(CX69=0,0,(CY69-CX69)/CX69*100)</f>
        <v>0</v>
      </c>
      <c r="DA69" s="18"/>
      <c r="DB69" s="18"/>
      <c r="DC69" s="306">
        <f>IF(DA69=0,0,(DB69-DA69)/DA69*100)</f>
        <v>0</v>
      </c>
      <c r="DD69" s="18"/>
      <c r="DE69" s="18"/>
      <c r="DF69" s="306">
        <f>IF(DD69=0,0,(DE69-DD69)/DD69*100)</f>
        <v>0</v>
      </c>
      <c r="DG69" s="18"/>
      <c r="DH69" s="18"/>
      <c r="DI69" s="306">
        <f>IF(DG69=0,0,(DH69-DG69)/DG69*100)</f>
        <v>0</v>
      </c>
      <c r="DJ69" s="18"/>
      <c r="DK69" s="18"/>
      <c r="DL69" s="306">
        <f>IF(DJ69=0,0,(DK69-DJ69)/DJ69*100)</f>
        <v>0</v>
      </c>
      <c r="DM69" s="18"/>
      <c r="DN69" s="18"/>
      <c r="DO69" s="306">
        <f>IF(DM69=0,0,(DN69-DM69)/DM69*100)</f>
        <v>0</v>
      </c>
      <c r="DP69" s="18"/>
      <c r="DQ69" s="18"/>
      <c r="DR69" s="306">
        <f>IF(DP69=0,0,(DQ69-DP69)/DP69*100)</f>
        <v>0</v>
      </c>
      <c r="DS69" s="18"/>
      <c r="DT69" s="18"/>
      <c r="DU69" s="306">
        <f>IF(DS69=0,0,(DT69-DS69)/DS69*100)</f>
        <v>0</v>
      </c>
      <c r="DV69" s="18"/>
      <c r="DW69" s="18"/>
      <c r="DX69" s="306">
        <f>IF(DV69=0,0,(DW69-DV69)/DV69*100)</f>
        <v>0</v>
      </c>
      <c r="DY69" s="18"/>
      <c r="DZ69" s="18"/>
      <c r="EA69" s="306">
        <f>IF(DY69=0,0,(DZ69-DY69)/DY69*100)</f>
        <v>0</v>
      </c>
      <c r="EB69" s="18"/>
      <c r="EC69" s="18"/>
      <c r="ED69" s="306">
        <f>IF(EB69=0,0,(EC69-EB69)/EB69*100)</f>
        <v>0</v>
      </c>
      <c r="EE69" s="18"/>
      <c r="EF69" s="18"/>
      <c r="EG69" s="306">
        <f>IF(EE69=0,0,(EF69-EE69)/EE69*100)</f>
        <v>0</v>
      </c>
      <c r="EH69" s="18"/>
      <c r="EI69" s="18"/>
      <c r="EJ69" s="306">
        <f>IF(EH69=0,0,(EI69-EH69)/EH69*100)</f>
        <v>0</v>
      </c>
      <c r="EK69" s="18"/>
      <c r="EL69" s="18"/>
      <c r="EM69" s="306">
        <f>IF(EK69=0,0,(EL69-EK69)/EK69*100)</f>
        <v>0</v>
      </c>
      <c r="EN69" s="18"/>
      <c r="EO69" s="18"/>
      <c r="EP69" s="306">
        <f>IF(EN69=0,0,(EO69-EN69)/EN69*100)</f>
        <v>0</v>
      </c>
      <c r="EQ69" s="18"/>
      <c r="ER69" s="18"/>
      <c r="ES69" s="306">
        <f>IF(EQ69=0,0,(ER69-EQ69)/EQ69*100)</f>
        <v>0</v>
      </c>
      <c r="ET69" s="18"/>
      <c r="EU69" s="18"/>
      <c r="EV69" s="306">
        <f>IF(ET69=0,0,(EU69-ET69)/ET69*100)</f>
        <v>0</v>
      </c>
      <c r="EW69" s="18"/>
      <c r="EX69" s="18"/>
      <c r="EY69" s="306">
        <f>IF(EW69=0,0,(EX69-EW69)/EW69*100)</f>
        <v>0</v>
      </c>
      <c r="EZ69" s="18"/>
      <c r="FA69" s="18"/>
      <c r="FB69" s="306">
        <f>IF(EZ69=0,0,(FA69-EZ69)/EZ69*100)</f>
        <v>0</v>
      </c>
      <c r="FC69" s="18"/>
      <c r="FD69" s="18"/>
      <c r="FE69" s="306">
        <f>IF(FC69=0,0,(FD69-FC69)/FC69*100)</f>
        <v>0</v>
      </c>
      <c r="FF69" s="18"/>
      <c r="FG69" s="18"/>
      <c r="FH69" s="306">
        <f>IF(FF69=0,0,(FG69-FF69)/FF69*100)</f>
        <v>0</v>
      </c>
      <c r="FI69" s="18"/>
      <c r="FJ69" s="18"/>
      <c r="FK69" s="306">
        <f>IF(FI69=0,0,(FJ69-FI69)/FI69*100)</f>
        <v>0</v>
      </c>
      <c r="FL69" s="18"/>
      <c r="FM69" s="18"/>
      <c r="FN69" s="306">
        <f>IF(FL69=0,0,(FM69-FL69)/FL69*100)</f>
        <v>0</v>
      </c>
      <c r="FO69" s="18"/>
      <c r="FP69" s="18"/>
      <c r="FQ69" s="306">
        <f>IF(FO69=0,0,(FP69-FO69)/FO69*100)</f>
        <v>0</v>
      </c>
      <c r="FR69" s="18"/>
      <c r="FS69" s="18"/>
      <c r="FT69" s="306">
        <f>IF(FR69=0,0,(FS69-FR69)/FR69*100)</f>
        <v>0</v>
      </c>
      <c r="FU69" s="18"/>
      <c r="FV69" s="18"/>
      <c r="FW69" s="306">
        <f>IF(FU69=0,0,(FV69-FU69)/FU69*100)</f>
        <v>0</v>
      </c>
      <c r="FZ69" s="971" t="s">
        <v>2199</v>
      </c>
      <c r="GA69" s="971"/>
      <c r="GB69" s="971"/>
      <c r="GC69" s="971"/>
      <c r="GD69" s="971"/>
    </row>
    <row r="70" spans="1:186" ht="15.4" hidden="1" customHeight="1" x14ac:dyDescent="0.15">
      <c r="B70" s="803" t="b" cm="1">
        <f t="array" ref="B70">B69</f>
        <v>0</v>
      </c>
      <c r="C70" s="1108" t="s">
        <v>1747</v>
      </c>
      <c r="D70" s="1077" t="s">
        <v>1748</v>
      </c>
      <c r="E70" s="668">
        <v>15.8</v>
      </c>
      <c r="F70" s="769" cm="1">
        <f t="array" aca="1" ref="F70" ca="1">OFFSET(G70,-1,-1)</f>
        <v>0</v>
      </c>
      <c r="H70" s="160" t="s">
        <v>2171</v>
      </c>
      <c r="I70" s="160" t="s">
        <v>2141</v>
      </c>
      <c r="J70" s="1098"/>
      <c r="K70" s="1098" cm="1">
        <f t="array" aca="1" ref="K70" ca="1">OFFSET(J70,-1,1)</f>
        <v>0</v>
      </c>
      <c r="L70" s="1098"/>
      <c r="M70" s="1098" t="s">
        <v>1759</v>
      </c>
      <c r="N70" s="1098" t="s">
        <v>2137</v>
      </c>
      <c r="O70" s="1099" t="s">
        <v>2138</v>
      </c>
      <c r="P70" s="1098" t="s">
        <v>2172</v>
      </c>
      <c r="Q70" s="1098"/>
      <c r="T70" s="679" t="b" cm="1">
        <f t="array" aca="1" ref="T70" ca="1">T69</f>
        <v>0</v>
      </c>
      <c r="X70" s="1485"/>
      <c r="Z70" s="1485"/>
      <c r="AB70" s="220" t="s">
        <v>2173</v>
      </c>
      <c r="AC70" s="120" t="s">
        <v>622</v>
      </c>
      <c r="AD70" s="97"/>
      <c r="AE70" s="97"/>
      <c r="AF70" s="333">
        <f>IF(AD70=0,0,(AE70-AD70)/AD70*100)</f>
        <v>0</v>
      </c>
      <c r="AG70" s="1350"/>
      <c r="AH70" s="1350"/>
      <c r="AI70" s="333">
        <f>IF(AG70=0,0,(AH70-AG70)/AG70*100)</f>
        <v>0</v>
      </c>
      <c r="AJ70" s="1350"/>
      <c r="AK70" s="1350"/>
      <c r="AL70" s="333">
        <f>IF(AJ70=0,0,(AK70-AJ70)/AJ70*100)</f>
        <v>0</v>
      </c>
      <c r="AM70" s="97"/>
      <c r="AN70" s="97"/>
      <c r="AO70" s="333">
        <f>IF(AM70=0,0,(AN70-AM70)/AM70*100)</f>
        <v>0</v>
      </c>
      <c r="AP70" s="97"/>
      <c r="AQ70" s="97"/>
      <c r="AR70" s="333">
        <f>IF(AP70=0,0,(AQ70-AP70)/AP70*100)</f>
        <v>0</v>
      </c>
      <c r="AS70" s="97"/>
      <c r="AT70" s="97"/>
      <c r="AU70" s="333">
        <f>IF(AS70=0,0,(AT70-AS70)/AS70*100)</f>
        <v>0</v>
      </c>
      <c r="AV70" s="97"/>
      <c r="AW70" s="97"/>
      <c r="AX70" s="333">
        <f>IF(AV70=0,0,(AW70-AV70)/AV70*100)</f>
        <v>0</v>
      </c>
      <c r="AY70" s="97"/>
      <c r="AZ70" s="97"/>
      <c r="BA70" s="333">
        <f>IF(AY70=0,0,(AZ70-AY70)/AY70*100)</f>
        <v>0</v>
      </c>
      <c r="BB70" s="97"/>
      <c r="BC70" s="97"/>
      <c r="BD70" s="333">
        <f>IF(BB70=0,0,(BC70-BB70)/BB70*100)</f>
        <v>0</v>
      </c>
      <c r="BE70" s="97"/>
      <c r="BF70" s="97"/>
      <c r="BG70" s="333">
        <f>IF(BE70=0,0,(BF70-BE70)/BE70*100)</f>
        <v>0</v>
      </c>
      <c r="BH70" s="97"/>
      <c r="BI70" s="97"/>
      <c r="BJ70" s="333">
        <f>IF(BH70=0,0,(BI70-BH70)/BH70*100)</f>
        <v>0</v>
      </c>
      <c r="BK70" s="97"/>
      <c r="BL70" s="97"/>
      <c r="BM70" s="333">
        <f>IF(BK70=0,0,(BL70-BK70)/BK70*100)</f>
        <v>0</v>
      </c>
      <c r="BN70" s="97"/>
      <c r="BO70" s="97"/>
      <c r="BP70" s="333">
        <f>IF(BN70=0,0,(BO70-BN70)/BN70*100)</f>
        <v>0</v>
      </c>
      <c r="BQ70" s="97"/>
      <c r="BR70" s="97"/>
      <c r="BS70" s="333">
        <f>IF(BQ70=0,0,(BR70-BQ70)/BQ70*100)</f>
        <v>0</v>
      </c>
      <c r="BT70" s="97"/>
      <c r="BU70" s="97"/>
      <c r="BV70" s="333">
        <f>IF(BT70=0,0,(BU70-BT70)/BT70*100)</f>
        <v>0</v>
      </c>
      <c r="BW70" s="97"/>
      <c r="BX70" s="97"/>
      <c r="BY70" s="333">
        <f>IF(BW70=0,0,(BX70-BW70)/BW70*100)</f>
        <v>0</v>
      </c>
      <c r="BZ70" s="97"/>
      <c r="CA70" s="97"/>
      <c r="CB70" s="333">
        <f>IF(BZ70=0,0,(CA70-BZ70)/BZ70*100)</f>
        <v>0</v>
      </c>
      <c r="CC70" s="97"/>
      <c r="CD70" s="97"/>
      <c r="CE70" s="333">
        <f>IF(CC70=0,0,(CD70-CC70)/CC70*100)</f>
        <v>0</v>
      </c>
      <c r="CF70" s="97"/>
      <c r="CG70" s="97"/>
      <c r="CH70" s="333">
        <f>IF(CF70=0,0,(CG70-CF70)/CF70*100)</f>
        <v>0</v>
      </c>
      <c r="CI70" s="97"/>
      <c r="CJ70" s="97"/>
      <c r="CK70" s="333">
        <f>IF(CI70=0,0,(CJ70-CI70)/CI70*100)</f>
        <v>0</v>
      </c>
      <c r="CL70" s="97"/>
      <c r="CM70" s="97"/>
      <c r="CN70" s="333">
        <f>IF(CL70=0,0,(CM70-CL70)/CL70*100)</f>
        <v>0</v>
      </c>
      <c r="CO70" s="97"/>
      <c r="CP70" s="97"/>
      <c r="CQ70" s="333">
        <f>IF(CO70=0,0,(CP70-CO70)/CO70*100)</f>
        <v>0</v>
      </c>
      <c r="CR70" s="97"/>
      <c r="CS70" s="97"/>
      <c r="CT70" s="333">
        <f>IF(CR70=0,0,(CS70-CR70)/CR70*100)</f>
        <v>0</v>
      </c>
      <c r="CU70" s="97"/>
      <c r="CV70" s="97"/>
      <c r="CW70" s="333">
        <f>IF(CU70=0,0,(CV70-CU70)/CU70*100)</f>
        <v>0</v>
      </c>
      <c r="CX70" s="97"/>
      <c r="CY70" s="97"/>
      <c r="CZ70" s="333">
        <f>IF(CX70=0,0,(CY70-CX70)/CX70*100)</f>
        <v>0</v>
      </c>
      <c r="DA70" s="97"/>
      <c r="DB70" s="97"/>
      <c r="DC70" s="333">
        <f>IF(DA70=0,0,(DB70-DA70)/DA70*100)</f>
        <v>0</v>
      </c>
      <c r="DD70" s="97"/>
      <c r="DE70" s="97"/>
      <c r="DF70" s="333">
        <f>IF(DD70=0,0,(DE70-DD70)/DD70*100)</f>
        <v>0</v>
      </c>
      <c r="DG70" s="97"/>
      <c r="DH70" s="97"/>
      <c r="DI70" s="333">
        <f>IF(DG70=0,0,(DH70-DG70)/DG70*100)</f>
        <v>0</v>
      </c>
      <c r="DJ70" s="97"/>
      <c r="DK70" s="97"/>
      <c r="DL70" s="333">
        <f>IF(DJ70=0,0,(DK70-DJ70)/DJ70*100)</f>
        <v>0</v>
      </c>
      <c r="DM70" s="97"/>
      <c r="DN70" s="97"/>
      <c r="DO70" s="333">
        <f>IF(DM70=0,0,(DN70-DM70)/DM70*100)</f>
        <v>0</v>
      </c>
      <c r="DP70" s="97"/>
      <c r="DQ70" s="97"/>
      <c r="DR70" s="333">
        <f>IF(DP70=0,0,(DQ70-DP70)/DP70*100)</f>
        <v>0</v>
      </c>
      <c r="DS70" s="97"/>
      <c r="DT70" s="97"/>
      <c r="DU70" s="333">
        <f>IF(DS70=0,0,(DT70-DS70)/DS70*100)</f>
        <v>0</v>
      </c>
      <c r="DV70" s="97"/>
      <c r="DW70" s="97"/>
      <c r="DX70" s="333">
        <f>IF(DV70=0,0,(DW70-DV70)/DV70*100)</f>
        <v>0</v>
      </c>
      <c r="DY70" s="97"/>
      <c r="DZ70" s="97"/>
      <c r="EA70" s="333">
        <f>IF(DY70=0,0,(DZ70-DY70)/DY70*100)</f>
        <v>0</v>
      </c>
      <c r="EB70" s="97"/>
      <c r="EC70" s="97"/>
      <c r="ED70" s="333">
        <f>IF(EB70=0,0,(EC70-EB70)/EB70*100)</f>
        <v>0</v>
      </c>
      <c r="EE70" s="97"/>
      <c r="EF70" s="97"/>
      <c r="EG70" s="333">
        <f>IF(EE70=0,0,(EF70-EE70)/EE70*100)</f>
        <v>0</v>
      </c>
      <c r="EH70" s="97"/>
      <c r="EI70" s="97"/>
      <c r="EJ70" s="333">
        <f>IF(EH70=0,0,(EI70-EH70)/EH70*100)</f>
        <v>0</v>
      </c>
      <c r="EK70" s="97"/>
      <c r="EL70" s="97"/>
      <c r="EM70" s="333">
        <f>IF(EK70=0,0,(EL70-EK70)/EK70*100)</f>
        <v>0</v>
      </c>
      <c r="EN70" s="97"/>
      <c r="EO70" s="97"/>
      <c r="EP70" s="333">
        <f>IF(EN70=0,0,(EO70-EN70)/EN70*100)</f>
        <v>0</v>
      </c>
      <c r="EQ70" s="97"/>
      <c r="ER70" s="97"/>
      <c r="ES70" s="333">
        <f>IF(EQ70=0,0,(ER70-EQ70)/EQ70*100)</f>
        <v>0</v>
      </c>
      <c r="ET70" s="97"/>
      <c r="EU70" s="97"/>
      <c r="EV70" s="333">
        <f>IF(ET70=0,0,(EU70-ET70)/ET70*100)</f>
        <v>0</v>
      </c>
      <c r="EW70" s="97"/>
      <c r="EX70" s="97"/>
      <c r="EY70" s="333">
        <f>IF(EW70=0,0,(EX70-EW70)/EW70*100)</f>
        <v>0</v>
      </c>
      <c r="EZ70" s="97"/>
      <c r="FA70" s="97"/>
      <c r="FB70" s="333">
        <f>IF(EZ70=0,0,(FA70-EZ70)/EZ70*100)</f>
        <v>0</v>
      </c>
      <c r="FC70" s="97"/>
      <c r="FD70" s="97"/>
      <c r="FE70" s="333">
        <f>IF(FC70=0,0,(FD70-FC70)/FC70*100)</f>
        <v>0</v>
      </c>
      <c r="FF70" s="97"/>
      <c r="FG70" s="97"/>
      <c r="FH70" s="333">
        <f>IF(FF70=0,0,(FG70-FF70)/FF70*100)</f>
        <v>0</v>
      </c>
      <c r="FI70" s="97"/>
      <c r="FJ70" s="97"/>
      <c r="FK70" s="333">
        <f>IF(FI70=0,0,(FJ70-FI70)/FI70*100)</f>
        <v>0</v>
      </c>
      <c r="FL70" s="97"/>
      <c r="FM70" s="97"/>
      <c r="FN70" s="333">
        <f>IF(FL70=0,0,(FM70-FL70)/FL70*100)</f>
        <v>0</v>
      </c>
      <c r="FO70" s="97"/>
      <c r="FP70" s="97"/>
      <c r="FQ70" s="333">
        <f>IF(FO70=0,0,(FP70-FO70)/FO70*100)</f>
        <v>0</v>
      </c>
      <c r="FR70" s="97"/>
      <c r="FS70" s="97"/>
      <c r="FT70" s="333">
        <f>IF(FR70=0,0,(FS70-FR70)/FR70*100)</f>
        <v>0</v>
      </c>
      <c r="FU70" s="97"/>
      <c r="FV70" s="97"/>
      <c r="FW70" s="333">
        <f>IF(FU70=0,0,(FV70-FU70)/FU70*100)</f>
        <v>0</v>
      </c>
      <c r="FZ70" s="971" t="s">
        <v>2200</v>
      </c>
      <c r="GA70" s="971"/>
      <c r="GB70" s="971"/>
      <c r="GC70" s="971"/>
      <c r="GD70" s="971"/>
    </row>
    <row r="71" spans="1:186" ht="30.75" hidden="1" customHeight="1" x14ac:dyDescent="0.15">
      <c r="B71" s="803" t="b" cm="1">
        <f t="array" ref="B71">B70</f>
        <v>0</v>
      </c>
      <c r="C71" s="1108" t="s">
        <v>1801</v>
      </c>
      <c r="D71" s="1077" t="s">
        <v>1802</v>
      </c>
      <c r="E71" s="668">
        <v>31.5</v>
      </c>
      <c r="F71" s="769" cm="1">
        <f t="array" aca="1" ref="F71" ca="1">OFFSET(G71,-1,-1)</f>
        <v>0</v>
      </c>
      <c r="H71" s="160" t="s">
        <v>2175</v>
      </c>
      <c r="I71" s="160" t="s">
        <v>2141</v>
      </c>
      <c r="J71" s="1098"/>
      <c r="K71" s="1098" cm="1">
        <f t="array" aca="1" ref="K71" ca="1">OFFSET(J71,-1,1)</f>
        <v>0</v>
      </c>
      <c r="L71" s="1098"/>
      <c r="M71" s="1098" t="s">
        <v>1759</v>
      </c>
      <c r="N71" s="1098" t="s">
        <v>2137</v>
      </c>
      <c r="O71" s="1099" t="s">
        <v>2138</v>
      </c>
      <c r="P71" s="1098" t="s">
        <v>2176</v>
      </c>
      <c r="Q71" s="1098"/>
      <c r="T71" s="679" t="b" cm="1">
        <f t="array" aca="1" ref="T71" ca="1">T70</f>
        <v>0</v>
      </c>
      <c r="X71" s="1485"/>
      <c r="Z71" s="1485"/>
      <c r="AB71" s="220" t="s">
        <v>2177</v>
      </c>
      <c r="AC71" s="435" t="s">
        <v>1805</v>
      </c>
      <c r="AD71" s="18"/>
      <c r="AE71" s="18"/>
      <c r="AF71" s="306">
        <f>IF(AD71=0,0,(AE71-AD71)/AD71*100)</f>
        <v>0</v>
      </c>
      <c r="AG71" s="1215"/>
      <c r="AH71" s="1215"/>
      <c r="AI71" s="306">
        <f>IF(AG71=0,0,(AH71-AG71)/AG71*100)</f>
        <v>0</v>
      </c>
      <c r="AJ71" s="1215"/>
      <c r="AK71" s="1215"/>
      <c r="AL71" s="306">
        <f>IF(AJ71=0,0,(AK71-AJ71)/AJ71*100)</f>
        <v>0</v>
      </c>
      <c r="AM71" s="18"/>
      <c r="AN71" s="18"/>
      <c r="AO71" s="306">
        <f>IF(AM71=0,0,(AN71-AM71)/AM71*100)</f>
        <v>0</v>
      </c>
      <c r="AP71" s="18"/>
      <c r="AQ71" s="18"/>
      <c r="AR71" s="306">
        <f>IF(AP71=0,0,(AQ71-AP71)/AP71*100)</f>
        <v>0</v>
      </c>
      <c r="AS71" s="18"/>
      <c r="AT71" s="18"/>
      <c r="AU71" s="306">
        <f>IF(AS71=0,0,(AT71-AS71)/AS71*100)</f>
        <v>0</v>
      </c>
      <c r="AV71" s="18"/>
      <c r="AW71" s="18"/>
      <c r="AX71" s="306">
        <f>IF(AV71=0,0,(AW71-AV71)/AV71*100)</f>
        <v>0</v>
      </c>
      <c r="AY71" s="18"/>
      <c r="AZ71" s="18"/>
      <c r="BA71" s="306">
        <f>IF(AY71=0,0,(AZ71-AY71)/AY71*100)</f>
        <v>0</v>
      </c>
      <c r="BB71" s="18"/>
      <c r="BC71" s="18"/>
      <c r="BD71" s="306">
        <f>IF(BB71=0,0,(BC71-BB71)/BB71*100)</f>
        <v>0</v>
      </c>
      <c r="BE71" s="18"/>
      <c r="BF71" s="18"/>
      <c r="BG71" s="306">
        <f>IF(BE71=0,0,(BF71-BE71)/BE71*100)</f>
        <v>0</v>
      </c>
      <c r="BH71" s="18"/>
      <c r="BI71" s="18"/>
      <c r="BJ71" s="306">
        <f>IF(BH71=0,0,(BI71-BH71)/BH71*100)</f>
        <v>0</v>
      </c>
      <c r="BK71" s="18"/>
      <c r="BL71" s="18"/>
      <c r="BM71" s="306">
        <f>IF(BK71=0,0,(BL71-BK71)/BK71*100)</f>
        <v>0</v>
      </c>
      <c r="BN71" s="18"/>
      <c r="BO71" s="18"/>
      <c r="BP71" s="306">
        <f>IF(BN71=0,0,(BO71-BN71)/BN71*100)</f>
        <v>0</v>
      </c>
      <c r="BQ71" s="18"/>
      <c r="BR71" s="18"/>
      <c r="BS71" s="306">
        <f>IF(BQ71=0,0,(BR71-BQ71)/BQ71*100)</f>
        <v>0</v>
      </c>
      <c r="BT71" s="18"/>
      <c r="BU71" s="18"/>
      <c r="BV71" s="306">
        <f>IF(BT71=0,0,(BU71-BT71)/BT71*100)</f>
        <v>0</v>
      </c>
      <c r="BW71" s="18"/>
      <c r="BX71" s="18"/>
      <c r="BY71" s="306">
        <f>IF(BW71=0,0,(BX71-BW71)/BW71*100)</f>
        <v>0</v>
      </c>
      <c r="BZ71" s="18"/>
      <c r="CA71" s="18"/>
      <c r="CB71" s="306">
        <f>IF(BZ71=0,0,(CA71-BZ71)/BZ71*100)</f>
        <v>0</v>
      </c>
      <c r="CC71" s="18"/>
      <c r="CD71" s="18"/>
      <c r="CE71" s="306">
        <f>IF(CC71=0,0,(CD71-CC71)/CC71*100)</f>
        <v>0</v>
      </c>
      <c r="CF71" s="18"/>
      <c r="CG71" s="18"/>
      <c r="CH71" s="306">
        <f>IF(CF71=0,0,(CG71-CF71)/CF71*100)</f>
        <v>0</v>
      </c>
      <c r="CI71" s="18"/>
      <c r="CJ71" s="18"/>
      <c r="CK71" s="306">
        <f>IF(CI71=0,0,(CJ71-CI71)/CI71*100)</f>
        <v>0</v>
      </c>
      <c r="CL71" s="18"/>
      <c r="CM71" s="18"/>
      <c r="CN71" s="306">
        <f>IF(CL71=0,0,(CM71-CL71)/CL71*100)</f>
        <v>0</v>
      </c>
      <c r="CO71" s="18"/>
      <c r="CP71" s="18"/>
      <c r="CQ71" s="306">
        <f>IF(CO71=0,0,(CP71-CO71)/CO71*100)</f>
        <v>0</v>
      </c>
      <c r="CR71" s="18"/>
      <c r="CS71" s="18"/>
      <c r="CT71" s="306">
        <f>IF(CR71=0,0,(CS71-CR71)/CR71*100)</f>
        <v>0</v>
      </c>
      <c r="CU71" s="18"/>
      <c r="CV71" s="18"/>
      <c r="CW71" s="306">
        <f>IF(CU71=0,0,(CV71-CU71)/CU71*100)</f>
        <v>0</v>
      </c>
      <c r="CX71" s="18"/>
      <c r="CY71" s="18"/>
      <c r="CZ71" s="306">
        <f>IF(CX71=0,0,(CY71-CX71)/CX71*100)</f>
        <v>0</v>
      </c>
      <c r="DA71" s="18"/>
      <c r="DB71" s="18"/>
      <c r="DC71" s="306">
        <f>IF(DA71=0,0,(DB71-DA71)/DA71*100)</f>
        <v>0</v>
      </c>
      <c r="DD71" s="18"/>
      <c r="DE71" s="18"/>
      <c r="DF71" s="306">
        <f>IF(DD71=0,0,(DE71-DD71)/DD71*100)</f>
        <v>0</v>
      </c>
      <c r="DG71" s="18"/>
      <c r="DH71" s="18"/>
      <c r="DI71" s="306">
        <f>IF(DG71=0,0,(DH71-DG71)/DG71*100)</f>
        <v>0</v>
      </c>
      <c r="DJ71" s="18"/>
      <c r="DK71" s="18"/>
      <c r="DL71" s="306">
        <f>IF(DJ71=0,0,(DK71-DJ71)/DJ71*100)</f>
        <v>0</v>
      </c>
      <c r="DM71" s="18"/>
      <c r="DN71" s="18"/>
      <c r="DO71" s="306">
        <f>IF(DM71=0,0,(DN71-DM71)/DM71*100)</f>
        <v>0</v>
      </c>
      <c r="DP71" s="18"/>
      <c r="DQ71" s="18"/>
      <c r="DR71" s="306">
        <f>IF(DP71=0,0,(DQ71-DP71)/DP71*100)</f>
        <v>0</v>
      </c>
      <c r="DS71" s="18"/>
      <c r="DT71" s="18"/>
      <c r="DU71" s="306">
        <f>IF(DS71=0,0,(DT71-DS71)/DS71*100)</f>
        <v>0</v>
      </c>
      <c r="DV71" s="18"/>
      <c r="DW71" s="18"/>
      <c r="DX71" s="306">
        <f>IF(DV71=0,0,(DW71-DV71)/DV71*100)</f>
        <v>0</v>
      </c>
      <c r="DY71" s="18"/>
      <c r="DZ71" s="18"/>
      <c r="EA71" s="306">
        <f>IF(DY71=0,0,(DZ71-DY71)/DY71*100)</f>
        <v>0</v>
      </c>
      <c r="EB71" s="18"/>
      <c r="EC71" s="18"/>
      <c r="ED71" s="306">
        <f>IF(EB71=0,0,(EC71-EB71)/EB71*100)</f>
        <v>0</v>
      </c>
      <c r="EE71" s="18"/>
      <c r="EF71" s="18"/>
      <c r="EG71" s="306">
        <f>IF(EE71=0,0,(EF71-EE71)/EE71*100)</f>
        <v>0</v>
      </c>
      <c r="EH71" s="18"/>
      <c r="EI71" s="18"/>
      <c r="EJ71" s="306">
        <f>IF(EH71=0,0,(EI71-EH71)/EH71*100)</f>
        <v>0</v>
      </c>
      <c r="EK71" s="18"/>
      <c r="EL71" s="18"/>
      <c r="EM71" s="306">
        <f>IF(EK71=0,0,(EL71-EK71)/EK71*100)</f>
        <v>0</v>
      </c>
      <c r="EN71" s="18"/>
      <c r="EO71" s="18"/>
      <c r="EP71" s="306">
        <f>IF(EN71=0,0,(EO71-EN71)/EN71*100)</f>
        <v>0</v>
      </c>
      <c r="EQ71" s="18"/>
      <c r="ER71" s="18"/>
      <c r="ES71" s="306">
        <f>IF(EQ71=0,0,(ER71-EQ71)/EQ71*100)</f>
        <v>0</v>
      </c>
      <c r="ET71" s="18"/>
      <c r="EU71" s="18"/>
      <c r="EV71" s="306">
        <f>IF(ET71=0,0,(EU71-ET71)/ET71*100)</f>
        <v>0</v>
      </c>
      <c r="EW71" s="18"/>
      <c r="EX71" s="18"/>
      <c r="EY71" s="306">
        <f>IF(EW71=0,0,(EX71-EW71)/EW71*100)</f>
        <v>0</v>
      </c>
      <c r="EZ71" s="18"/>
      <c r="FA71" s="18"/>
      <c r="FB71" s="306">
        <f>IF(EZ71=0,0,(FA71-EZ71)/EZ71*100)</f>
        <v>0</v>
      </c>
      <c r="FC71" s="18"/>
      <c r="FD71" s="18"/>
      <c r="FE71" s="306">
        <f>IF(FC71=0,0,(FD71-FC71)/FC71*100)</f>
        <v>0</v>
      </c>
      <c r="FF71" s="18"/>
      <c r="FG71" s="18"/>
      <c r="FH71" s="306">
        <f>IF(FF71=0,0,(FG71-FF71)/FF71*100)</f>
        <v>0</v>
      </c>
      <c r="FI71" s="18"/>
      <c r="FJ71" s="18"/>
      <c r="FK71" s="306">
        <f>IF(FI71=0,0,(FJ71-FI71)/FI71*100)</f>
        <v>0</v>
      </c>
      <c r="FL71" s="18"/>
      <c r="FM71" s="18"/>
      <c r="FN71" s="306">
        <f>IF(FL71=0,0,(FM71-FL71)/FL71*100)</f>
        <v>0</v>
      </c>
      <c r="FO71" s="18"/>
      <c r="FP71" s="18"/>
      <c r="FQ71" s="306">
        <f>IF(FO71=0,0,(FP71-FO71)/FO71*100)</f>
        <v>0</v>
      </c>
      <c r="FR71" s="18"/>
      <c r="FS71" s="18"/>
      <c r="FT71" s="306">
        <f>IF(FR71=0,0,(FS71-FR71)/FR71*100)</f>
        <v>0</v>
      </c>
      <c r="FU71" s="18"/>
      <c r="FV71" s="18"/>
      <c r="FW71" s="306">
        <f>IF(FU71=0,0,(FV71-FU71)/FU71*100)</f>
        <v>0</v>
      </c>
      <c r="FZ71" s="971" t="s">
        <v>2201</v>
      </c>
      <c r="GA71" s="971"/>
      <c r="GB71" s="971"/>
      <c r="GC71" s="971"/>
      <c r="GD71" s="971"/>
    </row>
    <row r="72" spans="1:186" ht="15.4" hidden="1" customHeight="1" x14ac:dyDescent="0.15">
      <c r="B72" s="803" t="b" cm="1">
        <f t="array" ref="B72">B71</f>
        <v>0</v>
      </c>
      <c r="C72" s="1108" t="s">
        <v>1773</v>
      </c>
      <c r="D72" s="1077" t="s">
        <v>1774</v>
      </c>
      <c r="E72" s="668">
        <v>15.8</v>
      </c>
      <c r="F72" s="769" cm="1">
        <f t="array" aca="1" ref="F72" ca="1">OFFSET(G72,-1,-1)</f>
        <v>0</v>
      </c>
      <c r="H72" s="160" t="s">
        <v>2179</v>
      </c>
      <c r="I72" s="160" t="s">
        <v>2141</v>
      </c>
      <c r="J72" s="1098"/>
      <c r="K72" s="1098" cm="1">
        <f t="array" aca="1" ref="K72" ca="1">OFFSET(J72,-1,1)</f>
        <v>0</v>
      </c>
      <c r="L72" s="1098"/>
      <c r="M72" s="1098" t="s">
        <v>1759</v>
      </c>
      <c r="N72" s="1098" t="s">
        <v>2137</v>
      </c>
      <c r="O72" s="1099" t="s">
        <v>2138</v>
      </c>
      <c r="P72" s="1098" t="s">
        <v>2180</v>
      </c>
      <c r="Q72" s="1098"/>
      <c r="T72" s="679" t="b" cm="1">
        <f t="array" aca="1" ref="T72" ca="1">T71</f>
        <v>0</v>
      </c>
      <c r="X72" s="1485"/>
      <c r="Z72" s="1485"/>
      <c r="AB72" s="220" t="s">
        <v>2181</v>
      </c>
      <c r="AC72" s="549" t="s">
        <v>715</v>
      </c>
      <c r="AD72" s="18"/>
      <c r="AE72" s="18"/>
      <c r="AF72" s="306">
        <f>IF(AD72=0,0,(AE72-AD72)/AD72*100)</f>
        <v>0</v>
      </c>
      <c r="AG72" s="1215"/>
      <c r="AH72" s="1215"/>
      <c r="AI72" s="306">
        <f>IF(AG72=0,0,(AH72-AG72)/AG72*100)</f>
        <v>0</v>
      </c>
      <c r="AJ72" s="1215"/>
      <c r="AK72" s="1215"/>
      <c r="AL72" s="306">
        <f>IF(AJ72=0,0,(AK72-AJ72)/AJ72*100)</f>
        <v>0</v>
      </c>
      <c r="AM72" s="18"/>
      <c r="AN72" s="18"/>
      <c r="AO72" s="306">
        <f>IF(AM72=0,0,(AN72-AM72)/AM72*100)</f>
        <v>0</v>
      </c>
      <c r="AP72" s="18"/>
      <c r="AQ72" s="18"/>
      <c r="AR72" s="306">
        <f>IF(AP72=0,0,(AQ72-AP72)/AP72*100)</f>
        <v>0</v>
      </c>
      <c r="AS72" s="18"/>
      <c r="AT72" s="18"/>
      <c r="AU72" s="306">
        <f>IF(AS72=0,0,(AT72-AS72)/AS72*100)</f>
        <v>0</v>
      </c>
      <c r="AV72" s="18"/>
      <c r="AW72" s="18"/>
      <c r="AX72" s="306">
        <f>IF(AV72=0,0,(AW72-AV72)/AV72*100)</f>
        <v>0</v>
      </c>
      <c r="AY72" s="18"/>
      <c r="AZ72" s="18"/>
      <c r="BA72" s="306">
        <f>IF(AY72=0,0,(AZ72-AY72)/AY72*100)</f>
        <v>0</v>
      </c>
      <c r="BB72" s="18"/>
      <c r="BC72" s="18"/>
      <c r="BD72" s="306">
        <f>IF(BB72=0,0,(BC72-BB72)/BB72*100)</f>
        <v>0</v>
      </c>
      <c r="BE72" s="18"/>
      <c r="BF72" s="18"/>
      <c r="BG72" s="306">
        <f>IF(BE72=0,0,(BF72-BE72)/BE72*100)</f>
        <v>0</v>
      </c>
      <c r="BH72" s="18"/>
      <c r="BI72" s="18"/>
      <c r="BJ72" s="306">
        <f>IF(BH72=0,0,(BI72-BH72)/BH72*100)</f>
        <v>0</v>
      </c>
      <c r="BK72" s="18"/>
      <c r="BL72" s="18"/>
      <c r="BM72" s="306">
        <f>IF(BK72=0,0,(BL72-BK72)/BK72*100)</f>
        <v>0</v>
      </c>
      <c r="BN72" s="18"/>
      <c r="BO72" s="18"/>
      <c r="BP72" s="306">
        <f>IF(BN72=0,0,(BO72-BN72)/BN72*100)</f>
        <v>0</v>
      </c>
      <c r="BQ72" s="18"/>
      <c r="BR72" s="18"/>
      <c r="BS72" s="306">
        <f>IF(BQ72=0,0,(BR72-BQ72)/BQ72*100)</f>
        <v>0</v>
      </c>
      <c r="BT72" s="18"/>
      <c r="BU72" s="18"/>
      <c r="BV72" s="306">
        <f>IF(BT72=0,0,(BU72-BT72)/BT72*100)</f>
        <v>0</v>
      </c>
      <c r="BW72" s="18"/>
      <c r="BX72" s="18"/>
      <c r="BY72" s="306">
        <f>IF(BW72=0,0,(BX72-BW72)/BW72*100)</f>
        <v>0</v>
      </c>
      <c r="BZ72" s="18"/>
      <c r="CA72" s="18"/>
      <c r="CB72" s="306">
        <f>IF(BZ72=0,0,(CA72-BZ72)/BZ72*100)</f>
        <v>0</v>
      </c>
      <c r="CC72" s="18"/>
      <c r="CD72" s="18"/>
      <c r="CE72" s="306">
        <f>IF(CC72=0,0,(CD72-CC72)/CC72*100)</f>
        <v>0</v>
      </c>
      <c r="CF72" s="18"/>
      <c r="CG72" s="18"/>
      <c r="CH72" s="306">
        <f>IF(CF72=0,0,(CG72-CF72)/CF72*100)</f>
        <v>0</v>
      </c>
      <c r="CI72" s="18"/>
      <c r="CJ72" s="18"/>
      <c r="CK72" s="306">
        <f>IF(CI72=0,0,(CJ72-CI72)/CI72*100)</f>
        <v>0</v>
      </c>
      <c r="CL72" s="18"/>
      <c r="CM72" s="18"/>
      <c r="CN72" s="306">
        <f>IF(CL72=0,0,(CM72-CL72)/CL72*100)</f>
        <v>0</v>
      </c>
      <c r="CO72" s="18"/>
      <c r="CP72" s="18"/>
      <c r="CQ72" s="306">
        <f>IF(CO72=0,0,(CP72-CO72)/CO72*100)</f>
        <v>0</v>
      </c>
      <c r="CR72" s="18"/>
      <c r="CS72" s="18"/>
      <c r="CT72" s="306">
        <f>IF(CR72=0,0,(CS72-CR72)/CR72*100)</f>
        <v>0</v>
      </c>
      <c r="CU72" s="18"/>
      <c r="CV72" s="18"/>
      <c r="CW72" s="306">
        <f>IF(CU72=0,0,(CV72-CU72)/CU72*100)</f>
        <v>0</v>
      </c>
      <c r="CX72" s="18"/>
      <c r="CY72" s="18"/>
      <c r="CZ72" s="306">
        <f>IF(CX72=0,0,(CY72-CX72)/CX72*100)</f>
        <v>0</v>
      </c>
      <c r="DA72" s="18"/>
      <c r="DB72" s="18"/>
      <c r="DC72" s="306">
        <f>IF(DA72=0,0,(DB72-DA72)/DA72*100)</f>
        <v>0</v>
      </c>
      <c r="DD72" s="18"/>
      <c r="DE72" s="18"/>
      <c r="DF72" s="306">
        <f>IF(DD72=0,0,(DE72-DD72)/DD72*100)</f>
        <v>0</v>
      </c>
      <c r="DG72" s="18"/>
      <c r="DH72" s="18"/>
      <c r="DI72" s="306">
        <f>IF(DG72=0,0,(DH72-DG72)/DG72*100)</f>
        <v>0</v>
      </c>
      <c r="DJ72" s="18"/>
      <c r="DK72" s="18"/>
      <c r="DL72" s="306">
        <f>IF(DJ72=0,0,(DK72-DJ72)/DJ72*100)</f>
        <v>0</v>
      </c>
      <c r="DM72" s="18"/>
      <c r="DN72" s="18"/>
      <c r="DO72" s="306">
        <f>IF(DM72=0,0,(DN72-DM72)/DM72*100)</f>
        <v>0</v>
      </c>
      <c r="DP72" s="18"/>
      <c r="DQ72" s="18"/>
      <c r="DR72" s="306">
        <f>IF(DP72=0,0,(DQ72-DP72)/DP72*100)</f>
        <v>0</v>
      </c>
      <c r="DS72" s="18"/>
      <c r="DT72" s="18"/>
      <c r="DU72" s="306">
        <f>IF(DS72=0,0,(DT72-DS72)/DS72*100)</f>
        <v>0</v>
      </c>
      <c r="DV72" s="18"/>
      <c r="DW72" s="18"/>
      <c r="DX72" s="306">
        <f>IF(DV72=0,0,(DW72-DV72)/DV72*100)</f>
        <v>0</v>
      </c>
      <c r="DY72" s="18"/>
      <c r="DZ72" s="18"/>
      <c r="EA72" s="306">
        <f>IF(DY72=0,0,(DZ72-DY72)/DY72*100)</f>
        <v>0</v>
      </c>
      <c r="EB72" s="18"/>
      <c r="EC72" s="18"/>
      <c r="ED72" s="306">
        <f>IF(EB72=0,0,(EC72-EB72)/EB72*100)</f>
        <v>0</v>
      </c>
      <c r="EE72" s="18"/>
      <c r="EF72" s="18"/>
      <c r="EG72" s="306">
        <f>IF(EE72=0,0,(EF72-EE72)/EE72*100)</f>
        <v>0</v>
      </c>
      <c r="EH72" s="18"/>
      <c r="EI72" s="18"/>
      <c r="EJ72" s="306">
        <f>IF(EH72=0,0,(EI72-EH72)/EH72*100)</f>
        <v>0</v>
      </c>
      <c r="EK72" s="18"/>
      <c r="EL72" s="18"/>
      <c r="EM72" s="306">
        <f>IF(EK72=0,0,(EL72-EK72)/EK72*100)</f>
        <v>0</v>
      </c>
      <c r="EN72" s="18"/>
      <c r="EO72" s="18"/>
      <c r="EP72" s="306">
        <f>IF(EN72=0,0,(EO72-EN72)/EN72*100)</f>
        <v>0</v>
      </c>
      <c r="EQ72" s="18"/>
      <c r="ER72" s="18"/>
      <c r="ES72" s="306">
        <f>IF(EQ72=0,0,(ER72-EQ72)/EQ72*100)</f>
        <v>0</v>
      </c>
      <c r="ET72" s="18"/>
      <c r="EU72" s="18"/>
      <c r="EV72" s="306">
        <f>IF(ET72=0,0,(EU72-ET72)/ET72*100)</f>
        <v>0</v>
      </c>
      <c r="EW72" s="18"/>
      <c r="EX72" s="18"/>
      <c r="EY72" s="306">
        <f>IF(EW72=0,0,(EX72-EW72)/EW72*100)</f>
        <v>0</v>
      </c>
      <c r="EZ72" s="18"/>
      <c r="FA72" s="18"/>
      <c r="FB72" s="306">
        <f>IF(EZ72=0,0,(FA72-EZ72)/EZ72*100)</f>
        <v>0</v>
      </c>
      <c r="FC72" s="18"/>
      <c r="FD72" s="18"/>
      <c r="FE72" s="306">
        <f>IF(FC72=0,0,(FD72-FC72)/FC72*100)</f>
        <v>0</v>
      </c>
      <c r="FF72" s="18"/>
      <c r="FG72" s="18"/>
      <c r="FH72" s="306">
        <f>IF(FF72=0,0,(FG72-FF72)/FF72*100)</f>
        <v>0</v>
      </c>
      <c r="FI72" s="18"/>
      <c r="FJ72" s="18"/>
      <c r="FK72" s="306">
        <f>IF(FI72=0,0,(FJ72-FI72)/FI72*100)</f>
        <v>0</v>
      </c>
      <c r="FL72" s="18"/>
      <c r="FM72" s="18"/>
      <c r="FN72" s="306">
        <f>IF(FL72=0,0,(FM72-FL72)/FL72*100)</f>
        <v>0</v>
      </c>
      <c r="FO72" s="18"/>
      <c r="FP72" s="18"/>
      <c r="FQ72" s="306">
        <f>IF(FO72=0,0,(FP72-FO72)/FO72*100)</f>
        <v>0</v>
      </c>
      <c r="FR72" s="18"/>
      <c r="FS72" s="18"/>
      <c r="FT72" s="306">
        <f>IF(FR72=0,0,(FS72-FR72)/FR72*100)</f>
        <v>0</v>
      </c>
      <c r="FU72" s="18"/>
      <c r="FV72" s="18"/>
      <c r="FW72" s="306">
        <f>IF(FU72=0,0,(FV72-FU72)/FU72*100)</f>
        <v>0</v>
      </c>
      <c r="FZ72" s="971" t="s">
        <v>2202</v>
      </c>
      <c r="GA72" s="971"/>
      <c r="GB72" s="971"/>
      <c r="GC72" s="971"/>
      <c r="GD72" s="971"/>
    </row>
    <row r="73" spans="1:186" ht="15.75" hidden="1" customHeight="1" x14ac:dyDescent="0.15">
      <c r="B73" s="803" t="b">
        <v>0</v>
      </c>
      <c r="E73" s="668">
        <v>0</v>
      </c>
      <c r="F73" s="769" cm="1">
        <f t="array" aca="1" ref="F73" ca="1">OFFSET(G73,-1,-1)</f>
        <v>0</v>
      </c>
      <c r="H73" s="160" t="str">
        <f ca="1">F73&amp;"pIns2"</f>
        <v>0pIns2</v>
      </c>
      <c r="Q73" s="1082"/>
      <c r="T73" s="679" t="b">
        <v>0</v>
      </c>
      <c r="X73" s="1485"/>
      <c r="Z73" s="1485"/>
      <c r="AB73" s="750" t="s">
        <v>239</v>
      </c>
      <c r="AC73" s="281"/>
      <c r="AD73" s="279"/>
      <c r="AE73" s="279"/>
      <c r="AF73" s="279"/>
      <c r="AG73" s="279"/>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c r="CD73" s="279"/>
      <c r="CE73" s="279"/>
      <c r="CF73" s="279"/>
      <c r="CG73" s="279"/>
      <c r="CH73" s="279"/>
      <c r="CI73" s="279"/>
      <c r="CJ73" s="279"/>
      <c r="CK73" s="279"/>
      <c r="CL73" s="279"/>
      <c r="CM73" s="279"/>
      <c r="CN73" s="279"/>
      <c r="CO73" s="279"/>
      <c r="CP73" s="279"/>
      <c r="CQ73" s="279"/>
      <c r="CR73" s="279"/>
      <c r="CS73" s="279"/>
      <c r="CT73" s="279"/>
      <c r="CU73" s="279"/>
      <c r="CV73" s="279"/>
      <c r="CW73" s="279"/>
      <c r="CX73" s="279"/>
      <c r="CY73" s="279"/>
      <c r="CZ73" s="279"/>
      <c r="DA73" s="279"/>
      <c r="DB73" s="279"/>
      <c r="DC73" s="279"/>
      <c r="DD73" s="279"/>
      <c r="DE73" s="279"/>
      <c r="DF73" s="279"/>
      <c r="DG73" s="279"/>
      <c r="DH73" s="279"/>
      <c r="DI73" s="279"/>
      <c r="DJ73" s="279"/>
      <c r="DK73" s="279"/>
      <c r="DL73" s="279"/>
      <c r="DM73" s="279"/>
      <c r="DN73" s="279"/>
      <c r="DO73" s="279"/>
      <c r="DP73" s="279"/>
      <c r="DQ73" s="279"/>
      <c r="DR73" s="279"/>
      <c r="DS73" s="279"/>
      <c r="DT73" s="279"/>
      <c r="DU73" s="279"/>
      <c r="DV73" s="279"/>
      <c r="DW73" s="279"/>
      <c r="DX73" s="279"/>
      <c r="DY73" s="279"/>
      <c r="DZ73" s="279"/>
      <c r="EA73" s="279"/>
      <c r="EB73" s="279"/>
      <c r="EC73" s="279"/>
      <c r="ED73" s="279"/>
      <c r="EE73" s="279"/>
      <c r="EF73" s="279"/>
      <c r="EG73" s="279"/>
      <c r="EH73" s="279"/>
      <c r="EI73" s="279"/>
      <c r="EJ73" s="279"/>
      <c r="EK73" s="279"/>
      <c r="EL73" s="279"/>
      <c r="EM73" s="279"/>
      <c r="EN73" s="279"/>
      <c r="EO73" s="279"/>
      <c r="EP73" s="279"/>
      <c r="EQ73" s="279"/>
      <c r="ER73" s="279"/>
      <c r="ES73" s="279"/>
      <c r="ET73" s="279"/>
      <c r="EU73" s="279"/>
      <c r="EV73" s="279"/>
      <c r="EW73" s="279"/>
      <c r="EX73" s="279"/>
      <c r="EY73" s="279"/>
      <c r="EZ73" s="279"/>
      <c r="FA73" s="279"/>
      <c r="FB73" s="279"/>
      <c r="FC73" s="279"/>
      <c r="FD73" s="279"/>
      <c r="FE73" s="279"/>
      <c r="FF73" s="279"/>
      <c r="FG73" s="279"/>
      <c r="FH73" s="279"/>
      <c r="FI73" s="279"/>
      <c r="FJ73" s="279"/>
      <c r="FK73" s="279"/>
      <c r="FL73" s="279"/>
      <c r="FM73" s="279"/>
      <c r="FN73" s="279"/>
      <c r="FO73" s="279"/>
      <c r="FP73" s="279"/>
      <c r="FQ73" s="279"/>
      <c r="FR73" s="279"/>
      <c r="FS73" s="279"/>
      <c r="FT73" s="279"/>
      <c r="FU73" s="279"/>
      <c r="FV73" s="279"/>
      <c r="FW73" s="280"/>
      <c r="GA73" s="971"/>
      <c r="GB73" s="971"/>
      <c r="GC73" s="971"/>
      <c r="GD73" s="971"/>
    </row>
    <row r="74" spans="1:186" s="1167" customFormat="1" ht="21.75" customHeight="1" x14ac:dyDescent="0.15">
      <c r="A74" s="1152"/>
      <c r="B74" s="773"/>
      <c r="C74" s="1108"/>
      <c r="D74" s="1077"/>
      <c r="E74" s="668">
        <v>22.5</v>
      </c>
      <c r="F74" s="769" t="str" cm="1">
        <f t="array" ref="F74">X74</f>
        <v>1</v>
      </c>
      <c r="G74" s="612" t="str" cm="1">
        <f t="array" ref="G74">INDEX('Общие сведения'!$AK$169:$AK$202,MATCH($F74,'Общие сведения'!$Z$169:$Z$202,0))</f>
        <v>одноставочный</v>
      </c>
      <c r="H74" s="417"/>
      <c r="I74" s="417"/>
      <c r="J74" s="1100"/>
      <c r="K74" s="1100"/>
      <c r="L74" s="1100"/>
      <c r="M74" s="1100"/>
      <c r="N74" s="1100"/>
      <c r="O74" s="1100"/>
      <c r="P74" s="1100"/>
      <c r="Q74" s="1082"/>
      <c r="R74" s="160" t="str" cm="1">
        <f t="array" ref="R74">INDEX('Общие сведения'!$AK$169:$AK$202,MATCH($F74,'Общие сведения'!$Z$169:$Z$202,0))</f>
        <v>одноставочный</v>
      </c>
      <c r="S74" s="417"/>
      <c r="T74" s="679" t="b">
        <f>X74&gt;0</f>
        <v>1</v>
      </c>
      <c r="U74" s="1152"/>
      <c r="V74" s="123" t="str" cm="1">
        <f t="array" ref="V74">'ИП источники'!$AB$49</f>
        <v>Тариф 1 (Теплоснабжение) - Тариф на тепловую энергию (мощность), поставляемую потребителям (Не определено)</v>
      </c>
      <c r="W74" s="1152"/>
      <c r="X74" s="1485" t="s">
        <v>339</v>
      </c>
      <c r="Y74" s="1152"/>
      <c r="Z74" s="1485"/>
      <c r="AA74" s="417"/>
      <c r="AB74" s="1613" t="str" cm="1">
        <f t="array" ref="AB74">IF(ISBLANK('ИП источники'!$AB$49),"",'ИП источники'!$AB$49)</f>
        <v>Тариф 1 (Теплоснабжение) - Тариф на тепловую энергию (мощность), поставляемую потребителям (Не определено)</v>
      </c>
      <c r="AC74" s="1614"/>
      <c r="AD74" s="293" t="str">
        <f>"Тариф "&amp;F74</f>
        <v>Тариф 1</v>
      </c>
      <c r="AE74" s="294"/>
      <c r="AF74" s="294"/>
      <c r="AG74" s="294"/>
      <c r="AH74" s="294"/>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4"/>
      <c r="BP74" s="294"/>
      <c r="BQ74" s="294"/>
      <c r="BR74" s="294"/>
      <c r="BS74" s="294"/>
      <c r="BT74" s="294"/>
      <c r="BU74" s="294"/>
      <c r="BV74" s="294"/>
      <c r="BW74" s="294"/>
      <c r="BX74" s="294"/>
      <c r="BY74" s="294"/>
      <c r="BZ74" s="294"/>
      <c r="CA74" s="294"/>
      <c r="CB74" s="294"/>
      <c r="CC74" s="294"/>
      <c r="CD74" s="294"/>
      <c r="CE74" s="294"/>
      <c r="CF74" s="294"/>
      <c r="CG74" s="294"/>
      <c r="CH74" s="294"/>
      <c r="CI74" s="294"/>
      <c r="CJ74" s="294"/>
      <c r="CK74" s="294"/>
      <c r="CL74" s="294"/>
      <c r="CM74" s="294"/>
      <c r="CN74" s="294"/>
      <c r="CO74" s="294"/>
      <c r="CP74" s="294"/>
      <c r="CQ74" s="294"/>
      <c r="CR74" s="294"/>
      <c r="CS74" s="294"/>
      <c r="CT74" s="294"/>
      <c r="CU74" s="294"/>
      <c r="CV74" s="294"/>
      <c r="CW74" s="294"/>
      <c r="CX74" s="294"/>
      <c r="CY74" s="294"/>
      <c r="CZ74" s="294"/>
      <c r="DA74" s="294"/>
      <c r="DB74" s="294"/>
      <c r="DC74" s="294"/>
      <c r="DD74" s="294"/>
      <c r="DE74" s="294"/>
      <c r="DF74" s="294"/>
      <c r="DG74" s="294"/>
      <c r="DH74" s="294"/>
      <c r="DI74" s="294"/>
      <c r="DJ74" s="294"/>
      <c r="DK74" s="294"/>
      <c r="DL74" s="294"/>
      <c r="DM74" s="294"/>
      <c r="DN74" s="294"/>
      <c r="DO74" s="294"/>
      <c r="DP74" s="294"/>
      <c r="DQ74" s="294"/>
      <c r="DR74" s="294"/>
      <c r="DS74" s="294"/>
      <c r="DT74" s="294"/>
      <c r="DU74" s="294"/>
      <c r="DV74" s="294"/>
      <c r="DW74" s="294"/>
      <c r="DX74" s="294"/>
      <c r="DY74" s="294"/>
      <c r="DZ74" s="294"/>
      <c r="EA74" s="294"/>
      <c r="EB74" s="294"/>
      <c r="EC74" s="294"/>
      <c r="ED74" s="294"/>
      <c r="EE74" s="294"/>
      <c r="EF74" s="294"/>
      <c r="EG74" s="294"/>
      <c r="EH74" s="294"/>
      <c r="EI74" s="294"/>
      <c r="EJ74" s="294"/>
      <c r="EK74" s="294"/>
      <c r="EL74" s="294"/>
      <c r="EM74" s="294"/>
      <c r="EN74" s="294"/>
      <c r="EO74" s="294"/>
      <c r="EP74" s="294"/>
      <c r="EQ74" s="294"/>
      <c r="ER74" s="294"/>
      <c r="ES74" s="294"/>
      <c r="ET74" s="294"/>
      <c r="EU74" s="294"/>
      <c r="EV74" s="294"/>
      <c r="EW74" s="294"/>
      <c r="EX74" s="294"/>
      <c r="EY74" s="294"/>
      <c r="EZ74" s="294"/>
      <c r="FA74" s="294"/>
      <c r="FB74" s="294"/>
      <c r="FC74" s="294"/>
      <c r="FD74" s="294"/>
      <c r="FE74" s="294"/>
      <c r="FF74" s="294"/>
      <c r="FG74" s="294"/>
      <c r="FH74" s="294"/>
      <c r="FI74" s="294"/>
      <c r="FJ74" s="294"/>
      <c r="FK74" s="294"/>
      <c r="FL74" s="294"/>
      <c r="FM74" s="294"/>
      <c r="FN74" s="294"/>
      <c r="FO74" s="294"/>
      <c r="FP74" s="294"/>
      <c r="FQ74" s="294"/>
      <c r="FR74" s="294"/>
      <c r="FS74" s="294"/>
      <c r="FT74" s="294"/>
      <c r="FU74" s="294"/>
      <c r="FV74" s="294"/>
      <c r="FW74" s="295"/>
      <c r="FX74" s="417"/>
      <c r="FY74" s="417"/>
      <c r="FZ74" s="1005"/>
      <c r="GA74" s="971"/>
      <c r="GB74" s="971"/>
      <c r="GC74" s="971"/>
      <c r="GD74" s="971"/>
    </row>
    <row r="75" spans="1:186" s="1167" customFormat="1" ht="15" hidden="1" customHeight="1" x14ac:dyDescent="0.15">
      <c r="A75" s="1152"/>
      <c r="B75" s="773"/>
      <c r="C75" s="1108"/>
      <c r="D75" s="1077"/>
      <c r="E75" s="668">
        <v>0</v>
      </c>
      <c r="F75" s="769" t="str" cm="1">
        <f t="array" aca="1" ref="F75" ca="1">OFFSET(G75,-1,-1)</f>
        <v>1</v>
      </c>
      <c r="G75" s="417"/>
      <c r="H75" s="417"/>
      <c r="I75" s="417"/>
      <c r="J75" s="1100"/>
      <c r="K75" s="1100"/>
      <c r="L75" s="1100"/>
      <c r="M75" s="1100"/>
      <c r="N75" s="1100"/>
      <c r="O75" s="1100"/>
      <c r="P75" s="1100"/>
      <c r="Q75" s="1082"/>
      <c r="R75" s="774"/>
      <c r="S75" s="417"/>
      <c r="T75" s="679" t="b">
        <v>0</v>
      </c>
      <c r="U75" s="1152"/>
      <c r="V75" s="1152"/>
      <c r="W75" s="1152"/>
      <c r="X75" s="1485"/>
      <c r="Y75" s="1152"/>
      <c r="Z75" s="1485"/>
      <c r="AA75" s="417"/>
      <c r="AB75" s="1464"/>
      <c r="AC75" s="1466"/>
      <c r="AD75" s="293"/>
      <c r="AE75" s="296"/>
      <c r="AF75" s="296"/>
      <c r="AG75" s="296"/>
      <c r="AH75" s="296"/>
      <c r="AI75" s="296"/>
      <c r="AJ75" s="296"/>
      <c r="AK75" s="296"/>
      <c r="AL75" s="296"/>
      <c r="AM75" s="296"/>
      <c r="AN75" s="296"/>
      <c r="AO75" s="296"/>
      <c r="AP75" s="296"/>
      <c r="AQ75" s="296"/>
      <c r="AR75" s="296"/>
      <c r="AS75" s="296"/>
      <c r="AT75" s="296"/>
      <c r="AU75" s="296"/>
      <c r="AV75" s="296"/>
      <c r="AW75" s="296"/>
      <c r="AX75" s="296"/>
      <c r="AY75" s="296"/>
      <c r="AZ75" s="296"/>
      <c r="BA75" s="296"/>
      <c r="BB75" s="296"/>
      <c r="BC75" s="296"/>
      <c r="BD75" s="296"/>
      <c r="BE75" s="296"/>
      <c r="BF75" s="296"/>
      <c r="BG75" s="296"/>
      <c r="BH75" s="296"/>
      <c r="BI75" s="296"/>
      <c r="BJ75" s="296"/>
      <c r="BK75" s="296"/>
      <c r="BL75" s="296"/>
      <c r="BM75" s="296"/>
      <c r="BN75" s="296"/>
      <c r="BO75" s="296"/>
      <c r="BP75" s="296"/>
      <c r="BQ75" s="296"/>
      <c r="BR75" s="296"/>
      <c r="BS75" s="296"/>
      <c r="BT75" s="296"/>
      <c r="BU75" s="296"/>
      <c r="BV75" s="296"/>
      <c r="BW75" s="296"/>
      <c r="BX75" s="296"/>
      <c r="BY75" s="296"/>
      <c r="BZ75" s="296"/>
      <c r="CA75" s="296"/>
      <c r="CB75" s="296"/>
      <c r="CC75" s="296"/>
      <c r="CD75" s="296"/>
      <c r="CE75" s="296"/>
      <c r="CF75" s="296"/>
      <c r="CG75" s="296"/>
      <c r="CH75" s="296"/>
      <c r="CI75" s="296"/>
      <c r="CJ75" s="296"/>
      <c r="CK75" s="296"/>
      <c r="CL75" s="296"/>
      <c r="CM75" s="296"/>
      <c r="CN75" s="296"/>
      <c r="CO75" s="296"/>
      <c r="CP75" s="296"/>
      <c r="CQ75" s="296"/>
      <c r="CR75" s="296"/>
      <c r="CS75" s="296"/>
      <c r="CT75" s="296"/>
      <c r="CU75" s="296"/>
      <c r="CV75" s="296"/>
      <c r="CW75" s="296"/>
      <c r="CX75" s="296"/>
      <c r="CY75" s="296"/>
      <c r="CZ75" s="296"/>
      <c r="DA75" s="296"/>
      <c r="DB75" s="296"/>
      <c r="DC75" s="296"/>
      <c r="DD75" s="296"/>
      <c r="DE75" s="296"/>
      <c r="DF75" s="296"/>
      <c r="DG75" s="296"/>
      <c r="DH75" s="296"/>
      <c r="DI75" s="296"/>
      <c r="DJ75" s="296"/>
      <c r="DK75" s="296"/>
      <c r="DL75" s="296"/>
      <c r="DM75" s="296"/>
      <c r="DN75" s="296"/>
      <c r="DO75" s="296"/>
      <c r="DP75" s="296"/>
      <c r="DQ75" s="296"/>
      <c r="DR75" s="296"/>
      <c r="DS75" s="296"/>
      <c r="DT75" s="296"/>
      <c r="DU75" s="296"/>
      <c r="DV75" s="296"/>
      <c r="DW75" s="296"/>
      <c r="DX75" s="296"/>
      <c r="DY75" s="296"/>
      <c r="DZ75" s="296"/>
      <c r="EA75" s="296"/>
      <c r="EB75" s="296"/>
      <c r="EC75" s="296"/>
      <c r="ED75" s="296"/>
      <c r="EE75" s="296"/>
      <c r="EF75" s="296"/>
      <c r="EG75" s="296"/>
      <c r="EH75" s="296"/>
      <c r="EI75" s="296"/>
      <c r="EJ75" s="296"/>
      <c r="EK75" s="296"/>
      <c r="EL75" s="296"/>
      <c r="EM75" s="296"/>
      <c r="EN75" s="296"/>
      <c r="EO75" s="296"/>
      <c r="EP75" s="296"/>
      <c r="EQ75" s="296"/>
      <c r="ER75" s="296"/>
      <c r="ES75" s="296"/>
      <c r="ET75" s="296"/>
      <c r="EU75" s="296"/>
      <c r="EV75" s="296"/>
      <c r="EW75" s="296"/>
      <c r="EX75" s="296"/>
      <c r="EY75" s="296"/>
      <c r="EZ75" s="296"/>
      <c r="FA75" s="296"/>
      <c r="FB75" s="296"/>
      <c r="FC75" s="296"/>
      <c r="FD75" s="296"/>
      <c r="FE75" s="296"/>
      <c r="FF75" s="296"/>
      <c r="FG75" s="296"/>
      <c r="FH75" s="296"/>
      <c r="FI75" s="296"/>
      <c r="FJ75" s="296"/>
      <c r="FK75" s="296"/>
      <c r="FL75" s="296"/>
      <c r="FM75" s="296"/>
      <c r="FN75" s="296"/>
      <c r="FO75" s="296"/>
      <c r="FP75" s="296"/>
      <c r="FQ75" s="296"/>
      <c r="FR75" s="296"/>
      <c r="FS75" s="296"/>
      <c r="FT75" s="296"/>
      <c r="FU75" s="296"/>
      <c r="FV75" s="296"/>
      <c r="FW75" s="297"/>
      <c r="FX75" s="417"/>
      <c r="FY75" s="417"/>
      <c r="FZ75" s="1005"/>
      <c r="GA75" s="971"/>
      <c r="GB75" s="971"/>
      <c r="GC75" s="971"/>
      <c r="GD75" s="971"/>
    </row>
    <row r="76" spans="1:186" s="1167" customFormat="1" ht="16.5" customHeight="1" x14ac:dyDescent="0.15">
      <c r="A76" s="1152"/>
      <c r="B76" s="773"/>
      <c r="C76" s="1108"/>
      <c r="D76" s="1077"/>
      <c r="E76" s="668">
        <v>17.100000000000001</v>
      </c>
      <c r="F76" s="769" t="str" cm="1">
        <f t="array" aca="1" ref="F76" ca="1">OFFSET(G76,-1,-1)</f>
        <v>1</v>
      </c>
      <c r="G76" s="417"/>
      <c r="H76" s="417"/>
      <c r="I76" s="417"/>
      <c r="J76" s="1100"/>
      <c r="K76" s="1100"/>
      <c r="L76" s="1100"/>
      <c r="M76" s="1100"/>
      <c r="N76" s="1100"/>
      <c r="O76" s="1100"/>
      <c r="P76" s="1100"/>
      <c r="Q76" s="1082"/>
      <c r="R76" s="774"/>
      <c r="S76" s="417"/>
      <c r="T76" s="679" t="b" cm="1">
        <f t="array" ref="T76">T74</f>
        <v>1</v>
      </c>
      <c r="U76" s="1152"/>
      <c r="V76" s="1152"/>
      <c r="W76" s="1152"/>
      <c r="X76" s="1485"/>
      <c r="Y76" s="1152"/>
      <c r="Z76" s="1485"/>
      <c r="AA76" s="417"/>
      <c r="AB76" s="1464" t="s">
        <v>2109</v>
      </c>
      <c r="AC76" s="1466"/>
      <c r="AD76" s="293" t="str" cm="1">
        <f t="array" aca="1" ref="AD76" ca="1">INDEX('Общие сведения'!$AM$169:$AM$202,MATCH($F76,'Общие сведения'!$Z$169:$Z$202,0))</f>
        <v>Тариф на тепловую энергию (мощность), поставляемую потребителям</v>
      </c>
      <c r="AE76" s="296"/>
      <c r="AF76" s="296"/>
      <c r="AG76" s="296"/>
      <c r="AH76" s="296"/>
      <c r="AI76" s="296"/>
      <c r="AJ76" s="296"/>
      <c r="AK76" s="296"/>
      <c r="AL76" s="296"/>
      <c r="AM76" s="296"/>
      <c r="AN76" s="296"/>
      <c r="AO76" s="296"/>
      <c r="AP76" s="296"/>
      <c r="AQ76" s="296"/>
      <c r="AR76" s="296"/>
      <c r="AS76" s="296"/>
      <c r="AT76" s="296"/>
      <c r="AU76" s="296"/>
      <c r="AV76" s="296"/>
      <c r="AW76" s="296"/>
      <c r="AX76" s="296"/>
      <c r="AY76" s="296"/>
      <c r="AZ76" s="296"/>
      <c r="BA76" s="296"/>
      <c r="BB76" s="296"/>
      <c r="BC76" s="296"/>
      <c r="BD76" s="296"/>
      <c r="BE76" s="296"/>
      <c r="BF76" s="296"/>
      <c r="BG76" s="296"/>
      <c r="BH76" s="296"/>
      <c r="BI76" s="296"/>
      <c r="BJ76" s="296"/>
      <c r="BK76" s="296"/>
      <c r="BL76" s="296"/>
      <c r="BM76" s="296"/>
      <c r="BN76" s="296"/>
      <c r="BO76" s="296"/>
      <c r="BP76" s="296"/>
      <c r="BQ76" s="296"/>
      <c r="BR76" s="296"/>
      <c r="BS76" s="296"/>
      <c r="BT76" s="296"/>
      <c r="BU76" s="296"/>
      <c r="BV76" s="296"/>
      <c r="BW76" s="296"/>
      <c r="BX76" s="296"/>
      <c r="BY76" s="296"/>
      <c r="BZ76" s="296"/>
      <c r="CA76" s="296"/>
      <c r="CB76" s="296"/>
      <c r="CC76" s="296"/>
      <c r="CD76" s="296"/>
      <c r="CE76" s="296"/>
      <c r="CF76" s="296"/>
      <c r="CG76" s="296"/>
      <c r="CH76" s="296"/>
      <c r="CI76" s="296"/>
      <c r="CJ76" s="296"/>
      <c r="CK76" s="296"/>
      <c r="CL76" s="296"/>
      <c r="CM76" s="296"/>
      <c r="CN76" s="296"/>
      <c r="CO76" s="296"/>
      <c r="CP76" s="296"/>
      <c r="CQ76" s="296"/>
      <c r="CR76" s="296"/>
      <c r="CS76" s="296"/>
      <c r="CT76" s="296"/>
      <c r="CU76" s="296"/>
      <c r="CV76" s="296"/>
      <c r="CW76" s="296"/>
      <c r="CX76" s="296"/>
      <c r="CY76" s="296"/>
      <c r="CZ76" s="296"/>
      <c r="DA76" s="296"/>
      <c r="DB76" s="296"/>
      <c r="DC76" s="296"/>
      <c r="DD76" s="296"/>
      <c r="DE76" s="296"/>
      <c r="DF76" s="296"/>
      <c r="DG76" s="296"/>
      <c r="DH76" s="296"/>
      <c r="DI76" s="296"/>
      <c r="DJ76" s="296"/>
      <c r="DK76" s="296"/>
      <c r="DL76" s="296"/>
      <c r="DM76" s="296"/>
      <c r="DN76" s="296"/>
      <c r="DO76" s="296"/>
      <c r="DP76" s="296"/>
      <c r="DQ76" s="296"/>
      <c r="DR76" s="296"/>
      <c r="DS76" s="296"/>
      <c r="DT76" s="296"/>
      <c r="DU76" s="296"/>
      <c r="DV76" s="296"/>
      <c r="DW76" s="296"/>
      <c r="DX76" s="296"/>
      <c r="DY76" s="296"/>
      <c r="DZ76" s="296"/>
      <c r="EA76" s="296"/>
      <c r="EB76" s="296"/>
      <c r="EC76" s="296"/>
      <c r="ED76" s="296"/>
      <c r="EE76" s="296"/>
      <c r="EF76" s="296"/>
      <c r="EG76" s="296"/>
      <c r="EH76" s="296"/>
      <c r="EI76" s="296"/>
      <c r="EJ76" s="296"/>
      <c r="EK76" s="296"/>
      <c r="EL76" s="296"/>
      <c r="EM76" s="296"/>
      <c r="EN76" s="296"/>
      <c r="EO76" s="296"/>
      <c r="EP76" s="296"/>
      <c r="EQ76" s="296"/>
      <c r="ER76" s="296"/>
      <c r="ES76" s="296"/>
      <c r="ET76" s="296"/>
      <c r="EU76" s="296"/>
      <c r="EV76" s="296"/>
      <c r="EW76" s="296"/>
      <c r="EX76" s="296"/>
      <c r="EY76" s="296"/>
      <c r="EZ76" s="296"/>
      <c r="FA76" s="296"/>
      <c r="FB76" s="296"/>
      <c r="FC76" s="296"/>
      <c r="FD76" s="296"/>
      <c r="FE76" s="296"/>
      <c r="FF76" s="296"/>
      <c r="FG76" s="296"/>
      <c r="FH76" s="296"/>
      <c r="FI76" s="296"/>
      <c r="FJ76" s="296"/>
      <c r="FK76" s="296"/>
      <c r="FL76" s="296"/>
      <c r="FM76" s="296"/>
      <c r="FN76" s="296"/>
      <c r="FO76" s="296"/>
      <c r="FP76" s="296"/>
      <c r="FQ76" s="296"/>
      <c r="FR76" s="296"/>
      <c r="FS76" s="296"/>
      <c r="FT76" s="296"/>
      <c r="FU76" s="296"/>
      <c r="FV76" s="296"/>
      <c r="FW76" s="297"/>
      <c r="FX76" s="417"/>
      <c r="FY76" s="417"/>
      <c r="FZ76" s="1005"/>
      <c r="GA76" s="971"/>
      <c r="GB76" s="971"/>
      <c r="GC76" s="971"/>
      <c r="GD76" s="971"/>
    </row>
    <row r="77" spans="1:186" s="1167" customFormat="1" ht="16.5" customHeight="1" x14ac:dyDescent="0.15">
      <c r="A77" s="1152"/>
      <c r="B77" s="773"/>
      <c r="C77" s="1108"/>
      <c r="D77" s="1077"/>
      <c r="E77" s="668">
        <v>17.100000000000001</v>
      </c>
      <c r="F77" s="769" t="str" cm="1">
        <f t="array" aca="1" ref="F77" ca="1">OFFSET(G77,-1,-1)</f>
        <v>1</v>
      </c>
      <c r="G77" s="417"/>
      <c r="H77" s="417"/>
      <c r="I77" s="417"/>
      <c r="J77" s="1100"/>
      <c r="K77" s="1100"/>
      <c r="L77" s="1100"/>
      <c r="M77" s="1100"/>
      <c r="N77" s="1100"/>
      <c r="O77" s="1100"/>
      <c r="P77" s="1100"/>
      <c r="Q77" s="1082"/>
      <c r="R77" s="774"/>
      <c r="S77" s="417"/>
      <c r="T77" s="679" t="b" cm="1">
        <f t="array" ref="T77">T76</f>
        <v>1</v>
      </c>
      <c r="U77" s="1152"/>
      <c r="V77" s="1152"/>
      <c r="W77" s="1152"/>
      <c r="X77" s="1485"/>
      <c r="Y77" s="1152"/>
      <c r="Z77" s="1485"/>
      <c r="AA77" s="417"/>
      <c r="AB77" s="1464" t="s">
        <v>2110</v>
      </c>
      <c r="AC77" s="1466"/>
      <c r="AD77" s="293" t="str" cm="1">
        <f t="array" aca="1" ref="AD77" ca="1">INDEX('Общие сведения'!$AJ$169:$AJ$202,MATCH($F77,'Общие сведения'!$Z$169:$Z$202,0))</f>
        <v>Не определено</v>
      </c>
      <c r="AE77" s="296"/>
      <c r="AF77" s="296"/>
      <c r="AG77" s="296"/>
      <c r="AH77" s="296"/>
      <c r="AI77" s="296"/>
      <c r="AJ77" s="296"/>
      <c r="AK77" s="296"/>
      <c r="AL77" s="296"/>
      <c r="AM77" s="296"/>
      <c r="AN77" s="296"/>
      <c r="AO77" s="296"/>
      <c r="AP77" s="296"/>
      <c r="AQ77" s="296"/>
      <c r="AR77" s="296"/>
      <c r="AS77" s="296"/>
      <c r="AT77" s="296"/>
      <c r="AU77" s="296"/>
      <c r="AV77" s="296"/>
      <c r="AW77" s="296"/>
      <c r="AX77" s="296"/>
      <c r="AY77" s="296"/>
      <c r="AZ77" s="296"/>
      <c r="BA77" s="296"/>
      <c r="BB77" s="296"/>
      <c r="BC77" s="296"/>
      <c r="BD77" s="296"/>
      <c r="BE77" s="296"/>
      <c r="BF77" s="296"/>
      <c r="BG77" s="296"/>
      <c r="BH77" s="296"/>
      <c r="BI77" s="296"/>
      <c r="BJ77" s="296"/>
      <c r="BK77" s="296"/>
      <c r="BL77" s="296"/>
      <c r="BM77" s="296"/>
      <c r="BN77" s="296"/>
      <c r="BO77" s="296"/>
      <c r="BP77" s="296"/>
      <c r="BQ77" s="296"/>
      <c r="BR77" s="296"/>
      <c r="BS77" s="296"/>
      <c r="BT77" s="296"/>
      <c r="BU77" s="296"/>
      <c r="BV77" s="296"/>
      <c r="BW77" s="296"/>
      <c r="BX77" s="296"/>
      <c r="BY77" s="296"/>
      <c r="BZ77" s="296"/>
      <c r="CA77" s="296"/>
      <c r="CB77" s="296"/>
      <c r="CC77" s="296"/>
      <c r="CD77" s="296"/>
      <c r="CE77" s="296"/>
      <c r="CF77" s="296"/>
      <c r="CG77" s="296"/>
      <c r="CH77" s="296"/>
      <c r="CI77" s="296"/>
      <c r="CJ77" s="296"/>
      <c r="CK77" s="296"/>
      <c r="CL77" s="296"/>
      <c r="CM77" s="296"/>
      <c r="CN77" s="296"/>
      <c r="CO77" s="296"/>
      <c r="CP77" s="296"/>
      <c r="CQ77" s="296"/>
      <c r="CR77" s="296"/>
      <c r="CS77" s="296"/>
      <c r="CT77" s="296"/>
      <c r="CU77" s="296"/>
      <c r="CV77" s="296"/>
      <c r="CW77" s="296"/>
      <c r="CX77" s="296"/>
      <c r="CY77" s="296"/>
      <c r="CZ77" s="296"/>
      <c r="DA77" s="296"/>
      <c r="DB77" s="296"/>
      <c r="DC77" s="296"/>
      <c r="DD77" s="296"/>
      <c r="DE77" s="296"/>
      <c r="DF77" s="296"/>
      <c r="DG77" s="296"/>
      <c r="DH77" s="296"/>
      <c r="DI77" s="296"/>
      <c r="DJ77" s="296"/>
      <c r="DK77" s="296"/>
      <c r="DL77" s="296"/>
      <c r="DM77" s="296"/>
      <c r="DN77" s="296"/>
      <c r="DO77" s="296"/>
      <c r="DP77" s="296"/>
      <c r="DQ77" s="296"/>
      <c r="DR77" s="296"/>
      <c r="DS77" s="296"/>
      <c r="DT77" s="296"/>
      <c r="DU77" s="296"/>
      <c r="DV77" s="296"/>
      <c r="DW77" s="296"/>
      <c r="DX77" s="296"/>
      <c r="DY77" s="296"/>
      <c r="DZ77" s="296"/>
      <c r="EA77" s="296"/>
      <c r="EB77" s="296"/>
      <c r="EC77" s="296"/>
      <c r="ED77" s="296"/>
      <c r="EE77" s="296"/>
      <c r="EF77" s="296"/>
      <c r="EG77" s="296"/>
      <c r="EH77" s="296"/>
      <c r="EI77" s="296"/>
      <c r="EJ77" s="296"/>
      <c r="EK77" s="296"/>
      <c r="EL77" s="296"/>
      <c r="EM77" s="296"/>
      <c r="EN77" s="296"/>
      <c r="EO77" s="296"/>
      <c r="EP77" s="296"/>
      <c r="EQ77" s="296"/>
      <c r="ER77" s="296"/>
      <c r="ES77" s="296"/>
      <c r="ET77" s="296"/>
      <c r="EU77" s="296"/>
      <c r="EV77" s="296"/>
      <c r="EW77" s="296"/>
      <c r="EX77" s="296"/>
      <c r="EY77" s="296"/>
      <c r="EZ77" s="296"/>
      <c r="FA77" s="296"/>
      <c r="FB77" s="296"/>
      <c r="FC77" s="296"/>
      <c r="FD77" s="296"/>
      <c r="FE77" s="296"/>
      <c r="FF77" s="296"/>
      <c r="FG77" s="296"/>
      <c r="FH77" s="296"/>
      <c r="FI77" s="296"/>
      <c r="FJ77" s="296"/>
      <c r="FK77" s="296"/>
      <c r="FL77" s="296"/>
      <c r="FM77" s="296"/>
      <c r="FN77" s="296"/>
      <c r="FO77" s="296"/>
      <c r="FP77" s="296"/>
      <c r="FQ77" s="296"/>
      <c r="FR77" s="296"/>
      <c r="FS77" s="296"/>
      <c r="FT77" s="296"/>
      <c r="FU77" s="296"/>
      <c r="FV77" s="296"/>
      <c r="FW77" s="297"/>
      <c r="FX77" s="417"/>
      <c r="FY77" s="417"/>
      <c r="FZ77" s="1005"/>
      <c r="GA77" s="971"/>
      <c r="GB77" s="971"/>
      <c r="GC77" s="971"/>
      <c r="GD77" s="971"/>
    </row>
    <row r="78" spans="1:186" s="1167" customFormat="1" ht="16.5" customHeight="1" x14ac:dyDescent="0.15">
      <c r="A78" s="1152"/>
      <c r="B78" s="803" t="b">
        <f>R74="одноставочный"</f>
        <v>1</v>
      </c>
      <c r="C78" s="1108"/>
      <c r="D78" s="1077"/>
      <c r="E78" s="668">
        <v>17.100000000000001</v>
      </c>
      <c r="F78" s="769" t="str" cm="1">
        <f t="array" aca="1" ref="F78" ca="1">OFFSET(G78,-1,-1)</f>
        <v>1</v>
      </c>
      <c r="G78" s="417"/>
      <c r="H78" s="417"/>
      <c r="I78" s="417"/>
      <c r="J78" s="1100"/>
      <c r="K78" s="1100"/>
      <c r="L78" s="1100"/>
      <c r="M78" s="1100"/>
      <c r="N78" s="1100"/>
      <c r="O78" s="1100"/>
      <c r="P78" s="1100"/>
      <c r="Q78" s="1082"/>
      <c r="R78" s="774"/>
      <c r="S78" s="417"/>
      <c r="T78" s="679" t="b">
        <f ca="1">AND(F78&gt;0,G74="одноставочный")</f>
        <v>1</v>
      </c>
      <c r="U78" s="1152"/>
      <c r="V78" s="1152"/>
      <c r="W78" s="1152"/>
      <c r="X78" s="1485"/>
      <c r="Y78" s="1152"/>
      <c r="Z78" s="1485"/>
      <c r="AA78" s="417"/>
      <c r="AB78" s="298" t="s">
        <v>2111</v>
      </c>
      <c r="AC78" s="299"/>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1"/>
      <c r="BK78" s="300"/>
      <c r="BL78" s="300"/>
      <c r="BM78" s="301"/>
      <c r="BN78" s="300"/>
      <c r="BO78" s="300"/>
      <c r="BP78" s="301"/>
      <c r="BQ78" s="300"/>
      <c r="BR78" s="300"/>
      <c r="BS78" s="301"/>
      <c r="BT78" s="300"/>
      <c r="BU78" s="300"/>
      <c r="BV78" s="301"/>
      <c r="BW78" s="300"/>
      <c r="BX78" s="300"/>
      <c r="BY78" s="301"/>
      <c r="BZ78" s="300"/>
      <c r="CA78" s="300"/>
      <c r="CB78" s="301"/>
      <c r="CC78" s="300"/>
      <c r="CD78" s="300"/>
      <c r="CE78" s="301"/>
      <c r="CF78" s="300"/>
      <c r="CG78" s="300"/>
      <c r="CH78" s="301"/>
      <c r="CI78" s="300"/>
      <c r="CJ78" s="300"/>
      <c r="CK78" s="301"/>
      <c r="CL78" s="300"/>
      <c r="CM78" s="300"/>
      <c r="CN78" s="301"/>
      <c r="CO78" s="300"/>
      <c r="CP78" s="300"/>
      <c r="CQ78" s="301"/>
      <c r="CR78" s="300"/>
      <c r="CS78" s="300"/>
      <c r="CT78" s="301"/>
      <c r="CU78" s="300"/>
      <c r="CV78" s="300"/>
      <c r="CW78" s="301"/>
      <c r="CX78" s="300"/>
      <c r="CY78" s="300"/>
      <c r="CZ78" s="301"/>
      <c r="DA78" s="300"/>
      <c r="DB78" s="300"/>
      <c r="DC78" s="301"/>
      <c r="DD78" s="300"/>
      <c r="DE78" s="300"/>
      <c r="DF78" s="301"/>
      <c r="DG78" s="300"/>
      <c r="DH78" s="300"/>
      <c r="DI78" s="301"/>
      <c r="DJ78" s="300"/>
      <c r="DK78" s="300"/>
      <c r="DL78" s="301"/>
      <c r="DM78" s="300"/>
      <c r="DN78" s="300"/>
      <c r="DO78" s="301"/>
      <c r="DP78" s="300"/>
      <c r="DQ78" s="300"/>
      <c r="DR78" s="301"/>
      <c r="DS78" s="300"/>
      <c r="DT78" s="300"/>
      <c r="DU78" s="301"/>
      <c r="DV78" s="300"/>
      <c r="DW78" s="300"/>
      <c r="DX78" s="301"/>
      <c r="DY78" s="300"/>
      <c r="DZ78" s="300"/>
      <c r="EA78" s="301"/>
      <c r="EB78" s="300"/>
      <c r="EC78" s="300"/>
      <c r="ED78" s="301"/>
      <c r="EE78" s="300"/>
      <c r="EF78" s="300"/>
      <c r="EG78" s="301"/>
      <c r="EH78" s="300"/>
      <c r="EI78" s="300"/>
      <c r="EJ78" s="301"/>
      <c r="EK78" s="300"/>
      <c r="EL78" s="300"/>
      <c r="EM78" s="301"/>
      <c r="EN78" s="300"/>
      <c r="EO78" s="300"/>
      <c r="EP78" s="301"/>
      <c r="EQ78" s="300"/>
      <c r="ER78" s="300"/>
      <c r="ES78" s="301"/>
      <c r="ET78" s="300"/>
      <c r="EU78" s="300"/>
      <c r="EV78" s="301"/>
      <c r="EW78" s="300"/>
      <c r="EX78" s="300"/>
      <c r="EY78" s="301"/>
      <c r="EZ78" s="300"/>
      <c r="FA78" s="300"/>
      <c r="FB78" s="301"/>
      <c r="FC78" s="300"/>
      <c r="FD78" s="300"/>
      <c r="FE78" s="301"/>
      <c r="FF78" s="300"/>
      <c r="FG78" s="300"/>
      <c r="FH78" s="301"/>
      <c r="FI78" s="300"/>
      <c r="FJ78" s="300"/>
      <c r="FK78" s="301"/>
      <c r="FL78" s="300"/>
      <c r="FM78" s="300"/>
      <c r="FN78" s="301"/>
      <c r="FO78" s="300"/>
      <c r="FP78" s="300"/>
      <c r="FQ78" s="301"/>
      <c r="FR78" s="300"/>
      <c r="FS78" s="300"/>
      <c r="FT78" s="301"/>
      <c r="FU78" s="300"/>
      <c r="FV78" s="300"/>
      <c r="FW78" s="301"/>
      <c r="FX78" s="417"/>
      <c r="FY78" s="417"/>
      <c r="FZ78" s="1005"/>
      <c r="GA78" s="971"/>
      <c r="GB78" s="971"/>
      <c r="GC78" s="971"/>
      <c r="GD78" s="971"/>
    </row>
    <row r="79" spans="1:186" s="1352" customFormat="1" ht="16.5" customHeight="1" x14ac:dyDescent="0.15">
      <c r="A79" s="302"/>
      <c r="B79" s="803" t="b" cm="1">
        <f t="array" ref="B79">B78</f>
        <v>1</v>
      </c>
      <c r="C79" s="1108" t="s">
        <v>2112</v>
      </c>
      <c r="D79" s="1077" t="s">
        <v>2113</v>
      </c>
      <c r="E79" s="668">
        <v>17.100000000000001</v>
      </c>
      <c r="F79" s="769" t="str" cm="1">
        <f t="array" aca="1" ref="F79" ca="1">OFFSET(G79,-1,-1)</f>
        <v>1</v>
      </c>
      <c r="G79" s="612" t="s">
        <v>1755</v>
      </c>
      <c r="H79" s="160" t="s">
        <v>524</v>
      </c>
      <c r="I79" s="160" t="s">
        <v>2114</v>
      </c>
      <c r="J79" s="1098" t="s">
        <v>2115</v>
      </c>
      <c r="K79" s="1098" t="str" cm="1">
        <f t="array" aca="1" ref="K79" ca="1">INDEX('Общие сведения'!$N$169:$N$202,MATCH($F79,'Общие сведения'!$Z$169:$Z$202,0)+1)</f>
        <v>ТЭ.42.27968109.0001</v>
      </c>
      <c r="L79" s="1098" t="s">
        <v>2116</v>
      </c>
      <c r="M79" s="1098" t="s">
        <v>1750</v>
      </c>
      <c r="N79" s="1098" t="s">
        <v>2117</v>
      </c>
      <c r="O79" s="1099" t="s">
        <v>2118</v>
      </c>
      <c r="P79" s="1098"/>
      <c r="Q79" s="1098"/>
      <c r="R79" s="302"/>
      <c r="S79" s="302"/>
      <c r="T79" s="679" t="b" cm="1">
        <f t="array" aca="1" ref="T79" ca="1">T78</f>
        <v>1</v>
      </c>
      <c r="U79" s="302"/>
      <c r="V79" s="302"/>
      <c r="W79" s="302"/>
      <c r="X79" s="1612"/>
      <c r="Y79" s="302"/>
      <c r="Z79" s="1612"/>
      <c r="AA79" s="302"/>
      <c r="AB79" s="1130" t="s">
        <v>2119</v>
      </c>
      <c r="AC79" s="303" t="s">
        <v>920</v>
      </c>
      <c r="AD79" s="1353">
        <f ca="1">IF(method_reg="Метод экономически обоснованных расходов",SUMIFS('Калькуляция (4.6)'!AJ$25:AJ$162,'Калькуляция (4.6)'!$F$25:$F$162,$F79,'Калькуляция (4.6)'!$G$25:$G$162,$G79),IF(method_reg="Метод сравнения аналогов",SUMIFS(INDEX('Калькуляция (МСА)'!$AE$25:$BC$82,,MATCH(AD$8,'Калькуляция (МСА)'!$AE$8:$BC$8,0)),'Калькуляция (МСА)'!$F$25:$F$82,$F79,'Калькуляция (МСА)'!$G$25:$G$82,$G79),SUMIFS(INDEX('Калькуляция (5.9)'!$AJ$25:$BC$137,,MATCH(AD$8,'Калькуляция (5.9)'!$AJ$8:$BC$8,0)),'Калькуляция (5.9)'!$F$25:$F$137,$F79,'Калькуляция (5.9)'!$G$25:$G$137,$G79)))</f>
        <v>4765.16</v>
      </c>
      <c r="AE79" s="1353">
        <f ca="1">IF(method_reg="Метод экономически обоснованных расходов",SUMIFS('Калькуляция (4.6)'!AK$25:AK$162,'Калькуляция (4.6)'!$F$25:$F$162,$F79,'Калькуляция (4.6)'!$G$25:$G$162,$G79),IF(method_reg="Метод сравнения аналогов",SUMIFS(INDEX('Калькуляция (МСА)'!$AE$25:$BC$82,,MATCH(AE$8,'Калькуляция (МСА)'!$AE$8:$BC$8,0)),'Калькуляция (МСА)'!$F$25:$F$82,$F79,'Калькуляция (МСА)'!$G$25:$G$82,$G79),SUMIFS(INDEX('Калькуляция (5.9)'!$AJ$25:$BC$137,,MATCH(AE$8,'Калькуляция (5.9)'!$AJ$8:$BC$8,0)),'Калькуляция (5.9)'!$F$25:$F$137,$F79,'Калькуляция (5.9)'!$G$25:$G$137,$G79)))</f>
        <v>4765.16</v>
      </c>
      <c r="AF79" s="304">
        <f ca="1">IF(AD79=0,0,(AE79-AD79)/AD79*100)</f>
        <v>0</v>
      </c>
      <c r="AG79" s="1349">
        <f ca="1">IF(method_reg="Метод сравнения аналогов",SUMIFS(INDEX('Калькуляция (МСА)'!$AE$25:$BC$82,,MATCH(AG$8,'Калькуляция (МСА)'!$AE$8:$BC$8,0)),'Калькуляция (МСА)'!$F$25:$F$82,$F79,'Калькуляция (МСА)'!$G$25:$G$82,$G79),SUMIFS(INDEX('Калькуляция (5.9)'!$AJ$25:$BC$137,,MATCH(AG$8,'Калькуляция (5.9)'!$AJ$8:$BC$8,0)),'Калькуляция (5.9)'!$F$25:$F$137,$F79,'Калькуляция (5.9)'!$G$25:$G$137,$G79))</f>
        <v>0</v>
      </c>
      <c r="AH79" s="1349">
        <f ca="1">IF(method_reg="Метод сравнения аналогов",SUMIFS(INDEX('Калькуляция (МСА)'!$AE$25:$BC$82,,MATCH(AH$8,'Калькуляция (МСА)'!$AE$8:$BC$8,0)),'Калькуляция (МСА)'!$F$25:$F$82,$F79,'Калькуляция (МСА)'!$G$25:$G$82,$G79),SUMIFS(INDEX('Калькуляция (5.9)'!$AJ$25:$BC$137,,MATCH(AH$8,'Калькуляция (5.9)'!$AJ$8:$BC$8,0)),'Калькуляция (5.9)'!$F$25:$F$137,$F79,'Калькуляция (5.9)'!$G$25:$G$137,$G79))</f>
        <v>0</v>
      </c>
      <c r="AI79" s="304">
        <f ca="1">IF(AG79=0,0,(AH79-AG79)/AG79*100)</f>
        <v>0</v>
      </c>
      <c r="AJ79" s="1349">
        <f ca="1">IF(method_reg="Метод сравнения аналогов",SUMIFS(INDEX('Калькуляция (МСА)'!$AE$25:$BC$82,,MATCH(AJ$8,'Калькуляция (МСА)'!$AE$8:$BC$8,0)),'Калькуляция (МСА)'!$F$25:$F$82,$F79,'Калькуляция (МСА)'!$G$25:$G$82,$G79),SUMIFS(INDEX('Калькуляция (5.9)'!$AJ$25:$BC$137,,MATCH(AJ$8,'Калькуляция (5.9)'!$AJ$8:$BC$8,0)),'Калькуляция (5.9)'!$F$25:$F$137,$F79,'Калькуляция (5.9)'!$G$25:$G$137,$G79))</f>
        <v>0</v>
      </c>
      <c r="AK79" s="1349">
        <f ca="1">IF(method_reg="Метод сравнения аналогов",SUMIFS(INDEX('Калькуляция (МСА)'!$AE$25:$BC$82,,MATCH(AK$8,'Калькуляция (МСА)'!$AE$8:$BC$8,0)),'Калькуляция (МСА)'!$F$25:$F$82,$F79,'Калькуляция (МСА)'!$G$25:$G$82,$G79),SUMIFS(INDEX('Калькуляция (5.9)'!$AJ$25:$BC$137,,MATCH(AK$8,'Калькуляция (5.9)'!$AJ$8:$BC$8,0)),'Калькуляция (5.9)'!$F$25:$F$137,$F79,'Калькуляция (5.9)'!$G$25:$G$137,$G79))</f>
        <v>0</v>
      </c>
      <c r="AL79" s="304">
        <f ca="1">IF(AJ79=0,0,(AK79-AJ79)/AJ79*100)</f>
        <v>0</v>
      </c>
      <c r="AM79" s="1353">
        <f ca="1">IF(method_reg="Метод сравнения аналогов",SUMIFS(INDEX('Калькуляция (МСА)'!$AE$25:$BC$82,,MATCH(AM$8,'Калькуляция (МСА)'!$AE$8:$BC$8,0)),'Калькуляция (МСА)'!$F$25:$F$82,$F79,'Калькуляция (МСА)'!$G$25:$G$82,$G79),SUMIFS(INDEX('Калькуляция (5.9)'!$AJ$25:$BC$137,,MATCH(AM$8,'Калькуляция (5.9)'!$AJ$8:$BC$8,0)),'Калькуляция (5.9)'!$F$25:$F$137,$F79,'Калькуляция (5.9)'!$G$25:$G$137,$G79))</f>
        <v>0</v>
      </c>
      <c r="AN79" s="1353">
        <f ca="1">IF(method_reg="Метод сравнения аналогов",SUMIFS(INDEX('Калькуляция (МСА)'!$AE$25:$BC$82,,MATCH(AN$8,'Калькуляция (МСА)'!$AE$8:$BC$8,0)),'Калькуляция (МСА)'!$F$25:$F$82,$F79,'Калькуляция (МСА)'!$G$25:$G$82,$G79),SUMIFS(INDEX('Калькуляция (5.9)'!$AJ$25:$BC$137,,MATCH(AN$8,'Калькуляция (5.9)'!$AJ$8:$BC$8,0)),'Калькуляция (5.9)'!$F$25:$F$137,$F79,'Калькуляция (5.9)'!$G$25:$G$137,$G79))</f>
        <v>0</v>
      </c>
      <c r="AO79" s="304">
        <f ca="1">IF(AM79=0,0,(AN79-AM79)/AM79*100)</f>
        <v>0</v>
      </c>
      <c r="AP79" s="1353">
        <f ca="1">IF(method_reg="Метод сравнения аналогов",SUMIFS(INDEX('Калькуляция (МСА)'!$AE$25:$BC$82,,MATCH(AP$8,'Калькуляция (МСА)'!$AE$8:$BC$8,0)),'Калькуляция (МСА)'!$F$25:$F$82,$F79,'Калькуляция (МСА)'!$G$25:$G$82,$G79),SUMIFS(INDEX('Калькуляция (5.9)'!$AJ$25:$BC$137,,MATCH(AP$8,'Калькуляция (5.9)'!$AJ$8:$BC$8,0)),'Калькуляция (5.9)'!$F$25:$F$137,$F79,'Калькуляция (5.9)'!$G$25:$G$137,$G79))</f>
        <v>0</v>
      </c>
      <c r="AQ79" s="1353">
        <f ca="1">IF(method_reg="Метод сравнения аналогов",SUMIFS(INDEX('Калькуляция (МСА)'!$AE$25:$BC$82,,MATCH(AQ$8,'Калькуляция (МСА)'!$AE$8:$BC$8,0)),'Калькуляция (МСА)'!$F$25:$F$82,$F79,'Калькуляция (МСА)'!$G$25:$G$82,$G79),SUMIFS(INDEX('Калькуляция (5.9)'!$AJ$25:$BC$137,,MATCH(AQ$8,'Калькуляция (5.9)'!$AJ$8:$BC$8,0)),'Калькуляция (5.9)'!$F$25:$F$137,$F79,'Калькуляция (5.9)'!$G$25:$G$137,$G79))</f>
        <v>0</v>
      </c>
      <c r="AR79" s="304">
        <f ca="1">IF(AP79=0,0,(AQ79-AP79)/AP79*100)</f>
        <v>0</v>
      </c>
      <c r="AS79" s="1353">
        <f ca="1">IF(method_reg="Метод сравнения аналогов",SUMIFS(INDEX('Калькуляция (МСА)'!$AE$25:$BC$82,,MATCH(AS$8,'Калькуляция (МСА)'!$AE$8:$BC$8,0)),'Калькуляция (МСА)'!$F$25:$F$82,$F79,'Калькуляция (МСА)'!$G$25:$G$82,$G79),SUMIFS(INDEX('Калькуляция (5.9)'!$AJ$25:$BC$137,,MATCH(AS$8,'Калькуляция (5.9)'!$AJ$8:$BC$8,0)),'Калькуляция (5.9)'!$F$25:$F$137,$F79,'Калькуляция (5.9)'!$G$25:$G$137,$G79))</f>
        <v>0</v>
      </c>
      <c r="AT79" s="1353">
        <f ca="1">IF(method_reg="Метод сравнения аналогов",SUMIFS(INDEX('Калькуляция (МСА)'!$AE$25:$BC$82,,MATCH(AT$8,'Калькуляция (МСА)'!$AE$8:$BC$8,0)),'Калькуляция (МСА)'!$F$25:$F$82,$F79,'Калькуляция (МСА)'!$G$25:$G$82,$G79),SUMIFS(INDEX('Калькуляция (5.9)'!$AJ$25:$BC$137,,MATCH(AT$8,'Калькуляция (5.9)'!$AJ$8:$BC$8,0)),'Калькуляция (5.9)'!$F$25:$F$137,$F79,'Калькуляция (5.9)'!$G$25:$G$137,$G79))</f>
        <v>0</v>
      </c>
      <c r="AU79" s="304">
        <f ca="1">IF(AS79=0,0,(AT79-AS79)/AS79*100)</f>
        <v>0</v>
      </c>
      <c r="AV79" s="1353">
        <f ca="1">IF(method_reg="Метод сравнения аналогов",SUMIFS(INDEX('Калькуляция (МСА)'!$AE$25:$BC$82,,MATCH(AV$8,'Калькуляция (МСА)'!$AE$8:$BC$8,0)),'Калькуляция (МСА)'!$F$25:$F$82,$F79,'Калькуляция (МСА)'!$G$25:$G$82,$G79),SUMIFS(INDEX('Калькуляция (5.9)'!$AJ$25:$BC$137,,MATCH(AV$8,'Калькуляция (5.9)'!$AJ$8:$BC$8,0)),'Калькуляция (5.9)'!$F$25:$F$137,$F79,'Калькуляция (5.9)'!$G$25:$G$137,$G79))</f>
        <v>0</v>
      </c>
      <c r="AW79" s="1353">
        <f ca="1">IF(method_reg="Метод сравнения аналогов",SUMIFS(INDEX('Калькуляция (МСА)'!$AE$25:$BC$82,,MATCH(AW$8,'Калькуляция (МСА)'!$AE$8:$BC$8,0)),'Калькуляция (МСА)'!$F$25:$F$82,$F79,'Калькуляция (МСА)'!$G$25:$G$82,$G79),SUMIFS(INDEX('Калькуляция (5.9)'!$AJ$25:$BC$137,,MATCH(AW$8,'Калькуляция (5.9)'!$AJ$8:$BC$8,0)),'Калькуляция (5.9)'!$F$25:$F$137,$F79,'Калькуляция (5.9)'!$G$25:$G$137,$G79))</f>
        <v>0</v>
      </c>
      <c r="AX79" s="304">
        <f ca="1">IF(AV79=0,0,(AW79-AV79)/AV79*100)</f>
        <v>0</v>
      </c>
      <c r="AY79" s="1353">
        <f ca="1">IF(method_reg="Метод сравнения аналогов",SUMIFS(INDEX('Калькуляция (МСА)'!$AE$25:$BC$82,,MATCH(AY$8,'Калькуляция (МСА)'!$AE$8:$BC$8,0)),'Калькуляция (МСА)'!$F$25:$F$82,$F79,'Калькуляция (МСА)'!$G$25:$G$82,$G79),SUMIFS(INDEX('Калькуляция (5.9)'!$AJ$25:$BC$137,,MATCH(AY$8,'Калькуляция (5.9)'!$AJ$8:$BC$8,0)),'Калькуляция (5.9)'!$F$25:$F$137,$F79,'Калькуляция (5.9)'!$G$25:$G$137,$G79))</f>
        <v>0</v>
      </c>
      <c r="AZ79" s="1353">
        <f ca="1">IF(method_reg="Метод сравнения аналогов",SUMIFS(INDEX('Калькуляция (МСА)'!$AE$25:$BC$82,,MATCH(AZ$8,'Калькуляция (МСА)'!$AE$8:$BC$8,0)),'Калькуляция (МСА)'!$F$25:$F$82,$F79,'Калькуляция (МСА)'!$G$25:$G$82,$G79),SUMIFS(INDEX('Калькуляция (5.9)'!$AJ$25:$BC$137,,MATCH(AZ$8,'Калькуляция (5.9)'!$AJ$8:$BC$8,0)),'Калькуляция (5.9)'!$F$25:$F$137,$F79,'Калькуляция (5.9)'!$G$25:$G$137,$G79))</f>
        <v>0</v>
      </c>
      <c r="BA79" s="304">
        <f ca="1">IF(AY79=0,0,(AZ79-AY79)/AY79*100)</f>
        <v>0</v>
      </c>
      <c r="BB79" s="1353">
        <f ca="1">IF(method_reg="Метод сравнения аналогов",SUMIFS(INDEX('Калькуляция (МСА)'!$AE$25:$BC$82,,MATCH(BB$8,'Калькуляция (МСА)'!$AE$8:$BC$8,0)),'Калькуляция (МСА)'!$F$25:$F$82,$F79,'Калькуляция (МСА)'!$G$25:$G$82,$G79),SUMIFS(INDEX('Калькуляция (5.9)'!$AJ$25:$BC$137,,MATCH(BB$8,'Калькуляция (5.9)'!$AJ$8:$BC$8,0)),'Калькуляция (5.9)'!$F$25:$F$137,$F79,'Калькуляция (5.9)'!$G$25:$G$137,$G79))</f>
        <v>0</v>
      </c>
      <c r="BC79" s="1353">
        <f ca="1">IF(method_reg="Метод сравнения аналогов",SUMIFS(INDEX('Калькуляция (МСА)'!$AE$25:$BC$82,,MATCH(BC$8,'Калькуляция (МСА)'!$AE$8:$BC$8,0)),'Калькуляция (МСА)'!$F$25:$F$82,$F79,'Калькуляция (МСА)'!$G$25:$G$82,$G79),SUMIFS(INDEX('Калькуляция (5.9)'!$AJ$25:$BC$137,,MATCH(BC$8,'Калькуляция (5.9)'!$AJ$8:$BC$8,0)),'Калькуляция (5.9)'!$F$25:$F$137,$F79,'Калькуляция (5.9)'!$G$25:$G$137,$G79))</f>
        <v>0</v>
      </c>
      <c r="BD79" s="304">
        <f ca="1">IF(BB79=0,0,(BC79-BB79)/BB79*100)</f>
        <v>0</v>
      </c>
      <c r="BE79" s="1353">
        <f ca="1">IF(method_reg="Метод сравнения аналогов",SUMIFS(INDEX('Калькуляция (МСА)'!$AE$25:$BC$82,,MATCH(BE$8,'Калькуляция (МСА)'!$AE$8:$BC$8,0)),'Калькуляция (МСА)'!$F$25:$F$82,$F79,'Калькуляция (МСА)'!$G$25:$G$82,$G79),SUMIFS(INDEX('Калькуляция (5.9)'!$AJ$25:$BC$137,,MATCH(BE$8,'Калькуляция (5.9)'!$AJ$8:$BC$8,0)),'Калькуляция (5.9)'!$F$25:$F$137,$F79,'Калькуляция (5.9)'!$G$25:$G$137,$G79))</f>
        <v>0</v>
      </c>
      <c r="BF79" s="1353">
        <f ca="1">IF(method_reg="Метод сравнения аналогов",SUMIFS(INDEX('Калькуляция (МСА)'!$AE$25:$BC$82,,MATCH(BF$8,'Калькуляция (МСА)'!$AE$8:$BC$8,0)),'Калькуляция (МСА)'!$F$25:$F$82,$F79,'Калькуляция (МСА)'!$G$25:$G$82,$G79),SUMIFS(INDEX('Калькуляция (5.9)'!$AJ$25:$BC$137,,MATCH(BF$8,'Калькуляция (5.9)'!$AJ$8:$BC$8,0)),'Калькуляция (5.9)'!$F$25:$F$137,$F79,'Калькуляция (5.9)'!$G$25:$G$137,$G79))</f>
        <v>0</v>
      </c>
      <c r="BG79" s="304">
        <f ca="1">IF(BE79=0,0,(BF79-BE79)/BE79*100)</f>
        <v>0</v>
      </c>
      <c r="BH79" s="1353"/>
      <c r="BI79" s="1353"/>
      <c r="BJ79" s="304">
        <f>IF(BH79=0,0,(BI79-BH79)/BH79*100)</f>
        <v>0</v>
      </c>
      <c r="BK79" s="1353"/>
      <c r="BL79" s="1353"/>
      <c r="BM79" s="304">
        <f>IF(BK79=0,0,(BL79-BK79)/BK79*100)</f>
        <v>0</v>
      </c>
      <c r="BN79" s="1353"/>
      <c r="BO79" s="1353"/>
      <c r="BP79" s="304">
        <f>IF(BN79=0,0,(BO79-BN79)/BN79*100)</f>
        <v>0</v>
      </c>
      <c r="BQ79" s="1353"/>
      <c r="BR79" s="1353"/>
      <c r="BS79" s="304">
        <f>IF(BQ79=0,0,(BR79-BQ79)/BQ79*100)</f>
        <v>0</v>
      </c>
      <c r="BT79" s="1353"/>
      <c r="BU79" s="1353"/>
      <c r="BV79" s="304">
        <f>IF(BT79=0,0,(BU79-BT79)/BT79*100)</f>
        <v>0</v>
      </c>
      <c r="BW79" s="1353"/>
      <c r="BX79" s="1353"/>
      <c r="BY79" s="304">
        <f>IF(BW79=0,0,(BX79-BW79)/BW79*100)</f>
        <v>0</v>
      </c>
      <c r="BZ79" s="1353"/>
      <c r="CA79" s="1353"/>
      <c r="CB79" s="304">
        <f>IF(BZ79=0,0,(CA79-BZ79)/BZ79*100)</f>
        <v>0</v>
      </c>
      <c r="CC79" s="1353"/>
      <c r="CD79" s="1353"/>
      <c r="CE79" s="304">
        <f>IF(CC79=0,0,(CD79-CC79)/CC79*100)</f>
        <v>0</v>
      </c>
      <c r="CF79" s="1353"/>
      <c r="CG79" s="1353"/>
      <c r="CH79" s="304">
        <f>IF(CF79=0,0,(CG79-CF79)/CF79*100)</f>
        <v>0</v>
      </c>
      <c r="CI79" s="1353"/>
      <c r="CJ79" s="1353"/>
      <c r="CK79" s="304">
        <f>IF(CI79=0,0,(CJ79-CI79)/CI79*100)</f>
        <v>0</v>
      </c>
      <c r="CL79" s="1353"/>
      <c r="CM79" s="1353"/>
      <c r="CN79" s="304">
        <f>IF(CL79=0,0,(CM79-CL79)/CL79*100)</f>
        <v>0</v>
      </c>
      <c r="CO79" s="1353"/>
      <c r="CP79" s="1353"/>
      <c r="CQ79" s="304">
        <f>IF(CO79=0,0,(CP79-CO79)/CO79*100)</f>
        <v>0</v>
      </c>
      <c r="CR79" s="1353"/>
      <c r="CS79" s="1353"/>
      <c r="CT79" s="304">
        <f>IF(CR79=0,0,(CS79-CR79)/CR79*100)</f>
        <v>0</v>
      </c>
      <c r="CU79" s="1353"/>
      <c r="CV79" s="1353"/>
      <c r="CW79" s="304">
        <f>IF(CU79=0,0,(CV79-CU79)/CU79*100)</f>
        <v>0</v>
      </c>
      <c r="CX79" s="1353"/>
      <c r="CY79" s="1353"/>
      <c r="CZ79" s="304">
        <f>IF(CX79=0,0,(CY79-CX79)/CX79*100)</f>
        <v>0</v>
      </c>
      <c r="DA79" s="1353"/>
      <c r="DB79" s="1353"/>
      <c r="DC79" s="304">
        <f>IF(DA79=0,0,(DB79-DA79)/DA79*100)</f>
        <v>0</v>
      </c>
      <c r="DD79" s="1353"/>
      <c r="DE79" s="1353"/>
      <c r="DF79" s="304">
        <f>IF(DD79=0,0,(DE79-DD79)/DD79*100)</f>
        <v>0</v>
      </c>
      <c r="DG79" s="1353"/>
      <c r="DH79" s="1353"/>
      <c r="DI79" s="304">
        <f>IF(DG79=0,0,(DH79-DG79)/DG79*100)</f>
        <v>0</v>
      </c>
      <c r="DJ79" s="1353"/>
      <c r="DK79" s="1353"/>
      <c r="DL79" s="304">
        <f>IF(DJ79=0,0,(DK79-DJ79)/DJ79*100)</f>
        <v>0</v>
      </c>
      <c r="DM79" s="1353"/>
      <c r="DN79" s="1353"/>
      <c r="DO79" s="304">
        <f>IF(DM79=0,0,(DN79-DM79)/DM79*100)</f>
        <v>0</v>
      </c>
      <c r="DP79" s="1353"/>
      <c r="DQ79" s="1353"/>
      <c r="DR79" s="304">
        <f>IF(DP79=0,0,(DQ79-DP79)/DP79*100)</f>
        <v>0</v>
      </c>
      <c r="DS79" s="1353"/>
      <c r="DT79" s="1353"/>
      <c r="DU79" s="304">
        <f>IF(DS79=0,0,(DT79-DS79)/DS79*100)</f>
        <v>0</v>
      </c>
      <c r="DV79" s="1353"/>
      <c r="DW79" s="1353"/>
      <c r="DX79" s="304">
        <f>IF(DV79=0,0,(DW79-DV79)/DV79*100)</f>
        <v>0</v>
      </c>
      <c r="DY79" s="1353"/>
      <c r="DZ79" s="1353"/>
      <c r="EA79" s="304">
        <f>IF(DY79=0,0,(DZ79-DY79)/DY79*100)</f>
        <v>0</v>
      </c>
      <c r="EB79" s="1353"/>
      <c r="EC79" s="1353"/>
      <c r="ED79" s="304">
        <f>IF(EB79=0,0,(EC79-EB79)/EB79*100)</f>
        <v>0</v>
      </c>
      <c r="EE79" s="1353"/>
      <c r="EF79" s="1353"/>
      <c r="EG79" s="304">
        <f>IF(EE79=0,0,(EF79-EE79)/EE79*100)</f>
        <v>0</v>
      </c>
      <c r="EH79" s="1353"/>
      <c r="EI79" s="1353"/>
      <c r="EJ79" s="304">
        <f>IF(EH79=0,0,(EI79-EH79)/EH79*100)</f>
        <v>0</v>
      </c>
      <c r="EK79" s="1353"/>
      <c r="EL79" s="1353"/>
      <c r="EM79" s="304">
        <f>IF(EK79=0,0,(EL79-EK79)/EK79*100)</f>
        <v>0</v>
      </c>
      <c r="EN79" s="1353"/>
      <c r="EO79" s="1353"/>
      <c r="EP79" s="304">
        <f>IF(EN79=0,0,(EO79-EN79)/EN79*100)</f>
        <v>0</v>
      </c>
      <c r="EQ79" s="1353"/>
      <c r="ER79" s="1353"/>
      <c r="ES79" s="304">
        <f>IF(EQ79=0,0,(ER79-EQ79)/EQ79*100)</f>
        <v>0</v>
      </c>
      <c r="ET79" s="1353"/>
      <c r="EU79" s="1353"/>
      <c r="EV79" s="304">
        <f>IF(ET79=0,0,(EU79-ET79)/ET79*100)</f>
        <v>0</v>
      </c>
      <c r="EW79" s="1353"/>
      <c r="EX79" s="1353"/>
      <c r="EY79" s="304">
        <f>IF(EW79=0,0,(EX79-EW79)/EW79*100)</f>
        <v>0</v>
      </c>
      <c r="EZ79" s="1353"/>
      <c r="FA79" s="1353"/>
      <c r="FB79" s="304">
        <f>IF(EZ79=0,0,(FA79-EZ79)/EZ79*100)</f>
        <v>0</v>
      </c>
      <c r="FC79" s="1353"/>
      <c r="FD79" s="1353"/>
      <c r="FE79" s="304">
        <f>IF(FC79=0,0,(FD79-FC79)/FC79*100)</f>
        <v>0</v>
      </c>
      <c r="FF79" s="1353"/>
      <c r="FG79" s="1353"/>
      <c r="FH79" s="304">
        <f>IF(FF79=0,0,(FG79-FF79)/FF79*100)</f>
        <v>0</v>
      </c>
      <c r="FI79" s="1353"/>
      <c r="FJ79" s="1353"/>
      <c r="FK79" s="304">
        <f>IF(FI79=0,0,(FJ79-FI79)/FI79*100)</f>
        <v>0</v>
      </c>
      <c r="FL79" s="1353"/>
      <c r="FM79" s="1353"/>
      <c r="FN79" s="304">
        <f>IF(FL79=0,0,(FM79-FL79)/FL79*100)</f>
        <v>0</v>
      </c>
      <c r="FO79" s="1353"/>
      <c r="FP79" s="1353"/>
      <c r="FQ79" s="304">
        <f>IF(FO79=0,0,(FP79-FO79)/FO79*100)</f>
        <v>0</v>
      </c>
      <c r="FR79" s="1353"/>
      <c r="FS79" s="1353"/>
      <c r="FT79" s="304">
        <f>IF(FR79=0,0,(FS79-FR79)/FR79*100)</f>
        <v>0</v>
      </c>
      <c r="FU79" s="1353"/>
      <c r="FV79" s="1353"/>
      <c r="FW79" s="304">
        <f>IF(FU79=0,0,(FV79-FU79)/FU79*100)</f>
        <v>0</v>
      </c>
      <c r="FX79" s="302"/>
      <c r="FY79" s="302"/>
      <c r="FZ79" s="971" t="s">
        <v>2120</v>
      </c>
      <c r="GA79" s="971"/>
      <c r="GB79" s="971"/>
      <c r="GC79" s="971"/>
      <c r="GD79" s="971"/>
    </row>
    <row r="80" spans="1:186" s="1354" customFormat="1" ht="16.5" customHeight="1" x14ac:dyDescent="0.15">
      <c r="A80" s="302"/>
      <c r="B80" s="803" t="b" cm="1">
        <f t="array" ref="B80">B79</f>
        <v>1</v>
      </c>
      <c r="C80" s="1108" t="s">
        <v>2112</v>
      </c>
      <c r="D80" s="1077" t="s">
        <v>2113</v>
      </c>
      <c r="E80" s="668">
        <v>17.100000000000001</v>
      </c>
      <c r="F80" s="769" t="str" cm="1">
        <f t="array" aca="1" ref="F80" ca="1">OFFSET(G80,-1,-1)</f>
        <v>1</v>
      </c>
      <c r="G80" s="612" t="s">
        <v>1762</v>
      </c>
      <c r="H80" s="160" t="s">
        <v>524</v>
      </c>
      <c r="I80" s="160" t="s">
        <v>2121</v>
      </c>
      <c r="J80" s="1098" t="s">
        <v>2115</v>
      </c>
      <c r="K80" s="1098" t="str" cm="1">
        <f t="array" aca="1" ref="K80" ca="1">OFFSET(J80,-1,1)</f>
        <v>ТЭ.42.27968109.0001</v>
      </c>
      <c r="L80" s="1098" t="s">
        <v>2116</v>
      </c>
      <c r="M80" s="1098" t="s">
        <v>1759</v>
      </c>
      <c r="N80" s="1098" t="s">
        <v>2117</v>
      </c>
      <c r="O80" s="1099" t="s">
        <v>2118</v>
      </c>
      <c r="P80" s="1098"/>
      <c r="Q80" s="1098"/>
      <c r="R80" s="302"/>
      <c r="S80" s="302"/>
      <c r="T80" s="679" t="b" cm="1">
        <f t="array" aca="1" ref="T80" ca="1">T79</f>
        <v>1</v>
      </c>
      <c r="U80" s="302"/>
      <c r="V80" s="302"/>
      <c r="W80" s="302"/>
      <c r="X80" s="1612"/>
      <c r="Y80" s="302"/>
      <c r="Z80" s="1612"/>
      <c r="AA80" s="302"/>
      <c r="AB80" s="1130" t="s">
        <v>2122</v>
      </c>
      <c r="AC80" s="303" t="s">
        <v>920</v>
      </c>
      <c r="AD80" s="1353">
        <f ca="1">IF(method_reg="Метод экономически обоснованных расходов",SUMIFS('Калькуляция (4.6)'!AJ$25:AJ$162,'Калькуляция (4.6)'!$F$25:$F$162,$F80,'Калькуляция (4.6)'!$G$25:$G$162,$G80),IF(method_reg="Метод сравнения аналогов",SUMIFS(INDEX('Калькуляция (МСА)'!$AE$25:$BC$82,,MATCH(AD$8,'Калькуляция (МСА)'!$AE$8:$BC$8,0)),'Калькуляция (МСА)'!$F$25:$F$82,$F80,'Калькуляция (МСА)'!$G$25:$G$82,$G80),SUMIFS(INDEX('Калькуляция (5.9)'!$AJ$25:$BC$137,,MATCH(AD$8,'Калькуляция (5.9)'!$AJ$8:$BC$8,0)),'Калькуляция (5.9)'!$F$25:$F$137,$F80,'Калькуляция (5.9)'!$G$25:$G$137,$G80)))</f>
        <v>6897.9403764828912</v>
      </c>
      <c r="AE80" s="1353">
        <f ca="1">IF(method_reg="Метод экономически обоснованных расходов",SUMIFS('Калькуляция (4.6)'!AK$25:AK$162,'Калькуляция (4.6)'!$F$25:$F$162,$F80,'Калькуляция (4.6)'!$G$25:$G$162,$G80),IF(method_reg="Метод сравнения аналогов",SUMIFS(INDEX('Калькуляция (МСА)'!$AE$25:$BC$82,,MATCH(AE$8,'Калькуляция (МСА)'!$AE$8:$BC$8,0)),'Калькуляция (МСА)'!$F$25:$F$82,$F80,'Калькуляция (МСА)'!$G$25:$G$82,$G80),SUMIFS(INDEX('Калькуляция (5.9)'!$AJ$25:$BC$137,,MATCH(AE$8,'Калькуляция (5.9)'!$AJ$8:$BC$8,0)),'Калькуляция (5.9)'!$F$25:$F$137,$F80,'Калькуляция (5.9)'!$G$25:$G$137,$G80)))</f>
        <v>5236.9232679562574</v>
      </c>
      <c r="AF80" s="304">
        <f ca="1">IF(AD80=0,0,(AE80-AD80)/AD80*100)</f>
        <v>-24.079899475349627</v>
      </c>
      <c r="AG80" s="1349">
        <f ca="1">IF(method_reg="Метод сравнения аналогов",SUMIFS(INDEX('Калькуляция (МСА)'!$AE$25:$BC$82,,MATCH(AG$8,'Калькуляция (МСА)'!$AE$8:$BC$8,0)),'Калькуляция (МСА)'!$F$25:$F$82,$F80,'Калькуляция (МСА)'!$G$25:$G$82,$G80),SUMIFS(INDEX('Калькуляция (5.9)'!$AJ$25:$BC$137,,MATCH(AG$8,'Калькуляция (5.9)'!$AJ$8:$BC$8,0)),'Калькуляция (5.9)'!$F$25:$F$137,$F80,'Калькуляция (5.9)'!$G$25:$G$137,$G80))</f>
        <v>0</v>
      </c>
      <c r="AH80" s="1349">
        <f ca="1">IF(method_reg="Метод сравнения аналогов",SUMIFS(INDEX('Калькуляция (МСА)'!$AE$25:$BC$82,,MATCH(AH$8,'Калькуляция (МСА)'!$AE$8:$BC$8,0)),'Калькуляция (МСА)'!$F$25:$F$82,$F80,'Калькуляция (МСА)'!$G$25:$G$82,$G80),SUMIFS(INDEX('Калькуляция (5.9)'!$AJ$25:$BC$137,,MATCH(AH$8,'Калькуляция (5.9)'!$AJ$8:$BC$8,0)),'Калькуляция (5.9)'!$F$25:$F$137,$F80,'Калькуляция (5.9)'!$G$25:$G$137,$G80))</f>
        <v>0</v>
      </c>
      <c r="AI80" s="304">
        <f ca="1">IF(AG80=0,0,(AH80-AG80)/AG80*100)</f>
        <v>0</v>
      </c>
      <c r="AJ80" s="1349">
        <f ca="1">IF(method_reg="Метод сравнения аналогов",SUMIFS(INDEX('Калькуляция (МСА)'!$AE$25:$BC$82,,MATCH(AJ$8,'Калькуляция (МСА)'!$AE$8:$BC$8,0)),'Калькуляция (МСА)'!$F$25:$F$82,$F80,'Калькуляция (МСА)'!$G$25:$G$82,$G80),SUMIFS(INDEX('Калькуляция (5.9)'!$AJ$25:$BC$137,,MATCH(AJ$8,'Калькуляция (5.9)'!$AJ$8:$BC$8,0)),'Калькуляция (5.9)'!$F$25:$F$137,$F80,'Калькуляция (5.9)'!$G$25:$G$137,$G80))</f>
        <v>0</v>
      </c>
      <c r="AK80" s="1349">
        <f ca="1">IF(method_reg="Метод сравнения аналогов",SUMIFS(INDEX('Калькуляция (МСА)'!$AE$25:$BC$82,,MATCH(AK$8,'Калькуляция (МСА)'!$AE$8:$BC$8,0)),'Калькуляция (МСА)'!$F$25:$F$82,$F80,'Калькуляция (МСА)'!$G$25:$G$82,$G80),SUMIFS(INDEX('Калькуляция (5.9)'!$AJ$25:$BC$137,,MATCH(AK$8,'Калькуляция (5.9)'!$AJ$8:$BC$8,0)),'Калькуляция (5.9)'!$F$25:$F$137,$F80,'Калькуляция (5.9)'!$G$25:$G$137,$G80))</f>
        <v>0</v>
      </c>
      <c r="AL80" s="304">
        <f ca="1">IF(AJ80=0,0,(AK80-AJ80)/AJ80*100)</f>
        <v>0</v>
      </c>
      <c r="AM80" s="1353">
        <f ca="1">IF(method_reg="Метод сравнения аналогов",SUMIFS(INDEX('Калькуляция (МСА)'!$AE$25:$BC$82,,MATCH(AM$8,'Калькуляция (МСА)'!$AE$8:$BC$8,0)),'Калькуляция (МСА)'!$F$25:$F$82,$F80,'Калькуляция (МСА)'!$G$25:$G$82,$G80),SUMIFS(INDEX('Калькуляция (5.9)'!$AJ$25:$BC$137,,MATCH(AM$8,'Калькуляция (5.9)'!$AJ$8:$BC$8,0)),'Калькуляция (5.9)'!$F$25:$F$137,$F80,'Калькуляция (5.9)'!$G$25:$G$137,$G80))</f>
        <v>0</v>
      </c>
      <c r="AN80" s="1353">
        <f ca="1">IF(method_reg="Метод сравнения аналогов",SUMIFS(INDEX('Калькуляция (МСА)'!$AE$25:$BC$82,,MATCH(AN$8,'Калькуляция (МСА)'!$AE$8:$BC$8,0)),'Калькуляция (МСА)'!$F$25:$F$82,$F80,'Калькуляция (МСА)'!$G$25:$G$82,$G80),SUMIFS(INDEX('Калькуляция (5.9)'!$AJ$25:$BC$137,,MATCH(AN$8,'Калькуляция (5.9)'!$AJ$8:$BC$8,0)),'Калькуляция (5.9)'!$F$25:$F$137,$F80,'Калькуляция (5.9)'!$G$25:$G$137,$G80))</f>
        <v>0</v>
      </c>
      <c r="AO80" s="304">
        <f ca="1">IF(AM80=0,0,(AN80-AM80)/AM80*100)</f>
        <v>0</v>
      </c>
      <c r="AP80" s="1353">
        <f ca="1">IF(method_reg="Метод сравнения аналогов",SUMIFS(INDEX('Калькуляция (МСА)'!$AE$25:$BC$82,,MATCH(AP$8,'Калькуляция (МСА)'!$AE$8:$BC$8,0)),'Калькуляция (МСА)'!$F$25:$F$82,$F80,'Калькуляция (МСА)'!$G$25:$G$82,$G80),SUMIFS(INDEX('Калькуляция (5.9)'!$AJ$25:$BC$137,,MATCH(AP$8,'Калькуляция (5.9)'!$AJ$8:$BC$8,0)),'Калькуляция (5.9)'!$F$25:$F$137,$F80,'Калькуляция (5.9)'!$G$25:$G$137,$G80))</f>
        <v>0</v>
      </c>
      <c r="AQ80" s="1353">
        <f ca="1">IF(method_reg="Метод сравнения аналогов",SUMIFS(INDEX('Калькуляция (МСА)'!$AE$25:$BC$82,,MATCH(AQ$8,'Калькуляция (МСА)'!$AE$8:$BC$8,0)),'Калькуляция (МСА)'!$F$25:$F$82,$F80,'Калькуляция (МСА)'!$G$25:$G$82,$G80),SUMIFS(INDEX('Калькуляция (5.9)'!$AJ$25:$BC$137,,MATCH(AQ$8,'Калькуляция (5.9)'!$AJ$8:$BC$8,0)),'Калькуляция (5.9)'!$F$25:$F$137,$F80,'Калькуляция (5.9)'!$G$25:$G$137,$G80))</f>
        <v>0</v>
      </c>
      <c r="AR80" s="304">
        <f ca="1">IF(AP80=0,0,(AQ80-AP80)/AP80*100)</f>
        <v>0</v>
      </c>
      <c r="AS80" s="1353">
        <f ca="1">IF(method_reg="Метод сравнения аналогов",SUMIFS(INDEX('Калькуляция (МСА)'!$AE$25:$BC$82,,MATCH(AS$8,'Калькуляция (МСА)'!$AE$8:$BC$8,0)),'Калькуляция (МСА)'!$F$25:$F$82,$F80,'Калькуляция (МСА)'!$G$25:$G$82,$G80),SUMIFS(INDEX('Калькуляция (5.9)'!$AJ$25:$BC$137,,MATCH(AS$8,'Калькуляция (5.9)'!$AJ$8:$BC$8,0)),'Калькуляция (5.9)'!$F$25:$F$137,$F80,'Калькуляция (5.9)'!$G$25:$G$137,$G80))</f>
        <v>0</v>
      </c>
      <c r="AT80" s="1353">
        <f ca="1">IF(method_reg="Метод сравнения аналогов",SUMIFS(INDEX('Калькуляция (МСА)'!$AE$25:$BC$82,,MATCH(AT$8,'Калькуляция (МСА)'!$AE$8:$BC$8,0)),'Калькуляция (МСА)'!$F$25:$F$82,$F80,'Калькуляция (МСА)'!$G$25:$G$82,$G80),SUMIFS(INDEX('Калькуляция (5.9)'!$AJ$25:$BC$137,,MATCH(AT$8,'Калькуляция (5.9)'!$AJ$8:$BC$8,0)),'Калькуляция (5.9)'!$F$25:$F$137,$F80,'Калькуляция (5.9)'!$G$25:$G$137,$G80))</f>
        <v>0</v>
      </c>
      <c r="AU80" s="304">
        <f ca="1">IF(AS80=0,0,(AT80-AS80)/AS80*100)</f>
        <v>0</v>
      </c>
      <c r="AV80" s="1353">
        <f ca="1">IF(method_reg="Метод сравнения аналогов",SUMIFS(INDEX('Калькуляция (МСА)'!$AE$25:$BC$82,,MATCH(AV$8,'Калькуляция (МСА)'!$AE$8:$BC$8,0)),'Калькуляция (МСА)'!$F$25:$F$82,$F80,'Калькуляция (МСА)'!$G$25:$G$82,$G80),SUMIFS(INDEX('Калькуляция (5.9)'!$AJ$25:$BC$137,,MATCH(AV$8,'Калькуляция (5.9)'!$AJ$8:$BC$8,0)),'Калькуляция (5.9)'!$F$25:$F$137,$F80,'Калькуляция (5.9)'!$G$25:$G$137,$G80))</f>
        <v>0</v>
      </c>
      <c r="AW80" s="1353">
        <f ca="1">IF(method_reg="Метод сравнения аналогов",SUMIFS(INDEX('Калькуляция (МСА)'!$AE$25:$BC$82,,MATCH(AW$8,'Калькуляция (МСА)'!$AE$8:$BC$8,0)),'Калькуляция (МСА)'!$F$25:$F$82,$F80,'Калькуляция (МСА)'!$G$25:$G$82,$G80),SUMIFS(INDEX('Калькуляция (5.9)'!$AJ$25:$BC$137,,MATCH(AW$8,'Калькуляция (5.9)'!$AJ$8:$BC$8,0)),'Калькуляция (5.9)'!$F$25:$F$137,$F80,'Калькуляция (5.9)'!$G$25:$G$137,$G80))</f>
        <v>0</v>
      </c>
      <c r="AX80" s="304">
        <f ca="1">IF(AV80=0,0,(AW80-AV80)/AV80*100)</f>
        <v>0</v>
      </c>
      <c r="AY80" s="1353">
        <f ca="1">IF(method_reg="Метод сравнения аналогов",SUMIFS(INDEX('Калькуляция (МСА)'!$AE$25:$BC$82,,MATCH(AY$8,'Калькуляция (МСА)'!$AE$8:$BC$8,0)),'Калькуляция (МСА)'!$F$25:$F$82,$F80,'Калькуляция (МСА)'!$G$25:$G$82,$G80),SUMIFS(INDEX('Калькуляция (5.9)'!$AJ$25:$BC$137,,MATCH(AY$8,'Калькуляция (5.9)'!$AJ$8:$BC$8,0)),'Калькуляция (5.9)'!$F$25:$F$137,$F80,'Калькуляция (5.9)'!$G$25:$G$137,$G80))</f>
        <v>0</v>
      </c>
      <c r="AZ80" s="1353">
        <f ca="1">IF(method_reg="Метод сравнения аналогов",SUMIFS(INDEX('Калькуляция (МСА)'!$AE$25:$BC$82,,MATCH(AZ$8,'Калькуляция (МСА)'!$AE$8:$BC$8,0)),'Калькуляция (МСА)'!$F$25:$F$82,$F80,'Калькуляция (МСА)'!$G$25:$G$82,$G80),SUMIFS(INDEX('Калькуляция (5.9)'!$AJ$25:$BC$137,,MATCH(AZ$8,'Калькуляция (5.9)'!$AJ$8:$BC$8,0)),'Калькуляция (5.9)'!$F$25:$F$137,$F80,'Калькуляция (5.9)'!$G$25:$G$137,$G80))</f>
        <v>0</v>
      </c>
      <c r="BA80" s="304">
        <f ca="1">IF(AY80=0,0,(AZ80-AY80)/AY80*100)</f>
        <v>0</v>
      </c>
      <c r="BB80" s="1353">
        <f ca="1">IF(method_reg="Метод сравнения аналогов",SUMIFS(INDEX('Калькуляция (МСА)'!$AE$25:$BC$82,,MATCH(BB$8,'Калькуляция (МСА)'!$AE$8:$BC$8,0)),'Калькуляция (МСА)'!$F$25:$F$82,$F80,'Калькуляция (МСА)'!$G$25:$G$82,$G80),SUMIFS(INDEX('Калькуляция (5.9)'!$AJ$25:$BC$137,,MATCH(BB$8,'Калькуляция (5.9)'!$AJ$8:$BC$8,0)),'Калькуляция (5.9)'!$F$25:$F$137,$F80,'Калькуляция (5.9)'!$G$25:$G$137,$G80))</f>
        <v>0</v>
      </c>
      <c r="BC80" s="1353">
        <f ca="1">IF(method_reg="Метод сравнения аналогов",SUMIFS(INDEX('Калькуляция (МСА)'!$AE$25:$BC$82,,MATCH(BC$8,'Калькуляция (МСА)'!$AE$8:$BC$8,0)),'Калькуляция (МСА)'!$F$25:$F$82,$F80,'Калькуляция (МСА)'!$G$25:$G$82,$G80),SUMIFS(INDEX('Калькуляция (5.9)'!$AJ$25:$BC$137,,MATCH(BC$8,'Калькуляция (5.9)'!$AJ$8:$BC$8,0)),'Калькуляция (5.9)'!$F$25:$F$137,$F80,'Калькуляция (5.9)'!$G$25:$G$137,$G80))</f>
        <v>0</v>
      </c>
      <c r="BD80" s="304">
        <f ca="1">IF(BB80=0,0,(BC80-BB80)/BB80*100)</f>
        <v>0</v>
      </c>
      <c r="BE80" s="1353">
        <f ca="1">IF(method_reg="Метод сравнения аналогов",SUMIFS(INDEX('Калькуляция (МСА)'!$AE$25:$BC$82,,MATCH(BE$8,'Калькуляция (МСА)'!$AE$8:$BC$8,0)),'Калькуляция (МСА)'!$F$25:$F$82,$F80,'Калькуляция (МСА)'!$G$25:$G$82,$G80),SUMIFS(INDEX('Калькуляция (5.9)'!$AJ$25:$BC$137,,MATCH(BE$8,'Калькуляция (5.9)'!$AJ$8:$BC$8,0)),'Калькуляция (5.9)'!$F$25:$F$137,$F80,'Калькуляция (5.9)'!$G$25:$G$137,$G80))</f>
        <v>0</v>
      </c>
      <c r="BF80" s="1353">
        <f ca="1">IF(method_reg="Метод сравнения аналогов",SUMIFS(INDEX('Калькуляция (МСА)'!$AE$25:$BC$82,,MATCH(BF$8,'Калькуляция (МСА)'!$AE$8:$BC$8,0)),'Калькуляция (МСА)'!$F$25:$F$82,$F80,'Калькуляция (МСА)'!$G$25:$G$82,$G80),SUMIFS(INDEX('Калькуляция (5.9)'!$AJ$25:$BC$137,,MATCH(BF$8,'Калькуляция (5.9)'!$AJ$8:$BC$8,0)),'Калькуляция (5.9)'!$F$25:$F$137,$F80,'Калькуляция (5.9)'!$G$25:$G$137,$G80))</f>
        <v>0</v>
      </c>
      <c r="BG80" s="304">
        <f ca="1">IF(BE80=0,0,(BF80-BE80)/BE80*100)</f>
        <v>0</v>
      </c>
      <c r="BH80" s="1353"/>
      <c r="BI80" s="1353"/>
      <c r="BJ80" s="304">
        <f>IF(BH80=0,0,(BI80-BH80)/BH80*100)</f>
        <v>0</v>
      </c>
      <c r="BK80" s="1353"/>
      <c r="BL80" s="1353"/>
      <c r="BM80" s="304">
        <f>IF(BK80=0,0,(BL80-BK80)/BK80*100)</f>
        <v>0</v>
      </c>
      <c r="BN80" s="1353"/>
      <c r="BO80" s="1353"/>
      <c r="BP80" s="304">
        <f>IF(BN80=0,0,(BO80-BN80)/BN80*100)</f>
        <v>0</v>
      </c>
      <c r="BQ80" s="1353"/>
      <c r="BR80" s="1353"/>
      <c r="BS80" s="304">
        <f>IF(BQ80=0,0,(BR80-BQ80)/BQ80*100)</f>
        <v>0</v>
      </c>
      <c r="BT80" s="1353"/>
      <c r="BU80" s="1353"/>
      <c r="BV80" s="304">
        <f>IF(BT80=0,0,(BU80-BT80)/BT80*100)</f>
        <v>0</v>
      </c>
      <c r="BW80" s="1353"/>
      <c r="BX80" s="1353"/>
      <c r="BY80" s="304">
        <f>IF(BW80=0,0,(BX80-BW80)/BW80*100)</f>
        <v>0</v>
      </c>
      <c r="BZ80" s="1353"/>
      <c r="CA80" s="1353"/>
      <c r="CB80" s="304">
        <f>IF(BZ80=0,0,(CA80-BZ80)/BZ80*100)</f>
        <v>0</v>
      </c>
      <c r="CC80" s="1353"/>
      <c r="CD80" s="1353"/>
      <c r="CE80" s="304">
        <f>IF(CC80=0,0,(CD80-CC80)/CC80*100)</f>
        <v>0</v>
      </c>
      <c r="CF80" s="1353"/>
      <c r="CG80" s="1353"/>
      <c r="CH80" s="304">
        <f>IF(CF80=0,0,(CG80-CF80)/CF80*100)</f>
        <v>0</v>
      </c>
      <c r="CI80" s="1353"/>
      <c r="CJ80" s="1353"/>
      <c r="CK80" s="304">
        <f>IF(CI80=0,0,(CJ80-CI80)/CI80*100)</f>
        <v>0</v>
      </c>
      <c r="CL80" s="1353"/>
      <c r="CM80" s="1353"/>
      <c r="CN80" s="304">
        <f>IF(CL80=0,0,(CM80-CL80)/CL80*100)</f>
        <v>0</v>
      </c>
      <c r="CO80" s="1353"/>
      <c r="CP80" s="1353"/>
      <c r="CQ80" s="304">
        <f>IF(CO80=0,0,(CP80-CO80)/CO80*100)</f>
        <v>0</v>
      </c>
      <c r="CR80" s="1353"/>
      <c r="CS80" s="1353"/>
      <c r="CT80" s="304">
        <f>IF(CR80=0,0,(CS80-CR80)/CR80*100)</f>
        <v>0</v>
      </c>
      <c r="CU80" s="1353"/>
      <c r="CV80" s="1353"/>
      <c r="CW80" s="304">
        <f>IF(CU80=0,0,(CV80-CU80)/CU80*100)</f>
        <v>0</v>
      </c>
      <c r="CX80" s="1353"/>
      <c r="CY80" s="1353"/>
      <c r="CZ80" s="304">
        <f>IF(CX80=0,0,(CY80-CX80)/CX80*100)</f>
        <v>0</v>
      </c>
      <c r="DA80" s="1353"/>
      <c r="DB80" s="1353"/>
      <c r="DC80" s="304">
        <f>IF(DA80=0,0,(DB80-DA80)/DA80*100)</f>
        <v>0</v>
      </c>
      <c r="DD80" s="1353"/>
      <c r="DE80" s="1353"/>
      <c r="DF80" s="304">
        <f>IF(DD80=0,0,(DE80-DD80)/DD80*100)</f>
        <v>0</v>
      </c>
      <c r="DG80" s="1353"/>
      <c r="DH80" s="1353"/>
      <c r="DI80" s="304">
        <f>IF(DG80=0,0,(DH80-DG80)/DG80*100)</f>
        <v>0</v>
      </c>
      <c r="DJ80" s="1353"/>
      <c r="DK80" s="1353"/>
      <c r="DL80" s="304">
        <f>IF(DJ80=0,0,(DK80-DJ80)/DJ80*100)</f>
        <v>0</v>
      </c>
      <c r="DM80" s="1353"/>
      <c r="DN80" s="1353"/>
      <c r="DO80" s="304">
        <f>IF(DM80=0,0,(DN80-DM80)/DM80*100)</f>
        <v>0</v>
      </c>
      <c r="DP80" s="1353"/>
      <c r="DQ80" s="1353"/>
      <c r="DR80" s="304">
        <f>IF(DP80=0,0,(DQ80-DP80)/DP80*100)</f>
        <v>0</v>
      </c>
      <c r="DS80" s="1353"/>
      <c r="DT80" s="1353"/>
      <c r="DU80" s="304">
        <f>IF(DS80=0,0,(DT80-DS80)/DS80*100)</f>
        <v>0</v>
      </c>
      <c r="DV80" s="1353"/>
      <c r="DW80" s="1353"/>
      <c r="DX80" s="304">
        <f>IF(DV80=0,0,(DW80-DV80)/DV80*100)</f>
        <v>0</v>
      </c>
      <c r="DY80" s="1353"/>
      <c r="DZ80" s="1353"/>
      <c r="EA80" s="304">
        <f>IF(DY80=0,0,(DZ80-DY80)/DY80*100)</f>
        <v>0</v>
      </c>
      <c r="EB80" s="1353"/>
      <c r="EC80" s="1353"/>
      <c r="ED80" s="304">
        <f>IF(EB80=0,0,(EC80-EB80)/EB80*100)</f>
        <v>0</v>
      </c>
      <c r="EE80" s="1353"/>
      <c r="EF80" s="1353"/>
      <c r="EG80" s="304">
        <f>IF(EE80=0,0,(EF80-EE80)/EE80*100)</f>
        <v>0</v>
      </c>
      <c r="EH80" s="1353"/>
      <c r="EI80" s="1353"/>
      <c r="EJ80" s="304">
        <f>IF(EH80=0,0,(EI80-EH80)/EH80*100)</f>
        <v>0</v>
      </c>
      <c r="EK80" s="1353"/>
      <c r="EL80" s="1353"/>
      <c r="EM80" s="304">
        <f>IF(EK80=0,0,(EL80-EK80)/EK80*100)</f>
        <v>0</v>
      </c>
      <c r="EN80" s="1353"/>
      <c r="EO80" s="1353"/>
      <c r="EP80" s="304">
        <f>IF(EN80=0,0,(EO80-EN80)/EN80*100)</f>
        <v>0</v>
      </c>
      <c r="EQ80" s="1353"/>
      <c r="ER80" s="1353"/>
      <c r="ES80" s="304">
        <f>IF(EQ80=0,0,(ER80-EQ80)/EQ80*100)</f>
        <v>0</v>
      </c>
      <c r="ET80" s="1353"/>
      <c r="EU80" s="1353"/>
      <c r="EV80" s="304">
        <f>IF(ET80=0,0,(EU80-ET80)/ET80*100)</f>
        <v>0</v>
      </c>
      <c r="EW80" s="1353"/>
      <c r="EX80" s="1353"/>
      <c r="EY80" s="304">
        <f>IF(EW80=0,0,(EX80-EW80)/EW80*100)</f>
        <v>0</v>
      </c>
      <c r="EZ80" s="1353"/>
      <c r="FA80" s="1353"/>
      <c r="FB80" s="304">
        <f>IF(EZ80=0,0,(FA80-EZ80)/EZ80*100)</f>
        <v>0</v>
      </c>
      <c r="FC80" s="1353"/>
      <c r="FD80" s="1353"/>
      <c r="FE80" s="304">
        <f>IF(FC80=0,0,(FD80-FC80)/FC80*100)</f>
        <v>0</v>
      </c>
      <c r="FF80" s="1353"/>
      <c r="FG80" s="1353"/>
      <c r="FH80" s="304">
        <f>IF(FF80=0,0,(FG80-FF80)/FF80*100)</f>
        <v>0</v>
      </c>
      <c r="FI80" s="1353"/>
      <c r="FJ80" s="1353"/>
      <c r="FK80" s="304">
        <f>IF(FI80=0,0,(FJ80-FI80)/FI80*100)</f>
        <v>0</v>
      </c>
      <c r="FL80" s="1353"/>
      <c r="FM80" s="1353"/>
      <c r="FN80" s="304">
        <f>IF(FL80=0,0,(FM80-FL80)/FL80*100)</f>
        <v>0</v>
      </c>
      <c r="FO80" s="1353"/>
      <c r="FP80" s="1353"/>
      <c r="FQ80" s="304">
        <f>IF(FO80=0,0,(FP80-FO80)/FO80*100)</f>
        <v>0</v>
      </c>
      <c r="FR80" s="1353"/>
      <c r="FS80" s="1353"/>
      <c r="FT80" s="304">
        <f>IF(FR80=0,0,(FS80-FR80)/FR80*100)</f>
        <v>0</v>
      </c>
      <c r="FU80" s="1353"/>
      <c r="FV80" s="1353"/>
      <c r="FW80" s="304">
        <f>IF(FU80=0,0,(FV80-FU80)/FU80*100)</f>
        <v>0</v>
      </c>
      <c r="FX80" s="302"/>
      <c r="FY80" s="302"/>
      <c r="FZ80" s="971" t="s">
        <v>2123</v>
      </c>
      <c r="GA80" s="971"/>
      <c r="GB80" s="971"/>
      <c r="GC80" s="971"/>
      <c r="GD80" s="971"/>
    </row>
    <row r="81" spans="1:186" s="1167" customFormat="1" ht="16.5" customHeight="1" x14ac:dyDescent="0.15">
      <c r="A81" s="1152"/>
      <c r="B81" s="803" t="b" cm="1">
        <f t="array" ref="B81">B80</f>
        <v>1</v>
      </c>
      <c r="C81" s="1108" t="s">
        <v>1765</v>
      </c>
      <c r="D81" s="1077" t="s">
        <v>1766</v>
      </c>
      <c r="E81" s="668">
        <v>17.100000000000001</v>
      </c>
      <c r="F81" s="769" t="str" cm="1">
        <f t="array" aca="1" ref="F81" ca="1">OFFSET(G81,-1,-1)</f>
        <v>1</v>
      </c>
      <c r="G81" s="417"/>
      <c r="H81" s="160" t="s">
        <v>527</v>
      </c>
      <c r="I81" s="160" t="s">
        <v>2124</v>
      </c>
      <c r="J81" s="1098" t="s">
        <v>2115</v>
      </c>
      <c r="K81" s="1098" t="str" cm="1">
        <f t="array" aca="1" ref="K81" ca="1">OFFSET(J81,-1,1)</f>
        <v>ТЭ.42.27968109.0001</v>
      </c>
      <c r="L81" s="1098" t="s">
        <v>2125</v>
      </c>
      <c r="M81" s="1098"/>
      <c r="N81" s="1098" t="s">
        <v>2117</v>
      </c>
      <c r="O81" s="1099" t="s">
        <v>2118</v>
      </c>
      <c r="P81" s="1098"/>
      <c r="Q81" s="1098"/>
      <c r="R81" s="774"/>
      <c r="S81" s="417"/>
      <c r="T81" s="679" t="b" cm="1">
        <f t="array" aca="1" ref="T81" ca="1">T80</f>
        <v>1</v>
      </c>
      <c r="U81" s="1152"/>
      <c r="V81" s="1152"/>
      <c r="W81" s="1152"/>
      <c r="X81" s="1485"/>
      <c r="Y81" s="1152"/>
      <c r="Z81" s="1485"/>
      <c r="AA81" s="417"/>
      <c r="AB81" s="877" t="s">
        <v>2126</v>
      </c>
      <c r="AC81" s="120" t="s">
        <v>521</v>
      </c>
      <c r="AD81" s="866">
        <f ca="1">IF(AD79=0,0,AD80/AD79)</f>
        <v>1.4475779147988508</v>
      </c>
      <c r="AE81" s="866">
        <f ca="1">IF(AE79=0,0,AE80/AE79)</f>
        <v>1.0990026080879252</v>
      </c>
      <c r="AF81" s="883"/>
      <c r="AG81" s="866">
        <f ca="1">IF(AG79=0,0,AG80/AG79)</f>
        <v>0</v>
      </c>
      <c r="AH81" s="866">
        <f ca="1">IF(AH79=0,0,AH80/AH79)</f>
        <v>0</v>
      </c>
      <c r="AI81" s="883"/>
      <c r="AJ81" s="866">
        <f ca="1">IF(AJ79=0,0,AJ80/AJ79)</f>
        <v>0</v>
      </c>
      <c r="AK81" s="866">
        <f ca="1">IF(AK79=0,0,AK80/AK79)</f>
        <v>0</v>
      </c>
      <c r="AL81" s="883"/>
      <c r="AM81" s="866">
        <f ca="1">IF(AM79=0,0,AM80/AM79)</f>
        <v>0</v>
      </c>
      <c r="AN81" s="866">
        <f ca="1">IF(AN79=0,0,AN80/AN79)</f>
        <v>0</v>
      </c>
      <c r="AO81" s="883"/>
      <c r="AP81" s="866">
        <f ca="1">IF(AP79=0,0,AP80/AP79)</f>
        <v>0</v>
      </c>
      <c r="AQ81" s="866">
        <f ca="1">IF(AQ79=0,0,AQ80/AQ79)</f>
        <v>0</v>
      </c>
      <c r="AR81" s="883"/>
      <c r="AS81" s="866">
        <f ca="1">IF(AS79=0,0,AS80/AS79)</f>
        <v>0</v>
      </c>
      <c r="AT81" s="866">
        <f ca="1">IF(AT79=0,0,AT80/AT79)</f>
        <v>0</v>
      </c>
      <c r="AU81" s="883"/>
      <c r="AV81" s="866">
        <f ca="1">IF(AV79=0,0,AV80/AV79)</f>
        <v>0</v>
      </c>
      <c r="AW81" s="866">
        <f ca="1">IF(AW79=0,0,AW80/AW79)</f>
        <v>0</v>
      </c>
      <c r="AX81" s="883"/>
      <c r="AY81" s="866">
        <f ca="1">IF(AY79=0,0,AY80/AY79)</f>
        <v>0</v>
      </c>
      <c r="AZ81" s="866">
        <f ca="1">IF(AZ79=0,0,AZ80/AZ79)</f>
        <v>0</v>
      </c>
      <c r="BA81" s="883"/>
      <c r="BB81" s="866">
        <f ca="1">IF(BB79=0,0,BB80/BB79)</f>
        <v>0</v>
      </c>
      <c r="BC81" s="866">
        <f ca="1">IF(BC79=0,0,BC80/BC79)</f>
        <v>0</v>
      </c>
      <c r="BD81" s="883"/>
      <c r="BE81" s="866">
        <f ca="1">IF(BE79=0,0,BE80/BE79)</f>
        <v>0</v>
      </c>
      <c r="BF81" s="866">
        <f ca="1">IF(BF79=0,0,BF80/BF79)</f>
        <v>0</v>
      </c>
      <c r="BG81" s="883"/>
      <c r="BH81" s="866">
        <f>IF(BH79=0,0,BH80/BH79)</f>
        <v>0</v>
      </c>
      <c r="BI81" s="866">
        <f>IF(BI79=0,0,BI80/BI79)</f>
        <v>0</v>
      </c>
      <c r="BJ81" s="306"/>
      <c r="BK81" s="866">
        <f>IF(BK79=0,0,BK80/BK79)</f>
        <v>0</v>
      </c>
      <c r="BL81" s="866">
        <f>IF(BL79=0,0,BL80/BL79)</f>
        <v>0</v>
      </c>
      <c r="BM81" s="306"/>
      <c r="BN81" s="866">
        <f>IF(BN79=0,0,BN80/BN79)</f>
        <v>0</v>
      </c>
      <c r="BO81" s="866">
        <f>IF(BO79=0,0,BO80/BO79)</f>
        <v>0</v>
      </c>
      <c r="BP81" s="306"/>
      <c r="BQ81" s="866">
        <f>IF(BQ79=0,0,BQ80/BQ79)</f>
        <v>0</v>
      </c>
      <c r="BR81" s="866">
        <f>IF(BR79=0,0,BR80/BR79)</f>
        <v>0</v>
      </c>
      <c r="BS81" s="306"/>
      <c r="BT81" s="866">
        <f>IF(BT79=0,0,BT80/BT79)</f>
        <v>0</v>
      </c>
      <c r="BU81" s="866">
        <f>IF(BU79=0,0,BU80/BU79)</f>
        <v>0</v>
      </c>
      <c r="BV81" s="306"/>
      <c r="BW81" s="866">
        <f>IF(BW79=0,0,BW80/BW79)</f>
        <v>0</v>
      </c>
      <c r="BX81" s="866">
        <f>IF(BX79=0,0,BX80/BX79)</f>
        <v>0</v>
      </c>
      <c r="BY81" s="306"/>
      <c r="BZ81" s="866">
        <f>IF(BZ79=0,0,BZ80/BZ79)</f>
        <v>0</v>
      </c>
      <c r="CA81" s="866">
        <f>IF(CA79=0,0,CA80/CA79)</f>
        <v>0</v>
      </c>
      <c r="CB81" s="306"/>
      <c r="CC81" s="866">
        <f>IF(CC79=0,0,CC80/CC79)</f>
        <v>0</v>
      </c>
      <c r="CD81" s="866">
        <f>IF(CD79=0,0,CD80/CD79)</f>
        <v>0</v>
      </c>
      <c r="CE81" s="306"/>
      <c r="CF81" s="866">
        <f>IF(CF79=0,0,CF80/CF79)</f>
        <v>0</v>
      </c>
      <c r="CG81" s="866">
        <f>IF(CG79=0,0,CG80/CG79)</f>
        <v>0</v>
      </c>
      <c r="CH81" s="306"/>
      <c r="CI81" s="866">
        <f>IF(CI79=0,0,CI80/CI79)</f>
        <v>0</v>
      </c>
      <c r="CJ81" s="866">
        <f>IF(CJ79=0,0,CJ80/CJ79)</f>
        <v>0</v>
      </c>
      <c r="CK81" s="306"/>
      <c r="CL81" s="866">
        <f>IF(CL79=0,0,CL80/CL79)</f>
        <v>0</v>
      </c>
      <c r="CM81" s="866">
        <f>IF(CM79=0,0,CM80/CM79)</f>
        <v>0</v>
      </c>
      <c r="CN81" s="306"/>
      <c r="CO81" s="866">
        <f>IF(CO79=0,0,CO80/CO79)</f>
        <v>0</v>
      </c>
      <c r="CP81" s="866">
        <f>IF(CP79=0,0,CP80/CP79)</f>
        <v>0</v>
      </c>
      <c r="CQ81" s="306"/>
      <c r="CR81" s="866">
        <f>IF(CR79=0,0,CR80/CR79)</f>
        <v>0</v>
      </c>
      <c r="CS81" s="866">
        <f>IF(CS79=0,0,CS80/CS79)</f>
        <v>0</v>
      </c>
      <c r="CT81" s="306"/>
      <c r="CU81" s="866">
        <f>IF(CU79=0,0,CU80/CU79)</f>
        <v>0</v>
      </c>
      <c r="CV81" s="866">
        <f>IF(CV79=0,0,CV80/CV79)</f>
        <v>0</v>
      </c>
      <c r="CW81" s="306"/>
      <c r="CX81" s="866">
        <f>IF(CX79=0,0,CX80/CX79)</f>
        <v>0</v>
      </c>
      <c r="CY81" s="866">
        <f>IF(CY79=0,0,CY80/CY79)</f>
        <v>0</v>
      </c>
      <c r="CZ81" s="306"/>
      <c r="DA81" s="866">
        <f>IF(DA79=0,0,DA80/DA79)</f>
        <v>0</v>
      </c>
      <c r="DB81" s="866">
        <f>IF(DB79=0,0,DB80/DB79)</f>
        <v>0</v>
      </c>
      <c r="DC81" s="306"/>
      <c r="DD81" s="866">
        <f>IF(DD79=0,0,DD80/DD79)</f>
        <v>0</v>
      </c>
      <c r="DE81" s="866">
        <f>IF(DE79=0,0,DE80/DE79)</f>
        <v>0</v>
      </c>
      <c r="DF81" s="306"/>
      <c r="DG81" s="866">
        <f>IF(DG79=0,0,DG80/DG79)</f>
        <v>0</v>
      </c>
      <c r="DH81" s="866">
        <f>IF(DH79=0,0,DH80/DH79)</f>
        <v>0</v>
      </c>
      <c r="DI81" s="306"/>
      <c r="DJ81" s="866">
        <f>IF(DJ79=0,0,DJ80/DJ79)</f>
        <v>0</v>
      </c>
      <c r="DK81" s="866">
        <f>IF(DK79=0,0,DK80/DK79)</f>
        <v>0</v>
      </c>
      <c r="DL81" s="306"/>
      <c r="DM81" s="866">
        <f>IF(DM79=0,0,DM80/DM79)</f>
        <v>0</v>
      </c>
      <c r="DN81" s="866">
        <f>IF(DN79=0,0,DN80/DN79)</f>
        <v>0</v>
      </c>
      <c r="DO81" s="306"/>
      <c r="DP81" s="866">
        <f>IF(DP79=0,0,DP80/DP79)</f>
        <v>0</v>
      </c>
      <c r="DQ81" s="866">
        <f>IF(DQ79=0,0,DQ80/DQ79)</f>
        <v>0</v>
      </c>
      <c r="DR81" s="306"/>
      <c r="DS81" s="866">
        <f>IF(DS79=0,0,DS80/DS79)</f>
        <v>0</v>
      </c>
      <c r="DT81" s="866">
        <f>IF(DT79=0,0,DT80/DT79)</f>
        <v>0</v>
      </c>
      <c r="DU81" s="306"/>
      <c r="DV81" s="866">
        <f>IF(DV79=0,0,DV80/DV79)</f>
        <v>0</v>
      </c>
      <c r="DW81" s="866">
        <f>IF(DW79=0,0,DW80/DW79)</f>
        <v>0</v>
      </c>
      <c r="DX81" s="306"/>
      <c r="DY81" s="866">
        <f>IF(DY79=0,0,DY80/DY79)</f>
        <v>0</v>
      </c>
      <c r="DZ81" s="866">
        <f>IF(DZ79=0,0,DZ80/DZ79)</f>
        <v>0</v>
      </c>
      <c r="EA81" s="306"/>
      <c r="EB81" s="866">
        <f>IF(EB79=0,0,EB80/EB79)</f>
        <v>0</v>
      </c>
      <c r="EC81" s="866">
        <f>IF(EC79=0,0,EC80/EC79)</f>
        <v>0</v>
      </c>
      <c r="ED81" s="306"/>
      <c r="EE81" s="866">
        <f>IF(EE79=0,0,EE80/EE79)</f>
        <v>0</v>
      </c>
      <c r="EF81" s="866">
        <f>IF(EF79=0,0,EF80/EF79)</f>
        <v>0</v>
      </c>
      <c r="EG81" s="306"/>
      <c r="EH81" s="866">
        <f>IF(EH79=0,0,EH80/EH79)</f>
        <v>0</v>
      </c>
      <c r="EI81" s="866">
        <f>IF(EI79=0,0,EI80/EI79)</f>
        <v>0</v>
      </c>
      <c r="EJ81" s="306"/>
      <c r="EK81" s="866">
        <f>IF(EK79=0,0,EK80/EK79)</f>
        <v>0</v>
      </c>
      <c r="EL81" s="866">
        <f>IF(EL79=0,0,EL80/EL79)</f>
        <v>0</v>
      </c>
      <c r="EM81" s="306"/>
      <c r="EN81" s="866">
        <f>IF(EN79=0,0,EN80/EN79)</f>
        <v>0</v>
      </c>
      <c r="EO81" s="866">
        <f>IF(EO79=0,0,EO80/EO79)</f>
        <v>0</v>
      </c>
      <c r="EP81" s="306"/>
      <c r="EQ81" s="866">
        <f>IF(EQ79=0,0,EQ80/EQ79)</f>
        <v>0</v>
      </c>
      <c r="ER81" s="866">
        <f>IF(ER79=0,0,ER80/ER79)</f>
        <v>0</v>
      </c>
      <c r="ES81" s="306"/>
      <c r="ET81" s="866">
        <f>IF(ET79=0,0,ET80/ET79)</f>
        <v>0</v>
      </c>
      <c r="EU81" s="866">
        <f>IF(EU79=0,0,EU80/EU79)</f>
        <v>0</v>
      </c>
      <c r="EV81" s="306"/>
      <c r="EW81" s="866">
        <f>IF(EW79=0,0,EW80/EW79)</f>
        <v>0</v>
      </c>
      <c r="EX81" s="866">
        <f>IF(EX79=0,0,EX80/EX79)</f>
        <v>0</v>
      </c>
      <c r="EY81" s="306"/>
      <c r="EZ81" s="866">
        <f>IF(EZ79=0,0,EZ80/EZ79)</f>
        <v>0</v>
      </c>
      <c r="FA81" s="866">
        <f>IF(FA79=0,0,FA80/FA79)</f>
        <v>0</v>
      </c>
      <c r="FB81" s="306"/>
      <c r="FC81" s="866">
        <f>IF(FC79=0,0,FC80/FC79)</f>
        <v>0</v>
      </c>
      <c r="FD81" s="866">
        <f>IF(FD79=0,0,FD80/FD79)</f>
        <v>0</v>
      </c>
      <c r="FE81" s="306"/>
      <c r="FF81" s="866">
        <f>IF(FF79=0,0,FF80/FF79)</f>
        <v>0</v>
      </c>
      <c r="FG81" s="866">
        <f>IF(FG79=0,0,FG80/FG79)</f>
        <v>0</v>
      </c>
      <c r="FH81" s="306"/>
      <c r="FI81" s="866">
        <f>IF(FI79=0,0,FI80/FI79)</f>
        <v>0</v>
      </c>
      <c r="FJ81" s="866">
        <f>IF(FJ79=0,0,FJ80/FJ79)</f>
        <v>0</v>
      </c>
      <c r="FK81" s="306"/>
      <c r="FL81" s="866">
        <f>IF(FL79=0,0,FL80/FL79)</f>
        <v>0</v>
      </c>
      <c r="FM81" s="866">
        <f>IF(FM79=0,0,FM80/FM79)</f>
        <v>0</v>
      </c>
      <c r="FN81" s="306"/>
      <c r="FO81" s="866">
        <f>IF(FO79=0,0,FO80/FO79)</f>
        <v>0</v>
      </c>
      <c r="FP81" s="866">
        <f>IF(FP79=0,0,FP80/FP79)</f>
        <v>0</v>
      </c>
      <c r="FQ81" s="306"/>
      <c r="FR81" s="866">
        <f>IF(FR79=0,0,FR80/FR79)</f>
        <v>0</v>
      </c>
      <c r="FS81" s="866">
        <f>IF(FS79=0,0,FS80/FS79)</f>
        <v>0</v>
      </c>
      <c r="FT81" s="306"/>
      <c r="FU81" s="866">
        <f>IF(FU79=0,0,FU80/FU79)</f>
        <v>0</v>
      </c>
      <c r="FV81" s="866">
        <f>IF(FV79=0,0,FV80/FV79)</f>
        <v>0</v>
      </c>
      <c r="FW81" s="306"/>
      <c r="FX81" s="417"/>
      <c r="FY81" s="417"/>
      <c r="FZ81" s="971" t="s">
        <v>2127</v>
      </c>
      <c r="GA81" s="971"/>
      <c r="GB81" s="971"/>
      <c r="GC81" s="971"/>
      <c r="GD81" s="971"/>
    </row>
    <row r="82" spans="1:186" s="1167" customFormat="1" ht="16.5" customHeight="1" x14ac:dyDescent="0.15">
      <c r="A82" s="1152"/>
      <c r="B82" s="803" t="b" cm="1">
        <f t="array" ref="B82">B81</f>
        <v>1</v>
      </c>
      <c r="C82" s="1108" t="s">
        <v>1747</v>
      </c>
      <c r="D82" s="1077" t="s">
        <v>1748</v>
      </c>
      <c r="E82" s="668">
        <v>17.100000000000001</v>
      </c>
      <c r="F82" s="769" t="str" cm="1">
        <f t="array" aca="1" ref="F82" ca="1">OFFSET(G82,-1,-1)</f>
        <v>1</v>
      </c>
      <c r="G82" s="140" t="s">
        <v>2128</v>
      </c>
      <c r="H82" s="160" t="s">
        <v>534</v>
      </c>
      <c r="I82" s="160" t="s">
        <v>2124</v>
      </c>
      <c r="J82" s="1098" t="s">
        <v>2115</v>
      </c>
      <c r="K82" s="1098" t="str" cm="1">
        <f t="array" aca="1" ref="K82" ca="1">OFFSET(J82,-1,1)</f>
        <v>ТЭ.42.27968109.0001</v>
      </c>
      <c r="L82" s="1098" t="s">
        <v>2129</v>
      </c>
      <c r="M82" s="1098"/>
      <c r="N82" s="1098" t="s">
        <v>2117</v>
      </c>
      <c r="O82" s="1099" t="s">
        <v>2118</v>
      </c>
      <c r="P82" s="1098"/>
      <c r="Q82" s="1098"/>
      <c r="R82" s="774"/>
      <c r="S82" s="417"/>
      <c r="T82" s="679" t="b" cm="1">
        <f t="array" aca="1" ref="T82" ca="1">T81</f>
        <v>1</v>
      </c>
      <c r="U82" s="1152"/>
      <c r="V82" s="1152"/>
      <c r="W82" s="1152"/>
      <c r="X82" s="1485"/>
      <c r="Y82" s="1152"/>
      <c r="Z82" s="1485"/>
      <c r="AA82" s="417"/>
      <c r="AB82" s="877" t="s">
        <v>2130</v>
      </c>
      <c r="AC82" s="120" t="s">
        <v>622</v>
      </c>
      <c r="AD82" s="1355">
        <f ca="1">SUM(AD83:AD84)</f>
        <v>65109.039999999994</v>
      </c>
      <c r="AE82" s="1355">
        <f ca="1">SUM(AE83:AE84)</f>
        <v>65109</v>
      </c>
      <c r="AF82" s="333">
        <f ca="1">IF(AD82=0,0,(AE82-AD82)/AD82*100)</f>
        <v>-6.1435401280063659E-5</v>
      </c>
      <c r="AG82" s="1350">
        <f ca="1">SUM(AG83:AG84)</f>
        <v>0</v>
      </c>
      <c r="AH82" s="1350">
        <f ca="1">SUM(AH83:AH84)</f>
        <v>0</v>
      </c>
      <c r="AI82" s="333">
        <f ca="1">IF(AG82=0,0,(AH82-AG82)/AG82*100)</f>
        <v>0</v>
      </c>
      <c r="AJ82" s="1350">
        <f ca="1">SUM(AJ83:AJ84)</f>
        <v>0</v>
      </c>
      <c r="AK82" s="1350">
        <f ca="1">SUM(AK83:AK84)</f>
        <v>0</v>
      </c>
      <c r="AL82" s="333">
        <f ca="1">IF(AJ82=0,0,(AK82-AJ82)/AJ82*100)</f>
        <v>0</v>
      </c>
      <c r="AM82" s="1355">
        <f ca="1">SUM(AM83:AM84)</f>
        <v>0</v>
      </c>
      <c r="AN82" s="1355">
        <f ca="1">SUM(AN83:AN84)</f>
        <v>0</v>
      </c>
      <c r="AO82" s="333">
        <f ca="1">IF(AM82=0,0,(AN82-AM82)/AM82*100)</f>
        <v>0</v>
      </c>
      <c r="AP82" s="1355">
        <f ca="1">SUM(AP83:AP84)</f>
        <v>0</v>
      </c>
      <c r="AQ82" s="1355">
        <f ca="1">SUM(AQ83:AQ84)</f>
        <v>0</v>
      </c>
      <c r="AR82" s="333">
        <f ca="1">IF(AP82=0,0,(AQ82-AP82)/AP82*100)</f>
        <v>0</v>
      </c>
      <c r="AS82" s="1355">
        <f ca="1">SUM(AS83:AS84)</f>
        <v>0</v>
      </c>
      <c r="AT82" s="1355">
        <f ca="1">SUM(AT83:AT84)</f>
        <v>0</v>
      </c>
      <c r="AU82" s="333">
        <f ca="1">IF(AS82=0,0,(AT82-AS82)/AS82*100)</f>
        <v>0</v>
      </c>
      <c r="AV82" s="1355">
        <f ca="1">SUM(AV83:AV84)</f>
        <v>0</v>
      </c>
      <c r="AW82" s="1355">
        <f ca="1">SUM(AW83:AW84)</f>
        <v>0</v>
      </c>
      <c r="AX82" s="333">
        <f ca="1">IF(AV82=0,0,(AW82-AV82)/AV82*100)</f>
        <v>0</v>
      </c>
      <c r="AY82" s="1355">
        <f ca="1">SUM(AY83:AY84)</f>
        <v>0</v>
      </c>
      <c r="AZ82" s="1355">
        <f ca="1">SUM(AZ83:AZ84)</f>
        <v>0</v>
      </c>
      <c r="BA82" s="333">
        <f ca="1">IF(AY82=0,0,(AZ82-AY82)/AY82*100)</f>
        <v>0</v>
      </c>
      <c r="BB82" s="1355">
        <f ca="1">SUM(BB83:BB84)</f>
        <v>0</v>
      </c>
      <c r="BC82" s="1355">
        <f ca="1">SUM(BC83:BC84)</f>
        <v>0</v>
      </c>
      <c r="BD82" s="333">
        <f ca="1">IF(BB82=0,0,(BC82-BB82)/BB82*100)</f>
        <v>0</v>
      </c>
      <c r="BE82" s="1355">
        <f ca="1">SUM(BE83:BE84)</f>
        <v>0</v>
      </c>
      <c r="BF82" s="1355">
        <f ca="1">SUM(BF83:BF84)</f>
        <v>0</v>
      </c>
      <c r="BG82" s="333">
        <f ca="1">IF(BE82=0,0,(BF82-BE82)/BE82*100)</f>
        <v>0</v>
      </c>
      <c r="BH82" s="1355">
        <f>SUM(BH83:BH84)</f>
        <v>0</v>
      </c>
      <c r="BI82" s="1355">
        <f>SUM(BI83:BI84)</f>
        <v>0</v>
      </c>
      <c r="BJ82" s="333">
        <f>IF(BH82=0,0,(BI82-BH82)/BH82*100)</f>
        <v>0</v>
      </c>
      <c r="BK82" s="1355">
        <f>SUM(BK83:BK84)</f>
        <v>0</v>
      </c>
      <c r="BL82" s="1355">
        <f>SUM(BL83:BL84)</f>
        <v>0</v>
      </c>
      <c r="BM82" s="333">
        <f>IF(BK82=0,0,(BL82-BK82)/BK82*100)</f>
        <v>0</v>
      </c>
      <c r="BN82" s="1355">
        <f>SUM(BN83:BN84)</f>
        <v>0</v>
      </c>
      <c r="BO82" s="1355">
        <f>SUM(BO83:BO84)</f>
        <v>0</v>
      </c>
      <c r="BP82" s="333">
        <f>IF(BN82=0,0,(BO82-BN82)/BN82*100)</f>
        <v>0</v>
      </c>
      <c r="BQ82" s="1355">
        <f>SUM(BQ83:BQ84)</f>
        <v>0</v>
      </c>
      <c r="BR82" s="1355">
        <f>SUM(BR83:BR84)</f>
        <v>0</v>
      </c>
      <c r="BS82" s="333">
        <f>IF(BQ82=0,0,(BR82-BQ82)/BQ82*100)</f>
        <v>0</v>
      </c>
      <c r="BT82" s="1355">
        <f>SUM(BT83:BT84)</f>
        <v>0</v>
      </c>
      <c r="BU82" s="1355">
        <f>SUM(BU83:BU84)</f>
        <v>0</v>
      </c>
      <c r="BV82" s="333">
        <f>IF(BT82=0,0,(BU82-BT82)/BT82*100)</f>
        <v>0</v>
      </c>
      <c r="BW82" s="1355">
        <f>SUM(BW83:BW84)</f>
        <v>0</v>
      </c>
      <c r="BX82" s="1355">
        <f>SUM(BX83:BX84)</f>
        <v>0</v>
      </c>
      <c r="BY82" s="333">
        <f>IF(BW82=0,0,(BX82-BW82)/BW82*100)</f>
        <v>0</v>
      </c>
      <c r="BZ82" s="1355">
        <f>SUM(BZ83:BZ84)</f>
        <v>0</v>
      </c>
      <c r="CA82" s="1355">
        <f>SUM(CA83:CA84)</f>
        <v>0</v>
      </c>
      <c r="CB82" s="333">
        <f>IF(BZ82=0,0,(CA82-BZ82)/BZ82*100)</f>
        <v>0</v>
      </c>
      <c r="CC82" s="1355">
        <f>SUM(CC83:CC84)</f>
        <v>0</v>
      </c>
      <c r="CD82" s="1355">
        <f>SUM(CD83:CD84)</f>
        <v>0</v>
      </c>
      <c r="CE82" s="333">
        <f>IF(CC82=0,0,(CD82-CC82)/CC82*100)</f>
        <v>0</v>
      </c>
      <c r="CF82" s="1355">
        <f>SUM(CF83:CF84)</f>
        <v>0</v>
      </c>
      <c r="CG82" s="1355">
        <f>SUM(CG83:CG84)</f>
        <v>0</v>
      </c>
      <c r="CH82" s="333">
        <f>IF(CF82=0,0,(CG82-CF82)/CF82*100)</f>
        <v>0</v>
      </c>
      <c r="CI82" s="1355">
        <f>SUM(CI83:CI84)</f>
        <v>0</v>
      </c>
      <c r="CJ82" s="1355">
        <f>SUM(CJ83:CJ84)</f>
        <v>0</v>
      </c>
      <c r="CK82" s="333">
        <f>IF(CI82=0,0,(CJ82-CI82)/CI82*100)</f>
        <v>0</v>
      </c>
      <c r="CL82" s="1355">
        <f>SUM(CL83:CL84)</f>
        <v>0</v>
      </c>
      <c r="CM82" s="1355">
        <f>SUM(CM83:CM84)</f>
        <v>0</v>
      </c>
      <c r="CN82" s="333">
        <f>IF(CL82=0,0,(CM82-CL82)/CL82*100)</f>
        <v>0</v>
      </c>
      <c r="CO82" s="1355">
        <f>SUM(CO83:CO84)</f>
        <v>0</v>
      </c>
      <c r="CP82" s="1355">
        <f>SUM(CP83:CP84)</f>
        <v>0</v>
      </c>
      <c r="CQ82" s="333">
        <f>IF(CO82=0,0,(CP82-CO82)/CO82*100)</f>
        <v>0</v>
      </c>
      <c r="CR82" s="1355">
        <f>SUM(CR83:CR84)</f>
        <v>0</v>
      </c>
      <c r="CS82" s="1355">
        <f>SUM(CS83:CS84)</f>
        <v>0</v>
      </c>
      <c r="CT82" s="333">
        <f>IF(CR82=0,0,(CS82-CR82)/CR82*100)</f>
        <v>0</v>
      </c>
      <c r="CU82" s="1355">
        <f>SUM(CU83:CU84)</f>
        <v>0</v>
      </c>
      <c r="CV82" s="1355">
        <f>SUM(CV83:CV84)</f>
        <v>0</v>
      </c>
      <c r="CW82" s="333">
        <f>IF(CU82=0,0,(CV82-CU82)/CU82*100)</f>
        <v>0</v>
      </c>
      <c r="CX82" s="1355">
        <f>SUM(CX83:CX84)</f>
        <v>0</v>
      </c>
      <c r="CY82" s="1355">
        <f>SUM(CY83:CY84)</f>
        <v>0</v>
      </c>
      <c r="CZ82" s="333">
        <f>IF(CX82=0,0,(CY82-CX82)/CX82*100)</f>
        <v>0</v>
      </c>
      <c r="DA82" s="1355">
        <f>SUM(DA83:DA84)</f>
        <v>0</v>
      </c>
      <c r="DB82" s="1355">
        <f>SUM(DB83:DB84)</f>
        <v>0</v>
      </c>
      <c r="DC82" s="333">
        <f>IF(DA82=0,0,(DB82-DA82)/DA82*100)</f>
        <v>0</v>
      </c>
      <c r="DD82" s="1355">
        <f>SUM(DD83:DD84)</f>
        <v>0</v>
      </c>
      <c r="DE82" s="1355">
        <f>SUM(DE83:DE84)</f>
        <v>0</v>
      </c>
      <c r="DF82" s="333">
        <f>IF(DD82=0,0,(DE82-DD82)/DD82*100)</f>
        <v>0</v>
      </c>
      <c r="DG82" s="1355">
        <f>SUM(DG83:DG84)</f>
        <v>0</v>
      </c>
      <c r="DH82" s="1355">
        <f>SUM(DH83:DH84)</f>
        <v>0</v>
      </c>
      <c r="DI82" s="333">
        <f>IF(DG82=0,0,(DH82-DG82)/DG82*100)</f>
        <v>0</v>
      </c>
      <c r="DJ82" s="1355">
        <f>SUM(DJ83:DJ84)</f>
        <v>0</v>
      </c>
      <c r="DK82" s="1355">
        <f>SUM(DK83:DK84)</f>
        <v>0</v>
      </c>
      <c r="DL82" s="333">
        <f>IF(DJ82=0,0,(DK82-DJ82)/DJ82*100)</f>
        <v>0</v>
      </c>
      <c r="DM82" s="1355">
        <f>SUM(DM83:DM84)</f>
        <v>0</v>
      </c>
      <c r="DN82" s="1355">
        <f>SUM(DN83:DN84)</f>
        <v>0</v>
      </c>
      <c r="DO82" s="333">
        <f>IF(DM82=0,0,(DN82-DM82)/DM82*100)</f>
        <v>0</v>
      </c>
      <c r="DP82" s="1355">
        <f>SUM(DP83:DP84)</f>
        <v>0</v>
      </c>
      <c r="DQ82" s="1355">
        <f>SUM(DQ83:DQ84)</f>
        <v>0</v>
      </c>
      <c r="DR82" s="333">
        <f>IF(DP82=0,0,(DQ82-DP82)/DP82*100)</f>
        <v>0</v>
      </c>
      <c r="DS82" s="1355">
        <f>SUM(DS83:DS84)</f>
        <v>0</v>
      </c>
      <c r="DT82" s="1355">
        <f>SUM(DT83:DT84)</f>
        <v>0</v>
      </c>
      <c r="DU82" s="333">
        <f>IF(DS82=0,0,(DT82-DS82)/DS82*100)</f>
        <v>0</v>
      </c>
      <c r="DV82" s="1355">
        <f>SUM(DV83:DV84)</f>
        <v>0</v>
      </c>
      <c r="DW82" s="1355">
        <f>SUM(DW83:DW84)</f>
        <v>0</v>
      </c>
      <c r="DX82" s="333">
        <f>IF(DV82=0,0,(DW82-DV82)/DV82*100)</f>
        <v>0</v>
      </c>
      <c r="DY82" s="1355">
        <f>SUM(DY83:DY84)</f>
        <v>0</v>
      </c>
      <c r="DZ82" s="1355">
        <f>SUM(DZ83:DZ84)</f>
        <v>0</v>
      </c>
      <c r="EA82" s="333">
        <f>IF(DY82=0,0,(DZ82-DY82)/DY82*100)</f>
        <v>0</v>
      </c>
      <c r="EB82" s="1355">
        <f>SUM(EB83:EB84)</f>
        <v>0</v>
      </c>
      <c r="EC82" s="1355">
        <f>SUM(EC83:EC84)</f>
        <v>0</v>
      </c>
      <c r="ED82" s="333">
        <f>IF(EB82=0,0,(EC82-EB82)/EB82*100)</f>
        <v>0</v>
      </c>
      <c r="EE82" s="1355">
        <f>SUM(EE83:EE84)</f>
        <v>0</v>
      </c>
      <c r="EF82" s="1355">
        <f>SUM(EF83:EF84)</f>
        <v>0</v>
      </c>
      <c r="EG82" s="333">
        <f>IF(EE82=0,0,(EF82-EE82)/EE82*100)</f>
        <v>0</v>
      </c>
      <c r="EH82" s="1355">
        <f>SUM(EH83:EH84)</f>
        <v>0</v>
      </c>
      <c r="EI82" s="1355">
        <f>SUM(EI83:EI84)</f>
        <v>0</v>
      </c>
      <c r="EJ82" s="333">
        <f>IF(EH82=0,0,(EI82-EH82)/EH82*100)</f>
        <v>0</v>
      </c>
      <c r="EK82" s="1355">
        <f>SUM(EK83:EK84)</f>
        <v>0</v>
      </c>
      <c r="EL82" s="1355">
        <f>SUM(EL83:EL84)</f>
        <v>0</v>
      </c>
      <c r="EM82" s="333">
        <f>IF(EK82=0,0,(EL82-EK82)/EK82*100)</f>
        <v>0</v>
      </c>
      <c r="EN82" s="1355">
        <f>SUM(EN83:EN84)</f>
        <v>0</v>
      </c>
      <c r="EO82" s="1355">
        <f>SUM(EO83:EO84)</f>
        <v>0</v>
      </c>
      <c r="EP82" s="333">
        <f>IF(EN82=0,0,(EO82-EN82)/EN82*100)</f>
        <v>0</v>
      </c>
      <c r="EQ82" s="1355">
        <f>SUM(EQ83:EQ84)</f>
        <v>0</v>
      </c>
      <c r="ER82" s="1355">
        <f>SUM(ER83:ER84)</f>
        <v>0</v>
      </c>
      <c r="ES82" s="333">
        <f>IF(EQ82=0,0,(ER82-EQ82)/EQ82*100)</f>
        <v>0</v>
      </c>
      <c r="ET82" s="1355">
        <f>SUM(ET83:ET84)</f>
        <v>0</v>
      </c>
      <c r="EU82" s="1355">
        <f>SUM(EU83:EU84)</f>
        <v>0</v>
      </c>
      <c r="EV82" s="333">
        <f>IF(ET82=0,0,(EU82-ET82)/ET82*100)</f>
        <v>0</v>
      </c>
      <c r="EW82" s="1355">
        <f>SUM(EW83:EW84)</f>
        <v>0</v>
      </c>
      <c r="EX82" s="1355">
        <f>SUM(EX83:EX84)</f>
        <v>0</v>
      </c>
      <c r="EY82" s="333">
        <f>IF(EW82=0,0,(EX82-EW82)/EW82*100)</f>
        <v>0</v>
      </c>
      <c r="EZ82" s="1355">
        <f>SUM(EZ83:EZ84)</f>
        <v>0</v>
      </c>
      <c r="FA82" s="1355">
        <f>SUM(FA83:FA84)</f>
        <v>0</v>
      </c>
      <c r="FB82" s="333">
        <f>IF(EZ82=0,0,(FA82-EZ82)/EZ82*100)</f>
        <v>0</v>
      </c>
      <c r="FC82" s="1355">
        <f>SUM(FC83:FC84)</f>
        <v>0</v>
      </c>
      <c r="FD82" s="1355">
        <f>SUM(FD83:FD84)</f>
        <v>0</v>
      </c>
      <c r="FE82" s="333">
        <f>IF(FC82=0,0,(FD82-FC82)/FC82*100)</f>
        <v>0</v>
      </c>
      <c r="FF82" s="1355">
        <f>SUM(FF83:FF84)</f>
        <v>0</v>
      </c>
      <c r="FG82" s="1355">
        <f>SUM(FG83:FG84)</f>
        <v>0</v>
      </c>
      <c r="FH82" s="333">
        <f>IF(FF82=0,0,(FG82-FF82)/FF82*100)</f>
        <v>0</v>
      </c>
      <c r="FI82" s="1355">
        <f>SUM(FI83:FI84)</f>
        <v>0</v>
      </c>
      <c r="FJ82" s="1355">
        <f>SUM(FJ83:FJ84)</f>
        <v>0</v>
      </c>
      <c r="FK82" s="333">
        <f>IF(FI82=0,0,(FJ82-FI82)/FI82*100)</f>
        <v>0</v>
      </c>
      <c r="FL82" s="1355">
        <f>SUM(FL83:FL84)</f>
        <v>0</v>
      </c>
      <c r="FM82" s="1355">
        <f>SUM(FM83:FM84)</f>
        <v>0</v>
      </c>
      <c r="FN82" s="333">
        <f>IF(FL82=0,0,(FM82-FL82)/FL82*100)</f>
        <v>0</v>
      </c>
      <c r="FO82" s="1355">
        <f>SUM(FO83:FO84)</f>
        <v>0</v>
      </c>
      <c r="FP82" s="1355">
        <f>SUM(FP83:FP84)</f>
        <v>0</v>
      </c>
      <c r="FQ82" s="333">
        <f>IF(FO82=0,0,(FP82-FO82)/FO82*100)</f>
        <v>0</v>
      </c>
      <c r="FR82" s="1355">
        <f>SUM(FR83:FR84)</f>
        <v>0</v>
      </c>
      <c r="FS82" s="1355">
        <f>SUM(FS83:FS84)</f>
        <v>0</v>
      </c>
      <c r="FT82" s="333">
        <f>IF(FR82=0,0,(FS82-FR82)/FR82*100)</f>
        <v>0</v>
      </c>
      <c r="FU82" s="1355">
        <f>SUM(FU83:FU84)</f>
        <v>0</v>
      </c>
      <c r="FV82" s="1355">
        <f>SUM(FV83:FV84)</f>
        <v>0</v>
      </c>
      <c r="FW82" s="333">
        <f>IF(FU82=0,0,(FV82-FU82)/FU82*100)</f>
        <v>0</v>
      </c>
      <c r="FX82" s="417"/>
      <c r="FY82" s="417"/>
      <c r="FZ82" s="971" t="s">
        <v>2131</v>
      </c>
      <c r="GA82" s="971"/>
      <c r="GB82" s="971"/>
      <c r="GC82" s="971"/>
      <c r="GD82" s="971"/>
    </row>
    <row r="83" spans="1:186" s="1167" customFormat="1" ht="16.5" customHeight="1" x14ac:dyDescent="0.15">
      <c r="A83" s="1152"/>
      <c r="B83" s="803" t="b" cm="1">
        <f t="array" ref="B83">B82</f>
        <v>1</v>
      </c>
      <c r="C83" s="1108" t="s">
        <v>1747</v>
      </c>
      <c r="D83" s="1077" t="s">
        <v>1748</v>
      </c>
      <c r="E83" s="668">
        <v>17.100000000000001</v>
      </c>
      <c r="F83" s="769" t="str" cm="1">
        <f t="array" aca="1" ref="F83" ca="1">OFFSET(G83,-1,-1)</f>
        <v>1</v>
      </c>
      <c r="G83" s="140" t="s">
        <v>1749</v>
      </c>
      <c r="H83" s="417"/>
      <c r="I83" s="417"/>
      <c r="J83" s="1098" t="s">
        <v>2115</v>
      </c>
      <c r="K83" s="1098" t="str" cm="1">
        <f t="array" aca="1" ref="K83" ca="1">OFFSET(J83,-1,1)</f>
        <v>ТЭ.42.27968109.0001</v>
      </c>
      <c r="L83" s="1098" t="s">
        <v>2129</v>
      </c>
      <c r="M83" s="1098" t="s">
        <v>1750</v>
      </c>
      <c r="N83" s="1098" t="s">
        <v>2117</v>
      </c>
      <c r="O83" s="1099" t="s">
        <v>2118</v>
      </c>
      <c r="P83" s="1098"/>
      <c r="Q83" s="1098"/>
      <c r="R83" s="774"/>
      <c r="S83" s="417"/>
      <c r="T83" s="679" t="b" cm="1">
        <f t="array" aca="1" ref="T83" ca="1">T82</f>
        <v>1</v>
      </c>
      <c r="U83" s="1152"/>
      <c r="V83" s="1152"/>
      <c r="W83" s="1152"/>
      <c r="X83" s="1485"/>
      <c r="Y83" s="1152"/>
      <c r="Z83" s="1485"/>
      <c r="AA83" s="417"/>
      <c r="AB83" s="233" t="s">
        <v>1751</v>
      </c>
      <c r="AC83" s="120" t="s">
        <v>622</v>
      </c>
      <c r="AD83" s="1355">
        <f ca="1">IF(method_reg="Метод экономически обоснованных расходов",SUMIFS('Калькуляция (4.6)'!AJ$25:AJ$162,'Калькуляция (4.6)'!$F$25:$F$162,$F83,'Калькуляция (4.6)'!$G$25:$G$162,$G83),IF(method_reg="Метод сравнения аналогов",SUMIFS(INDEX('Калькуляция (МСА)'!$AE$25:$BC$82,,MATCH(AD$8,'Калькуляция (МСА)'!$AE$8:$BC$8,0)),'Калькуляция (МСА)'!$F$25:$F$82,$F83,'Калькуляция (МСА)'!$G$25:$G$82,$G83),SUMIFS(INDEX('Калькуляция (5.9)'!$AJ$25:$BC$137,,MATCH(AD$8,'Калькуляция (5.9)'!$AJ$8:$BC$8,0)),'Калькуляция (5.9)'!$F$25:$F$137,$F83,'Калькуляция (5.9)'!$G$25:$G$137,$G83)))</f>
        <v>33600.442000000003</v>
      </c>
      <c r="AE83" s="1355">
        <f ca="1">IF(method_reg="Метод экономически обоснованных расходов",SUMIFS('Калькуляция (4.6)'!AK$25:AK$162,'Калькуляция (4.6)'!$F$25:$F$162,$F83,'Калькуляция (4.6)'!$G$25:$G$162,$G83),IF(method_reg="Метод сравнения аналогов",SUMIFS(INDEX('Калькуляция (МСА)'!$AE$25:$BC$82,,MATCH(AE$8,'Калькуляция (МСА)'!$AE$8:$BC$8,0)),'Калькуляция (МСА)'!$F$25:$F$82,$F83,'Калькуляция (МСА)'!$G$25:$G$82,$G83),SUMIFS(INDEX('Калькуляция (5.9)'!$AJ$25:$BC$137,,MATCH(AE$8,'Калькуляция (5.9)'!$AJ$8:$BC$8,0)),'Калькуляция (5.9)'!$F$25:$F$137,$F83,'Калькуляция (5.9)'!$G$25:$G$137,$G83)))</f>
        <v>46985.242279999999</v>
      </c>
      <c r="AF83" s="333">
        <f ca="1">IF(AD83=0,0,(AE83-AD83)/AD83*100)</f>
        <v>39.835191096593299</v>
      </c>
      <c r="AG83" s="1350">
        <f ca="1">IF(method_reg="Метод сравнения аналогов",SUMIFS(INDEX('Калькуляция (МСА)'!$AE$25:$BC$82,,MATCH(AG$8,'Калькуляция (МСА)'!$AE$8:$BC$8,0)),'Калькуляция (МСА)'!$F$25:$F$82,$F83,'Калькуляция (МСА)'!$G$25:$G$82,$G83),SUMIFS(INDEX('Калькуляция (5.9)'!$AJ$25:$BC$137,,MATCH(AG$8,'Калькуляция (5.9)'!$AJ$8:$BC$8,0)),'Калькуляция (5.9)'!$F$25:$F$137,$F83,'Калькуляция (5.9)'!$G$25:$G$137,$G83))</f>
        <v>0</v>
      </c>
      <c r="AH83" s="1350">
        <f ca="1">IF(method_reg="Метод сравнения аналогов",SUMIFS(INDEX('Калькуляция (МСА)'!$AE$25:$BC$82,,MATCH(AH$8,'Калькуляция (МСА)'!$AE$8:$BC$8,0)),'Калькуляция (МСА)'!$F$25:$F$82,$F83,'Калькуляция (МСА)'!$G$25:$G$82,$G83),SUMIFS(INDEX('Калькуляция (5.9)'!$AJ$25:$BC$137,,MATCH(AH$8,'Калькуляция (5.9)'!$AJ$8:$BC$8,0)),'Калькуляция (5.9)'!$F$25:$F$137,$F83,'Калькуляция (5.9)'!$G$25:$G$137,$G83))</f>
        <v>0</v>
      </c>
      <c r="AI83" s="333">
        <f ca="1">IF(AG83=0,0,(AH83-AG83)/AG83*100)</f>
        <v>0</v>
      </c>
      <c r="AJ83" s="1350">
        <f ca="1">IF(method_reg="Метод сравнения аналогов",SUMIFS(INDEX('Калькуляция (МСА)'!$AE$25:$BC$82,,MATCH(AJ$8,'Калькуляция (МСА)'!$AE$8:$BC$8,0)),'Калькуляция (МСА)'!$F$25:$F$82,$F83,'Калькуляция (МСА)'!$G$25:$G$82,$G83),SUMIFS(INDEX('Калькуляция (5.9)'!$AJ$25:$BC$137,,MATCH(AJ$8,'Калькуляция (5.9)'!$AJ$8:$BC$8,0)),'Калькуляция (5.9)'!$F$25:$F$137,$F83,'Калькуляция (5.9)'!$G$25:$G$137,$G83))</f>
        <v>0</v>
      </c>
      <c r="AK83" s="1350">
        <f ca="1">IF(method_reg="Метод сравнения аналогов",SUMIFS(INDEX('Калькуляция (МСА)'!$AE$25:$BC$82,,MATCH(AK$8,'Калькуляция (МСА)'!$AE$8:$BC$8,0)),'Калькуляция (МСА)'!$F$25:$F$82,$F83,'Калькуляция (МСА)'!$G$25:$G$82,$G83),SUMIFS(INDEX('Калькуляция (5.9)'!$AJ$25:$BC$137,,MATCH(AK$8,'Калькуляция (5.9)'!$AJ$8:$BC$8,0)),'Калькуляция (5.9)'!$F$25:$F$137,$F83,'Калькуляция (5.9)'!$G$25:$G$137,$G83))</f>
        <v>0</v>
      </c>
      <c r="AL83" s="333">
        <f ca="1">IF(AJ83=0,0,(AK83-AJ83)/AJ83*100)</f>
        <v>0</v>
      </c>
      <c r="AM83" s="1355">
        <f ca="1">IF(method_reg="Метод сравнения аналогов",SUMIFS(INDEX('Калькуляция (МСА)'!$AE$25:$BC$82,,MATCH(AM$8,'Калькуляция (МСА)'!$AE$8:$BC$8,0)),'Калькуляция (МСА)'!$F$25:$F$82,$F83,'Калькуляция (МСА)'!$G$25:$G$82,$G83),SUMIFS(INDEX('Калькуляция (5.9)'!$AJ$25:$BC$137,,MATCH(AM$8,'Калькуляция (5.9)'!$AJ$8:$BC$8,0)),'Калькуляция (5.9)'!$F$25:$F$137,$F83,'Калькуляция (5.9)'!$G$25:$G$137,$G83))</f>
        <v>0</v>
      </c>
      <c r="AN83" s="1355">
        <f ca="1">IF(method_reg="Метод сравнения аналогов",SUMIFS(INDEX('Калькуляция (МСА)'!$AE$25:$BC$82,,MATCH(AN$8,'Калькуляция (МСА)'!$AE$8:$BC$8,0)),'Калькуляция (МСА)'!$F$25:$F$82,$F83,'Калькуляция (МСА)'!$G$25:$G$82,$G83),SUMIFS(INDEX('Калькуляция (5.9)'!$AJ$25:$BC$137,,MATCH(AN$8,'Калькуляция (5.9)'!$AJ$8:$BC$8,0)),'Калькуляция (5.9)'!$F$25:$F$137,$F83,'Калькуляция (5.9)'!$G$25:$G$137,$G83))</f>
        <v>0</v>
      </c>
      <c r="AO83" s="333">
        <f ca="1">IF(AM83=0,0,(AN83-AM83)/AM83*100)</f>
        <v>0</v>
      </c>
      <c r="AP83" s="1355">
        <f ca="1">IF(method_reg="Метод сравнения аналогов",SUMIFS(INDEX('Калькуляция (МСА)'!$AE$25:$BC$82,,MATCH(AP$8,'Калькуляция (МСА)'!$AE$8:$BC$8,0)),'Калькуляция (МСА)'!$F$25:$F$82,$F83,'Калькуляция (МСА)'!$G$25:$G$82,$G83),SUMIFS(INDEX('Калькуляция (5.9)'!$AJ$25:$BC$137,,MATCH(AP$8,'Калькуляция (5.9)'!$AJ$8:$BC$8,0)),'Калькуляция (5.9)'!$F$25:$F$137,$F83,'Калькуляция (5.9)'!$G$25:$G$137,$G83))</f>
        <v>0</v>
      </c>
      <c r="AQ83" s="1355">
        <f ca="1">IF(method_reg="Метод сравнения аналогов",SUMIFS(INDEX('Калькуляция (МСА)'!$AE$25:$BC$82,,MATCH(AQ$8,'Калькуляция (МСА)'!$AE$8:$BC$8,0)),'Калькуляция (МСА)'!$F$25:$F$82,$F83,'Калькуляция (МСА)'!$G$25:$G$82,$G83),SUMIFS(INDEX('Калькуляция (5.9)'!$AJ$25:$BC$137,,MATCH(AQ$8,'Калькуляция (5.9)'!$AJ$8:$BC$8,0)),'Калькуляция (5.9)'!$F$25:$F$137,$F83,'Калькуляция (5.9)'!$G$25:$G$137,$G83))</f>
        <v>0</v>
      </c>
      <c r="AR83" s="333">
        <f ca="1">IF(AP83=0,0,(AQ83-AP83)/AP83*100)</f>
        <v>0</v>
      </c>
      <c r="AS83" s="1355">
        <f ca="1">IF(method_reg="Метод сравнения аналогов",SUMIFS(INDEX('Калькуляция (МСА)'!$AE$25:$BC$82,,MATCH(AS$8,'Калькуляция (МСА)'!$AE$8:$BC$8,0)),'Калькуляция (МСА)'!$F$25:$F$82,$F83,'Калькуляция (МСА)'!$G$25:$G$82,$G83),SUMIFS(INDEX('Калькуляция (5.9)'!$AJ$25:$BC$137,,MATCH(AS$8,'Калькуляция (5.9)'!$AJ$8:$BC$8,0)),'Калькуляция (5.9)'!$F$25:$F$137,$F83,'Калькуляция (5.9)'!$G$25:$G$137,$G83))</f>
        <v>0</v>
      </c>
      <c r="AT83" s="1355">
        <f ca="1">IF(method_reg="Метод сравнения аналогов",SUMIFS(INDEX('Калькуляция (МСА)'!$AE$25:$BC$82,,MATCH(AT$8,'Калькуляция (МСА)'!$AE$8:$BC$8,0)),'Калькуляция (МСА)'!$F$25:$F$82,$F83,'Калькуляция (МСА)'!$G$25:$G$82,$G83),SUMIFS(INDEX('Калькуляция (5.9)'!$AJ$25:$BC$137,,MATCH(AT$8,'Калькуляция (5.9)'!$AJ$8:$BC$8,0)),'Калькуляция (5.9)'!$F$25:$F$137,$F83,'Калькуляция (5.9)'!$G$25:$G$137,$G83))</f>
        <v>0</v>
      </c>
      <c r="AU83" s="333">
        <f ca="1">IF(AS83=0,0,(AT83-AS83)/AS83*100)</f>
        <v>0</v>
      </c>
      <c r="AV83" s="1355">
        <f ca="1">IF(method_reg="Метод сравнения аналогов",SUMIFS(INDEX('Калькуляция (МСА)'!$AE$25:$BC$82,,MATCH(AV$8,'Калькуляция (МСА)'!$AE$8:$BC$8,0)),'Калькуляция (МСА)'!$F$25:$F$82,$F83,'Калькуляция (МСА)'!$G$25:$G$82,$G83),SUMIFS(INDEX('Калькуляция (5.9)'!$AJ$25:$BC$137,,MATCH(AV$8,'Калькуляция (5.9)'!$AJ$8:$BC$8,0)),'Калькуляция (5.9)'!$F$25:$F$137,$F83,'Калькуляция (5.9)'!$G$25:$G$137,$G83))</f>
        <v>0</v>
      </c>
      <c r="AW83" s="1355">
        <f ca="1">IF(method_reg="Метод сравнения аналогов",SUMIFS(INDEX('Калькуляция (МСА)'!$AE$25:$BC$82,,MATCH(AW$8,'Калькуляция (МСА)'!$AE$8:$BC$8,0)),'Калькуляция (МСА)'!$F$25:$F$82,$F83,'Калькуляция (МСА)'!$G$25:$G$82,$G83),SUMIFS(INDEX('Калькуляция (5.9)'!$AJ$25:$BC$137,,MATCH(AW$8,'Калькуляция (5.9)'!$AJ$8:$BC$8,0)),'Калькуляция (5.9)'!$F$25:$F$137,$F83,'Калькуляция (5.9)'!$G$25:$G$137,$G83))</f>
        <v>0</v>
      </c>
      <c r="AX83" s="333">
        <f ca="1">IF(AV83=0,0,(AW83-AV83)/AV83*100)</f>
        <v>0</v>
      </c>
      <c r="AY83" s="1355">
        <f ca="1">IF(method_reg="Метод сравнения аналогов",SUMIFS(INDEX('Калькуляция (МСА)'!$AE$25:$BC$82,,MATCH(AY$8,'Калькуляция (МСА)'!$AE$8:$BC$8,0)),'Калькуляция (МСА)'!$F$25:$F$82,$F83,'Калькуляция (МСА)'!$G$25:$G$82,$G83),SUMIFS(INDEX('Калькуляция (5.9)'!$AJ$25:$BC$137,,MATCH(AY$8,'Калькуляция (5.9)'!$AJ$8:$BC$8,0)),'Калькуляция (5.9)'!$F$25:$F$137,$F83,'Калькуляция (5.9)'!$G$25:$G$137,$G83))</f>
        <v>0</v>
      </c>
      <c r="AZ83" s="1355">
        <f ca="1">IF(method_reg="Метод сравнения аналогов",SUMIFS(INDEX('Калькуляция (МСА)'!$AE$25:$BC$82,,MATCH(AZ$8,'Калькуляция (МСА)'!$AE$8:$BC$8,0)),'Калькуляция (МСА)'!$F$25:$F$82,$F83,'Калькуляция (МСА)'!$G$25:$G$82,$G83),SUMIFS(INDEX('Калькуляция (5.9)'!$AJ$25:$BC$137,,MATCH(AZ$8,'Калькуляция (5.9)'!$AJ$8:$BC$8,0)),'Калькуляция (5.9)'!$F$25:$F$137,$F83,'Калькуляция (5.9)'!$G$25:$G$137,$G83))</f>
        <v>0</v>
      </c>
      <c r="BA83" s="333">
        <f ca="1">IF(AY83=0,0,(AZ83-AY83)/AY83*100)</f>
        <v>0</v>
      </c>
      <c r="BB83" s="1355">
        <f ca="1">IF(method_reg="Метод сравнения аналогов",SUMIFS(INDEX('Калькуляция (МСА)'!$AE$25:$BC$82,,MATCH(BB$8,'Калькуляция (МСА)'!$AE$8:$BC$8,0)),'Калькуляция (МСА)'!$F$25:$F$82,$F83,'Калькуляция (МСА)'!$G$25:$G$82,$G83),SUMIFS(INDEX('Калькуляция (5.9)'!$AJ$25:$BC$137,,MATCH(BB$8,'Калькуляция (5.9)'!$AJ$8:$BC$8,0)),'Калькуляция (5.9)'!$F$25:$F$137,$F83,'Калькуляция (5.9)'!$G$25:$G$137,$G83))</f>
        <v>0</v>
      </c>
      <c r="BC83" s="1355">
        <f ca="1">IF(method_reg="Метод сравнения аналогов",SUMIFS(INDEX('Калькуляция (МСА)'!$AE$25:$BC$82,,MATCH(BC$8,'Калькуляция (МСА)'!$AE$8:$BC$8,0)),'Калькуляция (МСА)'!$F$25:$F$82,$F83,'Калькуляция (МСА)'!$G$25:$G$82,$G83),SUMIFS(INDEX('Калькуляция (5.9)'!$AJ$25:$BC$137,,MATCH(BC$8,'Калькуляция (5.9)'!$AJ$8:$BC$8,0)),'Калькуляция (5.9)'!$F$25:$F$137,$F83,'Калькуляция (5.9)'!$G$25:$G$137,$G83))</f>
        <v>0</v>
      </c>
      <c r="BD83" s="333">
        <f ca="1">IF(BB83=0,0,(BC83-BB83)/BB83*100)</f>
        <v>0</v>
      </c>
      <c r="BE83" s="1355">
        <f ca="1">IF(method_reg="Метод сравнения аналогов",SUMIFS(INDEX('Калькуляция (МСА)'!$AE$25:$BC$82,,MATCH(BE$8,'Калькуляция (МСА)'!$AE$8:$BC$8,0)),'Калькуляция (МСА)'!$F$25:$F$82,$F83,'Калькуляция (МСА)'!$G$25:$G$82,$G83),SUMIFS(INDEX('Калькуляция (5.9)'!$AJ$25:$BC$137,,MATCH(BE$8,'Калькуляция (5.9)'!$AJ$8:$BC$8,0)),'Калькуляция (5.9)'!$F$25:$F$137,$F83,'Калькуляция (5.9)'!$G$25:$G$137,$G83))</f>
        <v>0</v>
      </c>
      <c r="BF83" s="1355">
        <f ca="1">IF(method_reg="Метод сравнения аналогов",SUMIFS(INDEX('Калькуляция (МСА)'!$AE$25:$BC$82,,MATCH(BF$8,'Калькуляция (МСА)'!$AE$8:$BC$8,0)),'Калькуляция (МСА)'!$F$25:$F$82,$F83,'Калькуляция (МСА)'!$G$25:$G$82,$G83),SUMIFS(INDEX('Калькуляция (5.9)'!$AJ$25:$BC$137,,MATCH(BF$8,'Калькуляция (5.9)'!$AJ$8:$BC$8,0)),'Калькуляция (5.9)'!$F$25:$F$137,$F83,'Калькуляция (5.9)'!$G$25:$G$137,$G83))</f>
        <v>0</v>
      </c>
      <c r="BG83" s="333">
        <f ca="1">IF(BE83=0,0,(BF83-BE83)/BE83*100)</f>
        <v>0</v>
      </c>
      <c r="BH83" s="1355"/>
      <c r="BI83" s="1355"/>
      <c r="BJ83" s="333">
        <f>IF(BH83=0,0,(BI83-BH83)/BH83*100)</f>
        <v>0</v>
      </c>
      <c r="BK83" s="1355"/>
      <c r="BL83" s="1355"/>
      <c r="BM83" s="333">
        <f>IF(BK83=0,0,(BL83-BK83)/BK83*100)</f>
        <v>0</v>
      </c>
      <c r="BN83" s="1355"/>
      <c r="BO83" s="1355"/>
      <c r="BP83" s="333">
        <f>IF(BN83=0,0,(BO83-BN83)/BN83*100)</f>
        <v>0</v>
      </c>
      <c r="BQ83" s="1355"/>
      <c r="BR83" s="1355"/>
      <c r="BS83" s="333">
        <f>IF(BQ83=0,0,(BR83-BQ83)/BQ83*100)</f>
        <v>0</v>
      </c>
      <c r="BT83" s="1355"/>
      <c r="BU83" s="1355"/>
      <c r="BV83" s="333">
        <f>IF(BT83=0,0,(BU83-BT83)/BT83*100)</f>
        <v>0</v>
      </c>
      <c r="BW83" s="1355"/>
      <c r="BX83" s="1355"/>
      <c r="BY83" s="333">
        <f>IF(BW83=0,0,(BX83-BW83)/BW83*100)</f>
        <v>0</v>
      </c>
      <c r="BZ83" s="1355"/>
      <c r="CA83" s="1355"/>
      <c r="CB83" s="333">
        <f>IF(BZ83=0,0,(CA83-BZ83)/BZ83*100)</f>
        <v>0</v>
      </c>
      <c r="CC83" s="1355"/>
      <c r="CD83" s="1355"/>
      <c r="CE83" s="333">
        <f>IF(CC83=0,0,(CD83-CC83)/CC83*100)</f>
        <v>0</v>
      </c>
      <c r="CF83" s="1355"/>
      <c r="CG83" s="1355"/>
      <c r="CH83" s="333">
        <f>IF(CF83=0,0,(CG83-CF83)/CF83*100)</f>
        <v>0</v>
      </c>
      <c r="CI83" s="1355"/>
      <c r="CJ83" s="1355"/>
      <c r="CK83" s="333">
        <f>IF(CI83=0,0,(CJ83-CI83)/CI83*100)</f>
        <v>0</v>
      </c>
      <c r="CL83" s="1355"/>
      <c r="CM83" s="1355"/>
      <c r="CN83" s="333">
        <f>IF(CL83=0,0,(CM83-CL83)/CL83*100)</f>
        <v>0</v>
      </c>
      <c r="CO83" s="1355"/>
      <c r="CP83" s="1355"/>
      <c r="CQ83" s="333">
        <f>IF(CO83=0,0,(CP83-CO83)/CO83*100)</f>
        <v>0</v>
      </c>
      <c r="CR83" s="1355"/>
      <c r="CS83" s="1355"/>
      <c r="CT83" s="333">
        <f>IF(CR83=0,0,(CS83-CR83)/CR83*100)</f>
        <v>0</v>
      </c>
      <c r="CU83" s="1355"/>
      <c r="CV83" s="1355"/>
      <c r="CW83" s="333">
        <f>IF(CU83=0,0,(CV83-CU83)/CU83*100)</f>
        <v>0</v>
      </c>
      <c r="CX83" s="1355"/>
      <c r="CY83" s="1355"/>
      <c r="CZ83" s="333">
        <f>IF(CX83=0,0,(CY83-CX83)/CX83*100)</f>
        <v>0</v>
      </c>
      <c r="DA83" s="1355"/>
      <c r="DB83" s="1355"/>
      <c r="DC83" s="333">
        <f>IF(DA83=0,0,(DB83-DA83)/DA83*100)</f>
        <v>0</v>
      </c>
      <c r="DD83" s="1355"/>
      <c r="DE83" s="1355"/>
      <c r="DF83" s="333">
        <f>IF(DD83=0,0,(DE83-DD83)/DD83*100)</f>
        <v>0</v>
      </c>
      <c r="DG83" s="1355"/>
      <c r="DH83" s="1355"/>
      <c r="DI83" s="333">
        <f>IF(DG83=0,0,(DH83-DG83)/DG83*100)</f>
        <v>0</v>
      </c>
      <c r="DJ83" s="1355"/>
      <c r="DK83" s="1355"/>
      <c r="DL83" s="333">
        <f>IF(DJ83=0,0,(DK83-DJ83)/DJ83*100)</f>
        <v>0</v>
      </c>
      <c r="DM83" s="1355"/>
      <c r="DN83" s="1355"/>
      <c r="DO83" s="333">
        <f>IF(DM83=0,0,(DN83-DM83)/DM83*100)</f>
        <v>0</v>
      </c>
      <c r="DP83" s="1355"/>
      <c r="DQ83" s="1355"/>
      <c r="DR83" s="333">
        <f>IF(DP83=0,0,(DQ83-DP83)/DP83*100)</f>
        <v>0</v>
      </c>
      <c r="DS83" s="1355"/>
      <c r="DT83" s="1355"/>
      <c r="DU83" s="333">
        <f>IF(DS83=0,0,(DT83-DS83)/DS83*100)</f>
        <v>0</v>
      </c>
      <c r="DV83" s="1355"/>
      <c r="DW83" s="1355"/>
      <c r="DX83" s="333">
        <f>IF(DV83=0,0,(DW83-DV83)/DV83*100)</f>
        <v>0</v>
      </c>
      <c r="DY83" s="1355"/>
      <c r="DZ83" s="1355"/>
      <c r="EA83" s="333">
        <f>IF(DY83=0,0,(DZ83-DY83)/DY83*100)</f>
        <v>0</v>
      </c>
      <c r="EB83" s="1355"/>
      <c r="EC83" s="1355"/>
      <c r="ED83" s="333">
        <f>IF(EB83=0,0,(EC83-EB83)/EB83*100)</f>
        <v>0</v>
      </c>
      <c r="EE83" s="1355"/>
      <c r="EF83" s="1355"/>
      <c r="EG83" s="333">
        <f>IF(EE83=0,0,(EF83-EE83)/EE83*100)</f>
        <v>0</v>
      </c>
      <c r="EH83" s="1355"/>
      <c r="EI83" s="1355"/>
      <c r="EJ83" s="333">
        <f>IF(EH83=0,0,(EI83-EH83)/EH83*100)</f>
        <v>0</v>
      </c>
      <c r="EK83" s="1355"/>
      <c r="EL83" s="1355"/>
      <c r="EM83" s="333">
        <f>IF(EK83=0,0,(EL83-EK83)/EK83*100)</f>
        <v>0</v>
      </c>
      <c r="EN83" s="1355"/>
      <c r="EO83" s="1355"/>
      <c r="EP83" s="333">
        <f>IF(EN83=0,0,(EO83-EN83)/EN83*100)</f>
        <v>0</v>
      </c>
      <c r="EQ83" s="1355"/>
      <c r="ER83" s="1355"/>
      <c r="ES83" s="333">
        <f>IF(EQ83=0,0,(ER83-EQ83)/EQ83*100)</f>
        <v>0</v>
      </c>
      <c r="ET83" s="1355"/>
      <c r="EU83" s="1355"/>
      <c r="EV83" s="333">
        <f>IF(ET83=0,0,(EU83-ET83)/ET83*100)</f>
        <v>0</v>
      </c>
      <c r="EW83" s="1355"/>
      <c r="EX83" s="1355"/>
      <c r="EY83" s="333">
        <f>IF(EW83=0,0,(EX83-EW83)/EW83*100)</f>
        <v>0</v>
      </c>
      <c r="EZ83" s="1355"/>
      <c r="FA83" s="1355"/>
      <c r="FB83" s="333">
        <f>IF(EZ83=0,0,(FA83-EZ83)/EZ83*100)</f>
        <v>0</v>
      </c>
      <c r="FC83" s="1355"/>
      <c r="FD83" s="1355"/>
      <c r="FE83" s="333">
        <f>IF(FC83=0,0,(FD83-FC83)/FC83*100)</f>
        <v>0</v>
      </c>
      <c r="FF83" s="1355"/>
      <c r="FG83" s="1355"/>
      <c r="FH83" s="333">
        <f>IF(FF83=0,0,(FG83-FF83)/FF83*100)</f>
        <v>0</v>
      </c>
      <c r="FI83" s="1355"/>
      <c r="FJ83" s="1355"/>
      <c r="FK83" s="333">
        <f>IF(FI83=0,0,(FJ83-FI83)/FI83*100)</f>
        <v>0</v>
      </c>
      <c r="FL83" s="1355"/>
      <c r="FM83" s="1355"/>
      <c r="FN83" s="333">
        <f>IF(FL83=0,0,(FM83-FL83)/FL83*100)</f>
        <v>0</v>
      </c>
      <c r="FO83" s="1355"/>
      <c r="FP83" s="1355"/>
      <c r="FQ83" s="333">
        <f>IF(FO83=0,0,(FP83-FO83)/FO83*100)</f>
        <v>0</v>
      </c>
      <c r="FR83" s="1355"/>
      <c r="FS83" s="1355"/>
      <c r="FT83" s="333">
        <f>IF(FR83=0,0,(FS83-FR83)/FR83*100)</f>
        <v>0</v>
      </c>
      <c r="FU83" s="1355"/>
      <c r="FV83" s="1355"/>
      <c r="FW83" s="333">
        <f>IF(FU83=0,0,(FV83-FU83)/FU83*100)</f>
        <v>0</v>
      </c>
      <c r="FX83" s="417"/>
      <c r="FY83" s="417"/>
      <c r="FZ83" s="971" t="s">
        <v>2132</v>
      </c>
      <c r="GA83" s="971"/>
      <c r="GB83" s="971"/>
      <c r="GC83" s="971"/>
      <c r="GD83" s="971"/>
    </row>
    <row r="84" spans="1:186" s="1167" customFormat="1" ht="16.5" customHeight="1" x14ac:dyDescent="0.15">
      <c r="A84" s="1152"/>
      <c r="B84" s="803" t="b" cm="1">
        <f t="array" ref="B84">B83</f>
        <v>1</v>
      </c>
      <c r="C84" s="1108" t="s">
        <v>1747</v>
      </c>
      <c r="D84" s="1077" t="s">
        <v>1748</v>
      </c>
      <c r="E84" s="668">
        <v>17.100000000000001</v>
      </c>
      <c r="F84" s="769" t="str" cm="1">
        <f t="array" aca="1" ref="F84" ca="1">OFFSET(G84,-1,-1)</f>
        <v>1</v>
      </c>
      <c r="G84" s="140" t="s">
        <v>1758</v>
      </c>
      <c r="H84" s="417"/>
      <c r="I84" s="417"/>
      <c r="J84" s="1098" t="s">
        <v>2115</v>
      </c>
      <c r="K84" s="1098" t="str" cm="1">
        <f t="array" aca="1" ref="K84" ca="1">OFFSET(J84,-1,1)</f>
        <v>ТЭ.42.27968109.0001</v>
      </c>
      <c r="L84" s="1098" t="s">
        <v>2129</v>
      </c>
      <c r="M84" s="1098" t="s">
        <v>1759</v>
      </c>
      <c r="N84" s="1098" t="s">
        <v>2117</v>
      </c>
      <c r="O84" s="1099" t="s">
        <v>2118</v>
      </c>
      <c r="P84" s="1098"/>
      <c r="Q84" s="1098"/>
      <c r="R84" s="774"/>
      <c r="S84" s="417"/>
      <c r="T84" s="679" t="b" cm="1">
        <f t="array" aca="1" ref="T84" ca="1">T83</f>
        <v>1</v>
      </c>
      <c r="U84" s="1152"/>
      <c r="V84" s="1152"/>
      <c r="W84" s="1152"/>
      <c r="X84" s="1485"/>
      <c r="Y84" s="1152"/>
      <c r="Z84" s="1485"/>
      <c r="AA84" s="417"/>
      <c r="AB84" s="233" t="s">
        <v>1760</v>
      </c>
      <c r="AC84" s="120" t="s">
        <v>622</v>
      </c>
      <c r="AD84" s="1355">
        <f ca="1">IF(method_reg="Метод экономически обоснованных расходов",SUMIFS('Калькуляция (4.6)'!AJ$25:AJ$162,'Калькуляция (4.6)'!$F$25:$F$162,$F84,'Калькуляция (4.6)'!$G$25:$G$162,$G84),IF(method_reg="Метод сравнения аналогов",SUMIFS(INDEX('Калькуляция (МСА)'!$AE$25:$BC$82,,MATCH(AD$8,'Калькуляция (МСА)'!$AE$8:$BC$8,0)),'Калькуляция (МСА)'!$F$25:$F$82,$F84,'Калькуляция (МСА)'!$G$25:$G$82,$G84),SUMIFS(INDEX('Калькуляция (5.9)'!$AJ$25:$BC$137,,MATCH(AD$8,'Калькуляция (5.9)'!$AJ$8:$BC$8,0)),'Калькуляция (5.9)'!$F$25:$F$137,$F84,'Калькуляция (5.9)'!$G$25:$G$137,$G84)))</f>
        <v>31508.597999999991</v>
      </c>
      <c r="AE84" s="1355">
        <f ca="1">IF(method_reg="Метод экономически обоснованных расходов",SUMIFS('Калькуляция (4.6)'!AK$25:AK$162,'Калькуляция (4.6)'!$F$25:$F$162,$F84,'Калькуляция (4.6)'!$G$25:$G$162,$G84),IF(method_reg="Метод сравнения аналогов",SUMIFS(INDEX('Калькуляция (МСА)'!$AE$25:$BC$82,,MATCH(AE$8,'Калькуляция (МСА)'!$AE$8:$BC$8,0)),'Калькуляция (МСА)'!$F$25:$F$82,$F84,'Калькуляция (МСА)'!$G$25:$G$82,$G84),SUMIFS(INDEX('Калькуляция (5.9)'!$AJ$25:$BC$137,,MATCH(AE$8,'Калькуляция (5.9)'!$AJ$8:$BC$8,0)),'Калькуляция (5.9)'!$F$25:$F$137,$F84,'Калькуляция (5.9)'!$G$25:$G$137,$G84)))</f>
        <v>18123.757720000001</v>
      </c>
      <c r="AF84" s="333">
        <f ca="1">IF(AD84=0,0,(AE84-AD84)/AD84*100)</f>
        <v>-42.4799614378272</v>
      </c>
      <c r="AG84" s="1350">
        <f ca="1">IF(method_reg="Метод сравнения аналогов",SUMIFS(INDEX('Калькуляция (МСА)'!$AE$25:$BC$82,,MATCH(AG$8,'Калькуляция (МСА)'!$AE$8:$BC$8,0)),'Калькуляция (МСА)'!$F$25:$F$82,$F84,'Калькуляция (МСА)'!$G$25:$G$82,$G84),SUMIFS(INDEX('Калькуляция (5.9)'!$AJ$25:$BC$137,,MATCH(AG$8,'Калькуляция (5.9)'!$AJ$8:$BC$8,0)),'Калькуляция (5.9)'!$F$25:$F$137,$F84,'Калькуляция (5.9)'!$G$25:$G$137,$G84))</f>
        <v>0</v>
      </c>
      <c r="AH84" s="1350">
        <f ca="1">IF(method_reg="Метод сравнения аналогов",SUMIFS(INDEX('Калькуляция (МСА)'!$AE$25:$BC$82,,MATCH(AH$8,'Калькуляция (МСА)'!$AE$8:$BC$8,0)),'Калькуляция (МСА)'!$F$25:$F$82,$F84,'Калькуляция (МСА)'!$G$25:$G$82,$G84),SUMIFS(INDEX('Калькуляция (5.9)'!$AJ$25:$BC$137,,MATCH(AH$8,'Калькуляция (5.9)'!$AJ$8:$BC$8,0)),'Калькуляция (5.9)'!$F$25:$F$137,$F84,'Калькуляция (5.9)'!$G$25:$G$137,$G84))</f>
        <v>0</v>
      </c>
      <c r="AI84" s="333">
        <f ca="1">IF(AG84=0,0,(AH84-AG84)/AG84*100)</f>
        <v>0</v>
      </c>
      <c r="AJ84" s="1350">
        <f ca="1">IF(method_reg="Метод сравнения аналогов",SUMIFS(INDEX('Калькуляция (МСА)'!$AE$25:$BC$82,,MATCH(AJ$8,'Калькуляция (МСА)'!$AE$8:$BC$8,0)),'Калькуляция (МСА)'!$F$25:$F$82,$F84,'Калькуляция (МСА)'!$G$25:$G$82,$G84),SUMIFS(INDEX('Калькуляция (5.9)'!$AJ$25:$BC$137,,MATCH(AJ$8,'Калькуляция (5.9)'!$AJ$8:$BC$8,0)),'Калькуляция (5.9)'!$F$25:$F$137,$F84,'Калькуляция (5.9)'!$G$25:$G$137,$G84))</f>
        <v>0</v>
      </c>
      <c r="AK84" s="1350">
        <f ca="1">IF(method_reg="Метод сравнения аналогов",SUMIFS(INDEX('Калькуляция (МСА)'!$AE$25:$BC$82,,MATCH(AK$8,'Калькуляция (МСА)'!$AE$8:$BC$8,0)),'Калькуляция (МСА)'!$F$25:$F$82,$F84,'Калькуляция (МСА)'!$G$25:$G$82,$G84),SUMIFS(INDEX('Калькуляция (5.9)'!$AJ$25:$BC$137,,MATCH(AK$8,'Калькуляция (5.9)'!$AJ$8:$BC$8,0)),'Калькуляция (5.9)'!$F$25:$F$137,$F84,'Калькуляция (5.9)'!$G$25:$G$137,$G84))</f>
        <v>0</v>
      </c>
      <c r="AL84" s="333">
        <f ca="1">IF(AJ84=0,0,(AK84-AJ84)/AJ84*100)</f>
        <v>0</v>
      </c>
      <c r="AM84" s="1355">
        <f ca="1">IF(method_reg="Метод сравнения аналогов",SUMIFS(INDEX('Калькуляция (МСА)'!$AE$25:$BC$82,,MATCH(AM$8,'Калькуляция (МСА)'!$AE$8:$BC$8,0)),'Калькуляция (МСА)'!$F$25:$F$82,$F84,'Калькуляция (МСА)'!$G$25:$G$82,$G84),SUMIFS(INDEX('Калькуляция (5.9)'!$AJ$25:$BC$137,,MATCH(AM$8,'Калькуляция (5.9)'!$AJ$8:$BC$8,0)),'Калькуляция (5.9)'!$F$25:$F$137,$F84,'Калькуляция (5.9)'!$G$25:$G$137,$G84))</f>
        <v>0</v>
      </c>
      <c r="AN84" s="1355">
        <f ca="1">IF(method_reg="Метод сравнения аналогов",SUMIFS(INDEX('Калькуляция (МСА)'!$AE$25:$BC$82,,MATCH(AN$8,'Калькуляция (МСА)'!$AE$8:$BC$8,0)),'Калькуляция (МСА)'!$F$25:$F$82,$F84,'Калькуляция (МСА)'!$G$25:$G$82,$G84),SUMIFS(INDEX('Калькуляция (5.9)'!$AJ$25:$BC$137,,MATCH(AN$8,'Калькуляция (5.9)'!$AJ$8:$BC$8,0)),'Калькуляция (5.9)'!$F$25:$F$137,$F84,'Калькуляция (5.9)'!$G$25:$G$137,$G84))</f>
        <v>0</v>
      </c>
      <c r="AO84" s="333">
        <f ca="1">IF(AM84=0,0,(AN84-AM84)/AM84*100)</f>
        <v>0</v>
      </c>
      <c r="AP84" s="1355">
        <f ca="1">IF(method_reg="Метод сравнения аналогов",SUMIFS(INDEX('Калькуляция (МСА)'!$AE$25:$BC$82,,MATCH(AP$8,'Калькуляция (МСА)'!$AE$8:$BC$8,0)),'Калькуляция (МСА)'!$F$25:$F$82,$F84,'Калькуляция (МСА)'!$G$25:$G$82,$G84),SUMIFS(INDEX('Калькуляция (5.9)'!$AJ$25:$BC$137,,MATCH(AP$8,'Калькуляция (5.9)'!$AJ$8:$BC$8,0)),'Калькуляция (5.9)'!$F$25:$F$137,$F84,'Калькуляция (5.9)'!$G$25:$G$137,$G84))</f>
        <v>0</v>
      </c>
      <c r="AQ84" s="1355">
        <f ca="1">IF(method_reg="Метод сравнения аналогов",SUMIFS(INDEX('Калькуляция (МСА)'!$AE$25:$BC$82,,MATCH(AQ$8,'Калькуляция (МСА)'!$AE$8:$BC$8,0)),'Калькуляция (МСА)'!$F$25:$F$82,$F84,'Калькуляция (МСА)'!$G$25:$G$82,$G84),SUMIFS(INDEX('Калькуляция (5.9)'!$AJ$25:$BC$137,,MATCH(AQ$8,'Калькуляция (5.9)'!$AJ$8:$BC$8,0)),'Калькуляция (5.9)'!$F$25:$F$137,$F84,'Калькуляция (5.9)'!$G$25:$G$137,$G84))</f>
        <v>0</v>
      </c>
      <c r="AR84" s="333">
        <f ca="1">IF(AP84=0,0,(AQ84-AP84)/AP84*100)</f>
        <v>0</v>
      </c>
      <c r="AS84" s="1355">
        <f ca="1">IF(method_reg="Метод сравнения аналогов",SUMIFS(INDEX('Калькуляция (МСА)'!$AE$25:$BC$82,,MATCH(AS$8,'Калькуляция (МСА)'!$AE$8:$BC$8,0)),'Калькуляция (МСА)'!$F$25:$F$82,$F84,'Калькуляция (МСА)'!$G$25:$G$82,$G84),SUMIFS(INDEX('Калькуляция (5.9)'!$AJ$25:$BC$137,,MATCH(AS$8,'Калькуляция (5.9)'!$AJ$8:$BC$8,0)),'Калькуляция (5.9)'!$F$25:$F$137,$F84,'Калькуляция (5.9)'!$G$25:$G$137,$G84))</f>
        <v>0</v>
      </c>
      <c r="AT84" s="1355">
        <f ca="1">IF(method_reg="Метод сравнения аналогов",SUMIFS(INDEX('Калькуляция (МСА)'!$AE$25:$BC$82,,MATCH(AT$8,'Калькуляция (МСА)'!$AE$8:$BC$8,0)),'Калькуляция (МСА)'!$F$25:$F$82,$F84,'Калькуляция (МСА)'!$G$25:$G$82,$G84),SUMIFS(INDEX('Калькуляция (5.9)'!$AJ$25:$BC$137,,MATCH(AT$8,'Калькуляция (5.9)'!$AJ$8:$BC$8,0)),'Калькуляция (5.9)'!$F$25:$F$137,$F84,'Калькуляция (5.9)'!$G$25:$G$137,$G84))</f>
        <v>0</v>
      </c>
      <c r="AU84" s="333">
        <f ca="1">IF(AS84=0,0,(AT84-AS84)/AS84*100)</f>
        <v>0</v>
      </c>
      <c r="AV84" s="1355">
        <f ca="1">IF(method_reg="Метод сравнения аналогов",SUMIFS(INDEX('Калькуляция (МСА)'!$AE$25:$BC$82,,MATCH(AV$8,'Калькуляция (МСА)'!$AE$8:$BC$8,0)),'Калькуляция (МСА)'!$F$25:$F$82,$F84,'Калькуляция (МСА)'!$G$25:$G$82,$G84),SUMIFS(INDEX('Калькуляция (5.9)'!$AJ$25:$BC$137,,MATCH(AV$8,'Калькуляция (5.9)'!$AJ$8:$BC$8,0)),'Калькуляция (5.9)'!$F$25:$F$137,$F84,'Калькуляция (5.9)'!$G$25:$G$137,$G84))</f>
        <v>0</v>
      </c>
      <c r="AW84" s="1355">
        <f ca="1">IF(method_reg="Метод сравнения аналогов",SUMIFS(INDEX('Калькуляция (МСА)'!$AE$25:$BC$82,,MATCH(AW$8,'Калькуляция (МСА)'!$AE$8:$BC$8,0)),'Калькуляция (МСА)'!$F$25:$F$82,$F84,'Калькуляция (МСА)'!$G$25:$G$82,$G84),SUMIFS(INDEX('Калькуляция (5.9)'!$AJ$25:$BC$137,,MATCH(AW$8,'Калькуляция (5.9)'!$AJ$8:$BC$8,0)),'Калькуляция (5.9)'!$F$25:$F$137,$F84,'Калькуляция (5.9)'!$G$25:$G$137,$G84))</f>
        <v>0</v>
      </c>
      <c r="AX84" s="333">
        <f ca="1">IF(AV84=0,0,(AW84-AV84)/AV84*100)</f>
        <v>0</v>
      </c>
      <c r="AY84" s="1355">
        <f ca="1">IF(method_reg="Метод сравнения аналогов",SUMIFS(INDEX('Калькуляция (МСА)'!$AE$25:$BC$82,,MATCH(AY$8,'Калькуляция (МСА)'!$AE$8:$BC$8,0)),'Калькуляция (МСА)'!$F$25:$F$82,$F84,'Калькуляция (МСА)'!$G$25:$G$82,$G84),SUMIFS(INDEX('Калькуляция (5.9)'!$AJ$25:$BC$137,,MATCH(AY$8,'Калькуляция (5.9)'!$AJ$8:$BC$8,0)),'Калькуляция (5.9)'!$F$25:$F$137,$F84,'Калькуляция (5.9)'!$G$25:$G$137,$G84))</f>
        <v>0</v>
      </c>
      <c r="AZ84" s="1355">
        <f ca="1">IF(method_reg="Метод сравнения аналогов",SUMIFS(INDEX('Калькуляция (МСА)'!$AE$25:$BC$82,,MATCH(AZ$8,'Калькуляция (МСА)'!$AE$8:$BC$8,0)),'Калькуляция (МСА)'!$F$25:$F$82,$F84,'Калькуляция (МСА)'!$G$25:$G$82,$G84),SUMIFS(INDEX('Калькуляция (5.9)'!$AJ$25:$BC$137,,MATCH(AZ$8,'Калькуляция (5.9)'!$AJ$8:$BC$8,0)),'Калькуляция (5.9)'!$F$25:$F$137,$F84,'Калькуляция (5.9)'!$G$25:$G$137,$G84))</f>
        <v>0</v>
      </c>
      <c r="BA84" s="333">
        <f ca="1">IF(AY84=0,0,(AZ84-AY84)/AY84*100)</f>
        <v>0</v>
      </c>
      <c r="BB84" s="1355">
        <f ca="1">IF(method_reg="Метод сравнения аналогов",SUMIFS(INDEX('Калькуляция (МСА)'!$AE$25:$BC$82,,MATCH(BB$8,'Калькуляция (МСА)'!$AE$8:$BC$8,0)),'Калькуляция (МСА)'!$F$25:$F$82,$F84,'Калькуляция (МСА)'!$G$25:$G$82,$G84),SUMIFS(INDEX('Калькуляция (5.9)'!$AJ$25:$BC$137,,MATCH(BB$8,'Калькуляция (5.9)'!$AJ$8:$BC$8,0)),'Калькуляция (5.9)'!$F$25:$F$137,$F84,'Калькуляция (5.9)'!$G$25:$G$137,$G84))</f>
        <v>0</v>
      </c>
      <c r="BC84" s="1355">
        <f ca="1">IF(method_reg="Метод сравнения аналогов",SUMIFS(INDEX('Калькуляция (МСА)'!$AE$25:$BC$82,,MATCH(BC$8,'Калькуляция (МСА)'!$AE$8:$BC$8,0)),'Калькуляция (МСА)'!$F$25:$F$82,$F84,'Калькуляция (МСА)'!$G$25:$G$82,$G84),SUMIFS(INDEX('Калькуляция (5.9)'!$AJ$25:$BC$137,,MATCH(BC$8,'Калькуляция (5.9)'!$AJ$8:$BC$8,0)),'Калькуляция (5.9)'!$F$25:$F$137,$F84,'Калькуляция (5.9)'!$G$25:$G$137,$G84))</f>
        <v>0</v>
      </c>
      <c r="BD84" s="333">
        <f ca="1">IF(BB84=0,0,(BC84-BB84)/BB84*100)</f>
        <v>0</v>
      </c>
      <c r="BE84" s="1355">
        <f ca="1">IF(method_reg="Метод сравнения аналогов",SUMIFS(INDEX('Калькуляция (МСА)'!$AE$25:$BC$82,,MATCH(BE$8,'Калькуляция (МСА)'!$AE$8:$BC$8,0)),'Калькуляция (МСА)'!$F$25:$F$82,$F84,'Калькуляция (МСА)'!$G$25:$G$82,$G84),SUMIFS(INDEX('Калькуляция (5.9)'!$AJ$25:$BC$137,,MATCH(BE$8,'Калькуляция (5.9)'!$AJ$8:$BC$8,0)),'Калькуляция (5.9)'!$F$25:$F$137,$F84,'Калькуляция (5.9)'!$G$25:$G$137,$G84))</f>
        <v>0</v>
      </c>
      <c r="BF84" s="1355">
        <f ca="1">IF(method_reg="Метод сравнения аналогов",SUMIFS(INDEX('Калькуляция (МСА)'!$AE$25:$BC$82,,MATCH(BF$8,'Калькуляция (МСА)'!$AE$8:$BC$8,0)),'Калькуляция (МСА)'!$F$25:$F$82,$F84,'Калькуляция (МСА)'!$G$25:$G$82,$G84),SUMIFS(INDEX('Калькуляция (5.9)'!$AJ$25:$BC$137,,MATCH(BF$8,'Калькуляция (5.9)'!$AJ$8:$BC$8,0)),'Калькуляция (5.9)'!$F$25:$F$137,$F84,'Калькуляция (5.9)'!$G$25:$G$137,$G84))</f>
        <v>0</v>
      </c>
      <c r="BG84" s="333">
        <f ca="1">IF(BE84=0,0,(BF84-BE84)/BE84*100)</f>
        <v>0</v>
      </c>
      <c r="BH84" s="1355"/>
      <c r="BI84" s="1355"/>
      <c r="BJ84" s="333">
        <f>IF(BH84=0,0,(BI84-BH84)/BH84*100)</f>
        <v>0</v>
      </c>
      <c r="BK84" s="1355"/>
      <c r="BL84" s="1355"/>
      <c r="BM84" s="333">
        <f>IF(BK84=0,0,(BL84-BK84)/BK84*100)</f>
        <v>0</v>
      </c>
      <c r="BN84" s="1355"/>
      <c r="BO84" s="1355"/>
      <c r="BP84" s="333">
        <f>IF(BN84=0,0,(BO84-BN84)/BN84*100)</f>
        <v>0</v>
      </c>
      <c r="BQ84" s="1355"/>
      <c r="BR84" s="1355"/>
      <c r="BS84" s="333">
        <f>IF(BQ84=0,0,(BR84-BQ84)/BQ84*100)</f>
        <v>0</v>
      </c>
      <c r="BT84" s="1355"/>
      <c r="BU84" s="1355"/>
      <c r="BV84" s="333">
        <f>IF(BT84=0,0,(BU84-BT84)/BT84*100)</f>
        <v>0</v>
      </c>
      <c r="BW84" s="1355"/>
      <c r="BX84" s="1355"/>
      <c r="BY84" s="333">
        <f>IF(BW84=0,0,(BX84-BW84)/BW84*100)</f>
        <v>0</v>
      </c>
      <c r="BZ84" s="1355"/>
      <c r="CA84" s="1355"/>
      <c r="CB84" s="333">
        <f>IF(BZ84=0,0,(CA84-BZ84)/BZ84*100)</f>
        <v>0</v>
      </c>
      <c r="CC84" s="1355"/>
      <c r="CD84" s="1355"/>
      <c r="CE84" s="333">
        <f>IF(CC84=0,0,(CD84-CC84)/CC84*100)</f>
        <v>0</v>
      </c>
      <c r="CF84" s="1355"/>
      <c r="CG84" s="1355"/>
      <c r="CH84" s="333">
        <f>IF(CF84=0,0,(CG84-CF84)/CF84*100)</f>
        <v>0</v>
      </c>
      <c r="CI84" s="1355"/>
      <c r="CJ84" s="1355"/>
      <c r="CK84" s="333">
        <f>IF(CI84=0,0,(CJ84-CI84)/CI84*100)</f>
        <v>0</v>
      </c>
      <c r="CL84" s="1355"/>
      <c r="CM84" s="1355"/>
      <c r="CN84" s="333">
        <f>IF(CL84=0,0,(CM84-CL84)/CL84*100)</f>
        <v>0</v>
      </c>
      <c r="CO84" s="1355"/>
      <c r="CP84" s="1355"/>
      <c r="CQ84" s="333">
        <f>IF(CO84=0,0,(CP84-CO84)/CO84*100)</f>
        <v>0</v>
      </c>
      <c r="CR84" s="1355"/>
      <c r="CS84" s="1355"/>
      <c r="CT84" s="333">
        <f>IF(CR84=0,0,(CS84-CR84)/CR84*100)</f>
        <v>0</v>
      </c>
      <c r="CU84" s="1355"/>
      <c r="CV84" s="1355"/>
      <c r="CW84" s="333">
        <f>IF(CU84=0,0,(CV84-CU84)/CU84*100)</f>
        <v>0</v>
      </c>
      <c r="CX84" s="1355"/>
      <c r="CY84" s="1355"/>
      <c r="CZ84" s="333">
        <f>IF(CX84=0,0,(CY84-CX84)/CX84*100)</f>
        <v>0</v>
      </c>
      <c r="DA84" s="1355"/>
      <c r="DB84" s="1355"/>
      <c r="DC84" s="333">
        <f>IF(DA84=0,0,(DB84-DA84)/DA84*100)</f>
        <v>0</v>
      </c>
      <c r="DD84" s="1355"/>
      <c r="DE84" s="1355"/>
      <c r="DF84" s="333">
        <f>IF(DD84=0,0,(DE84-DD84)/DD84*100)</f>
        <v>0</v>
      </c>
      <c r="DG84" s="1355"/>
      <c r="DH84" s="1355"/>
      <c r="DI84" s="333">
        <f>IF(DG84=0,0,(DH84-DG84)/DG84*100)</f>
        <v>0</v>
      </c>
      <c r="DJ84" s="1355"/>
      <c r="DK84" s="1355"/>
      <c r="DL84" s="333">
        <f>IF(DJ84=0,0,(DK84-DJ84)/DJ84*100)</f>
        <v>0</v>
      </c>
      <c r="DM84" s="1355"/>
      <c r="DN84" s="1355"/>
      <c r="DO84" s="333">
        <f>IF(DM84=0,0,(DN84-DM84)/DM84*100)</f>
        <v>0</v>
      </c>
      <c r="DP84" s="1355"/>
      <c r="DQ84" s="1355"/>
      <c r="DR84" s="333">
        <f>IF(DP84=0,0,(DQ84-DP84)/DP84*100)</f>
        <v>0</v>
      </c>
      <c r="DS84" s="1355"/>
      <c r="DT84" s="1355"/>
      <c r="DU84" s="333">
        <f>IF(DS84=0,0,(DT84-DS84)/DS84*100)</f>
        <v>0</v>
      </c>
      <c r="DV84" s="1355"/>
      <c r="DW84" s="1355"/>
      <c r="DX84" s="333">
        <f>IF(DV84=0,0,(DW84-DV84)/DV84*100)</f>
        <v>0</v>
      </c>
      <c r="DY84" s="1355"/>
      <c r="DZ84" s="1355"/>
      <c r="EA84" s="333">
        <f>IF(DY84=0,0,(DZ84-DY84)/DY84*100)</f>
        <v>0</v>
      </c>
      <c r="EB84" s="1355"/>
      <c r="EC84" s="1355"/>
      <c r="ED84" s="333">
        <f>IF(EB84=0,0,(EC84-EB84)/EB84*100)</f>
        <v>0</v>
      </c>
      <c r="EE84" s="1355"/>
      <c r="EF84" s="1355"/>
      <c r="EG84" s="333">
        <f>IF(EE84=0,0,(EF84-EE84)/EE84*100)</f>
        <v>0</v>
      </c>
      <c r="EH84" s="1355"/>
      <c r="EI84" s="1355"/>
      <c r="EJ84" s="333">
        <f>IF(EH84=0,0,(EI84-EH84)/EH84*100)</f>
        <v>0</v>
      </c>
      <c r="EK84" s="1355"/>
      <c r="EL84" s="1355"/>
      <c r="EM84" s="333">
        <f>IF(EK84=0,0,(EL84-EK84)/EK84*100)</f>
        <v>0</v>
      </c>
      <c r="EN84" s="1355"/>
      <c r="EO84" s="1355"/>
      <c r="EP84" s="333">
        <f>IF(EN84=0,0,(EO84-EN84)/EN84*100)</f>
        <v>0</v>
      </c>
      <c r="EQ84" s="1355"/>
      <c r="ER84" s="1355"/>
      <c r="ES84" s="333">
        <f>IF(EQ84=0,0,(ER84-EQ84)/EQ84*100)</f>
        <v>0</v>
      </c>
      <c r="ET84" s="1355"/>
      <c r="EU84" s="1355"/>
      <c r="EV84" s="333">
        <f>IF(ET84=0,0,(EU84-ET84)/ET84*100)</f>
        <v>0</v>
      </c>
      <c r="EW84" s="1355"/>
      <c r="EX84" s="1355"/>
      <c r="EY84" s="333">
        <f>IF(EW84=0,0,(EX84-EW84)/EW84*100)</f>
        <v>0</v>
      </c>
      <c r="EZ84" s="1355"/>
      <c r="FA84" s="1355"/>
      <c r="FB84" s="333">
        <f>IF(EZ84=0,0,(FA84-EZ84)/EZ84*100)</f>
        <v>0</v>
      </c>
      <c r="FC84" s="1355"/>
      <c r="FD84" s="1355"/>
      <c r="FE84" s="333">
        <f>IF(FC84=0,0,(FD84-FC84)/FC84*100)</f>
        <v>0</v>
      </c>
      <c r="FF84" s="1355"/>
      <c r="FG84" s="1355"/>
      <c r="FH84" s="333">
        <f>IF(FF84=0,0,(FG84-FF84)/FF84*100)</f>
        <v>0</v>
      </c>
      <c r="FI84" s="1355"/>
      <c r="FJ84" s="1355"/>
      <c r="FK84" s="333">
        <f>IF(FI84=0,0,(FJ84-FI84)/FI84*100)</f>
        <v>0</v>
      </c>
      <c r="FL84" s="1355"/>
      <c r="FM84" s="1355"/>
      <c r="FN84" s="333">
        <f>IF(FL84=0,0,(FM84-FL84)/FL84*100)</f>
        <v>0</v>
      </c>
      <c r="FO84" s="1355"/>
      <c r="FP84" s="1355"/>
      <c r="FQ84" s="333">
        <f>IF(FO84=0,0,(FP84-FO84)/FO84*100)</f>
        <v>0</v>
      </c>
      <c r="FR84" s="1355"/>
      <c r="FS84" s="1355"/>
      <c r="FT84" s="333">
        <f>IF(FR84=0,0,(FS84-FR84)/FR84*100)</f>
        <v>0</v>
      </c>
      <c r="FU84" s="1355"/>
      <c r="FV84" s="1355"/>
      <c r="FW84" s="333">
        <f>IF(FU84=0,0,(FV84-FU84)/FU84*100)</f>
        <v>0</v>
      </c>
      <c r="FX84" s="417"/>
      <c r="FY84" s="417"/>
      <c r="FZ84" s="971" t="s">
        <v>2133</v>
      </c>
      <c r="GA84" s="971"/>
      <c r="GB84" s="971"/>
      <c r="GC84" s="971"/>
      <c r="GD84" s="971"/>
    </row>
    <row r="85" spans="1:186" s="1356" customFormat="1" ht="16.5" customHeight="1" x14ac:dyDescent="0.15">
      <c r="A85" s="302"/>
      <c r="B85" s="803" t="b" cm="1">
        <f t="array" ref="B85">B84</f>
        <v>1</v>
      </c>
      <c r="C85" s="1108" t="s">
        <v>2134</v>
      </c>
      <c r="D85" s="1077" t="s">
        <v>2135</v>
      </c>
      <c r="E85" s="668">
        <v>17.100000000000001</v>
      </c>
      <c r="F85" s="769" t="str" cm="1">
        <f t="array" aca="1" ref="F85" ca="1">OFFSET(G85,-1,-1)</f>
        <v>1</v>
      </c>
      <c r="G85" s="302"/>
      <c r="H85" s="160" t="s">
        <v>524</v>
      </c>
      <c r="I85" s="160" t="s">
        <v>2136</v>
      </c>
      <c r="J85" s="1098" t="s">
        <v>2115</v>
      </c>
      <c r="K85" s="1098" t="str" cm="1">
        <f t="array" aca="1" ref="K85" ca="1">OFFSET(J85,-1,1)</f>
        <v>ТЭ.42.27968109.0001</v>
      </c>
      <c r="L85" s="1098"/>
      <c r="M85" s="1098" t="s">
        <v>1750</v>
      </c>
      <c r="N85" s="1098" t="s">
        <v>2137</v>
      </c>
      <c r="O85" s="1099" t="s">
        <v>2138</v>
      </c>
      <c r="P85" s="1098"/>
      <c r="Q85" s="1098"/>
      <c r="R85" s="302"/>
      <c r="S85" s="302"/>
      <c r="T85" s="679" t="b" cm="1">
        <f t="array" aca="1" ref="T85" ca="1">T84</f>
        <v>1</v>
      </c>
      <c r="U85" s="302"/>
      <c r="V85" s="302"/>
      <c r="W85" s="302"/>
      <c r="X85" s="1612"/>
      <c r="Y85" s="302"/>
      <c r="Z85" s="1612"/>
      <c r="AA85" s="302"/>
      <c r="AB85" s="1130" t="s">
        <v>2139</v>
      </c>
      <c r="AC85" s="303" t="s">
        <v>920</v>
      </c>
      <c r="AD85" s="1353">
        <f ca="1">IF(tax_system="ОСНО",AD79*Сценарии!AE$26,AD79)</f>
        <v>5813.4951999999994</v>
      </c>
      <c r="AE85" s="1353">
        <f ca="1">IF(tax_system="ОСНО",AE79*Сценарии!AO$26,AE79)</f>
        <v>5813.4951999999994</v>
      </c>
      <c r="AF85" s="304">
        <f ca="1">IF(AD85=0,0,(AE85-AD85)/AD85*100)</f>
        <v>0</v>
      </c>
      <c r="AG85" s="1349">
        <f ca="1">IF(tax_system="ОСНО",AG79*Сценарии!AF$26,AG79)</f>
        <v>0</v>
      </c>
      <c r="AH85" s="1349">
        <f ca="1">IF(tax_system="ОСНО",AH79*Сценарии!AP$26,AH79)</f>
        <v>0</v>
      </c>
      <c r="AI85" s="304">
        <f ca="1">IF(AG85=0,0,(AH85-AG85)/AG85*100)</f>
        <v>0</v>
      </c>
      <c r="AJ85" s="1349">
        <f ca="1">IF(tax_system="ОСНО",AJ79*Сценарии!AG$26,AJ79)</f>
        <v>0</v>
      </c>
      <c r="AK85" s="1349">
        <f ca="1">IF(tax_system="ОСНО",AK79*Сценарии!AQ$26,AK79)</f>
        <v>0</v>
      </c>
      <c r="AL85" s="304">
        <f ca="1">IF(AJ85=0,0,(AK85-AJ85)/AJ85*100)</f>
        <v>0</v>
      </c>
      <c r="AM85" s="1353">
        <f ca="1">IF(tax_system="ОСНО",AM79*Сценарии!AH$26,AM79)</f>
        <v>0</v>
      </c>
      <c r="AN85" s="1353">
        <f ca="1">IF(tax_system="ОСНО",AN79*Сценарии!AR$26,AN79)</f>
        <v>0</v>
      </c>
      <c r="AO85" s="304">
        <f ca="1">IF(AM85=0,0,(AN85-AM85)/AM85*100)</f>
        <v>0</v>
      </c>
      <c r="AP85" s="1353">
        <f ca="1">IF(tax_system="ОСНО",AP79*Сценарии!AI$26,AP79)</f>
        <v>0</v>
      </c>
      <c r="AQ85" s="1353">
        <f ca="1">IF(tax_system="ОСНО",AQ79*Сценарии!AS$26,AQ79)</f>
        <v>0</v>
      </c>
      <c r="AR85" s="304">
        <f ca="1">IF(AP85=0,0,(AQ85-AP85)/AP85*100)</f>
        <v>0</v>
      </c>
      <c r="AS85" s="1353">
        <f ca="1">IF(tax_system="ОСНО",AS79*Сценарии!AJ$26,AS79)</f>
        <v>0</v>
      </c>
      <c r="AT85" s="1353">
        <f ca="1">IF(tax_system="ОСНО",AT79*Сценарии!AT$26,AT79)</f>
        <v>0</v>
      </c>
      <c r="AU85" s="304">
        <f ca="1">IF(AS85=0,0,(AT85-AS85)/AS85*100)</f>
        <v>0</v>
      </c>
      <c r="AV85" s="1353">
        <f ca="1">IF(tax_system="ОСНО",AV79*Сценарии!AK$26,AV79)</f>
        <v>0</v>
      </c>
      <c r="AW85" s="1353">
        <f ca="1">IF(tax_system="ОСНО",AW79*Сценарии!AU$26,AW79)</f>
        <v>0</v>
      </c>
      <c r="AX85" s="304">
        <f ca="1">IF(AV85=0,0,(AW85-AV85)/AV85*100)</f>
        <v>0</v>
      </c>
      <c r="AY85" s="1353">
        <f ca="1">IF(tax_system="ОСНО",AY79*Сценарии!AL$26,AY79)</f>
        <v>0</v>
      </c>
      <c r="AZ85" s="1353">
        <f ca="1">IF(tax_system="ОСНО",AZ79*Сценарии!AV$26,AZ79)</f>
        <v>0</v>
      </c>
      <c r="BA85" s="304">
        <f ca="1">IF(AY85=0,0,(AZ85-AY85)/AY85*100)</f>
        <v>0</v>
      </c>
      <c r="BB85" s="1353">
        <f ca="1">IF(tax_system="ОСНО",BB79*Сценарии!AM$26,BB79)</f>
        <v>0</v>
      </c>
      <c r="BC85" s="1353">
        <f ca="1">IF(tax_system="ОСНО",BC79*Сценарии!AW$26,BC79)</f>
        <v>0</v>
      </c>
      <c r="BD85" s="304">
        <f ca="1">IF(BB85=0,0,(BC85-BB85)/BB85*100)</f>
        <v>0</v>
      </c>
      <c r="BE85" s="1353">
        <f ca="1">IF(tax_system="ОСНО",BE79*Сценарии!AN$26,BE79)</f>
        <v>0</v>
      </c>
      <c r="BF85" s="1353">
        <f ca="1">IF(tax_system="ОСНО",BF79*Сценарии!AX$26,BF79)</f>
        <v>0</v>
      </c>
      <c r="BG85" s="304">
        <f ca="1">IF(BE85=0,0,(BF85-BE85)/BE85*100)</f>
        <v>0</v>
      </c>
      <c r="BH85" s="1353"/>
      <c r="BI85" s="1353"/>
      <c r="BJ85" s="304">
        <f>IF(BH85=0,0,(BI85-BH85)/BH85*100)</f>
        <v>0</v>
      </c>
      <c r="BK85" s="1353"/>
      <c r="BL85" s="1353"/>
      <c r="BM85" s="304">
        <f>IF(BK85=0,0,(BL85-BK85)/BK85*100)</f>
        <v>0</v>
      </c>
      <c r="BN85" s="1353"/>
      <c r="BO85" s="1353"/>
      <c r="BP85" s="304">
        <f>IF(BN85=0,0,(BO85-BN85)/BN85*100)</f>
        <v>0</v>
      </c>
      <c r="BQ85" s="1353"/>
      <c r="BR85" s="1353"/>
      <c r="BS85" s="304">
        <f>IF(BQ85=0,0,(BR85-BQ85)/BQ85*100)</f>
        <v>0</v>
      </c>
      <c r="BT85" s="1353"/>
      <c r="BU85" s="1353"/>
      <c r="BV85" s="304">
        <f>IF(BT85=0,0,(BU85-BT85)/BT85*100)</f>
        <v>0</v>
      </c>
      <c r="BW85" s="1353"/>
      <c r="BX85" s="1353"/>
      <c r="BY85" s="304">
        <f>IF(BW85=0,0,(BX85-BW85)/BW85*100)</f>
        <v>0</v>
      </c>
      <c r="BZ85" s="1353"/>
      <c r="CA85" s="1353"/>
      <c r="CB85" s="304">
        <f>IF(BZ85=0,0,(CA85-BZ85)/BZ85*100)</f>
        <v>0</v>
      </c>
      <c r="CC85" s="1353"/>
      <c r="CD85" s="1353"/>
      <c r="CE85" s="304">
        <f>IF(CC85=0,0,(CD85-CC85)/CC85*100)</f>
        <v>0</v>
      </c>
      <c r="CF85" s="1353"/>
      <c r="CG85" s="1353"/>
      <c r="CH85" s="304">
        <f>IF(CF85=0,0,(CG85-CF85)/CF85*100)</f>
        <v>0</v>
      </c>
      <c r="CI85" s="1353"/>
      <c r="CJ85" s="1353"/>
      <c r="CK85" s="304">
        <f>IF(CI85=0,0,(CJ85-CI85)/CI85*100)</f>
        <v>0</v>
      </c>
      <c r="CL85" s="1353"/>
      <c r="CM85" s="1353"/>
      <c r="CN85" s="304">
        <f>IF(CL85=0,0,(CM85-CL85)/CL85*100)</f>
        <v>0</v>
      </c>
      <c r="CO85" s="1353"/>
      <c r="CP85" s="1353"/>
      <c r="CQ85" s="304">
        <f>IF(CO85=0,0,(CP85-CO85)/CO85*100)</f>
        <v>0</v>
      </c>
      <c r="CR85" s="1353"/>
      <c r="CS85" s="1353"/>
      <c r="CT85" s="304">
        <f>IF(CR85=0,0,(CS85-CR85)/CR85*100)</f>
        <v>0</v>
      </c>
      <c r="CU85" s="1353"/>
      <c r="CV85" s="1353"/>
      <c r="CW85" s="304">
        <f>IF(CU85=0,0,(CV85-CU85)/CU85*100)</f>
        <v>0</v>
      </c>
      <c r="CX85" s="1353"/>
      <c r="CY85" s="1353"/>
      <c r="CZ85" s="304">
        <f>IF(CX85=0,0,(CY85-CX85)/CX85*100)</f>
        <v>0</v>
      </c>
      <c r="DA85" s="1353"/>
      <c r="DB85" s="1353"/>
      <c r="DC85" s="304">
        <f>IF(DA85=0,0,(DB85-DA85)/DA85*100)</f>
        <v>0</v>
      </c>
      <c r="DD85" s="1353"/>
      <c r="DE85" s="1353"/>
      <c r="DF85" s="304">
        <f>IF(DD85=0,0,(DE85-DD85)/DD85*100)</f>
        <v>0</v>
      </c>
      <c r="DG85" s="1353"/>
      <c r="DH85" s="1353"/>
      <c r="DI85" s="304">
        <f>IF(DG85=0,0,(DH85-DG85)/DG85*100)</f>
        <v>0</v>
      </c>
      <c r="DJ85" s="1353"/>
      <c r="DK85" s="1353"/>
      <c r="DL85" s="304">
        <f>IF(DJ85=0,0,(DK85-DJ85)/DJ85*100)</f>
        <v>0</v>
      </c>
      <c r="DM85" s="1353"/>
      <c r="DN85" s="1353"/>
      <c r="DO85" s="304">
        <f>IF(DM85=0,0,(DN85-DM85)/DM85*100)</f>
        <v>0</v>
      </c>
      <c r="DP85" s="1353"/>
      <c r="DQ85" s="1353"/>
      <c r="DR85" s="304">
        <f>IF(DP85=0,0,(DQ85-DP85)/DP85*100)</f>
        <v>0</v>
      </c>
      <c r="DS85" s="1353"/>
      <c r="DT85" s="1353"/>
      <c r="DU85" s="304">
        <f>IF(DS85=0,0,(DT85-DS85)/DS85*100)</f>
        <v>0</v>
      </c>
      <c r="DV85" s="1353"/>
      <c r="DW85" s="1353"/>
      <c r="DX85" s="304">
        <f>IF(DV85=0,0,(DW85-DV85)/DV85*100)</f>
        <v>0</v>
      </c>
      <c r="DY85" s="1353"/>
      <c r="DZ85" s="1353"/>
      <c r="EA85" s="304">
        <f>IF(DY85=0,0,(DZ85-DY85)/DY85*100)</f>
        <v>0</v>
      </c>
      <c r="EB85" s="1353"/>
      <c r="EC85" s="1353"/>
      <c r="ED85" s="304">
        <f>IF(EB85=0,0,(EC85-EB85)/EB85*100)</f>
        <v>0</v>
      </c>
      <c r="EE85" s="1353"/>
      <c r="EF85" s="1353"/>
      <c r="EG85" s="304">
        <f>IF(EE85=0,0,(EF85-EE85)/EE85*100)</f>
        <v>0</v>
      </c>
      <c r="EH85" s="1353"/>
      <c r="EI85" s="1353"/>
      <c r="EJ85" s="304">
        <f>IF(EH85=0,0,(EI85-EH85)/EH85*100)</f>
        <v>0</v>
      </c>
      <c r="EK85" s="1353"/>
      <c r="EL85" s="1353"/>
      <c r="EM85" s="304">
        <f>IF(EK85=0,0,(EL85-EK85)/EK85*100)</f>
        <v>0</v>
      </c>
      <c r="EN85" s="1353"/>
      <c r="EO85" s="1353"/>
      <c r="EP85" s="304">
        <f>IF(EN85=0,0,(EO85-EN85)/EN85*100)</f>
        <v>0</v>
      </c>
      <c r="EQ85" s="1353"/>
      <c r="ER85" s="1353"/>
      <c r="ES85" s="304">
        <f>IF(EQ85=0,0,(ER85-EQ85)/EQ85*100)</f>
        <v>0</v>
      </c>
      <c r="ET85" s="1353"/>
      <c r="EU85" s="1353"/>
      <c r="EV85" s="304">
        <f>IF(ET85=0,0,(EU85-ET85)/ET85*100)</f>
        <v>0</v>
      </c>
      <c r="EW85" s="1353"/>
      <c r="EX85" s="1353"/>
      <c r="EY85" s="304">
        <f>IF(EW85=0,0,(EX85-EW85)/EW85*100)</f>
        <v>0</v>
      </c>
      <c r="EZ85" s="1353"/>
      <c r="FA85" s="1353"/>
      <c r="FB85" s="304">
        <f>IF(EZ85=0,0,(FA85-EZ85)/EZ85*100)</f>
        <v>0</v>
      </c>
      <c r="FC85" s="1353"/>
      <c r="FD85" s="1353"/>
      <c r="FE85" s="304">
        <f>IF(FC85=0,0,(FD85-FC85)/FC85*100)</f>
        <v>0</v>
      </c>
      <c r="FF85" s="1353"/>
      <c r="FG85" s="1353"/>
      <c r="FH85" s="304">
        <f>IF(FF85=0,0,(FG85-FF85)/FF85*100)</f>
        <v>0</v>
      </c>
      <c r="FI85" s="1353"/>
      <c r="FJ85" s="1353"/>
      <c r="FK85" s="304">
        <f>IF(FI85=0,0,(FJ85-FI85)/FI85*100)</f>
        <v>0</v>
      </c>
      <c r="FL85" s="1353"/>
      <c r="FM85" s="1353"/>
      <c r="FN85" s="304">
        <f>IF(FL85=0,0,(FM85-FL85)/FL85*100)</f>
        <v>0</v>
      </c>
      <c r="FO85" s="1353"/>
      <c r="FP85" s="1353"/>
      <c r="FQ85" s="304">
        <f>IF(FO85=0,0,(FP85-FO85)/FO85*100)</f>
        <v>0</v>
      </c>
      <c r="FR85" s="1353"/>
      <c r="FS85" s="1353"/>
      <c r="FT85" s="304">
        <f>IF(FR85=0,0,(FS85-FR85)/FR85*100)</f>
        <v>0</v>
      </c>
      <c r="FU85" s="1353"/>
      <c r="FV85" s="1353"/>
      <c r="FW85" s="304">
        <f>IF(FU85=0,0,(FV85-FU85)/FU85*100)</f>
        <v>0</v>
      </c>
      <c r="FX85" s="302"/>
      <c r="FY85" s="302"/>
      <c r="FZ85" s="971" t="s">
        <v>2140</v>
      </c>
      <c r="GA85" s="971"/>
      <c r="GB85" s="971"/>
      <c r="GC85" s="971"/>
      <c r="GD85" s="971"/>
    </row>
    <row r="86" spans="1:186" s="1357" customFormat="1" ht="16.5" customHeight="1" x14ac:dyDescent="0.15">
      <c r="A86" s="302"/>
      <c r="B86" s="803" t="b" cm="1">
        <f t="array" ref="B86">B85</f>
        <v>1</v>
      </c>
      <c r="C86" s="1108" t="s">
        <v>2134</v>
      </c>
      <c r="D86" s="1077" t="s">
        <v>2135</v>
      </c>
      <c r="E86" s="668">
        <v>17.100000000000001</v>
      </c>
      <c r="F86" s="769" t="str" cm="1">
        <f t="array" aca="1" ref="F86" ca="1">OFFSET(G86,-1,-1)</f>
        <v>1</v>
      </c>
      <c r="G86" s="302"/>
      <c r="H86" s="160" t="s">
        <v>524</v>
      </c>
      <c r="I86" s="160" t="s">
        <v>2141</v>
      </c>
      <c r="J86" s="1098" t="s">
        <v>2115</v>
      </c>
      <c r="K86" s="1098" t="str" cm="1">
        <f t="array" aca="1" ref="K86" ca="1">OFFSET(J86,-1,1)</f>
        <v>ТЭ.42.27968109.0001</v>
      </c>
      <c r="L86" s="1098"/>
      <c r="M86" s="1098" t="s">
        <v>1759</v>
      </c>
      <c r="N86" s="1098" t="s">
        <v>2137</v>
      </c>
      <c r="O86" s="1099" t="s">
        <v>2138</v>
      </c>
      <c r="P86" s="1098"/>
      <c r="Q86" s="1098"/>
      <c r="R86" s="302"/>
      <c r="S86" s="302"/>
      <c r="T86" s="679" t="b" cm="1">
        <f t="array" aca="1" ref="T86" ca="1">T85</f>
        <v>1</v>
      </c>
      <c r="U86" s="302"/>
      <c r="V86" s="302"/>
      <c r="W86" s="302"/>
      <c r="X86" s="1612"/>
      <c r="Y86" s="302"/>
      <c r="Z86" s="1612"/>
      <c r="AA86" s="302"/>
      <c r="AB86" s="1130" t="s">
        <v>2142</v>
      </c>
      <c r="AC86" s="303" t="s">
        <v>920</v>
      </c>
      <c r="AD86" s="1353">
        <f ca="1">IF(tax_system="ОСНО",AD80*Сценарии!AE$26,AD80)</f>
        <v>8415.4872593091277</v>
      </c>
      <c r="AE86" s="1353">
        <v>6389.04</v>
      </c>
      <c r="AF86" s="304">
        <f ca="1">IF(AD86=0,0,(AE86-AD86)/AD86*100)</f>
        <v>-24.079975370023789</v>
      </c>
      <c r="AG86" s="1349">
        <f ca="1">IF(tax_system="ОСНО",AG80*Сценарии!AF$26,AG80)</f>
        <v>0</v>
      </c>
      <c r="AH86" s="1349">
        <f ca="1">IF(tax_system="ОСНО",AH80*Сценарии!AP$26,AH80)</f>
        <v>0</v>
      </c>
      <c r="AI86" s="304">
        <f ca="1">IF(AG86=0,0,(AH86-AG86)/AG86*100)</f>
        <v>0</v>
      </c>
      <c r="AJ86" s="1349">
        <f ca="1">IF(tax_system="ОСНО",AJ80*Сценарии!AG$26,AJ80)</f>
        <v>0</v>
      </c>
      <c r="AK86" s="1349">
        <f ca="1">IF(tax_system="ОСНО",AK80*Сценарии!AQ$26,AK80)</f>
        <v>0</v>
      </c>
      <c r="AL86" s="304">
        <f ca="1">IF(AJ86=0,0,(AK86-AJ86)/AJ86*100)</f>
        <v>0</v>
      </c>
      <c r="AM86" s="1353">
        <f ca="1">IF(tax_system="ОСНО",AM80*Сценарии!AH$26,AM80)</f>
        <v>0</v>
      </c>
      <c r="AN86" s="1353">
        <f ca="1">IF(tax_system="ОСНО",AN80*Сценарии!AR$26,AN80)</f>
        <v>0</v>
      </c>
      <c r="AO86" s="304">
        <f ca="1">IF(AM86=0,0,(AN86-AM86)/AM86*100)</f>
        <v>0</v>
      </c>
      <c r="AP86" s="1353">
        <f ca="1">IF(tax_system="ОСНО",AP80*Сценарии!AI$26,AP80)</f>
        <v>0</v>
      </c>
      <c r="AQ86" s="1353">
        <f ca="1">IF(tax_system="ОСНО",AQ80*Сценарии!AS$26,AQ80)</f>
        <v>0</v>
      </c>
      <c r="AR86" s="304">
        <f ca="1">IF(AP86=0,0,(AQ86-AP86)/AP86*100)</f>
        <v>0</v>
      </c>
      <c r="AS86" s="1353">
        <f ca="1">IF(tax_system="ОСНО",AS80*Сценарии!AJ$26,AS80)</f>
        <v>0</v>
      </c>
      <c r="AT86" s="1353">
        <f ca="1">IF(tax_system="ОСНО",AT80*Сценарии!AT$26,AT80)</f>
        <v>0</v>
      </c>
      <c r="AU86" s="304">
        <f ca="1">IF(AS86=0,0,(AT86-AS86)/AS86*100)</f>
        <v>0</v>
      </c>
      <c r="AV86" s="1353">
        <f ca="1">IF(tax_system="ОСНО",AV80*Сценарии!AK$26,AV80)</f>
        <v>0</v>
      </c>
      <c r="AW86" s="1353">
        <f ca="1">IF(tax_system="ОСНО",AW80*Сценарии!AU$26,AW80)</f>
        <v>0</v>
      </c>
      <c r="AX86" s="304">
        <f ca="1">IF(AV86=0,0,(AW86-AV86)/AV86*100)</f>
        <v>0</v>
      </c>
      <c r="AY86" s="1353">
        <f ca="1">IF(tax_system="ОСНО",AY80*Сценарии!AL$26,AY80)</f>
        <v>0</v>
      </c>
      <c r="AZ86" s="1353">
        <f ca="1">IF(tax_system="ОСНО",AZ80*Сценарии!AV$26,AZ80)</f>
        <v>0</v>
      </c>
      <c r="BA86" s="304">
        <f ca="1">IF(AY86=0,0,(AZ86-AY86)/AY86*100)</f>
        <v>0</v>
      </c>
      <c r="BB86" s="1353">
        <f ca="1">IF(tax_system="ОСНО",BB80*Сценарии!AM$26,BB80)</f>
        <v>0</v>
      </c>
      <c r="BC86" s="1353">
        <f ca="1">IF(tax_system="ОСНО",BC80*Сценарии!AW$26,BC80)</f>
        <v>0</v>
      </c>
      <c r="BD86" s="304">
        <f ca="1">IF(BB86=0,0,(BC86-BB86)/BB86*100)</f>
        <v>0</v>
      </c>
      <c r="BE86" s="1353">
        <f ca="1">IF(tax_system="ОСНО",BE80*Сценарии!AN$26,BE80)</f>
        <v>0</v>
      </c>
      <c r="BF86" s="1353">
        <f ca="1">IF(tax_system="ОСНО",BF80*Сценарии!AX$26,BF80)</f>
        <v>0</v>
      </c>
      <c r="BG86" s="304">
        <f ca="1">IF(BE86=0,0,(BF86-BE86)/BE86*100)</f>
        <v>0</v>
      </c>
      <c r="BH86" s="1353"/>
      <c r="BI86" s="1353"/>
      <c r="BJ86" s="304">
        <f>IF(BH86=0,0,(BI86-BH86)/BH86*100)</f>
        <v>0</v>
      </c>
      <c r="BK86" s="1353"/>
      <c r="BL86" s="1353"/>
      <c r="BM86" s="304">
        <f>IF(BK86=0,0,(BL86-BK86)/BK86*100)</f>
        <v>0</v>
      </c>
      <c r="BN86" s="1353"/>
      <c r="BO86" s="1353"/>
      <c r="BP86" s="304">
        <f>IF(BN86=0,0,(BO86-BN86)/BN86*100)</f>
        <v>0</v>
      </c>
      <c r="BQ86" s="1353"/>
      <c r="BR86" s="1353"/>
      <c r="BS86" s="304">
        <f>IF(BQ86=0,0,(BR86-BQ86)/BQ86*100)</f>
        <v>0</v>
      </c>
      <c r="BT86" s="1353"/>
      <c r="BU86" s="1353"/>
      <c r="BV86" s="304">
        <f>IF(BT86=0,0,(BU86-BT86)/BT86*100)</f>
        <v>0</v>
      </c>
      <c r="BW86" s="1353"/>
      <c r="BX86" s="1353"/>
      <c r="BY86" s="304">
        <f>IF(BW86=0,0,(BX86-BW86)/BW86*100)</f>
        <v>0</v>
      </c>
      <c r="BZ86" s="1353"/>
      <c r="CA86" s="1353"/>
      <c r="CB86" s="304">
        <f>IF(BZ86=0,0,(CA86-BZ86)/BZ86*100)</f>
        <v>0</v>
      </c>
      <c r="CC86" s="1353"/>
      <c r="CD86" s="1353"/>
      <c r="CE86" s="304">
        <f>IF(CC86=0,0,(CD86-CC86)/CC86*100)</f>
        <v>0</v>
      </c>
      <c r="CF86" s="1353"/>
      <c r="CG86" s="1353"/>
      <c r="CH86" s="304">
        <f>IF(CF86=0,0,(CG86-CF86)/CF86*100)</f>
        <v>0</v>
      </c>
      <c r="CI86" s="1353"/>
      <c r="CJ86" s="1353"/>
      <c r="CK86" s="304">
        <f>IF(CI86=0,0,(CJ86-CI86)/CI86*100)</f>
        <v>0</v>
      </c>
      <c r="CL86" s="1353"/>
      <c r="CM86" s="1353"/>
      <c r="CN86" s="304">
        <f>IF(CL86=0,0,(CM86-CL86)/CL86*100)</f>
        <v>0</v>
      </c>
      <c r="CO86" s="1353"/>
      <c r="CP86" s="1353"/>
      <c r="CQ86" s="304">
        <f>IF(CO86=0,0,(CP86-CO86)/CO86*100)</f>
        <v>0</v>
      </c>
      <c r="CR86" s="1353"/>
      <c r="CS86" s="1353"/>
      <c r="CT86" s="304">
        <f>IF(CR86=0,0,(CS86-CR86)/CR86*100)</f>
        <v>0</v>
      </c>
      <c r="CU86" s="1353"/>
      <c r="CV86" s="1353"/>
      <c r="CW86" s="304">
        <f>IF(CU86=0,0,(CV86-CU86)/CU86*100)</f>
        <v>0</v>
      </c>
      <c r="CX86" s="1353"/>
      <c r="CY86" s="1353"/>
      <c r="CZ86" s="304">
        <f>IF(CX86=0,0,(CY86-CX86)/CX86*100)</f>
        <v>0</v>
      </c>
      <c r="DA86" s="1353"/>
      <c r="DB86" s="1353"/>
      <c r="DC86" s="304">
        <f>IF(DA86=0,0,(DB86-DA86)/DA86*100)</f>
        <v>0</v>
      </c>
      <c r="DD86" s="1353"/>
      <c r="DE86" s="1353"/>
      <c r="DF86" s="304">
        <f>IF(DD86=0,0,(DE86-DD86)/DD86*100)</f>
        <v>0</v>
      </c>
      <c r="DG86" s="1353"/>
      <c r="DH86" s="1353"/>
      <c r="DI86" s="304">
        <f>IF(DG86=0,0,(DH86-DG86)/DG86*100)</f>
        <v>0</v>
      </c>
      <c r="DJ86" s="1353"/>
      <c r="DK86" s="1353"/>
      <c r="DL86" s="304">
        <f>IF(DJ86=0,0,(DK86-DJ86)/DJ86*100)</f>
        <v>0</v>
      </c>
      <c r="DM86" s="1353"/>
      <c r="DN86" s="1353"/>
      <c r="DO86" s="304">
        <f>IF(DM86=0,0,(DN86-DM86)/DM86*100)</f>
        <v>0</v>
      </c>
      <c r="DP86" s="1353"/>
      <c r="DQ86" s="1353"/>
      <c r="DR86" s="304">
        <f>IF(DP86=0,0,(DQ86-DP86)/DP86*100)</f>
        <v>0</v>
      </c>
      <c r="DS86" s="1353"/>
      <c r="DT86" s="1353"/>
      <c r="DU86" s="304">
        <f>IF(DS86=0,0,(DT86-DS86)/DS86*100)</f>
        <v>0</v>
      </c>
      <c r="DV86" s="1353"/>
      <c r="DW86" s="1353"/>
      <c r="DX86" s="304">
        <f>IF(DV86=0,0,(DW86-DV86)/DV86*100)</f>
        <v>0</v>
      </c>
      <c r="DY86" s="1353"/>
      <c r="DZ86" s="1353"/>
      <c r="EA86" s="304">
        <f>IF(DY86=0,0,(DZ86-DY86)/DY86*100)</f>
        <v>0</v>
      </c>
      <c r="EB86" s="1353"/>
      <c r="EC86" s="1353"/>
      <c r="ED86" s="304">
        <f>IF(EB86=0,0,(EC86-EB86)/EB86*100)</f>
        <v>0</v>
      </c>
      <c r="EE86" s="1353"/>
      <c r="EF86" s="1353"/>
      <c r="EG86" s="304">
        <f>IF(EE86=0,0,(EF86-EE86)/EE86*100)</f>
        <v>0</v>
      </c>
      <c r="EH86" s="1353"/>
      <c r="EI86" s="1353"/>
      <c r="EJ86" s="304">
        <f>IF(EH86=0,0,(EI86-EH86)/EH86*100)</f>
        <v>0</v>
      </c>
      <c r="EK86" s="1353"/>
      <c r="EL86" s="1353"/>
      <c r="EM86" s="304">
        <f>IF(EK86=0,0,(EL86-EK86)/EK86*100)</f>
        <v>0</v>
      </c>
      <c r="EN86" s="1353"/>
      <c r="EO86" s="1353"/>
      <c r="EP86" s="304">
        <f>IF(EN86=0,0,(EO86-EN86)/EN86*100)</f>
        <v>0</v>
      </c>
      <c r="EQ86" s="1353"/>
      <c r="ER86" s="1353"/>
      <c r="ES86" s="304">
        <f>IF(EQ86=0,0,(ER86-EQ86)/EQ86*100)</f>
        <v>0</v>
      </c>
      <c r="ET86" s="1353"/>
      <c r="EU86" s="1353"/>
      <c r="EV86" s="304">
        <f>IF(ET86=0,0,(EU86-ET86)/ET86*100)</f>
        <v>0</v>
      </c>
      <c r="EW86" s="1353"/>
      <c r="EX86" s="1353"/>
      <c r="EY86" s="304">
        <f>IF(EW86=0,0,(EX86-EW86)/EW86*100)</f>
        <v>0</v>
      </c>
      <c r="EZ86" s="1353"/>
      <c r="FA86" s="1353"/>
      <c r="FB86" s="304">
        <f>IF(EZ86=0,0,(FA86-EZ86)/EZ86*100)</f>
        <v>0</v>
      </c>
      <c r="FC86" s="1353"/>
      <c r="FD86" s="1353"/>
      <c r="FE86" s="304">
        <f>IF(FC86=0,0,(FD86-FC86)/FC86*100)</f>
        <v>0</v>
      </c>
      <c r="FF86" s="1353"/>
      <c r="FG86" s="1353"/>
      <c r="FH86" s="304">
        <f>IF(FF86=0,0,(FG86-FF86)/FF86*100)</f>
        <v>0</v>
      </c>
      <c r="FI86" s="1353"/>
      <c r="FJ86" s="1353"/>
      <c r="FK86" s="304">
        <f>IF(FI86=0,0,(FJ86-FI86)/FI86*100)</f>
        <v>0</v>
      </c>
      <c r="FL86" s="1353"/>
      <c r="FM86" s="1353"/>
      <c r="FN86" s="304">
        <f>IF(FL86=0,0,(FM86-FL86)/FL86*100)</f>
        <v>0</v>
      </c>
      <c r="FO86" s="1353"/>
      <c r="FP86" s="1353"/>
      <c r="FQ86" s="304">
        <f>IF(FO86=0,0,(FP86-FO86)/FO86*100)</f>
        <v>0</v>
      </c>
      <c r="FR86" s="1353"/>
      <c r="FS86" s="1353"/>
      <c r="FT86" s="304">
        <f>IF(FR86=0,0,(FS86-FR86)/FR86*100)</f>
        <v>0</v>
      </c>
      <c r="FU86" s="1353"/>
      <c r="FV86" s="1353"/>
      <c r="FW86" s="304">
        <f>IF(FU86=0,0,(FV86-FU86)/FU86*100)</f>
        <v>0</v>
      </c>
      <c r="FX86" s="302"/>
      <c r="FY86" s="302"/>
      <c r="FZ86" s="971" t="s">
        <v>2143</v>
      </c>
      <c r="GA86" s="971"/>
      <c r="GB86" s="971"/>
      <c r="GC86" s="971"/>
      <c r="GD86" s="971"/>
    </row>
    <row r="87" spans="1:186" s="1167" customFormat="1" ht="16.5" customHeight="1" x14ac:dyDescent="0.15">
      <c r="A87" s="1152"/>
      <c r="B87" s="803" t="b" cm="1">
        <f t="array" ref="B87">B86</f>
        <v>1</v>
      </c>
      <c r="C87" s="1108" t="s">
        <v>1765</v>
      </c>
      <c r="D87" s="1077" t="s">
        <v>1766</v>
      </c>
      <c r="E87" s="668">
        <v>17.100000000000001</v>
      </c>
      <c r="F87" s="769" t="str" cm="1">
        <f t="array" aca="1" ref="F87" ca="1">OFFSET(G87,-1,-1)</f>
        <v>1</v>
      </c>
      <c r="G87" s="417"/>
      <c r="H87" s="160" t="s">
        <v>527</v>
      </c>
      <c r="I87" s="160" t="s">
        <v>2144</v>
      </c>
      <c r="J87" s="1098" t="s">
        <v>2115</v>
      </c>
      <c r="K87" s="1098" t="str" cm="1">
        <f t="array" aca="1" ref="K87" ca="1">OFFSET(J87,-1,1)</f>
        <v>ТЭ.42.27968109.0001</v>
      </c>
      <c r="L87" s="1098" t="s">
        <v>2125</v>
      </c>
      <c r="M87" s="1098"/>
      <c r="N87" s="1098" t="s">
        <v>2137</v>
      </c>
      <c r="O87" s="1099" t="s">
        <v>2138</v>
      </c>
      <c r="P87" s="1098"/>
      <c r="Q87" s="1098"/>
      <c r="R87" s="774"/>
      <c r="S87" s="417"/>
      <c r="T87" s="679" t="b" cm="1">
        <f t="array" aca="1" ref="T87" ca="1">T86</f>
        <v>1</v>
      </c>
      <c r="U87" s="1152"/>
      <c r="V87" s="1152"/>
      <c r="W87" s="1152"/>
      <c r="X87" s="1485"/>
      <c r="Y87" s="1152"/>
      <c r="Z87" s="1485"/>
      <c r="AA87" s="417"/>
      <c r="AB87" s="877" t="s">
        <v>2126</v>
      </c>
      <c r="AC87" s="120" t="s">
        <v>521</v>
      </c>
      <c r="AD87" s="866">
        <f ca="1">IF(AD85=0,0,AD86/AD85)</f>
        <v>1.4475779147988508</v>
      </c>
      <c r="AE87" s="866">
        <f ca="1">IF(AE85=0,0,AE86/AE85)</f>
        <v>1.0990015094533836</v>
      </c>
      <c r="AF87" s="333"/>
      <c r="AG87" s="866">
        <f ca="1">IF(AG85=0,0,AG86/AG85)</f>
        <v>0</v>
      </c>
      <c r="AH87" s="866">
        <f ca="1">IF(AH85=0,0,AH86/AH85)</f>
        <v>0</v>
      </c>
      <c r="AI87" s="333"/>
      <c r="AJ87" s="866">
        <f ca="1">IF(AJ85=0,0,AJ86/AJ85)</f>
        <v>0</v>
      </c>
      <c r="AK87" s="866">
        <f ca="1">IF(AK85=0,0,AK86/AK85)</f>
        <v>0</v>
      </c>
      <c r="AL87" s="333"/>
      <c r="AM87" s="866">
        <f ca="1">IF(AM85=0,0,AM86/AM85)</f>
        <v>0</v>
      </c>
      <c r="AN87" s="866">
        <f ca="1">IF(AN85=0,0,AN86/AN85)</f>
        <v>0</v>
      </c>
      <c r="AO87" s="333"/>
      <c r="AP87" s="866">
        <f ca="1">IF(AP85=0,0,AP86/AP85)</f>
        <v>0</v>
      </c>
      <c r="AQ87" s="866">
        <f ca="1">IF(AQ85=0,0,AQ86/AQ85)</f>
        <v>0</v>
      </c>
      <c r="AR87" s="333"/>
      <c r="AS87" s="866">
        <f ca="1">IF(AS85=0,0,AS86/AS85)</f>
        <v>0</v>
      </c>
      <c r="AT87" s="866">
        <f ca="1">IF(AT85=0,0,AT86/AT85)</f>
        <v>0</v>
      </c>
      <c r="AU87" s="333"/>
      <c r="AV87" s="866">
        <f ca="1">IF(AV85=0,0,AV86/AV85)</f>
        <v>0</v>
      </c>
      <c r="AW87" s="866">
        <f ca="1">IF(AW85=0,0,AW86/AW85)</f>
        <v>0</v>
      </c>
      <c r="AX87" s="333"/>
      <c r="AY87" s="866">
        <f ca="1">IF(AY85=0,0,AY86/AY85)</f>
        <v>0</v>
      </c>
      <c r="AZ87" s="866">
        <f ca="1">IF(AZ85=0,0,AZ86/AZ85)</f>
        <v>0</v>
      </c>
      <c r="BA87" s="333"/>
      <c r="BB87" s="866">
        <f ca="1">IF(BB85=0,0,BB86/BB85)</f>
        <v>0</v>
      </c>
      <c r="BC87" s="866">
        <f ca="1">IF(BC85=0,0,BC86/BC85)</f>
        <v>0</v>
      </c>
      <c r="BD87" s="333"/>
      <c r="BE87" s="866">
        <f ca="1">IF(BE85=0,0,BE86/BE85)</f>
        <v>0</v>
      </c>
      <c r="BF87" s="866">
        <f ca="1">IF(BF85=0,0,BF86/BF85)</f>
        <v>0</v>
      </c>
      <c r="BG87" s="333"/>
      <c r="BH87" s="866">
        <f>IF(BH85=0,0,BH86/BH85)</f>
        <v>0</v>
      </c>
      <c r="BI87" s="866">
        <f>IF(BI85=0,0,BI86/BI85)</f>
        <v>0</v>
      </c>
      <c r="BJ87" s="306"/>
      <c r="BK87" s="866">
        <f>IF(BK85=0,0,BK86/BK85)</f>
        <v>0</v>
      </c>
      <c r="BL87" s="866">
        <f>IF(BL85=0,0,BL86/BL85)</f>
        <v>0</v>
      </c>
      <c r="BM87" s="306"/>
      <c r="BN87" s="866">
        <f>IF(BN85=0,0,BN86/BN85)</f>
        <v>0</v>
      </c>
      <c r="BO87" s="866">
        <f>IF(BO85=0,0,BO86/BO85)</f>
        <v>0</v>
      </c>
      <c r="BP87" s="306"/>
      <c r="BQ87" s="866">
        <f>IF(BQ85=0,0,BQ86/BQ85)</f>
        <v>0</v>
      </c>
      <c r="BR87" s="866">
        <f>IF(BR85=0,0,BR86/BR85)</f>
        <v>0</v>
      </c>
      <c r="BS87" s="306"/>
      <c r="BT87" s="866">
        <f>IF(BT85=0,0,BT86/BT85)</f>
        <v>0</v>
      </c>
      <c r="BU87" s="866">
        <f>IF(BU85=0,0,BU86/BU85)</f>
        <v>0</v>
      </c>
      <c r="BV87" s="306"/>
      <c r="BW87" s="866">
        <f>IF(BW85=0,0,BW86/BW85)</f>
        <v>0</v>
      </c>
      <c r="BX87" s="866">
        <f>IF(BX85=0,0,BX86/BX85)</f>
        <v>0</v>
      </c>
      <c r="BY87" s="306"/>
      <c r="BZ87" s="866">
        <f>IF(BZ85=0,0,BZ86/BZ85)</f>
        <v>0</v>
      </c>
      <c r="CA87" s="866">
        <f>IF(CA85=0,0,CA86/CA85)</f>
        <v>0</v>
      </c>
      <c r="CB87" s="306"/>
      <c r="CC87" s="866">
        <f>IF(CC85=0,0,CC86/CC85)</f>
        <v>0</v>
      </c>
      <c r="CD87" s="866">
        <f>IF(CD85=0,0,CD86/CD85)</f>
        <v>0</v>
      </c>
      <c r="CE87" s="306"/>
      <c r="CF87" s="866">
        <f>IF(CF85=0,0,CF86/CF85)</f>
        <v>0</v>
      </c>
      <c r="CG87" s="866">
        <f>IF(CG85=0,0,CG86/CG85)</f>
        <v>0</v>
      </c>
      <c r="CH87" s="306"/>
      <c r="CI87" s="866">
        <f>IF(CI85=0,0,CI86/CI85)</f>
        <v>0</v>
      </c>
      <c r="CJ87" s="866">
        <f>IF(CJ85=0,0,CJ86/CJ85)</f>
        <v>0</v>
      </c>
      <c r="CK87" s="306"/>
      <c r="CL87" s="866">
        <f>IF(CL85=0,0,CL86/CL85)</f>
        <v>0</v>
      </c>
      <c r="CM87" s="866">
        <f>IF(CM85=0,0,CM86/CM85)</f>
        <v>0</v>
      </c>
      <c r="CN87" s="306"/>
      <c r="CO87" s="866">
        <f>IF(CO85=0,0,CO86/CO85)</f>
        <v>0</v>
      </c>
      <c r="CP87" s="866">
        <f>IF(CP85=0,0,CP86/CP85)</f>
        <v>0</v>
      </c>
      <c r="CQ87" s="306"/>
      <c r="CR87" s="866">
        <f>IF(CR85=0,0,CR86/CR85)</f>
        <v>0</v>
      </c>
      <c r="CS87" s="866">
        <f>IF(CS85=0,0,CS86/CS85)</f>
        <v>0</v>
      </c>
      <c r="CT87" s="306"/>
      <c r="CU87" s="866">
        <f>IF(CU85=0,0,CU86/CU85)</f>
        <v>0</v>
      </c>
      <c r="CV87" s="866">
        <f>IF(CV85=0,0,CV86/CV85)</f>
        <v>0</v>
      </c>
      <c r="CW87" s="306"/>
      <c r="CX87" s="866">
        <f>IF(CX85=0,0,CX86/CX85)</f>
        <v>0</v>
      </c>
      <c r="CY87" s="866">
        <f>IF(CY85=0,0,CY86/CY85)</f>
        <v>0</v>
      </c>
      <c r="CZ87" s="306"/>
      <c r="DA87" s="866">
        <f>IF(DA85=0,0,DA86/DA85)</f>
        <v>0</v>
      </c>
      <c r="DB87" s="866">
        <f>IF(DB85=0,0,DB86/DB85)</f>
        <v>0</v>
      </c>
      <c r="DC87" s="306"/>
      <c r="DD87" s="866">
        <f>IF(DD85=0,0,DD86/DD85)</f>
        <v>0</v>
      </c>
      <c r="DE87" s="866">
        <f>IF(DE85=0,0,DE86/DE85)</f>
        <v>0</v>
      </c>
      <c r="DF87" s="306"/>
      <c r="DG87" s="866">
        <f>IF(DG85=0,0,DG86/DG85)</f>
        <v>0</v>
      </c>
      <c r="DH87" s="866">
        <f>IF(DH85=0,0,DH86/DH85)</f>
        <v>0</v>
      </c>
      <c r="DI87" s="306"/>
      <c r="DJ87" s="866">
        <f>IF(DJ85=0,0,DJ86/DJ85)</f>
        <v>0</v>
      </c>
      <c r="DK87" s="866">
        <f>IF(DK85=0,0,DK86/DK85)</f>
        <v>0</v>
      </c>
      <c r="DL87" s="306"/>
      <c r="DM87" s="866">
        <f>IF(DM85=0,0,DM86/DM85)</f>
        <v>0</v>
      </c>
      <c r="DN87" s="866">
        <f>IF(DN85=0,0,DN86/DN85)</f>
        <v>0</v>
      </c>
      <c r="DO87" s="306"/>
      <c r="DP87" s="866">
        <f>IF(DP85=0,0,DP86/DP85)</f>
        <v>0</v>
      </c>
      <c r="DQ87" s="866">
        <f>IF(DQ85=0,0,DQ86/DQ85)</f>
        <v>0</v>
      </c>
      <c r="DR87" s="306"/>
      <c r="DS87" s="866">
        <f>IF(DS85=0,0,DS86/DS85)</f>
        <v>0</v>
      </c>
      <c r="DT87" s="866">
        <f>IF(DT85=0,0,DT86/DT85)</f>
        <v>0</v>
      </c>
      <c r="DU87" s="306"/>
      <c r="DV87" s="866">
        <f>IF(DV85=0,0,DV86/DV85)</f>
        <v>0</v>
      </c>
      <c r="DW87" s="866">
        <f>IF(DW85=0,0,DW86/DW85)</f>
        <v>0</v>
      </c>
      <c r="DX87" s="306"/>
      <c r="DY87" s="866">
        <f>IF(DY85=0,0,DY86/DY85)</f>
        <v>0</v>
      </c>
      <c r="DZ87" s="866">
        <f>IF(DZ85=0,0,DZ86/DZ85)</f>
        <v>0</v>
      </c>
      <c r="EA87" s="306"/>
      <c r="EB87" s="866">
        <f>IF(EB85=0,0,EB86/EB85)</f>
        <v>0</v>
      </c>
      <c r="EC87" s="866">
        <f>IF(EC85=0,0,EC86/EC85)</f>
        <v>0</v>
      </c>
      <c r="ED87" s="306"/>
      <c r="EE87" s="866">
        <f>IF(EE85=0,0,EE86/EE85)</f>
        <v>0</v>
      </c>
      <c r="EF87" s="866">
        <f>IF(EF85=0,0,EF86/EF85)</f>
        <v>0</v>
      </c>
      <c r="EG87" s="306"/>
      <c r="EH87" s="866">
        <f>IF(EH85=0,0,EH86/EH85)</f>
        <v>0</v>
      </c>
      <c r="EI87" s="866">
        <f>IF(EI85=0,0,EI86/EI85)</f>
        <v>0</v>
      </c>
      <c r="EJ87" s="306"/>
      <c r="EK87" s="866">
        <f>IF(EK85=0,0,EK86/EK85)</f>
        <v>0</v>
      </c>
      <c r="EL87" s="866">
        <f>IF(EL85=0,0,EL86/EL85)</f>
        <v>0</v>
      </c>
      <c r="EM87" s="306"/>
      <c r="EN87" s="866">
        <f>IF(EN85=0,0,EN86/EN85)</f>
        <v>0</v>
      </c>
      <c r="EO87" s="866">
        <f>IF(EO85=0,0,EO86/EO85)</f>
        <v>0</v>
      </c>
      <c r="EP87" s="306"/>
      <c r="EQ87" s="866">
        <f>IF(EQ85=0,0,EQ86/EQ85)</f>
        <v>0</v>
      </c>
      <c r="ER87" s="866">
        <f>IF(ER85=0,0,ER86/ER85)</f>
        <v>0</v>
      </c>
      <c r="ES87" s="306"/>
      <c r="ET87" s="866">
        <f>IF(ET85=0,0,ET86/ET85)</f>
        <v>0</v>
      </c>
      <c r="EU87" s="866">
        <f>IF(EU85=0,0,EU86/EU85)</f>
        <v>0</v>
      </c>
      <c r="EV87" s="306"/>
      <c r="EW87" s="866">
        <f>IF(EW85=0,0,EW86/EW85)</f>
        <v>0</v>
      </c>
      <c r="EX87" s="866">
        <f>IF(EX85=0,0,EX86/EX85)</f>
        <v>0</v>
      </c>
      <c r="EY87" s="306"/>
      <c r="EZ87" s="866">
        <f>IF(EZ85=0,0,EZ86/EZ85)</f>
        <v>0</v>
      </c>
      <c r="FA87" s="866">
        <f>IF(FA85=0,0,FA86/FA85)</f>
        <v>0</v>
      </c>
      <c r="FB87" s="306"/>
      <c r="FC87" s="866">
        <f>IF(FC85=0,0,FC86/FC85)</f>
        <v>0</v>
      </c>
      <c r="FD87" s="866">
        <f>IF(FD85=0,0,FD86/FD85)</f>
        <v>0</v>
      </c>
      <c r="FE87" s="306"/>
      <c r="FF87" s="866">
        <f>IF(FF85=0,0,FF86/FF85)</f>
        <v>0</v>
      </c>
      <c r="FG87" s="866">
        <f>IF(FG85=0,0,FG86/FG85)</f>
        <v>0</v>
      </c>
      <c r="FH87" s="306"/>
      <c r="FI87" s="866">
        <f>IF(FI85=0,0,FI86/FI85)</f>
        <v>0</v>
      </c>
      <c r="FJ87" s="866">
        <f>IF(FJ85=0,0,FJ86/FJ85)</f>
        <v>0</v>
      </c>
      <c r="FK87" s="306"/>
      <c r="FL87" s="866">
        <f>IF(FL85=0,0,FL86/FL85)</f>
        <v>0</v>
      </c>
      <c r="FM87" s="866">
        <f>IF(FM85=0,0,FM86/FM85)</f>
        <v>0</v>
      </c>
      <c r="FN87" s="306"/>
      <c r="FO87" s="866">
        <f>IF(FO85=0,0,FO86/FO85)</f>
        <v>0</v>
      </c>
      <c r="FP87" s="866">
        <f>IF(FP85=0,0,FP86/FP85)</f>
        <v>0</v>
      </c>
      <c r="FQ87" s="306"/>
      <c r="FR87" s="866">
        <f>IF(FR85=0,0,FR86/FR85)</f>
        <v>0</v>
      </c>
      <c r="FS87" s="866">
        <f>IF(FS85=0,0,FS86/FS85)</f>
        <v>0</v>
      </c>
      <c r="FT87" s="306"/>
      <c r="FU87" s="866">
        <f>IF(FU85=0,0,FU86/FU85)</f>
        <v>0</v>
      </c>
      <c r="FV87" s="866">
        <f>IF(FV85=0,0,FV86/FV85)</f>
        <v>0</v>
      </c>
      <c r="FW87" s="306"/>
      <c r="FX87" s="417"/>
      <c r="FY87" s="417"/>
      <c r="FZ87" s="971" t="s">
        <v>2145</v>
      </c>
      <c r="GA87" s="971"/>
      <c r="GB87" s="971"/>
      <c r="GC87" s="971"/>
      <c r="GD87" s="971"/>
    </row>
    <row r="88" spans="1:186" s="1167" customFormat="1" ht="16.5" customHeight="1" x14ac:dyDescent="0.15">
      <c r="A88" s="1152"/>
      <c r="B88" s="803" t="b" cm="1">
        <f t="array" ref="B88">B87</f>
        <v>1</v>
      </c>
      <c r="C88" s="1108" t="s">
        <v>1747</v>
      </c>
      <c r="D88" s="1077" t="s">
        <v>1748</v>
      </c>
      <c r="E88" s="668">
        <v>17.100000000000001</v>
      </c>
      <c r="F88" s="769" t="str" cm="1">
        <f t="array" aca="1" ref="F88" ca="1">OFFSET(G88,-1,-1)</f>
        <v>1</v>
      </c>
      <c r="G88" s="140" t="s">
        <v>2146</v>
      </c>
      <c r="H88" s="160" t="s">
        <v>534</v>
      </c>
      <c r="I88" s="160" t="s">
        <v>2144</v>
      </c>
      <c r="J88" s="1098" t="s">
        <v>2115</v>
      </c>
      <c r="K88" s="1098" t="str" cm="1">
        <f t="array" aca="1" ref="K88" ca="1">OFFSET(J88,-1,1)</f>
        <v>ТЭ.42.27968109.0001</v>
      </c>
      <c r="L88" s="1098" t="s">
        <v>2129</v>
      </c>
      <c r="M88" s="1098"/>
      <c r="N88" s="1098" t="s">
        <v>2137</v>
      </c>
      <c r="O88" s="1099" t="s">
        <v>2138</v>
      </c>
      <c r="P88" s="1098"/>
      <c r="Q88" s="1098"/>
      <c r="R88" s="774"/>
      <c r="S88" s="417"/>
      <c r="T88" s="679" t="b" cm="1">
        <f t="array" aca="1" ref="T88" ca="1">T87</f>
        <v>1</v>
      </c>
      <c r="U88" s="1152"/>
      <c r="V88" s="1152"/>
      <c r="W88" s="1152"/>
      <c r="X88" s="1485"/>
      <c r="Y88" s="1152"/>
      <c r="Z88" s="1485"/>
      <c r="AA88" s="417"/>
      <c r="AB88" s="877" t="s">
        <v>2147</v>
      </c>
      <c r="AC88" s="120" t="s">
        <v>622</v>
      </c>
      <c r="AD88" s="1266">
        <f ca="1">SUMIFS('Баланс Пр'!AI$27:AI$165,'Баланс Пр'!$F$27:$F$165,$F88,'Баланс Пр'!$AB$27:$AB$165,"9.1.2.3")</f>
        <v>54620.97</v>
      </c>
      <c r="AE88" s="1266">
        <f ca="1">SUMIFS('Баланс Пр'!AS$27:AS$165,'Баланс Пр'!$F$27:$F$165,$F88,'Баланс Пр'!$AB$27:$AB$165,"9.1.2.3")</f>
        <v>54948</v>
      </c>
      <c r="AF88" s="333">
        <f ca="1">IF(AD88=0,0,(AE88-AD88)/AD88*100)</f>
        <v>0.59872609365963081</v>
      </c>
      <c r="AG88" s="1260">
        <f ca="1">SUMIFS('Баланс Пр'!AJ$27:AJ$165,'Баланс Пр'!$F$27:$F$165,$F88,'Баланс Пр'!$AB$27:$AB$165,"9.1.2.3")</f>
        <v>0</v>
      </c>
      <c r="AH88" s="1260">
        <f ca="1">SUMIFS('Баланс Пр'!AT$27:AT$165,'Баланс Пр'!$F$27:$F$165,$F88,'Баланс Пр'!$AB$27:$AB$165,"9.1.2.3")</f>
        <v>0</v>
      </c>
      <c r="AI88" s="333">
        <f ca="1">IF(AG88=0,0,(AH88-AG88)/AG88*100)</f>
        <v>0</v>
      </c>
      <c r="AJ88" s="1260">
        <f ca="1">SUMIFS('Баланс Пр'!AK$27:AK$165,'Баланс Пр'!$F$27:$F$165,$F88,'Баланс Пр'!$AB$27:$AB$165,"9.1.2.3")</f>
        <v>0</v>
      </c>
      <c r="AK88" s="1260">
        <f ca="1">SUMIFS('Баланс Пр'!AU$27:AU$165,'Баланс Пр'!$F$27:$F$165,$F88,'Баланс Пр'!$AB$27:$AB$165,"9.1.2.3")</f>
        <v>0</v>
      </c>
      <c r="AL88" s="333">
        <f ca="1">IF(AJ88=0,0,(AK88-AJ88)/AJ88*100)</f>
        <v>0</v>
      </c>
      <c r="AM88" s="1266">
        <f ca="1">SUMIFS('Баланс Пр'!AL$27:AL$165,'Баланс Пр'!$F$27:$F$165,$F88,'Баланс Пр'!$AB$27:$AB$165,"9.1.2.3")</f>
        <v>0</v>
      </c>
      <c r="AN88" s="1266">
        <f ca="1">SUMIFS('Баланс Пр'!AV$27:AV$165,'Баланс Пр'!$F$27:$F$165,$F88,'Баланс Пр'!$AB$27:$AB$165,"9.1.2.3")</f>
        <v>0</v>
      </c>
      <c r="AO88" s="333">
        <f ca="1">IF(AM88=0,0,(AN88-AM88)/AM88*100)</f>
        <v>0</v>
      </c>
      <c r="AP88" s="1266">
        <f ca="1">SUMIFS('Баланс Пр'!AM$27:AM$165,'Баланс Пр'!$F$27:$F$165,$F88,'Баланс Пр'!$AB$27:$AB$165,"9.1.2.3")</f>
        <v>0</v>
      </c>
      <c r="AQ88" s="1266">
        <f ca="1">SUMIFS('Баланс Пр'!AW$27:AW$165,'Баланс Пр'!$F$27:$F$165,$F88,'Баланс Пр'!$AB$27:$AB$165,"9.1.2.3")</f>
        <v>0</v>
      </c>
      <c r="AR88" s="333">
        <f ca="1">IF(AP88=0,0,(AQ88-AP88)/AP88*100)</f>
        <v>0</v>
      </c>
      <c r="AS88" s="1266">
        <f ca="1">SUMIFS('Баланс Пр'!AN$27:AN$165,'Баланс Пр'!$F$27:$F$165,$F88,'Баланс Пр'!$AB$27:$AB$165,"9.1.2.3")</f>
        <v>0</v>
      </c>
      <c r="AT88" s="1266">
        <f ca="1">SUMIFS('Баланс Пр'!AX$27:AX$165,'Баланс Пр'!$F$27:$F$165,$F88,'Баланс Пр'!$AB$27:$AB$165,"9.1.2.3")</f>
        <v>0</v>
      </c>
      <c r="AU88" s="333">
        <f ca="1">IF(AS88=0,0,(AT88-AS88)/AS88*100)</f>
        <v>0</v>
      </c>
      <c r="AV88" s="1266">
        <f ca="1">SUMIFS('Баланс Пр'!AO$27:AO$165,'Баланс Пр'!$F$27:$F$165,$F88,'Баланс Пр'!$AB$27:$AB$165,"9.1.2.3")</f>
        <v>0</v>
      </c>
      <c r="AW88" s="1266">
        <f ca="1">SUMIFS('Баланс Пр'!AY$27:AY$165,'Баланс Пр'!$F$27:$F$165,$F88,'Баланс Пр'!$AB$27:$AB$165,"9.1.2.3")</f>
        <v>0</v>
      </c>
      <c r="AX88" s="333">
        <f ca="1">IF(AV88=0,0,(AW88-AV88)/AV88*100)</f>
        <v>0</v>
      </c>
      <c r="AY88" s="1266">
        <f ca="1">SUMIFS('Баланс Пр'!AP$27:AP$165,'Баланс Пр'!$F$27:$F$165,$F88,'Баланс Пр'!$AB$27:$AB$165,"9.1.2.3")</f>
        <v>0</v>
      </c>
      <c r="AZ88" s="1266">
        <f ca="1">SUMIFS('Баланс Пр'!AZ$27:AZ$165,'Баланс Пр'!$F$27:$F$165,$F88,'Баланс Пр'!$AB$27:$AB$165,"9.1.2.3")</f>
        <v>0</v>
      </c>
      <c r="BA88" s="333">
        <f ca="1">IF(AY88=0,0,(AZ88-AY88)/AY88*100)</f>
        <v>0</v>
      </c>
      <c r="BB88" s="1266">
        <f ca="1">SUMIFS('Баланс Пр'!AQ$27:AQ$165,'Баланс Пр'!$F$27:$F$165,$F88,'Баланс Пр'!$AB$27:$AB$165,"9.1.2.3")</f>
        <v>0</v>
      </c>
      <c r="BC88" s="1266">
        <f ca="1">SUMIFS('Баланс Пр'!BA$27:BA$165,'Баланс Пр'!$F$27:$F$165,$F88,'Баланс Пр'!$AB$27:$AB$165,"9.1.2.3")</f>
        <v>0</v>
      </c>
      <c r="BD88" s="333">
        <f ca="1">IF(BB88=0,0,(BC88-BB88)/BB88*100)</f>
        <v>0</v>
      </c>
      <c r="BE88" s="1266">
        <f ca="1">SUMIFS('Баланс Пр'!AR$27:AR$165,'Баланс Пр'!$F$27:$F$165,$F88,'Баланс Пр'!$AB$27:$AB$165,"9.1.2.3")</f>
        <v>0</v>
      </c>
      <c r="BF88" s="1266">
        <f ca="1">SUMIFS('Баланс Пр'!BB$27:BB$165,'Баланс Пр'!$F$27:$F$165,$F88,'Баланс Пр'!$AB$27:$AB$165,"9.1.2.3")</f>
        <v>0</v>
      </c>
      <c r="BG88" s="333">
        <f ca="1">IF(BE88=0,0,(BF88-BE88)/BE88*100)</f>
        <v>0</v>
      </c>
      <c r="BH88" s="1355">
        <f>SUM(BH89:BH90)</f>
        <v>0</v>
      </c>
      <c r="BI88" s="1355">
        <f>SUM(BI89:BI90)</f>
        <v>0</v>
      </c>
      <c r="BJ88" s="333">
        <f>IF(BH88=0,0,(BI88-BH88)/BH88*100)</f>
        <v>0</v>
      </c>
      <c r="BK88" s="1355">
        <f>SUM(BK89:BK90)</f>
        <v>0</v>
      </c>
      <c r="BL88" s="1355">
        <f>SUM(BL89:BL90)</f>
        <v>0</v>
      </c>
      <c r="BM88" s="333">
        <f>IF(BK88=0,0,(BL88-BK88)/BK88*100)</f>
        <v>0</v>
      </c>
      <c r="BN88" s="1355">
        <f>SUM(BN89:BN90)</f>
        <v>0</v>
      </c>
      <c r="BO88" s="1355">
        <f>SUM(BO89:BO90)</f>
        <v>0</v>
      </c>
      <c r="BP88" s="333">
        <f>IF(BN88=0,0,(BO88-BN88)/BN88*100)</f>
        <v>0</v>
      </c>
      <c r="BQ88" s="1355">
        <f>SUM(BQ89:BQ90)</f>
        <v>0</v>
      </c>
      <c r="BR88" s="1355">
        <f>SUM(BR89:BR90)</f>
        <v>0</v>
      </c>
      <c r="BS88" s="333">
        <f>IF(BQ88=0,0,(BR88-BQ88)/BQ88*100)</f>
        <v>0</v>
      </c>
      <c r="BT88" s="1355">
        <f>SUM(BT89:BT90)</f>
        <v>0</v>
      </c>
      <c r="BU88" s="1355">
        <f>SUM(BU89:BU90)</f>
        <v>0</v>
      </c>
      <c r="BV88" s="333">
        <f>IF(BT88=0,0,(BU88-BT88)/BT88*100)</f>
        <v>0</v>
      </c>
      <c r="BW88" s="1355">
        <f>SUM(BW89:BW90)</f>
        <v>0</v>
      </c>
      <c r="BX88" s="1355">
        <f>SUM(BX89:BX90)</f>
        <v>0</v>
      </c>
      <c r="BY88" s="333">
        <f>IF(BW88=0,0,(BX88-BW88)/BW88*100)</f>
        <v>0</v>
      </c>
      <c r="BZ88" s="1355">
        <f>SUM(BZ89:BZ90)</f>
        <v>0</v>
      </c>
      <c r="CA88" s="1355">
        <f>SUM(CA89:CA90)</f>
        <v>0</v>
      </c>
      <c r="CB88" s="333">
        <f>IF(BZ88=0,0,(CA88-BZ88)/BZ88*100)</f>
        <v>0</v>
      </c>
      <c r="CC88" s="1355">
        <f>SUM(CC89:CC90)</f>
        <v>0</v>
      </c>
      <c r="CD88" s="1355">
        <f>SUM(CD89:CD90)</f>
        <v>0</v>
      </c>
      <c r="CE88" s="333">
        <f>IF(CC88=0,0,(CD88-CC88)/CC88*100)</f>
        <v>0</v>
      </c>
      <c r="CF88" s="1355">
        <f>SUM(CF89:CF90)</f>
        <v>0</v>
      </c>
      <c r="CG88" s="1355">
        <f>SUM(CG89:CG90)</f>
        <v>0</v>
      </c>
      <c r="CH88" s="333">
        <f>IF(CF88=0,0,(CG88-CF88)/CF88*100)</f>
        <v>0</v>
      </c>
      <c r="CI88" s="1355">
        <f>SUM(CI89:CI90)</f>
        <v>0</v>
      </c>
      <c r="CJ88" s="1355">
        <f>SUM(CJ89:CJ90)</f>
        <v>0</v>
      </c>
      <c r="CK88" s="333">
        <f>IF(CI88=0,0,(CJ88-CI88)/CI88*100)</f>
        <v>0</v>
      </c>
      <c r="CL88" s="1355">
        <f>SUM(CL89:CL90)</f>
        <v>0</v>
      </c>
      <c r="CM88" s="1355">
        <f>SUM(CM89:CM90)</f>
        <v>0</v>
      </c>
      <c r="CN88" s="333">
        <f>IF(CL88=0,0,(CM88-CL88)/CL88*100)</f>
        <v>0</v>
      </c>
      <c r="CO88" s="1355">
        <f>SUM(CO89:CO90)</f>
        <v>0</v>
      </c>
      <c r="CP88" s="1355">
        <f>SUM(CP89:CP90)</f>
        <v>0</v>
      </c>
      <c r="CQ88" s="333">
        <f>IF(CO88=0,0,(CP88-CO88)/CO88*100)</f>
        <v>0</v>
      </c>
      <c r="CR88" s="1355">
        <f>SUM(CR89:CR90)</f>
        <v>0</v>
      </c>
      <c r="CS88" s="1355">
        <f>SUM(CS89:CS90)</f>
        <v>0</v>
      </c>
      <c r="CT88" s="333">
        <f>IF(CR88=0,0,(CS88-CR88)/CR88*100)</f>
        <v>0</v>
      </c>
      <c r="CU88" s="1355">
        <f>SUM(CU89:CU90)</f>
        <v>0</v>
      </c>
      <c r="CV88" s="1355">
        <f>SUM(CV89:CV90)</f>
        <v>0</v>
      </c>
      <c r="CW88" s="333">
        <f>IF(CU88=0,0,(CV88-CU88)/CU88*100)</f>
        <v>0</v>
      </c>
      <c r="CX88" s="1355">
        <f>SUM(CX89:CX90)</f>
        <v>0</v>
      </c>
      <c r="CY88" s="1355">
        <f>SUM(CY89:CY90)</f>
        <v>0</v>
      </c>
      <c r="CZ88" s="333">
        <f>IF(CX88=0,0,(CY88-CX88)/CX88*100)</f>
        <v>0</v>
      </c>
      <c r="DA88" s="1355">
        <f>SUM(DA89:DA90)</f>
        <v>0</v>
      </c>
      <c r="DB88" s="1355">
        <f>SUM(DB89:DB90)</f>
        <v>0</v>
      </c>
      <c r="DC88" s="333">
        <f>IF(DA88=0,0,(DB88-DA88)/DA88*100)</f>
        <v>0</v>
      </c>
      <c r="DD88" s="1355">
        <f>SUM(DD89:DD90)</f>
        <v>0</v>
      </c>
      <c r="DE88" s="1355">
        <f>SUM(DE89:DE90)</f>
        <v>0</v>
      </c>
      <c r="DF88" s="333">
        <f>IF(DD88=0,0,(DE88-DD88)/DD88*100)</f>
        <v>0</v>
      </c>
      <c r="DG88" s="1355">
        <f>SUM(DG89:DG90)</f>
        <v>0</v>
      </c>
      <c r="DH88" s="1355">
        <f>SUM(DH89:DH90)</f>
        <v>0</v>
      </c>
      <c r="DI88" s="333">
        <f>IF(DG88=0,0,(DH88-DG88)/DG88*100)</f>
        <v>0</v>
      </c>
      <c r="DJ88" s="1355">
        <f>SUM(DJ89:DJ90)</f>
        <v>0</v>
      </c>
      <c r="DK88" s="1355">
        <f>SUM(DK89:DK90)</f>
        <v>0</v>
      </c>
      <c r="DL88" s="333">
        <f>IF(DJ88=0,0,(DK88-DJ88)/DJ88*100)</f>
        <v>0</v>
      </c>
      <c r="DM88" s="1355">
        <f>SUM(DM89:DM90)</f>
        <v>0</v>
      </c>
      <c r="DN88" s="1355">
        <f>SUM(DN89:DN90)</f>
        <v>0</v>
      </c>
      <c r="DO88" s="333">
        <f>IF(DM88=0,0,(DN88-DM88)/DM88*100)</f>
        <v>0</v>
      </c>
      <c r="DP88" s="1355">
        <f>SUM(DP89:DP90)</f>
        <v>0</v>
      </c>
      <c r="DQ88" s="1355">
        <f>SUM(DQ89:DQ90)</f>
        <v>0</v>
      </c>
      <c r="DR88" s="333">
        <f>IF(DP88=0,0,(DQ88-DP88)/DP88*100)</f>
        <v>0</v>
      </c>
      <c r="DS88" s="1355">
        <f>SUM(DS89:DS90)</f>
        <v>0</v>
      </c>
      <c r="DT88" s="1355">
        <f>SUM(DT89:DT90)</f>
        <v>0</v>
      </c>
      <c r="DU88" s="333">
        <f>IF(DS88=0,0,(DT88-DS88)/DS88*100)</f>
        <v>0</v>
      </c>
      <c r="DV88" s="1355">
        <f>SUM(DV89:DV90)</f>
        <v>0</v>
      </c>
      <c r="DW88" s="1355">
        <f>SUM(DW89:DW90)</f>
        <v>0</v>
      </c>
      <c r="DX88" s="333">
        <f>IF(DV88=0,0,(DW88-DV88)/DV88*100)</f>
        <v>0</v>
      </c>
      <c r="DY88" s="1355">
        <f>SUM(DY89:DY90)</f>
        <v>0</v>
      </c>
      <c r="DZ88" s="1355">
        <f>SUM(DZ89:DZ90)</f>
        <v>0</v>
      </c>
      <c r="EA88" s="333">
        <f>IF(DY88=0,0,(DZ88-DY88)/DY88*100)</f>
        <v>0</v>
      </c>
      <c r="EB88" s="1355">
        <f>SUM(EB89:EB90)</f>
        <v>0</v>
      </c>
      <c r="EC88" s="1355">
        <f>SUM(EC89:EC90)</f>
        <v>0</v>
      </c>
      <c r="ED88" s="333">
        <f>IF(EB88=0,0,(EC88-EB88)/EB88*100)</f>
        <v>0</v>
      </c>
      <c r="EE88" s="1355">
        <f>SUM(EE89:EE90)</f>
        <v>0</v>
      </c>
      <c r="EF88" s="1355">
        <f>SUM(EF89:EF90)</f>
        <v>0</v>
      </c>
      <c r="EG88" s="333">
        <f>IF(EE88=0,0,(EF88-EE88)/EE88*100)</f>
        <v>0</v>
      </c>
      <c r="EH88" s="1355">
        <f>SUM(EH89:EH90)</f>
        <v>0</v>
      </c>
      <c r="EI88" s="1355">
        <f>SUM(EI89:EI90)</f>
        <v>0</v>
      </c>
      <c r="EJ88" s="333">
        <f>IF(EH88=0,0,(EI88-EH88)/EH88*100)</f>
        <v>0</v>
      </c>
      <c r="EK88" s="1355">
        <f>SUM(EK89:EK90)</f>
        <v>0</v>
      </c>
      <c r="EL88" s="1355">
        <f>SUM(EL89:EL90)</f>
        <v>0</v>
      </c>
      <c r="EM88" s="333">
        <f>IF(EK88=0,0,(EL88-EK88)/EK88*100)</f>
        <v>0</v>
      </c>
      <c r="EN88" s="1355">
        <f>SUM(EN89:EN90)</f>
        <v>0</v>
      </c>
      <c r="EO88" s="1355">
        <f>SUM(EO89:EO90)</f>
        <v>0</v>
      </c>
      <c r="EP88" s="333">
        <f>IF(EN88=0,0,(EO88-EN88)/EN88*100)</f>
        <v>0</v>
      </c>
      <c r="EQ88" s="1355">
        <f>SUM(EQ89:EQ90)</f>
        <v>0</v>
      </c>
      <c r="ER88" s="1355">
        <f>SUM(ER89:ER90)</f>
        <v>0</v>
      </c>
      <c r="ES88" s="333">
        <f>IF(EQ88=0,0,(ER88-EQ88)/EQ88*100)</f>
        <v>0</v>
      </c>
      <c r="ET88" s="1355">
        <f>SUM(ET89:ET90)</f>
        <v>0</v>
      </c>
      <c r="EU88" s="1355">
        <f>SUM(EU89:EU90)</f>
        <v>0</v>
      </c>
      <c r="EV88" s="333">
        <f>IF(ET88=0,0,(EU88-ET88)/ET88*100)</f>
        <v>0</v>
      </c>
      <c r="EW88" s="1355">
        <f>SUM(EW89:EW90)</f>
        <v>0</v>
      </c>
      <c r="EX88" s="1355">
        <f>SUM(EX89:EX90)</f>
        <v>0</v>
      </c>
      <c r="EY88" s="333">
        <f>IF(EW88=0,0,(EX88-EW88)/EW88*100)</f>
        <v>0</v>
      </c>
      <c r="EZ88" s="1355">
        <f>SUM(EZ89:EZ90)</f>
        <v>0</v>
      </c>
      <c r="FA88" s="1355">
        <f>SUM(FA89:FA90)</f>
        <v>0</v>
      </c>
      <c r="FB88" s="333">
        <f>IF(EZ88=0,0,(FA88-EZ88)/EZ88*100)</f>
        <v>0</v>
      </c>
      <c r="FC88" s="1355">
        <f>SUM(FC89:FC90)</f>
        <v>0</v>
      </c>
      <c r="FD88" s="1355">
        <f>SUM(FD89:FD90)</f>
        <v>0</v>
      </c>
      <c r="FE88" s="333">
        <f>IF(FC88=0,0,(FD88-FC88)/FC88*100)</f>
        <v>0</v>
      </c>
      <c r="FF88" s="1355">
        <f>SUM(FF89:FF90)</f>
        <v>0</v>
      </c>
      <c r="FG88" s="1355">
        <f>SUM(FG89:FG90)</f>
        <v>0</v>
      </c>
      <c r="FH88" s="333">
        <f>IF(FF88=0,0,(FG88-FF88)/FF88*100)</f>
        <v>0</v>
      </c>
      <c r="FI88" s="1355">
        <f>SUM(FI89:FI90)</f>
        <v>0</v>
      </c>
      <c r="FJ88" s="1355">
        <f>SUM(FJ89:FJ90)</f>
        <v>0</v>
      </c>
      <c r="FK88" s="333">
        <f>IF(FI88=0,0,(FJ88-FI88)/FI88*100)</f>
        <v>0</v>
      </c>
      <c r="FL88" s="1355">
        <f>SUM(FL89:FL90)</f>
        <v>0</v>
      </c>
      <c r="FM88" s="1355">
        <f>SUM(FM89:FM90)</f>
        <v>0</v>
      </c>
      <c r="FN88" s="333">
        <f>IF(FL88=0,0,(FM88-FL88)/FL88*100)</f>
        <v>0</v>
      </c>
      <c r="FO88" s="1355">
        <f>SUM(FO89:FO90)</f>
        <v>0</v>
      </c>
      <c r="FP88" s="1355">
        <f>SUM(FP89:FP90)</f>
        <v>0</v>
      </c>
      <c r="FQ88" s="333">
        <f>IF(FO88=0,0,(FP88-FO88)/FO88*100)</f>
        <v>0</v>
      </c>
      <c r="FR88" s="1355">
        <f>SUM(FR89:FR90)</f>
        <v>0</v>
      </c>
      <c r="FS88" s="1355">
        <f>SUM(FS89:FS90)</f>
        <v>0</v>
      </c>
      <c r="FT88" s="333">
        <f>IF(FR88=0,0,(FS88-FR88)/FR88*100)</f>
        <v>0</v>
      </c>
      <c r="FU88" s="1355">
        <f>SUM(FU89:FU90)</f>
        <v>0</v>
      </c>
      <c r="FV88" s="1355">
        <f>SUM(FV89:FV90)</f>
        <v>0</v>
      </c>
      <c r="FW88" s="333">
        <f>IF(FU88=0,0,(FV88-FU88)/FU88*100)</f>
        <v>0</v>
      </c>
      <c r="FX88" s="417"/>
      <c r="FY88" s="417"/>
      <c r="FZ88" s="971" t="s">
        <v>2148</v>
      </c>
      <c r="GA88" s="971"/>
      <c r="GB88" s="971"/>
      <c r="GC88" s="971"/>
      <c r="GD88" s="971"/>
    </row>
    <row r="89" spans="1:186" s="1167" customFormat="1" ht="16.5" customHeight="1" x14ac:dyDescent="0.15">
      <c r="A89" s="1152"/>
      <c r="B89" s="803" t="b" cm="1">
        <f t="array" ref="B89">B88</f>
        <v>1</v>
      </c>
      <c r="C89" s="1108" t="s">
        <v>1747</v>
      </c>
      <c r="D89" s="1077" t="s">
        <v>1748</v>
      </c>
      <c r="E89" s="668">
        <v>17.100000000000001</v>
      </c>
      <c r="F89" s="769" t="str" cm="1">
        <f t="array" aca="1" ref="F89" ca="1">OFFSET(G89,-1,-1)</f>
        <v>1</v>
      </c>
      <c r="G89" s="417"/>
      <c r="H89" s="417"/>
      <c r="I89" s="417"/>
      <c r="J89" s="1098" t="s">
        <v>2115</v>
      </c>
      <c r="K89" s="1098" t="str" cm="1">
        <f t="array" aca="1" ref="K89" ca="1">OFFSET(J89,-1,1)</f>
        <v>ТЭ.42.27968109.0001</v>
      </c>
      <c r="L89" s="1098" t="s">
        <v>2129</v>
      </c>
      <c r="M89" s="1098" t="s">
        <v>1750</v>
      </c>
      <c r="N89" s="1098" t="s">
        <v>2137</v>
      </c>
      <c r="O89" s="1099" t="s">
        <v>2138</v>
      </c>
      <c r="P89" s="1098"/>
      <c r="Q89" s="1098"/>
      <c r="R89" s="774"/>
      <c r="S89" s="417"/>
      <c r="T89" s="679" t="b" cm="1">
        <f t="array" aca="1" ref="T89" ca="1">T88</f>
        <v>1</v>
      </c>
      <c r="U89" s="1152"/>
      <c r="V89" s="1152"/>
      <c r="W89" s="1152"/>
      <c r="X89" s="1485"/>
      <c r="Y89" s="1152"/>
      <c r="Z89" s="1485"/>
      <c r="AA89" s="417"/>
      <c r="AB89" s="220" t="s">
        <v>2149</v>
      </c>
      <c r="AC89" s="558" t="s">
        <v>622</v>
      </c>
      <c r="AD89" s="1301">
        <v>39416.639999999999</v>
      </c>
      <c r="AE89" s="1301">
        <v>39652.639999999999</v>
      </c>
      <c r="AF89" s="570">
        <f>IF(AD89=0,0,(AE89-AD89)/AD89*100)</f>
        <v>0.5987319061188372</v>
      </c>
      <c r="AG89" s="1351"/>
      <c r="AH89" s="1351"/>
      <c r="AI89" s="570">
        <f>IF(AG89=0,0,(AH89-AG89)/AG89*100)</f>
        <v>0</v>
      </c>
      <c r="AJ89" s="1351"/>
      <c r="AK89" s="1351"/>
      <c r="AL89" s="570">
        <f>IF(AJ89=0,0,(AK89-AJ89)/AJ89*100)</f>
        <v>0</v>
      </c>
      <c r="AM89" s="1301"/>
      <c r="AN89" s="1301"/>
      <c r="AO89" s="570">
        <f>IF(AM89=0,0,(AN89-AM89)/AM89*100)</f>
        <v>0</v>
      </c>
      <c r="AP89" s="1301"/>
      <c r="AQ89" s="1301"/>
      <c r="AR89" s="570">
        <f>IF(AP89=0,0,(AQ89-AP89)/AP89*100)</f>
        <v>0</v>
      </c>
      <c r="AS89" s="1301"/>
      <c r="AT89" s="1301"/>
      <c r="AU89" s="570">
        <f>IF(AS89=0,0,(AT89-AS89)/AS89*100)</f>
        <v>0</v>
      </c>
      <c r="AV89" s="1301"/>
      <c r="AW89" s="1301"/>
      <c r="AX89" s="570">
        <f>IF(AV89=0,0,(AW89-AV89)/AV89*100)</f>
        <v>0</v>
      </c>
      <c r="AY89" s="1301"/>
      <c r="AZ89" s="1301"/>
      <c r="BA89" s="570">
        <f>IF(AY89=0,0,(AZ89-AY89)/AY89*100)</f>
        <v>0</v>
      </c>
      <c r="BB89" s="1301"/>
      <c r="BC89" s="1301"/>
      <c r="BD89" s="570">
        <f>IF(BB89=0,0,(BC89-BB89)/BB89*100)</f>
        <v>0</v>
      </c>
      <c r="BE89" s="1301"/>
      <c r="BF89" s="1301"/>
      <c r="BG89" s="570">
        <f>IF(BE89=0,0,(BF89-BE89)/BE89*100)</f>
        <v>0</v>
      </c>
      <c r="BH89" s="1301"/>
      <c r="BI89" s="1301"/>
      <c r="BJ89" s="570">
        <f>IF(BH89=0,0,(BI89-BH89)/BH89*100)</f>
        <v>0</v>
      </c>
      <c r="BK89" s="1301"/>
      <c r="BL89" s="1301"/>
      <c r="BM89" s="570">
        <f>IF(BK89=0,0,(BL89-BK89)/BK89*100)</f>
        <v>0</v>
      </c>
      <c r="BN89" s="1301"/>
      <c r="BO89" s="1301"/>
      <c r="BP89" s="570">
        <f>IF(BN89=0,0,(BO89-BN89)/BN89*100)</f>
        <v>0</v>
      </c>
      <c r="BQ89" s="1301"/>
      <c r="BR89" s="1301"/>
      <c r="BS89" s="570">
        <f>IF(BQ89=0,0,(BR89-BQ89)/BQ89*100)</f>
        <v>0</v>
      </c>
      <c r="BT89" s="1301"/>
      <c r="BU89" s="1301"/>
      <c r="BV89" s="570">
        <f>IF(BT89=0,0,(BU89-BT89)/BT89*100)</f>
        <v>0</v>
      </c>
      <c r="BW89" s="1301"/>
      <c r="BX89" s="1301"/>
      <c r="BY89" s="570">
        <f>IF(BW89=0,0,(BX89-BW89)/BW89*100)</f>
        <v>0</v>
      </c>
      <c r="BZ89" s="1301"/>
      <c r="CA89" s="1301"/>
      <c r="CB89" s="570">
        <f>IF(BZ89=0,0,(CA89-BZ89)/BZ89*100)</f>
        <v>0</v>
      </c>
      <c r="CC89" s="1301"/>
      <c r="CD89" s="1301"/>
      <c r="CE89" s="570">
        <f>IF(CC89=0,0,(CD89-CC89)/CC89*100)</f>
        <v>0</v>
      </c>
      <c r="CF89" s="1301"/>
      <c r="CG89" s="1301"/>
      <c r="CH89" s="570">
        <f>IF(CF89=0,0,(CG89-CF89)/CF89*100)</f>
        <v>0</v>
      </c>
      <c r="CI89" s="1301"/>
      <c r="CJ89" s="1301"/>
      <c r="CK89" s="570">
        <f>IF(CI89=0,0,(CJ89-CI89)/CI89*100)</f>
        <v>0</v>
      </c>
      <c r="CL89" s="1301"/>
      <c r="CM89" s="1301"/>
      <c r="CN89" s="570">
        <f>IF(CL89=0,0,(CM89-CL89)/CL89*100)</f>
        <v>0</v>
      </c>
      <c r="CO89" s="1301"/>
      <c r="CP89" s="1301"/>
      <c r="CQ89" s="570">
        <f>IF(CO89=0,0,(CP89-CO89)/CO89*100)</f>
        <v>0</v>
      </c>
      <c r="CR89" s="1301"/>
      <c r="CS89" s="1301"/>
      <c r="CT89" s="570">
        <f>IF(CR89=0,0,(CS89-CR89)/CR89*100)</f>
        <v>0</v>
      </c>
      <c r="CU89" s="1301"/>
      <c r="CV89" s="1301"/>
      <c r="CW89" s="570">
        <f>IF(CU89=0,0,(CV89-CU89)/CU89*100)</f>
        <v>0</v>
      </c>
      <c r="CX89" s="1301"/>
      <c r="CY89" s="1301"/>
      <c r="CZ89" s="570">
        <f>IF(CX89=0,0,(CY89-CX89)/CX89*100)</f>
        <v>0</v>
      </c>
      <c r="DA89" s="1301"/>
      <c r="DB89" s="1301"/>
      <c r="DC89" s="570">
        <f>IF(DA89=0,0,(DB89-DA89)/DA89*100)</f>
        <v>0</v>
      </c>
      <c r="DD89" s="1301"/>
      <c r="DE89" s="1301"/>
      <c r="DF89" s="570">
        <f>IF(DD89=0,0,(DE89-DD89)/DD89*100)</f>
        <v>0</v>
      </c>
      <c r="DG89" s="1301"/>
      <c r="DH89" s="1301"/>
      <c r="DI89" s="570">
        <f>IF(DG89=0,0,(DH89-DG89)/DG89*100)</f>
        <v>0</v>
      </c>
      <c r="DJ89" s="1301"/>
      <c r="DK89" s="1301"/>
      <c r="DL89" s="570">
        <f>IF(DJ89=0,0,(DK89-DJ89)/DJ89*100)</f>
        <v>0</v>
      </c>
      <c r="DM89" s="1301"/>
      <c r="DN89" s="1301"/>
      <c r="DO89" s="570">
        <f>IF(DM89=0,0,(DN89-DM89)/DM89*100)</f>
        <v>0</v>
      </c>
      <c r="DP89" s="1301"/>
      <c r="DQ89" s="1301"/>
      <c r="DR89" s="570">
        <f>IF(DP89=0,0,(DQ89-DP89)/DP89*100)</f>
        <v>0</v>
      </c>
      <c r="DS89" s="1301"/>
      <c r="DT89" s="1301"/>
      <c r="DU89" s="570">
        <f>IF(DS89=0,0,(DT89-DS89)/DS89*100)</f>
        <v>0</v>
      </c>
      <c r="DV89" s="1301"/>
      <c r="DW89" s="1301"/>
      <c r="DX89" s="570">
        <f>IF(DV89=0,0,(DW89-DV89)/DV89*100)</f>
        <v>0</v>
      </c>
      <c r="DY89" s="1301"/>
      <c r="DZ89" s="1301"/>
      <c r="EA89" s="570">
        <f>IF(DY89=0,0,(DZ89-DY89)/DY89*100)</f>
        <v>0</v>
      </c>
      <c r="EB89" s="1301"/>
      <c r="EC89" s="1301"/>
      <c r="ED89" s="570">
        <f>IF(EB89=0,0,(EC89-EB89)/EB89*100)</f>
        <v>0</v>
      </c>
      <c r="EE89" s="1301"/>
      <c r="EF89" s="1301"/>
      <c r="EG89" s="570">
        <f>IF(EE89=0,0,(EF89-EE89)/EE89*100)</f>
        <v>0</v>
      </c>
      <c r="EH89" s="1301"/>
      <c r="EI89" s="1301"/>
      <c r="EJ89" s="570">
        <f>IF(EH89=0,0,(EI89-EH89)/EH89*100)</f>
        <v>0</v>
      </c>
      <c r="EK89" s="1301"/>
      <c r="EL89" s="1301"/>
      <c r="EM89" s="570">
        <f>IF(EK89=0,0,(EL89-EK89)/EK89*100)</f>
        <v>0</v>
      </c>
      <c r="EN89" s="1301"/>
      <c r="EO89" s="1301"/>
      <c r="EP89" s="570">
        <f>IF(EN89=0,0,(EO89-EN89)/EN89*100)</f>
        <v>0</v>
      </c>
      <c r="EQ89" s="1301"/>
      <c r="ER89" s="1301"/>
      <c r="ES89" s="570">
        <f>IF(EQ89=0,0,(ER89-EQ89)/EQ89*100)</f>
        <v>0</v>
      </c>
      <c r="ET89" s="1301"/>
      <c r="EU89" s="1301"/>
      <c r="EV89" s="570">
        <f>IF(ET89=0,0,(EU89-ET89)/ET89*100)</f>
        <v>0</v>
      </c>
      <c r="EW89" s="1301"/>
      <c r="EX89" s="1301"/>
      <c r="EY89" s="570">
        <f>IF(EW89=0,0,(EX89-EW89)/EW89*100)</f>
        <v>0</v>
      </c>
      <c r="EZ89" s="1301"/>
      <c r="FA89" s="1301"/>
      <c r="FB89" s="570">
        <f>IF(EZ89=0,0,(FA89-EZ89)/EZ89*100)</f>
        <v>0</v>
      </c>
      <c r="FC89" s="1301"/>
      <c r="FD89" s="1301"/>
      <c r="FE89" s="570">
        <f>IF(FC89=0,0,(FD89-FC89)/FC89*100)</f>
        <v>0</v>
      </c>
      <c r="FF89" s="1301"/>
      <c r="FG89" s="1301"/>
      <c r="FH89" s="570">
        <f>IF(FF89=0,0,(FG89-FF89)/FF89*100)</f>
        <v>0</v>
      </c>
      <c r="FI89" s="1301"/>
      <c r="FJ89" s="1301"/>
      <c r="FK89" s="570">
        <f>IF(FI89=0,0,(FJ89-FI89)/FI89*100)</f>
        <v>0</v>
      </c>
      <c r="FL89" s="1301"/>
      <c r="FM89" s="1301"/>
      <c r="FN89" s="570">
        <f>IF(FL89=0,0,(FM89-FL89)/FL89*100)</f>
        <v>0</v>
      </c>
      <c r="FO89" s="1301"/>
      <c r="FP89" s="1301"/>
      <c r="FQ89" s="570">
        <f>IF(FO89=0,0,(FP89-FO89)/FO89*100)</f>
        <v>0</v>
      </c>
      <c r="FR89" s="1301"/>
      <c r="FS89" s="1301"/>
      <c r="FT89" s="570">
        <f>IF(FR89=0,0,(FS89-FR89)/FR89*100)</f>
        <v>0</v>
      </c>
      <c r="FU89" s="1301"/>
      <c r="FV89" s="1301"/>
      <c r="FW89" s="570">
        <f>IF(FU89=0,0,(FV89-FU89)/FU89*100)</f>
        <v>0</v>
      </c>
      <c r="FX89" s="417"/>
      <c r="FY89" s="417"/>
      <c r="FZ89" s="971" t="s">
        <v>2150</v>
      </c>
      <c r="GA89" s="971"/>
      <c r="GB89" s="971"/>
      <c r="GC89" s="971"/>
      <c r="GD89" s="971"/>
    </row>
    <row r="90" spans="1:186" s="1167" customFormat="1" ht="16.5" customHeight="1" x14ac:dyDescent="0.15">
      <c r="A90" s="1152"/>
      <c r="B90" s="803" t="b" cm="1">
        <f t="array" ref="B90">B89</f>
        <v>1</v>
      </c>
      <c r="C90" s="1108" t="s">
        <v>1747</v>
      </c>
      <c r="D90" s="1077" t="s">
        <v>1748</v>
      </c>
      <c r="E90" s="668">
        <v>17.100000000000001</v>
      </c>
      <c r="F90" s="769" t="str" cm="1">
        <f t="array" aca="1" ref="F90" ca="1">OFFSET(G90,-1,-1)</f>
        <v>1</v>
      </c>
      <c r="G90" s="417"/>
      <c r="H90" s="417"/>
      <c r="I90" s="417"/>
      <c r="J90" s="1098" t="s">
        <v>2115</v>
      </c>
      <c r="K90" s="1098" t="str" cm="1">
        <f t="array" aca="1" ref="K90" ca="1">OFFSET(J90,-1,1)</f>
        <v>ТЭ.42.27968109.0001</v>
      </c>
      <c r="L90" s="1098" t="s">
        <v>2129</v>
      </c>
      <c r="M90" s="1098" t="s">
        <v>1759</v>
      </c>
      <c r="N90" s="1098" t="s">
        <v>2137</v>
      </c>
      <c r="O90" s="1099" t="s">
        <v>2138</v>
      </c>
      <c r="P90" s="1098"/>
      <c r="Q90" s="1098"/>
      <c r="R90" s="774"/>
      <c r="S90" s="417"/>
      <c r="T90" s="679" t="b" cm="1">
        <f t="array" aca="1" ref="T90" ca="1">T89</f>
        <v>1</v>
      </c>
      <c r="U90" s="1152"/>
      <c r="V90" s="1152"/>
      <c r="W90" s="1152"/>
      <c r="X90" s="1485"/>
      <c r="Y90" s="1152"/>
      <c r="Z90" s="1485"/>
      <c r="AA90" s="417"/>
      <c r="AB90" s="220" t="s">
        <v>2151</v>
      </c>
      <c r="AC90" s="558" t="s">
        <v>622</v>
      </c>
      <c r="AD90" s="1301">
        <v>15204.33</v>
      </c>
      <c r="AE90" s="1301">
        <v>15295.36</v>
      </c>
      <c r="AF90" s="570">
        <f>IF(AD90=0,0,(AE90-AD90)/AD90*100)</f>
        <v>0.59871102508299057</v>
      </c>
      <c r="AG90" s="1351"/>
      <c r="AH90" s="1351"/>
      <c r="AI90" s="570">
        <f>IF(AG90=0,0,(AH90-AG90)/AG90*100)</f>
        <v>0</v>
      </c>
      <c r="AJ90" s="1351"/>
      <c r="AK90" s="1351"/>
      <c r="AL90" s="570">
        <f>IF(AJ90=0,0,(AK90-AJ90)/AJ90*100)</f>
        <v>0</v>
      </c>
      <c r="AM90" s="1301"/>
      <c r="AN90" s="1301"/>
      <c r="AO90" s="570">
        <f>IF(AM90=0,0,(AN90-AM90)/AM90*100)</f>
        <v>0</v>
      </c>
      <c r="AP90" s="1301"/>
      <c r="AQ90" s="1301"/>
      <c r="AR90" s="570">
        <f>IF(AP90=0,0,(AQ90-AP90)/AP90*100)</f>
        <v>0</v>
      </c>
      <c r="AS90" s="1301"/>
      <c r="AT90" s="1301"/>
      <c r="AU90" s="570">
        <f>IF(AS90=0,0,(AT90-AS90)/AS90*100)</f>
        <v>0</v>
      </c>
      <c r="AV90" s="1301"/>
      <c r="AW90" s="1301"/>
      <c r="AX90" s="570">
        <f>IF(AV90=0,0,(AW90-AV90)/AV90*100)</f>
        <v>0</v>
      </c>
      <c r="AY90" s="1301"/>
      <c r="AZ90" s="1301"/>
      <c r="BA90" s="570">
        <f>IF(AY90=0,0,(AZ90-AY90)/AY90*100)</f>
        <v>0</v>
      </c>
      <c r="BB90" s="1301"/>
      <c r="BC90" s="1301"/>
      <c r="BD90" s="570">
        <f>IF(BB90=0,0,(BC90-BB90)/BB90*100)</f>
        <v>0</v>
      </c>
      <c r="BE90" s="1301"/>
      <c r="BF90" s="1301"/>
      <c r="BG90" s="570">
        <f>IF(BE90=0,0,(BF90-BE90)/BE90*100)</f>
        <v>0</v>
      </c>
      <c r="BH90" s="1301"/>
      <c r="BI90" s="1301"/>
      <c r="BJ90" s="570">
        <f>IF(BH90=0,0,(BI90-BH90)/BH90*100)</f>
        <v>0</v>
      </c>
      <c r="BK90" s="1301"/>
      <c r="BL90" s="1301"/>
      <c r="BM90" s="570">
        <f>IF(BK90=0,0,(BL90-BK90)/BK90*100)</f>
        <v>0</v>
      </c>
      <c r="BN90" s="1301"/>
      <c r="BO90" s="1301"/>
      <c r="BP90" s="570">
        <f>IF(BN90=0,0,(BO90-BN90)/BN90*100)</f>
        <v>0</v>
      </c>
      <c r="BQ90" s="1301"/>
      <c r="BR90" s="1301"/>
      <c r="BS90" s="570">
        <f>IF(BQ90=0,0,(BR90-BQ90)/BQ90*100)</f>
        <v>0</v>
      </c>
      <c r="BT90" s="1301"/>
      <c r="BU90" s="1301"/>
      <c r="BV90" s="570">
        <f>IF(BT90=0,0,(BU90-BT90)/BT90*100)</f>
        <v>0</v>
      </c>
      <c r="BW90" s="1301"/>
      <c r="BX90" s="1301"/>
      <c r="BY90" s="570">
        <f>IF(BW90=0,0,(BX90-BW90)/BW90*100)</f>
        <v>0</v>
      </c>
      <c r="BZ90" s="1301"/>
      <c r="CA90" s="1301"/>
      <c r="CB90" s="570">
        <f>IF(BZ90=0,0,(CA90-BZ90)/BZ90*100)</f>
        <v>0</v>
      </c>
      <c r="CC90" s="1301"/>
      <c r="CD90" s="1301"/>
      <c r="CE90" s="570">
        <f>IF(CC90=0,0,(CD90-CC90)/CC90*100)</f>
        <v>0</v>
      </c>
      <c r="CF90" s="1301"/>
      <c r="CG90" s="1301"/>
      <c r="CH90" s="570">
        <f>IF(CF90=0,0,(CG90-CF90)/CF90*100)</f>
        <v>0</v>
      </c>
      <c r="CI90" s="1301"/>
      <c r="CJ90" s="1301"/>
      <c r="CK90" s="570">
        <f>IF(CI90=0,0,(CJ90-CI90)/CI90*100)</f>
        <v>0</v>
      </c>
      <c r="CL90" s="1301"/>
      <c r="CM90" s="1301"/>
      <c r="CN90" s="570">
        <f>IF(CL90=0,0,(CM90-CL90)/CL90*100)</f>
        <v>0</v>
      </c>
      <c r="CO90" s="1301"/>
      <c r="CP90" s="1301"/>
      <c r="CQ90" s="570">
        <f>IF(CO90=0,0,(CP90-CO90)/CO90*100)</f>
        <v>0</v>
      </c>
      <c r="CR90" s="1301"/>
      <c r="CS90" s="1301"/>
      <c r="CT90" s="570">
        <f>IF(CR90=0,0,(CS90-CR90)/CR90*100)</f>
        <v>0</v>
      </c>
      <c r="CU90" s="1301"/>
      <c r="CV90" s="1301"/>
      <c r="CW90" s="570">
        <f>IF(CU90=0,0,(CV90-CU90)/CU90*100)</f>
        <v>0</v>
      </c>
      <c r="CX90" s="1301"/>
      <c r="CY90" s="1301"/>
      <c r="CZ90" s="570">
        <f>IF(CX90=0,0,(CY90-CX90)/CX90*100)</f>
        <v>0</v>
      </c>
      <c r="DA90" s="1301"/>
      <c r="DB90" s="1301"/>
      <c r="DC90" s="570">
        <f>IF(DA90=0,0,(DB90-DA90)/DA90*100)</f>
        <v>0</v>
      </c>
      <c r="DD90" s="1301"/>
      <c r="DE90" s="1301"/>
      <c r="DF90" s="570">
        <f>IF(DD90=0,0,(DE90-DD90)/DD90*100)</f>
        <v>0</v>
      </c>
      <c r="DG90" s="1301"/>
      <c r="DH90" s="1301"/>
      <c r="DI90" s="570">
        <f>IF(DG90=0,0,(DH90-DG90)/DG90*100)</f>
        <v>0</v>
      </c>
      <c r="DJ90" s="1301"/>
      <c r="DK90" s="1301"/>
      <c r="DL90" s="570">
        <f>IF(DJ90=0,0,(DK90-DJ90)/DJ90*100)</f>
        <v>0</v>
      </c>
      <c r="DM90" s="1301"/>
      <c r="DN90" s="1301"/>
      <c r="DO90" s="570">
        <f>IF(DM90=0,0,(DN90-DM90)/DM90*100)</f>
        <v>0</v>
      </c>
      <c r="DP90" s="1301"/>
      <c r="DQ90" s="1301"/>
      <c r="DR90" s="570">
        <f>IF(DP90=0,0,(DQ90-DP90)/DP90*100)</f>
        <v>0</v>
      </c>
      <c r="DS90" s="1301"/>
      <c r="DT90" s="1301"/>
      <c r="DU90" s="570">
        <f>IF(DS90=0,0,(DT90-DS90)/DS90*100)</f>
        <v>0</v>
      </c>
      <c r="DV90" s="1301"/>
      <c r="DW90" s="1301"/>
      <c r="DX90" s="570">
        <f>IF(DV90=0,0,(DW90-DV90)/DV90*100)</f>
        <v>0</v>
      </c>
      <c r="DY90" s="1301"/>
      <c r="DZ90" s="1301"/>
      <c r="EA90" s="570">
        <f>IF(DY90=0,0,(DZ90-DY90)/DY90*100)</f>
        <v>0</v>
      </c>
      <c r="EB90" s="1301"/>
      <c r="EC90" s="1301"/>
      <c r="ED90" s="570">
        <f>IF(EB90=0,0,(EC90-EB90)/EB90*100)</f>
        <v>0</v>
      </c>
      <c r="EE90" s="1301"/>
      <c r="EF90" s="1301"/>
      <c r="EG90" s="570">
        <f>IF(EE90=0,0,(EF90-EE90)/EE90*100)</f>
        <v>0</v>
      </c>
      <c r="EH90" s="1301"/>
      <c r="EI90" s="1301"/>
      <c r="EJ90" s="570">
        <f>IF(EH90=0,0,(EI90-EH90)/EH90*100)</f>
        <v>0</v>
      </c>
      <c r="EK90" s="1301"/>
      <c r="EL90" s="1301"/>
      <c r="EM90" s="570">
        <f>IF(EK90=0,0,(EL90-EK90)/EK90*100)</f>
        <v>0</v>
      </c>
      <c r="EN90" s="1301"/>
      <c r="EO90" s="1301"/>
      <c r="EP90" s="570">
        <f>IF(EN90=0,0,(EO90-EN90)/EN90*100)</f>
        <v>0</v>
      </c>
      <c r="EQ90" s="1301"/>
      <c r="ER90" s="1301"/>
      <c r="ES90" s="570">
        <f>IF(EQ90=0,0,(ER90-EQ90)/EQ90*100)</f>
        <v>0</v>
      </c>
      <c r="ET90" s="1301"/>
      <c r="EU90" s="1301"/>
      <c r="EV90" s="570">
        <f>IF(ET90=0,0,(EU90-ET90)/ET90*100)</f>
        <v>0</v>
      </c>
      <c r="EW90" s="1301"/>
      <c r="EX90" s="1301"/>
      <c r="EY90" s="570">
        <f>IF(EW90=0,0,(EX90-EW90)/EW90*100)</f>
        <v>0</v>
      </c>
      <c r="EZ90" s="1301"/>
      <c r="FA90" s="1301"/>
      <c r="FB90" s="570">
        <f>IF(EZ90=0,0,(FA90-EZ90)/EZ90*100)</f>
        <v>0</v>
      </c>
      <c r="FC90" s="1301"/>
      <c r="FD90" s="1301"/>
      <c r="FE90" s="570">
        <f>IF(FC90=0,0,(FD90-FC90)/FC90*100)</f>
        <v>0</v>
      </c>
      <c r="FF90" s="1301"/>
      <c r="FG90" s="1301"/>
      <c r="FH90" s="570">
        <f>IF(FF90=0,0,(FG90-FF90)/FF90*100)</f>
        <v>0</v>
      </c>
      <c r="FI90" s="1301"/>
      <c r="FJ90" s="1301"/>
      <c r="FK90" s="570">
        <f>IF(FI90=0,0,(FJ90-FI90)/FI90*100)</f>
        <v>0</v>
      </c>
      <c r="FL90" s="1301"/>
      <c r="FM90" s="1301"/>
      <c r="FN90" s="570">
        <f>IF(FL90=0,0,(FM90-FL90)/FL90*100)</f>
        <v>0</v>
      </c>
      <c r="FO90" s="1301"/>
      <c r="FP90" s="1301"/>
      <c r="FQ90" s="570">
        <f>IF(FO90=0,0,(FP90-FO90)/FO90*100)</f>
        <v>0</v>
      </c>
      <c r="FR90" s="1301"/>
      <c r="FS90" s="1301"/>
      <c r="FT90" s="570">
        <f>IF(FR90=0,0,(FS90-FR90)/FR90*100)</f>
        <v>0</v>
      </c>
      <c r="FU90" s="1301"/>
      <c r="FV90" s="1301"/>
      <c r="FW90" s="570">
        <f>IF(FU90=0,0,(FV90-FU90)/FU90*100)</f>
        <v>0</v>
      </c>
      <c r="FX90" s="417"/>
      <c r="FY90" s="417"/>
      <c r="FZ90" s="971" t="s">
        <v>2152</v>
      </c>
      <c r="GA90" s="971"/>
      <c r="GB90" s="971"/>
      <c r="GC90" s="971"/>
      <c r="GD90" s="971"/>
    </row>
    <row r="91" spans="1:186" s="1146" customFormat="1" ht="16.5" hidden="1" customHeight="1" x14ac:dyDescent="0.15">
      <c r="B91" s="803" t="b" cm="1">
        <f t="array" aca="1" ref="B91" ca="1">OFFSET(A91,-1,1)</f>
        <v>1</v>
      </c>
      <c r="C91" s="1108" t="s">
        <v>2134</v>
      </c>
      <c r="D91" s="1077" t="s">
        <v>2135</v>
      </c>
      <c r="E91" s="668">
        <v>17.100000000000001</v>
      </c>
      <c r="F91" s="769" t="str" cm="1">
        <f t="array" aca="1" ref="F91" ca="1">OFFSET(G91,-1,-1)</f>
        <v>1</v>
      </c>
      <c r="J91" s="1098" t="s">
        <v>2115</v>
      </c>
      <c r="K91" s="1098" t="str" cm="1">
        <f t="array" aca="1" ref="K91" ca="1">OFFSET(J91,-1,1)</f>
        <v>ТЭ.42.27968109.0001</v>
      </c>
      <c r="L91" s="1098"/>
      <c r="M91" s="1098"/>
      <c r="N91" s="1098" t="s">
        <v>2137</v>
      </c>
      <c r="O91" s="1099" t="s">
        <v>2138</v>
      </c>
      <c r="P91" s="1098"/>
      <c r="Q91" s="1098" cm="1">
        <f t="array" ref="Q91">AB91</f>
        <v>0</v>
      </c>
      <c r="T91" s="679" t="b">
        <f ca="1">AND(OFFSET(S91,1,1),Y91&gt;0)</f>
        <v>0</v>
      </c>
      <c r="W91" s="123" t="s">
        <v>237</v>
      </c>
      <c r="X91" s="1566"/>
      <c r="Y91" s="1485">
        <v>0</v>
      </c>
      <c r="Z91" s="1566"/>
      <c r="AA91" s="1432" t="s">
        <v>218</v>
      </c>
      <c r="AB91" s="98"/>
      <c r="AC91" s="558" t="s">
        <v>920</v>
      </c>
      <c r="AD91" s="65"/>
      <c r="AE91" s="65"/>
      <c r="AF91" s="570">
        <f>IF(AD91=0,0,(AE91-AD91)/AD91*100)</f>
        <v>0</v>
      </c>
      <c r="AG91" s="1351"/>
      <c r="AH91" s="1351"/>
      <c r="AI91" s="570">
        <f>IF(AG91=0,0,(AH91-AG91)/AG91*100)</f>
        <v>0</v>
      </c>
      <c r="AJ91" s="1351"/>
      <c r="AK91" s="1351"/>
      <c r="AL91" s="570">
        <f>IF(AJ91=0,0,(AK91-AJ91)/AJ91*100)</f>
        <v>0</v>
      </c>
      <c r="AM91" s="65"/>
      <c r="AN91" s="65"/>
      <c r="AO91" s="570">
        <f>IF(AM91=0,0,(AN91-AM91)/AM91*100)</f>
        <v>0</v>
      </c>
      <c r="AP91" s="65"/>
      <c r="AQ91" s="65"/>
      <c r="AR91" s="570">
        <f>IF(AP91=0,0,(AQ91-AP91)/AP91*100)</f>
        <v>0</v>
      </c>
      <c r="AS91" s="65"/>
      <c r="AT91" s="65"/>
      <c r="AU91" s="570">
        <f>IF(AS91=0,0,(AT91-AS91)/AS91*100)</f>
        <v>0</v>
      </c>
      <c r="AV91" s="65"/>
      <c r="AW91" s="65"/>
      <c r="AX91" s="570">
        <f>IF(AV91=0,0,(AW91-AV91)/AV91*100)</f>
        <v>0</v>
      </c>
      <c r="AY91" s="65"/>
      <c r="AZ91" s="65"/>
      <c r="BA91" s="570">
        <f>IF(AY91=0,0,(AZ91-AY91)/AY91*100)</f>
        <v>0</v>
      </c>
      <c r="BB91" s="65"/>
      <c r="BC91" s="65"/>
      <c r="BD91" s="570">
        <f>IF(BB91=0,0,(BC91-BB91)/BB91*100)</f>
        <v>0</v>
      </c>
      <c r="BE91" s="65"/>
      <c r="BF91" s="65"/>
      <c r="BG91" s="570">
        <f>IF(BE91=0,0,(BF91-BE91)/BE91*100)</f>
        <v>0</v>
      </c>
      <c r="BH91" s="65"/>
      <c r="BI91" s="65"/>
      <c r="BJ91" s="570">
        <f>IF(BH91=0,0,(BI91-BH91)/BH91*100)</f>
        <v>0</v>
      </c>
      <c r="BK91" s="65"/>
      <c r="BL91" s="65"/>
      <c r="BM91" s="570">
        <f>IF(BK91=0,0,(BL91-BK91)/BK91*100)</f>
        <v>0</v>
      </c>
      <c r="BN91" s="65"/>
      <c r="BO91" s="65"/>
      <c r="BP91" s="570">
        <f>IF(BN91=0,0,(BO91-BN91)/BN91*100)</f>
        <v>0</v>
      </c>
      <c r="BQ91" s="65"/>
      <c r="BR91" s="65"/>
      <c r="BS91" s="570">
        <f>IF(BQ91=0,0,(BR91-BQ91)/BQ91*100)</f>
        <v>0</v>
      </c>
      <c r="BT91" s="65"/>
      <c r="BU91" s="65"/>
      <c r="BV91" s="570">
        <f>IF(BT91=0,0,(BU91-BT91)/BT91*100)</f>
        <v>0</v>
      </c>
      <c r="BW91" s="65"/>
      <c r="BX91" s="65"/>
      <c r="BY91" s="570">
        <f>IF(BW91=0,0,(BX91-BW91)/BW91*100)</f>
        <v>0</v>
      </c>
      <c r="BZ91" s="65"/>
      <c r="CA91" s="65"/>
      <c r="CB91" s="570">
        <f>IF(BZ91=0,0,(CA91-BZ91)/BZ91*100)</f>
        <v>0</v>
      </c>
      <c r="CC91" s="65"/>
      <c r="CD91" s="65"/>
      <c r="CE91" s="570">
        <f>IF(CC91=0,0,(CD91-CC91)/CC91*100)</f>
        <v>0</v>
      </c>
      <c r="CF91" s="65"/>
      <c r="CG91" s="65"/>
      <c r="CH91" s="570">
        <f>IF(CF91=0,0,(CG91-CF91)/CF91*100)</f>
        <v>0</v>
      </c>
      <c r="CI91" s="65"/>
      <c r="CJ91" s="65"/>
      <c r="CK91" s="570">
        <f>IF(CI91=0,0,(CJ91-CI91)/CI91*100)</f>
        <v>0</v>
      </c>
      <c r="CL91" s="65"/>
      <c r="CM91" s="65"/>
      <c r="CN91" s="570">
        <f>IF(CL91=0,0,(CM91-CL91)/CL91*100)</f>
        <v>0</v>
      </c>
      <c r="CO91" s="65"/>
      <c r="CP91" s="65"/>
      <c r="CQ91" s="570">
        <f>IF(CO91=0,0,(CP91-CO91)/CO91*100)</f>
        <v>0</v>
      </c>
      <c r="CR91" s="65"/>
      <c r="CS91" s="65"/>
      <c r="CT91" s="570">
        <f>IF(CR91=0,0,(CS91-CR91)/CR91*100)</f>
        <v>0</v>
      </c>
      <c r="CU91" s="65"/>
      <c r="CV91" s="65"/>
      <c r="CW91" s="570">
        <f>IF(CU91=0,0,(CV91-CU91)/CU91*100)</f>
        <v>0</v>
      </c>
      <c r="CX91" s="65"/>
      <c r="CY91" s="65"/>
      <c r="CZ91" s="570">
        <f>IF(CX91=0,0,(CY91-CX91)/CX91*100)</f>
        <v>0</v>
      </c>
      <c r="DA91" s="65"/>
      <c r="DB91" s="65"/>
      <c r="DC91" s="570">
        <f>IF(DA91=0,0,(DB91-DA91)/DA91*100)</f>
        <v>0</v>
      </c>
      <c r="DD91" s="65"/>
      <c r="DE91" s="65"/>
      <c r="DF91" s="570">
        <f>IF(DD91=0,0,(DE91-DD91)/DD91*100)</f>
        <v>0</v>
      </c>
      <c r="DG91" s="65"/>
      <c r="DH91" s="65"/>
      <c r="DI91" s="570">
        <f>IF(DG91=0,0,(DH91-DG91)/DG91*100)</f>
        <v>0</v>
      </c>
      <c r="DJ91" s="65"/>
      <c r="DK91" s="65"/>
      <c r="DL91" s="570">
        <f>IF(DJ91=0,0,(DK91-DJ91)/DJ91*100)</f>
        <v>0</v>
      </c>
      <c r="DM91" s="65"/>
      <c r="DN91" s="65"/>
      <c r="DO91" s="570">
        <f>IF(DM91=0,0,(DN91-DM91)/DM91*100)</f>
        <v>0</v>
      </c>
      <c r="DP91" s="65"/>
      <c r="DQ91" s="65"/>
      <c r="DR91" s="570">
        <f>IF(DP91=0,0,(DQ91-DP91)/DP91*100)</f>
        <v>0</v>
      </c>
      <c r="DS91" s="65"/>
      <c r="DT91" s="65"/>
      <c r="DU91" s="570">
        <f>IF(DS91=0,0,(DT91-DS91)/DS91*100)</f>
        <v>0</v>
      </c>
      <c r="DV91" s="65"/>
      <c r="DW91" s="65"/>
      <c r="DX91" s="570">
        <f>IF(DV91=0,0,(DW91-DV91)/DV91*100)</f>
        <v>0</v>
      </c>
      <c r="DY91" s="65"/>
      <c r="DZ91" s="65"/>
      <c r="EA91" s="570">
        <f>IF(DY91=0,0,(DZ91-DY91)/DY91*100)</f>
        <v>0</v>
      </c>
      <c r="EB91" s="65"/>
      <c r="EC91" s="65"/>
      <c r="ED91" s="570">
        <f>IF(EB91=0,0,(EC91-EB91)/EB91*100)</f>
        <v>0</v>
      </c>
      <c r="EE91" s="65"/>
      <c r="EF91" s="65"/>
      <c r="EG91" s="570">
        <f>IF(EE91=0,0,(EF91-EE91)/EE91*100)</f>
        <v>0</v>
      </c>
      <c r="EH91" s="65"/>
      <c r="EI91" s="65"/>
      <c r="EJ91" s="570">
        <f>IF(EH91=0,0,(EI91-EH91)/EH91*100)</f>
        <v>0</v>
      </c>
      <c r="EK91" s="65"/>
      <c r="EL91" s="65"/>
      <c r="EM91" s="570">
        <f>IF(EK91=0,0,(EL91-EK91)/EK91*100)</f>
        <v>0</v>
      </c>
      <c r="EN91" s="65"/>
      <c r="EO91" s="65"/>
      <c r="EP91" s="570">
        <f>IF(EN91=0,0,(EO91-EN91)/EN91*100)</f>
        <v>0</v>
      </c>
      <c r="EQ91" s="65"/>
      <c r="ER91" s="65"/>
      <c r="ES91" s="570">
        <f>IF(EQ91=0,0,(ER91-EQ91)/EQ91*100)</f>
        <v>0</v>
      </c>
      <c r="ET91" s="65"/>
      <c r="EU91" s="65"/>
      <c r="EV91" s="570">
        <f>IF(ET91=0,0,(EU91-ET91)/ET91*100)</f>
        <v>0</v>
      </c>
      <c r="EW91" s="65"/>
      <c r="EX91" s="65"/>
      <c r="EY91" s="570">
        <f>IF(EW91=0,0,(EX91-EW91)/EW91*100)</f>
        <v>0</v>
      </c>
      <c r="EZ91" s="65"/>
      <c r="FA91" s="65"/>
      <c r="FB91" s="570">
        <f>IF(EZ91=0,0,(FA91-EZ91)/EZ91*100)</f>
        <v>0</v>
      </c>
      <c r="FC91" s="65"/>
      <c r="FD91" s="65"/>
      <c r="FE91" s="570">
        <f>IF(FC91=0,0,(FD91-FC91)/FC91*100)</f>
        <v>0</v>
      </c>
      <c r="FF91" s="65"/>
      <c r="FG91" s="65"/>
      <c r="FH91" s="570">
        <f>IF(FF91=0,0,(FG91-FF91)/FF91*100)</f>
        <v>0</v>
      </c>
      <c r="FI91" s="65"/>
      <c r="FJ91" s="65"/>
      <c r="FK91" s="570">
        <f>IF(FI91=0,0,(FJ91-FI91)/FI91*100)</f>
        <v>0</v>
      </c>
      <c r="FL91" s="65"/>
      <c r="FM91" s="65"/>
      <c r="FN91" s="570">
        <f>IF(FL91=0,0,(FM91-FL91)/FL91*100)</f>
        <v>0</v>
      </c>
      <c r="FO91" s="65"/>
      <c r="FP91" s="65"/>
      <c r="FQ91" s="570">
        <f>IF(FO91=0,0,(FP91-FO91)/FO91*100)</f>
        <v>0</v>
      </c>
      <c r="FR91" s="65"/>
      <c r="FS91" s="65"/>
      <c r="FT91" s="570">
        <f>IF(FR91=0,0,(FS91-FR91)/FR91*100)</f>
        <v>0</v>
      </c>
      <c r="FU91" s="65"/>
      <c r="FV91" s="65"/>
      <c r="FW91" s="570">
        <f>IF(FU91=0,0,(FV91-FU91)/FU91*100)</f>
        <v>0</v>
      </c>
      <c r="FZ91" s="971" t="s">
        <v>2153</v>
      </c>
      <c r="GA91" s="971" t="s">
        <v>2154</v>
      </c>
      <c r="GB91" s="971" cm="1">
        <f t="array" ref="GB91">AB91</f>
        <v>0</v>
      </c>
      <c r="GC91" s="971"/>
      <c r="GD91" s="971" t="b">
        <v>1</v>
      </c>
    </row>
    <row r="92" spans="1:186" s="1146" customFormat="1" ht="16.5" hidden="1" customHeight="1" x14ac:dyDescent="0.15">
      <c r="B92" s="803" t="b" cm="1">
        <f t="array" aca="1" ref="B92" ca="1">OFFSET(A92,-1,1)</f>
        <v>1</v>
      </c>
      <c r="C92" s="1108" t="s">
        <v>1747</v>
      </c>
      <c r="D92" s="1077" t="s">
        <v>1748</v>
      </c>
      <c r="E92" s="668">
        <v>17.100000000000001</v>
      </c>
      <c r="F92" s="769" t="str" cm="1">
        <f t="array" aca="1" ref="F92" ca="1">OFFSET(G92,-1,-1)</f>
        <v>1</v>
      </c>
      <c r="J92" s="1098" t="s">
        <v>2115</v>
      </c>
      <c r="K92" s="1098" t="str" cm="1">
        <f t="array" aca="1" ref="K92" ca="1">OFFSET(J92,-1,1)</f>
        <v>ТЭ.42.27968109.0001</v>
      </c>
      <c r="L92" s="1098" t="s">
        <v>2129</v>
      </c>
      <c r="M92" s="1098"/>
      <c r="N92" s="1098" t="s">
        <v>2137</v>
      </c>
      <c r="O92" s="1099" t="s">
        <v>2138</v>
      </c>
      <c r="P92" s="1098"/>
      <c r="Q92" s="1098" cm="1">
        <f t="array" ref="Q92">AB91</f>
        <v>0</v>
      </c>
      <c r="T92" s="679" t="b">
        <f ca="1">AND(OFFSET(S92,1,1),Y91&gt;0)</f>
        <v>0</v>
      </c>
      <c r="X92" s="1566"/>
      <c r="Y92" s="1566"/>
      <c r="Z92" s="1566"/>
      <c r="AA92" s="1432"/>
      <c r="AB92" s="877" t="s">
        <v>2155</v>
      </c>
      <c r="AC92" s="558" t="s">
        <v>622</v>
      </c>
      <c r="AD92" s="65"/>
      <c r="AE92" s="65"/>
      <c r="AF92" s="570">
        <f>IF(AD92=0,0,(AE92-AD92)/AD92*100)</f>
        <v>0</v>
      </c>
      <c r="AG92" s="1351"/>
      <c r="AH92" s="1351"/>
      <c r="AI92" s="570">
        <f>IF(AG92=0,0,(AH92-AG92)/AG92*100)</f>
        <v>0</v>
      </c>
      <c r="AJ92" s="1351"/>
      <c r="AK92" s="1351"/>
      <c r="AL92" s="570">
        <f>IF(AJ92=0,0,(AK92-AJ92)/AJ92*100)</f>
        <v>0</v>
      </c>
      <c r="AM92" s="65"/>
      <c r="AN92" s="65"/>
      <c r="AO92" s="570">
        <f>IF(AM92=0,0,(AN92-AM92)/AM92*100)</f>
        <v>0</v>
      </c>
      <c r="AP92" s="65"/>
      <c r="AQ92" s="65"/>
      <c r="AR92" s="570">
        <f>IF(AP92=0,0,(AQ92-AP92)/AP92*100)</f>
        <v>0</v>
      </c>
      <c r="AS92" s="65"/>
      <c r="AT92" s="65"/>
      <c r="AU92" s="570">
        <f>IF(AS92=0,0,(AT92-AS92)/AS92*100)</f>
        <v>0</v>
      </c>
      <c r="AV92" s="65"/>
      <c r="AW92" s="65"/>
      <c r="AX92" s="570">
        <f>IF(AV92=0,0,(AW92-AV92)/AV92*100)</f>
        <v>0</v>
      </c>
      <c r="AY92" s="65"/>
      <c r="AZ92" s="65"/>
      <c r="BA92" s="570">
        <f>IF(AY92=0,0,(AZ92-AY92)/AY92*100)</f>
        <v>0</v>
      </c>
      <c r="BB92" s="65"/>
      <c r="BC92" s="65"/>
      <c r="BD92" s="570">
        <f>IF(BB92=0,0,(BC92-BB92)/BB92*100)</f>
        <v>0</v>
      </c>
      <c r="BE92" s="65"/>
      <c r="BF92" s="65"/>
      <c r="BG92" s="570">
        <f>IF(BE92=0,0,(BF92-BE92)/BE92*100)</f>
        <v>0</v>
      </c>
      <c r="BH92" s="65"/>
      <c r="BI92" s="65"/>
      <c r="BJ92" s="570">
        <f>IF(BH92=0,0,(BI92-BH92)/BH92*100)</f>
        <v>0</v>
      </c>
      <c r="BK92" s="65"/>
      <c r="BL92" s="65"/>
      <c r="BM92" s="570">
        <f>IF(BK92=0,0,(BL92-BK92)/BK92*100)</f>
        <v>0</v>
      </c>
      <c r="BN92" s="65"/>
      <c r="BO92" s="65"/>
      <c r="BP92" s="570">
        <f>IF(BN92=0,0,(BO92-BN92)/BN92*100)</f>
        <v>0</v>
      </c>
      <c r="BQ92" s="65"/>
      <c r="BR92" s="65"/>
      <c r="BS92" s="570">
        <f>IF(BQ92=0,0,(BR92-BQ92)/BQ92*100)</f>
        <v>0</v>
      </c>
      <c r="BT92" s="65"/>
      <c r="BU92" s="65"/>
      <c r="BV92" s="570">
        <f>IF(BT92=0,0,(BU92-BT92)/BT92*100)</f>
        <v>0</v>
      </c>
      <c r="BW92" s="65"/>
      <c r="BX92" s="65"/>
      <c r="BY92" s="570">
        <f>IF(BW92=0,0,(BX92-BW92)/BW92*100)</f>
        <v>0</v>
      </c>
      <c r="BZ92" s="65"/>
      <c r="CA92" s="65"/>
      <c r="CB92" s="570">
        <f>IF(BZ92=0,0,(CA92-BZ92)/BZ92*100)</f>
        <v>0</v>
      </c>
      <c r="CC92" s="65"/>
      <c r="CD92" s="65"/>
      <c r="CE92" s="570">
        <f>IF(CC92=0,0,(CD92-CC92)/CC92*100)</f>
        <v>0</v>
      </c>
      <c r="CF92" s="65"/>
      <c r="CG92" s="65"/>
      <c r="CH92" s="570">
        <f>IF(CF92=0,0,(CG92-CF92)/CF92*100)</f>
        <v>0</v>
      </c>
      <c r="CI92" s="65"/>
      <c r="CJ92" s="65"/>
      <c r="CK92" s="570">
        <f>IF(CI92=0,0,(CJ92-CI92)/CI92*100)</f>
        <v>0</v>
      </c>
      <c r="CL92" s="65"/>
      <c r="CM92" s="65"/>
      <c r="CN92" s="570">
        <f>IF(CL92=0,0,(CM92-CL92)/CL92*100)</f>
        <v>0</v>
      </c>
      <c r="CO92" s="65"/>
      <c r="CP92" s="65"/>
      <c r="CQ92" s="570">
        <f>IF(CO92=0,0,(CP92-CO92)/CO92*100)</f>
        <v>0</v>
      </c>
      <c r="CR92" s="65"/>
      <c r="CS92" s="65"/>
      <c r="CT92" s="570">
        <f>IF(CR92=0,0,(CS92-CR92)/CR92*100)</f>
        <v>0</v>
      </c>
      <c r="CU92" s="65"/>
      <c r="CV92" s="65"/>
      <c r="CW92" s="570">
        <f>IF(CU92=0,0,(CV92-CU92)/CU92*100)</f>
        <v>0</v>
      </c>
      <c r="CX92" s="65"/>
      <c r="CY92" s="65"/>
      <c r="CZ92" s="570">
        <f>IF(CX92=0,0,(CY92-CX92)/CX92*100)</f>
        <v>0</v>
      </c>
      <c r="DA92" s="65"/>
      <c r="DB92" s="65"/>
      <c r="DC92" s="570">
        <f>IF(DA92=0,0,(DB92-DA92)/DA92*100)</f>
        <v>0</v>
      </c>
      <c r="DD92" s="65"/>
      <c r="DE92" s="65"/>
      <c r="DF92" s="570">
        <f>IF(DD92=0,0,(DE92-DD92)/DD92*100)</f>
        <v>0</v>
      </c>
      <c r="DG92" s="65"/>
      <c r="DH92" s="65"/>
      <c r="DI92" s="570">
        <f>IF(DG92=0,0,(DH92-DG92)/DG92*100)</f>
        <v>0</v>
      </c>
      <c r="DJ92" s="65"/>
      <c r="DK92" s="65"/>
      <c r="DL92" s="570">
        <f>IF(DJ92=0,0,(DK92-DJ92)/DJ92*100)</f>
        <v>0</v>
      </c>
      <c r="DM92" s="65"/>
      <c r="DN92" s="65"/>
      <c r="DO92" s="570">
        <f>IF(DM92=0,0,(DN92-DM92)/DM92*100)</f>
        <v>0</v>
      </c>
      <c r="DP92" s="65"/>
      <c r="DQ92" s="65"/>
      <c r="DR92" s="570">
        <f>IF(DP92=0,0,(DQ92-DP92)/DP92*100)</f>
        <v>0</v>
      </c>
      <c r="DS92" s="65"/>
      <c r="DT92" s="65"/>
      <c r="DU92" s="570">
        <f>IF(DS92=0,0,(DT92-DS92)/DS92*100)</f>
        <v>0</v>
      </c>
      <c r="DV92" s="65"/>
      <c r="DW92" s="65"/>
      <c r="DX92" s="570">
        <f>IF(DV92=0,0,(DW92-DV92)/DV92*100)</f>
        <v>0</v>
      </c>
      <c r="DY92" s="65"/>
      <c r="DZ92" s="65"/>
      <c r="EA92" s="570">
        <f>IF(DY92=0,0,(DZ92-DY92)/DY92*100)</f>
        <v>0</v>
      </c>
      <c r="EB92" s="65"/>
      <c r="EC92" s="65"/>
      <c r="ED92" s="570">
        <f>IF(EB92=0,0,(EC92-EB92)/EB92*100)</f>
        <v>0</v>
      </c>
      <c r="EE92" s="65"/>
      <c r="EF92" s="65"/>
      <c r="EG92" s="570">
        <f>IF(EE92=0,0,(EF92-EE92)/EE92*100)</f>
        <v>0</v>
      </c>
      <c r="EH92" s="65"/>
      <c r="EI92" s="65"/>
      <c r="EJ92" s="570">
        <f>IF(EH92=0,0,(EI92-EH92)/EH92*100)</f>
        <v>0</v>
      </c>
      <c r="EK92" s="65"/>
      <c r="EL92" s="65"/>
      <c r="EM92" s="570">
        <f>IF(EK92=0,0,(EL92-EK92)/EK92*100)</f>
        <v>0</v>
      </c>
      <c r="EN92" s="65"/>
      <c r="EO92" s="65"/>
      <c r="EP92" s="570">
        <f>IF(EN92=0,0,(EO92-EN92)/EN92*100)</f>
        <v>0</v>
      </c>
      <c r="EQ92" s="65"/>
      <c r="ER92" s="65"/>
      <c r="ES92" s="570">
        <f>IF(EQ92=0,0,(ER92-EQ92)/EQ92*100)</f>
        <v>0</v>
      </c>
      <c r="ET92" s="65"/>
      <c r="EU92" s="65"/>
      <c r="EV92" s="570">
        <f>IF(ET92=0,0,(EU92-ET92)/ET92*100)</f>
        <v>0</v>
      </c>
      <c r="EW92" s="65"/>
      <c r="EX92" s="65"/>
      <c r="EY92" s="570">
        <f>IF(EW92=0,0,(EX92-EW92)/EW92*100)</f>
        <v>0</v>
      </c>
      <c r="EZ92" s="65"/>
      <c r="FA92" s="65"/>
      <c r="FB92" s="570">
        <f>IF(EZ92=0,0,(FA92-EZ92)/EZ92*100)</f>
        <v>0</v>
      </c>
      <c r="FC92" s="65"/>
      <c r="FD92" s="65"/>
      <c r="FE92" s="570">
        <f>IF(FC92=0,0,(FD92-FC92)/FC92*100)</f>
        <v>0</v>
      </c>
      <c r="FF92" s="65"/>
      <c r="FG92" s="65"/>
      <c r="FH92" s="570">
        <f>IF(FF92=0,0,(FG92-FF92)/FF92*100)</f>
        <v>0</v>
      </c>
      <c r="FI92" s="65"/>
      <c r="FJ92" s="65"/>
      <c r="FK92" s="570">
        <f>IF(FI92=0,0,(FJ92-FI92)/FI92*100)</f>
        <v>0</v>
      </c>
      <c r="FL92" s="65"/>
      <c r="FM92" s="65"/>
      <c r="FN92" s="570">
        <f>IF(FL92=0,0,(FM92-FL92)/FL92*100)</f>
        <v>0</v>
      </c>
      <c r="FO92" s="65"/>
      <c r="FP92" s="65"/>
      <c r="FQ92" s="570">
        <f>IF(FO92=0,0,(FP92-FO92)/FO92*100)</f>
        <v>0</v>
      </c>
      <c r="FR92" s="65"/>
      <c r="FS92" s="65"/>
      <c r="FT92" s="570">
        <f>IF(FR92=0,0,(FS92-FR92)/FR92*100)</f>
        <v>0</v>
      </c>
      <c r="FU92" s="65"/>
      <c r="FV92" s="65"/>
      <c r="FW92" s="570">
        <f>IF(FU92=0,0,(FV92-FU92)/FU92*100)</f>
        <v>0</v>
      </c>
      <c r="FZ92" s="971" t="s">
        <v>2148</v>
      </c>
      <c r="GA92" s="971" t="s">
        <v>2154</v>
      </c>
      <c r="GB92" s="971" cm="1">
        <f t="array" ref="GB92">GB91</f>
        <v>0</v>
      </c>
      <c r="GC92" s="971"/>
      <c r="GD92" s="971"/>
    </row>
    <row r="93" spans="1:186" s="1167" customFormat="1" ht="16.5" customHeight="1" x14ac:dyDescent="0.15">
      <c r="A93" s="1152"/>
      <c r="B93" s="803" t="b" cm="1">
        <f t="array" aca="1" ref="B93" ca="1">OFFSET(A93,-1,1)</f>
        <v>1</v>
      </c>
      <c r="C93" s="1108"/>
      <c r="D93" s="1077"/>
      <c r="E93" s="668">
        <v>17</v>
      </c>
      <c r="F93" s="769" t="str" cm="1">
        <f t="array" aca="1" ref="F93" ca="1">OFFSET(G93,-1,-1)</f>
        <v>1</v>
      </c>
      <c r="G93" s="417"/>
      <c r="H93" s="160" t="str">
        <f ca="1">F93&amp;"pIns1"</f>
        <v>1pIns1</v>
      </c>
      <c r="I93" s="417"/>
      <c r="J93" s="1100"/>
      <c r="K93" s="1098" t="str" cm="1">
        <f t="array" aca="1" ref="K93" ca="1">OFFSET(J93,-1,1)</f>
        <v>ТЭ.42.27968109.0001</v>
      </c>
      <c r="L93" s="1100"/>
      <c r="M93" s="1100"/>
      <c r="N93" s="1100"/>
      <c r="O93" s="1100"/>
      <c r="P93" s="1100"/>
      <c r="Q93" s="1082"/>
      <c r="R93" s="774"/>
      <c r="S93" s="417"/>
      <c r="T93" s="679" t="b" cm="1">
        <f t="array" aca="1" ref="T93" ca="1">T90</f>
        <v>1</v>
      </c>
      <c r="U93" s="1152"/>
      <c r="V93" s="1152"/>
      <c r="W93" s="973" t="s">
        <v>2156</v>
      </c>
      <c r="X93" s="1485"/>
      <c r="Y93" s="1152"/>
      <c r="Z93" s="1485"/>
      <c r="AA93" s="417"/>
      <c r="AB93" s="750" t="s">
        <v>239</v>
      </c>
      <c r="AC93" s="281"/>
      <c r="AD93" s="475"/>
      <c r="AE93" s="475"/>
      <c r="AF93" s="279"/>
      <c r="AG93" s="475"/>
      <c r="AH93" s="475"/>
      <c r="AI93" s="279"/>
      <c r="AJ93" s="475"/>
      <c r="AK93" s="475"/>
      <c r="AL93" s="279"/>
      <c r="AM93" s="475"/>
      <c r="AN93" s="475"/>
      <c r="AO93" s="279"/>
      <c r="AP93" s="475"/>
      <c r="AQ93" s="475"/>
      <c r="AR93" s="279"/>
      <c r="AS93" s="475"/>
      <c r="AT93" s="475"/>
      <c r="AU93" s="279"/>
      <c r="AV93" s="475"/>
      <c r="AW93" s="475"/>
      <c r="AX93" s="279"/>
      <c r="AY93" s="475"/>
      <c r="AZ93" s="475"/>
      <c r="BA93" s="279"/>
      <c r="BB93" s="475"/>
      <c r="BC93" s="475"/>
      <c r="BD93" s="279"/>
      <c r="BE93" s="475"/>
      <c r="BF93" s="475"/>
      <c r="BG93" s="279"/>
      <c r="BH93" s="475"/>
      <c r="BI93" s="475"/>
      <c r="BJ93" s="279"/>
      <c r="BK93" s="279"/>
      <c r="BL93" s="279"/>
      <c r="BM93" s="279"/>
      <c r="BN93" s="279"/>
      <c r="BO93" s="279"/>
      <c r="BP93" s="279"/>
      <c r="BQ93" s="279"/>
      <c r="BR93" s="279"/>
      <c r="BS93" s="279"/>
      <c r="BT93" s="279"/>
      <c r="BU93" s="279"/>
      <c r="BV93" s="279"/>
      <c r="BW93" s="279"/>
      <c r="BX93" s="279"/>
      <c r="BY93" s="279"/>
      <c r="BZ93" s="279"/>
      <c r="CA93" s="279"/>
      <c r="CB93" s="279"/>
      <c r="CC93" s="279"/>
      <c r="CD93" s="279"/>
      <c r="CE93" s="279"/>
      <c r="CF93" s="279"/>
      <c r="CG93" s="279"/>
      <c r="CH93" s="279"/>
      <c r="CI93" s="279"/>
      <c r="CJ93" s="279"/>
      <c r="CK93" s="279"/>
      <c r="CL93" s="279"/>
      <c r="CM93" s="279"/>
      <c r="CN93" s="279"/>
      <c r="CO93" s="279"/>
      <c r="CP93" s="279"/>
      <c r="CQ93" s="279"/>
      <c r="CR93" s="279"/>
      <c r="CS93" s="279"/>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80"/>
      <c r="FX93" s="417"/>
      <c r="FY93" s="417"/>
      <c r="FZ93" s="1005"/>
      <c r="GA93" s="971"/>
      <c r="GB93" s="971"/>
      <c r="GC93" s="971" t="s">
        <v>2154</v>
      </c>
      <c r="GD93" s="971"/>
    </row>
    <row r="94" spans="1:186" s="1167" customFormat="1" ht="15" hidden="1" customHeight="1" x14ac:dyDescent="0.15">
      <c r="A94" s="1152"/>
      <c r="B94" s="803" t="b">
        <f>R74="двухставочный"</f>
        <v>0</v>
      </c>
      <c r="C94" s="1108"/>
      <c r="D94" s="1077"/>
      <c r="E94" s="668">
        <v>15.8</v>
      </c>
      <c r="F94" s="769" t="str" cm="1">
        <f t="array" aca="1" ref="F94" ca="1">OFFSET(G94,-1,-1)</f>
        <v>1</v>
      </c>
      <c r="G94" s="417"/>
      <c r="H94" s="417"/>
      <c r="I94" s="417"/>
      <c r="J94" s="1100"/>
      <c r="K94" s="1098" t="str" cm="1">
        <f t="array" aca="1" ref="K94" ca="1">OFFSET(J94,-1,1)</f>
        <v>ТЭ.42.27968109.0001</v>
      </c>
      <c r="L94" s="1100"/>
      <c r="M94" s="1100"/>
      <c r="N94" s="1100"/>
      <c r="O94" s="1100"/>
      <c r="P94" s="1100"/>
      <c r="Q94" s="1082"/>
      <c r="R94" s="774"/>
      <c r="S94" s="417"/>
      <c r="T94" s="679" t="b">
        <f ca="1">AND(F94&gt;0,G74="двухставочный")</f>
        <v>0</v>
      </c>
      <c r="U94" s="1152"/>
      <c r="V94" s="1152"/>
      <c r="W94" s="1152"/>
      <c r="X94" s="1485"/>
      <c r="Y94" s="1152"/>
      <c r="Z94" s="1485"/>
      <c r="AA94" s="417"/>
      <c r="AB94" s="621" t="s">
        <v>2157</v>
      </c>
      <c r="AC94" s="299"/>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300"/>
      <c r="CG94" s="300"/>
      <c r="CH94" s="300"/>
      <c r="CI94" s="300"/>
      <c r="CJ94" s="300"/>
      <c r="CK94" s="300"/>
      <c r="CL94" s="300"/>
      <c r="CM94" s="300"/>
      <c r="CN94" s="300"/>
      <c r="CO94" s="300"/>
      <c r="CP94" s="300"/>
      <c r="CQ94" s="300"/>
      <c r="CR94" s="300"/>
      <c r="CS94" s="300"/>
      <c r="CT94" s="300"/>
      <c r="CU94" s="300"/>
      <c r="CV94" s="300"/>
      <c r="CW94" s="300"/>
      <c r="CX94" s="300"/>
      <c r="CY94" s="300"/>
      <c r="CZ94" s="300"/>
      <c r="DA94" s="300"/>
      <c r="DB94" s="300"/>
      <c r="DC94" s="300"/>
      <c r="DD94" s="300"/>
      <c r="DE94" s="300"/>
      <c r="DF94" s="300"/>
      <c r="DG94" s="300"/>
      <c r="DH94" s="300"/>
      <c r="DI94" s="300"/>
      <c r="DJ94" s="300"/>
      <c r="DK94" s="300"/>
      <c r="DL94" s="300"/>
      <c r="DM94" s="300"/>
      <c r="DN94" s="300"/>
      <c r="DO94" s="300"/>
      <c r="DP94" s="300"/>
      <c r="DQ94" s="300"/>
      <c r="DR94" s="300"/>
      <c r="DS94" s="300"/>
      <c r="DT94" s="300"/>
      <c r="DU94" s="300"/>
      <c r="DV94" s="300"/>
      <c r="DW94" s="300"/>
      <c r="DX94" s="300"/>
      <c r="DY94" s="300"/>
      <c r="DZ94" s="300"/>
      <c r="EA94" s="300"/>
      <c r="EB94" s="300"/>
      <c r="EC94" s="300"/>
      <c r="ED94" s="300"/>
      <c r="EE94" s="300"/>
      <c r="EF94" s="300"/>
      <c r="EG94" s="300"/>
      <c r="EH94" s="300"/>
      <c r="EI94" s="300"/>
      <c r="EJ94" s="300"/>
      <c r="EK94" s="300"/>
      <c r="EL94" s="300"/>
      <c r="EM94" s="300"/>
      <c r="EN94" s="300"/>
      <c r="EO94" s="300"/>
      <c r="EP94" s="300"/>
      <c r="EQ94" s="300"/>
      <c r="ER94" s="300"/>
      <c r="ES94" s="300"/>
      <c r="ET94" s="300"/>
      <c r="EU94" s="300"/>
      <c r="EV94" s="300"/>
      <c r="EW94" s="300"/>
      <c r="EX94" s="300"/>
      <c r="EY94" s="300"/>
      <c r="EZ94" s="300"/>
      <c r="FA94" s="300"/>
      <c r="FB94" s="300"/>
      <c r="FC94" s="300"/>
      <c r="FD94" s="300"/>
      <c r="FE94" s="300"/>
      <c r="FF94" s="300"/>
      <c r="FG94" s="300"/>
      <c r="FH94" s="300"/>
      <c r="FI94" s="300"/>
      <c r="FJ94" s="300"/>
      <c r="FK94" s="300"/>
      <c r="FL94" s="300"/>
      <c r="FM94" s="300"/>
      <c r="FN94" s="300"/>
      <c r="FO94" s="300"/>
      <c r="FP94" s="300"/>
      <c r="FQ94" s="300"/>
      <c r="FR94" s="300"/>
      <c r="FS94" s="300"/>
      <c r="FT94" s="300"/>
      <c r="FU94" s="300"/>
      <c r="FV94" s="300"/>
      <c r="FW94" s="301"/>
      <c r="FX94" s="417"/>
      <c r="FY94" s="417"/>
      <c r="FZ94" s="1005"/>
      <c r="GA94" s="971"/>
      <c r="GB94" s="971"/>
      <c r="GC94" s="971"/>
      <c r="GD94" s="971"/>
    </row>
    <row r="95" spans="1:186" s="1167" customFormat="1" ht="15" hidden="1" customHeight="1" x14ac:dyDescent="0.15">
      <c r="A95" s="1152"/>
      <c r="B95" s="803" t="b" cm="1">
        <f t="array" ref="B95">B94</f>
        <v>0</v>
      </c>
      <c r="C95" s="1108"/>
      <c r="D95" s="1077"/>
      <c r="E95" s="668">
        <v>15.8</v>
      </c>
      <c r="F95" s="769" t="str" cm="1">
        <f t="array" aca="1" ref="F95" ca="1">OFFSET(G95,-1,-1)</f>
        <v>1</v>
      </c>
      <c r="G95" s="417"/>
      <c r="H95" s="417"/>
      <c r="I95" s="417"/>
      <c r="J95" s="1100"/>
      <c r="K95" s="1098" t="str" cm="1">
        <f t="array" aca="1" ref="K95" ca="1">OFFSET(J95,-1,1)</f>
        <v>ТЭ.42.27968109.0001</v>
      </c>
      <c r="L95" s="1100"/>
      <c r="M95" s="1100"/>
      <c r="N95" s="1100"/>
      <c r="O95" s="1100"/>
      <c r="P95" s="1100"/>
      <c r="Q95" s="1082"/>
      <c r="R95" s="774"/>
      <c r="S95" s="417"/>
      <c r="T95" s="679" t="b" cm="1">
        <f t="array" aca="1" ref="T95" ca="1">T94</f>
        <v>0</v>
      </c>
      <c r="U95" s="1152"/>
      <c r="V95" s="1152"/>
      <c r="W95" s="1152"/>
      <c r="X95" s="1485"/>
      <c r="Y95" s="1152"/>
      <c r="Z95" s="1485"/>
      <c r="AA95" s="417"/>
      <c r="AB95" s="1130" t="s">
        <v>2158</v>
      </c>
      <c r="AC95" s="308"/>
      <c r="AD95" s="309"/>
      <c r="AE95" s="309"/>
      <c r="AF95" s="309"/>
      <c r="AG95" s="309"/>
      <c r="AH95" s="309"/>
      <c r="AI95" s="309"/>
      <c r="AJ95" s="309"/>
      <c r="AK95" s="309"/>
      <c r="AL95" s="309"/>
      <c r="AM95" s="309"/>
      <c r="AN95" s="309"/>
      <c r="AO95" s="309"/>
      <c r="AP95" s="309"/>
      <c r="AQ95" s="309"/>
      <c r="AR95" s="309"/>
      <c r="AS95" s="309"/>
      <c r="AT95" s="309"/>
      <c r="AU95" s="309"/>
      <c r="AV95" s="309"/>
      <c r="AW95" s="309"/>
      <c r="AX95" s="309"/>
      <c r="AY95" s="309"/>
      <c r="AZ95" s="309"/>
      <c r="BA95" s="309"/>
      <c r="BB95" s="309"/>
      <c r="BC95" s="309"/>
      <c r="BD95" s="309"/>
      <c r="BE95" s="309"/>
      <c r="BF95" s="309"/>
      <c r="BG95" s="309"/>
      <c r="BH95" s="309"/>
      <c r="BI95" s="309"/>
      <c r="BJ95" s="309"/>
      <c r="BK95" s="309"/>
      <c r="BL95" s="309"/>
      <c r="BM95" s="309"/>
      <c r="BN95" s="309"/>
      <c r="BO95" s="309"/>
      <c r="BP95" s="309"/>
      <c r="BQ95" s="309"/>
      <c r="BR95" s="309"/>
      <c r="BS95" s="309"/>
      <c r="BT95" s="309"/>
      <c r="BU95" s="309"/>
      <c r="BV95" s="309"/>
      <c r="BW95" s="309"/>
      <c r="BX95" s="309"/>
      <c r="BY95" s="309"/>
      <c r="BZ95" s="309"/>
      <c r="CA95" s="309"/>
      <c r="CB95" s="309"/>
      <c r="CC95" s="309"/>
      <c r="CD95" s="309"/>
      <c r="CE95" s="309"/>
      <c r="CF95" s="309"/>
      <c r="CG95" s="309"/>
      <c r="CH95" s="309"/>
      <c r="CI95" s="309"/>
      <c r="CJ95" s="309"/>
      <c r="CK95" s="309"/>
      <c r="CL95" s="309"/>
      <c r="CM95" s="309"/>
      <c r="CN95" s="309"/>
      <c r="CO95" s="309"/>
      <c r="CP95" s="309"/>
      <c r="CQ95" s="309"/>
      <c r="CR95" s="309"/>
      <c r="CS95" s="309"/>
      <c r="CT95" s="309"/>
      <c r="CU95" s="309"/>
      <c r="CV95" s="309"/>
      <c r="CW95" s="309"/>
      <c r="CX95" s="309"/>
      <c r="CY95" s="309"/>
      <c r="CZ95" s="309"/>
      <c r="DA95" s="309"/>
      <c r="DB95" s="309"/>
      <c r="DC95" s="309"/>
      <c r="DD95" s="309"/>
      <c r="DE95" s="309"/>
      <c r="DF95" s="309"/>
      <c r="DG95" s="309"/>
      <c r="DH95" s="309"/>
      <c r="DI95" s="309"/>
      <c r="DJ95" s="309"/>
      <c r="DK95" s="309"/>
      <c r="DL95" s="309"/>
      <c r="DM95" s="309"/>
      <c r="DN95" s="309"/>
      <c r="DO95" s="309"/>
      <c r="DP95" s="309"/>
      <c r="DQ95" s="309"/>
      <c r="DR95" s="309"/>
      <c r="DS95" s="309"/>
      <c r="DT95" s="309"/>
      <c r="DU95" s="309"/>
      <c r="DV95" s="309"/>
      <c r="DW95" s="309"/>
      <c r="DX95" s="309"/>
      <c r="DY95" s="309"/>
      <c r="DZ95" s="309"/>
      <c r="EA95" s="309"/>
      <c r="EB95" s="309"/>
      <c r="EC95" s="309"/>
      <c r="ED95" s="309"/>
      <c r="EE95" s="309"/>
      <c r="EF95" s="309"/>
      <c r="EG95" s="309"/>
      <c r="EH95" s="309"/>
      <c r="EI95" s="309"/>
      <c r="EJ95" s="309"/>
      <c r="EK95" s="309"/>
      <c r="EL95" s="309"/>
      <c r="EM95" s="309"/>
      <c r="EN95" s="309"/>
      <c r="EO95" s="309"/>
      <c r="EP95" s="309"/>
      <c r="EQ95" s="309"/>
      <c r="ER95" s="309"/>
      <c r="ES95" s="309"/>
      <c r="ET95" s="309"/>
      <c r="EU95" s="309"/>
      <c r="EV95" s="309"/>
      <c r="EW95" s="309"/>
      <c r="EX95" s="309"/>
      <c r="EY95" s="309"/>
      <c r="EZ95" s="309"/>
      <c r="FA95" s="309"/>
      <c r="FB95" s="309"/>
      <c r="FC95" s="309"/>
      <c r="FD95" s="309"/>
      <c r="FE95" s="309"/>
      <c r="FF95" s="309"/>
      <c r="FG95" s="309"/>
      <c r="FH95" s="309"/>
      <c r="FI95" s="309"/>
      <c r="FJ95" s="309"/>
      <c r="FK95" s="309"/>
      <c r="FL95" s="309"/>
      <c r="FM95" s="309"/>
      <c r="FN95" s="309"/>
      <c r="FO95" s="309"/>
      <c r="FP95" s="309"/>
      <c r="FQ95" s="309"/>
      <c r="FR95" s="309"/>
      <c r="FS95" s="309"/>
      <c r="FT95" s="309"/>
      <c r="FU95" s="309"/>
      <c r="FV95" s="309"/>
      <c r="FW95" s="310"/>
      <c r="FX95" s="417"/>
      <c r="FY95" s="417"/>
      <c r="FZ95" s="1005"/>
      <c r="GA95" s="971"/>
      <c r="GB95" s="971"/>
      <c r="GC95" s="971"/>
      <c r="GD95" s="971"/>
    </row>
    <row r="96" spans="1:186" s="1167" customFormat="1" ht="15" hidden="1" customHeight="1" x14ac:dyDescent="0.15">
      <c r="A96" s="1152"/>
      <c r="B96" s="803" t="b" cm="1">
        <f t="array" ref="B96">B95</f>
        <v>0</v>
      </c>
      <c r="C96" s="1108" t="s">
        <v>2159</v>
      </c>
      <c r="D96" s="1077" t="s">
        <v>2160</v>
      </c>
      <c r="E96" s="668">
        <v>15.8</v>
      </c>
      <c r="F96" s="769" t="str" cm="1">
        <f t="array" aca="1" ref="F96" ca="1">OFFSET(G96,-1,-1)</f>
        <v>1</v>
      </c>
      <c r="G96" s="612" t="s">
        <v>1755</v>
      </c>
      <c r="H96" s="160" t="s">
        <v>2161</v>
      </c>
      <c r="I96" s="160" t="s">
        <v>2114</v>
      </c>
      <c r="J96" s="1098"/>
      <c r="K96" s="1098" t="str" cm="1">
        <f t="array" aca="1" ref="K96" ca="1">OFFSET(J96,-1,1)</f>
        <v>ТЭ.42.27968109.0001</v>
      </c>
      <c r="L96" s="1098"/>
      <c r="M96" s="1098" t="s">
        <v>1750</v>
      </c>
      <c r="N96" s="1098" t="s">
        <v>2117</v>
      </c>
      <c r="O96" s="1099" t="s">
        <v>2118</v>
      </c>
      <c r="P96" s="1098" t="s">
        <v>2162</v>
      </c>
      <c r="Q96" s="1098"/>
      <c r="R96" s="774"/>
      <c r="S96" s="417"/>
      <c r="T96" s="679" t="b" cm="1">
        <f t="array" aca="1" ref="T96" ca="1">T95</f>
        <v>0</v>
      </c>
      <c r="U96" s="1152"/>
      <c r="V96" s="1152"/>
      <c r="W96" s="1152"/>
      <c r="X96" s="1485"/>
      <c r="Y96" s="1152"/>
      <c r="Z96" s="1485"/>
      <c r="AA96" s="417"/>
      <c r="AB96" s="220" t="s">
        <v>2163</v>
      </c>
      <c r="AC96" s="120" t="s">
        <v>920</v>
      </c>
      <c r="AD96" s="18">
        <f ca="1">IF(method_reg="Метод экономически обоснованных расходов",SUMIFS('Калькуляция (4.6)'!AJ$25:AJ$162,'Калькуляция (4.6)'!$F$25:$F$162,$F96,'Калькуляция (4.6)'!$G$25:$G$162,$G96),IF(method_reg="Метод сравнения аналогов",SUMIFS(INDEX('Калькуляция (МСА)'!$AE$25:$BC$82,,MATCH(AD$8,'Калькуляция (МСА)'!$AE$8:$BC$8,0)),'Калькуляция (МСА)'!$F$25:$F$82,$F96,'Калькуляция (МСА)'!$G$25:$G$82,$G96),SUMIFS(INDEX('Калькуляция (5.9)'!$AJ$25:$BC$137,,MATCH(AD$8,'Калькуляция (5.9)'!$AJ$8:$BC$8,0)),'Калькуляция (5.9)'!$F$25:$F$137,$F96,'Калькуляция (5.9)'!$G$25:$G$137,$G96)))</f>
        <v>4765.16</v>
      </c>
      <c r="AE96" s="18">
        <f ca="1">IF(method_reg="Метод экономически обоснованных расходов",SUMIFS('Калькуляция (4.6)'!AK$25:AK$162,'Калькуляция (4.6)'!$F$25:$F$162,$F96,'Калькуляция (4.6)'!$G$25:$G$162,$G96),IF(method_reg="Метод сравнения аналогов",SUMIFS(INDEX('Калькуляция (МСА)'!$AE$25:$BC$82,,MATCH(AE$8,'Калькуляция (МСА)'!$AE$8:$BC$8,0)),'Калькуляция (МСА)'!$F$25:$F$82,$F96,'Калькуляция (МСА)'!$G$25:$G$82,$G96),SUMIFS(INDEX('Калькуляция (5.9)'!$AJ$25:$BC$137,,MATCH(AE$8,'Калькуляция (5.9)'!$AJ$8:$BC$8,0)),'Калькуляция (5.9)'!$F$25:$F$137,$F96,'Калькуляция (5.9)'!$G$25:$G$137,$G96)))</f>
        <v>4765.16</v>
      </c>
      <c r="AF96" s="306">
        <f ca="1">IF(AD96=0,0,(AE96-AD96)/AD96*100)</f>
        <v>0</v>
      </c>
      <c r="AG96" s="1215">
        <f ca="1">IF(method_reg="Метод сравнения аналогов",SUMIFS(INDEX('Калькуляция (МСА)'!$AE$25:$BC$82,,MATCH(AG$8,'Калькуляция (МСА)'!$AE$8:$BC$8,0)),'Калькуляция (МСА)'!$F$25:$F$82,$F96,'Калькуляция (МСА)'!$G$25:$G$82,$G96),SUMIFS(INDEX('Калькуляция (5.9)'!$AJ$25:$BC$137,,MATCH(AG$8,'Калькуляция (5.9)'!$AJ$8:$BC$8,0)),'Калькуляция (5.9)'!$F$25:$F$137,$F96,'Калькуляция (5.9)'!$G$25:$G$137,$G96))</f>
        <v>0</v>
      </c>
      <c r="AH96" s="1215">
        <f ca="1">IF(method_reg="Метод сравнения аналогов",SUMIFS(INDEX('Калькуляция (МСА)'!$AE$25:$BC$82,,MATCH(AH$8,'Калькуляция (МСА)'!$AE$8:$BC$8,0)),'Калькуляция (МСА)'!$F$25:$F$82,$F96,'Калькуляция (МСА)'!$G$25:$G$82,$G96),SUMIFS(INDEX('Калькуляция (5.9)'!$AJ$25:$BC$137,,MATCH(AH$8,'Калькуляция (5.9)'!$AJ$8:$BC$8,0)),'Калькуляция (5.9)'!$F$25:$F$137,$F96,'Калькуляция (5.9)'!$G$25:$G$137,$G96))</f>
        <v>0</v>
      </c>
      <c r="AI96" s="306">
        <f ca="1">IF(AG96=0,0,(AH96-AG96)/AG96*100)</f>
        <v>0</v>
      </c>
      <c r="AJ96" s="1215">
        <f ca="1">IF(method_reg="Метод сравнения аналогов",SUMIFS(INDEX('Калькуляция (МСА)'!$AE$25:$BC$82,,MATCH(AJ$8,'Калькуляция (МСА)'!$AE$8:$BC$8,0)),'Калькуляция (МСА)'!$F$25:$F$82,$F96,'Калькуляция (МСА)'!$G$25:$G$82,$G96),SUMIFS(INDEX('Калькуляция (5.9)'!$AJ$25:$BC$137,,MATCH(AJ$8,'Калькуляция (5.9)'!$AJ$8:$BC$8,0)),'Калькуляция (5.9)'!$F$25:$F$137,$F96,'Калькуляция (5.9)'!$G$25:$G$137,$G96))</f>
        <v>0</v>
      </c>
      <c r="AK96" s="1215">
        <f ca="1">IF(method_reg="Метод сравнения аналогов",SUMIFS(INDEX('Калькуляция (МСА)'!$AE$25:$BC$82,,MATCH(AK$8,'Калькуляция (МСА)'!$AE$8:$BC$8,0)),'Калькуляция (МСА)'!$F$25:$F$82,$F96,'Калькуляция (МСА)'!$G$25:$G$82,$G96),SUMIFS(INDEX('Калькуляция (5.9)'!$AJ$25:$BC$137,,MATCH(AK$8,'Калькуляция (5.9)'!$AJ$8:$BC$8,0)),'Калькуляция (5.9)'!$F$25:$F$137,$F96,'Калькуляция (5.9)'!$G$25:$G$137,$G96))</f>
        <v>0</v>
      </c>
      <c r="AL96" s="306">
        <f ca="1">IF(AJ96=0,0,(AK96-AJ96)/AJ96*100)</f>
        <v>0</v>
      </c>
      <c r="AM96" s="18">
        <f ca="1">IF(method_reg="Метод сравнения аналогов",SUMIFS(INDEX('Калькуляция (МСА)'!$AE$25:$BC$82,,MATCH(AM$8,'Калькуляция (МСА)'!$AE$8:$BC$8,0)),'Калькуляция (МСА)'!$F$25:$F$82,$F96,'Калькуляция (МСА)'!$G$25:$G$82,$G96),SUMIFS(INDEX('Калькуляция (5.9)'!$AJ$25:$BC$137,,MATCH(AM$8,'Калькуляция (5.9)'!$AJ$8:$BC$8,0)),'Калькуляция (5.9)'!$F$25:$F$137,$F96,'Калькуляция (5.9)'!$G$25:$G$137,$G96))</f>
        <v>0</v>
      </c>
      <c r="AN96" s="18">
        <f ca="1">IF(method_reg="Метод сравнения аналогов",SUMIFS(INDEX('Калькуляция (МСА)'!$AE$25:$BC$82,,MATCH(AN$8,'Калькуляция (МСА)'!$AE$8:$BC$8,0)),'Калькуляция (МСА)'!$F$25:$F$82,$F96,'Калькуляция (МСА)'!$G$25:$G$82,$G96),SUMIFS(INDEX('Калькуляция (5.9)'!$AJ$25:$BC$137,,MATCH(AN$8,'Калькуляция (5.9)'!$AJ$8:$BC$8,0)),'Калькуляция (5.9)'!$F$25:$F$137,$F96,'Калькуляция (5.9)'!$G$25:$G$137,$G96))</f>
        <v>0</v>
      </c>
      <c r="AO96" s="306">
        <f ca="1">IF(AM96=0,0,(AN96-AM96)/AM96*100)</f>
        <v>0</v>
      </c>
      <c r="AP96" s="18">
        <f ca="1">IF(method_reg="Метод сравнения аналогов",SUMIFS(INDEX('Калькуляция (МСА)'!$AE$25:$BC$82,,MATCH(AP$8,'Калькуляция (МСА)'!$AE$8:$BC$8,0)),'Калькуляция (МСА)'!$F$25:$F$82,$F96,'Калькуляция (МСА)'!$G$25:$G$82,$G96),SUMIFS(INDEX('Калькуляция (5.9)'!$AJ$25:$BC$137,,MATCH(AP$8,'Калькуляция (5.9)'!$AJ$8:$BC$8,0)),'Калькуляция (5.9)'!$F$25:$F$137,$F96,'Калькуляция (5.9)'!$G$25:$G$137,$G96))</f>
        <v>0</v>
      </c>
      <c r="AQ96" s="18">
        <f ca="1">IF(method_reg="Метод сравнения аналогов",SUMIFS(INDEX('Калькуляция (МСА)'!$AE$25:$BC$82,,MATCH(AQ$8,'Калькуляция (МСА)'!$AE$8:$BC$8,0)),'Калькуляция (МСА)'!$F$25:$F$82,$F96,'Калькуляция (МСА)'!$G$25:$G$82,$G96),SUMIFS(INDEX('Калькуляция (5.9)'!$AJ$25:$BC$137,,MATCH(AQ$8,'Калькуляция (5.9)'!$AJ$8:$BC$8,0)),'Калькуляция (5.9)'!$F$25:$F$137,$F96,'Калькуляция (5.9)'!$G$25:$G$137,$G96))</f>
        <v>0</v>
      </c>
      <c r="AR96" s="306">
        <f ca="1">IF(AP96=0,0,(AQ96-AP96)/AP96*100)</f>
        <v>0</v>
      </c>
      <c r="AS96" s="18">
        <f ca="1">IF(method_reg="Метод сравнения аналогов",SUMIFS(INDEX('Калькуляция (МСА)'!$AE$25:$BC$82,,MATCH(AS$8,'Калькуляция (МСА)'!$AE$8:$BC$8,0)),'Калькуляция (МСА)'!$F$25:$F$82,$F96,'Калькуляция (МСА)'!$G$25:$G$82,$G96),SUMIFS(INDEX('Калькуляция (5.9)'!$AJ$25:$BC$137,,MATCH(AS$8,'Калькуляция (5.9)'!$AJ$8:$BC$8,0)),'Калькуляция (5.9)'!$F$25:$F$137,$F96,'Калькуляция (5.9)'!$G$25:$G$137,$G96))</f>
        <v>0</v>
      </c>
      <c r="AT96" s="18">
        <f ca="1">IF(method_reg="Метод сравнения аналогов",SUMIFS(INDEX('Калькуляция (МСА)'!$AE$25:$BC$82,,MATCH(AT$8,'Калькуляция (МСА)'!$AE$8:$BC$8,0)),'Калькуляция (МСА)'!$F$25:$F$82,$F96,'Калькуляция (МСА)'!$G$25:$G$82,$G96),SUMIFS(INDEX('Калькуляция (5.9)'!$AJ$25:$BC$137,,MATCH(AT$8,'Калькуляция (5.9)'!$AJ$8:$BC$8,0)),'Калькуляция (5.9)'!$F$25:$F$137,$F96,'Калькуляция (5.9)'!$G$25:$G$137,$G96))</f>
        <v>0</v>
      </c>
      <c r="AU96" s="306">
        <f ca="1">IF(AS96=0,0,(AT96-AS96)/AS96*100)</f>
        <v>0</v>
      </c>
      <c r="AV96" s="18">
        <f ca="1">IF(method_reg="Метод сравнения аналогов",SUMIFS(INDEX('Калькуляция (МСА)'!$AE$25:$BC$82,,MATCH(AV$8,'Калькуляция (МСА)'!$AE$8:$BC$8,0)),'Калькуляция (МСА)'!$F$25:$F$82,$F96,'Калькуляция (МСА)'!$G$25:$G$82,$G96),SUMIFS(INDEX('Калькуляция (5.9)'!$AJ$25:$BC$137,,MATCH(AV$8,'Калькуляция (5.9)'!$AJ$8:$BC$8,0)),'Калькуляция (5.9)'!$F$25:$F$137,$F96,'Калькуляция (5.9)'!$G$25:$G$137,$G96))</f>
        <v>0</v>
      </c>
      <c r="AW96" s="18">
        <f ca="1">IF(method_reg="Метод сравнения аналогов",SUMIFS(INDEX('Калькуляция (МСА)'!$AE$25:$BC$82,,MATCH(AW$8,'Калькуляция (МСА)'!$AE$8:$BC$8,0)),'Калькуляция (МСА)'!$F$25:$F$82,$F96,'Калькуляция (МСА)'!$G$25:$G$82,$G96),SUMIFS(INDEX('Калькуляция (5.9)'!$AJ$25:$BC$137,,MATCH(AW$8,'Калькуляция (5.9)'!$AJ$8:$BC$8,0)),'Калькуляция (5.9)'!$F$25:$F$137,$F96,'Калькуляция (5.9)'!$G$25:$G$137,$G96))</f>
        <v>0</v>
      </c>
      <c r="AX96" s="306">
        <f ca="1">IF(AV96=0,0,(AW96-AV96)/AV96*100)</f>
        <v>0</v>
      </c>
      <c r="AY96" s="18">
        <f ca="1">IF(method_reg="Метод сравнения аналогов",SUMIFS(INDEX('Калькуляция (МСА)'!$AE$25:$BC$82,,MATCH(AY$8,'Калькуляция (МСА)'!$AE$8:$BC$8,0)),'Калькуляция (МСА)'!$F$25:$F$82,$F96,'Калькуляция (МСА)'!$G$25:$G$82,$G96),SUMIFS(INDEX('Калькуляция (5.9)'!$AJ$25:$BC$137,,MATCH(AY$8,'Калькуляция (5.9)'!$AJ$8:$BC$8,0)),'Калькуляция (5.9)'!$F$25:$F$137,$F96,'Калькуляция (5.9)'!$G$25:$G$137,$G96))</f>
        <v>0</v>
      </c>
      <c r="AZ96" s="18">
        <f ca="1">IF(method_reg="Метод сравнения аналогов",SUMIFS(INDEX('Калькуляция (МСА)'!$AE$25:$BC$82,,MATCH(AZ$8,'Калькуляция (МСА)'!$AE$8:$BC$8,0)),'Калькуляция (МСА)'!$F$25:$F$82,$F96,'Калькуляция (МСА)'!$G$25:$G$82,$G96),SUMIFS(INDEX('Калькуляция (5.9)'!$AJ$25:$BC$137,,MATCH(AZ$8,'Калькуляция (5.9)'!$AJ$8:$BC$8,0)),'Калькуляция (5.9)'!$F$25:$F$137,$F96,'Калькуляция (5.9)'!$G$25:$G$137,$G96))</f>
        <v>0</v>
      </c>
      <c r="BA96" s="306">
        <f ca="1">IF(AY96=0,0,(AZ96-AY96)/AY96*100)</f>
        <v>0</v>
      </c>
      <c r="BB96" s="18">
        <f ca="1">IF(method_reg="Метод сравнения аналогов",SUMIFS(INDEX('Калькуляция (МСА)'!$AE$25:$BC$82,,MATCH(BB$8,'Калькуляция (МСА)'!$AE$8:$BC$8,0)),'Калькуляция (МСА)'!$F$25:$F$82,$F96,'Калькуляция (МСА)'!$G$25:$G$82,$G96),SUMIFS(INDEX('Калькуляция (5.9)'!$AJ$25:$BC$137,,MATCH(BB$8,'Калькуляция (5.9)'!$AJ$8:$BC$8,0)),'Калькуляция (5.9)'!$F$25:$F$137,$F96,'Калькуляция (5.9)'!$G$25:$G$137,$G96))</f>
        <v>0</v>
      </c>
      <c r="BC96" s="18">
        <f ca="1">IF(method_reg="Метод сравнения аналогов",SUMIFS(INDEX('Калькуляция (МСА)'!$AE$25:$BC$82,,MATCH(BC$8,'Калькуляция (МСА)'!$AE$8:$BC$8,0)),'Калькуляция (МСА)'!$F$25:$F$82,$F96,'Калькуляция (МСА)'!$G$25:$G$82,$G96),SUMIFS(INDEX('Калькуляция (5.9)'!$AJ$25:$BC$137,,MATCH(BC$8,'Калькуляция (5.9)'!$AJ$8:$BC$8,0)),'Калькуляция (5.9)'!$F$25:$F$137,$F96,'Калькуляция (5.9)'!$G$25:$G$137,$G96))</f>
        <v>0</v>
      </c>
      <c r="BD96" s="306">
        <f ca="1">IF(BB96=0,0,(BC96-BB96)/BB96*100)</f>
        <v>0</v>
      </c>
      <c r="BE96" s="18">
        <f ca="1">IF(method_reg="Метод сравнения аналогов",SUMIFS(INDEX('Калькуляция (МСА)'!$AE$25:$BC$82,,MATCH(BE$8,'Калькуляция (МСА)'!$AE$8:$BC$8,0)),'Калькуляция (МСА)'!$F$25:$F$82,$F96,'Калькуляция (МСА)'!$G$25:$G$82,$G96),SUMIFS(INDEX('Калькуляция (5.9)'!$AJ$25:$BC$137,,MATCH(BE$8,'Калькуляция (5.9)'!$AJ$8:$BC$8,0)),'Калькуляция (5.9)'!$F$25:$F$137,$F96,'Калькуляция (5.9)'!$G$25:$G$137,$G96))</f>
        <v>0</v>
      </c>
      <c r="BF96" s="18">
        <f ca="1">IF(method_reg="Метод сравнения аналогов",SUMIFS(INDEX('Калькуляция (МСА)'!$AE$25:$BC$82,,MATCH(BF$8,'Калькуляция (МСА)'!$AE$8:$BC$8,0)),'Калькуляция (МСА)'!$F$25:$F$82,$F96,'Калькуляция (МСА)'!$G$25:$G$82,$G96),SUMIFS(INDEX('Калькуляция (5.9)'!$AJ$25:$BC$137,,MATCH(BF$8,'Калькуляция (5.9)'!$AJ$8:$BC$8,0)),'Калькуляция (5.9)'!$F$25:$F$137,$F96,'Калькуляция (5.9)'!$G$25:$G$137,$G96))</f>
        <v>0</v>
      </c>
      <c r="BG96" s="306">
        <f ca="1">IF(BE96=0,0,(BF96-BE96)/BE96*100)</f>
        <v>0</v>
      </c>
      <c r="BH96" s="18">
        <f>IF(BH98=0,0,(BH97*BH98+BH99*BH100*6)/BH98)</f>
        <v>0</v>
      </c>
      <c r="BI96" s="18">
        <f>IF(BI98=0,0,(BI97*BI98+BI99*BI100*6)/BI98)</f>
        <v>0</v>
      </c>
      <c r="BJ96" s="306">
        <f>IF(BH96=0,0,(BI96-BH96)/BH96*100)</f>
        <v>0</v>
      </c>
      <c r="BK96" s="18">
        <f>IF(BK98=0,0,(BK97*BK98+BK99*BK100*6)/BK98)</f>
        <v>0</v>
      </c>
      <c r="BL96" s="18">
        <f>IF(BL98=0,0,(BL97*BL98+BL99*BL100*6)/BL98)</f>
        <v>0</v>
      </c>
      <c r="BM96" s="306">
        <f>IF(BK96=0,0,(BL96-BK96)/BK96*100)</f>
        <v>0</v>
      </c>
      <c r="BN96" s="18">
        <f>IF(BN98=0,0,(BN97*BN98+BN99*BN100*6)/BN98)</f>
        <v>0</v>
      </c>
      <c r="BO96" s="18">
        <f>IF(BO98=0,0,(BO97*BO98+BO99*BO100*6)/BO98)</f>
        <v>0</v>
      </c>
      <c r="BP96" s="306">
        <f>IF(BN96=0,0,(BO96-BN96)/BN96*100)</f>
        <v>0</v>
      </c>
      <c r="BQ96" s="18">
        <f>IF(BQ98=0,0,(BQ97*BQ98+BQ99*BQ100*6)/BQ98)</f>
        <v>0</v>
      </c>
      <c r="BR96" s="18">
        <f>IF(BR98=0,0,(BR97*BR98+BR99*BR100*6)/BR98)</f>
        <v>0</v>
      </c>
      <c r="BS96" s="306">
        <f>IF(BQ96=0,0,(BR96-BQ96)/BQ96*100)</f>
        <v>0</v>
      </c>
      <c r="BT96" s="18">
        <f>IF(BT98=0,0,(BT97*BT98+BT99*BT100*6)/BT98)</f>
        <v>0</v>
      </c>
      <c r="BU96" s="18">
        <f>IF(BU98=0,0,(BU97*BU98+BU99*BU100*6)/BU98)</f>
        <v>0</v>
      </c>
      <c r="BV96" s="306">
        <f>IF(BT96=0,0,(BU96-BT96)/BT96*100)</f>
        <v>0</v>
      </c>
      <c r="BW96" s="18">
        <f>IF(BW98=0,0,(BW97*BW98+BW99*BW100*6)/BW98)</f>
        <v>0</v>
      </c>
      <c r="BX96" s="18">
        <f>IF(BX98=0,0,(BX97*BX98+BX99*BX100*6)/BX98)</f>
        <v>0</v>
      </c>
      <c r="BY96" s="306">
        <f>IF(BW96=0,0,(BX96-BW96)/BW96*100)</f>
        <v>0</v>
      </c>
      <c r="BZ96" s="18">
        <f>IF(BZ98=0,0,(BZ97*BZ98+BZ99*BZ100*6)/BZ98)</f>
        <v>0</v>
      </c>
      <c r="CA96" s="18">
        <f>IF(CA98=0,0,(CA97*CA98+CA99*CA100*6)/CA98)</f>
        <v>0</v>
      </c>
      <c r="CB96" s="306">
        <f>IF(BZ96=0,0,(CA96-BZ96)/BZ96*100)</f>
        <v>0</v>
      </c>
      <c r="CC96" s="18">
        <f>IF(CC98=0,0,(CC97*CC98+CC99*CC100*6)/CC98)</f>
        <v>0</v>
      </c>
      <c r="CD96" s="18">
        <f>IF(CD98=0,0,(CD97*CD98+CD99*CD100*6)/CD98)</f>
        <v>0</v>
      </c>
      <c r="CE96" s="306">
        <f>IF(CC96=0,0,(CD96-CC96)/CC96*100)</f>
        <v>0</v>
      </c>
      <c r="CF96" s="18">
        <f>IF(CF98=0,0,(CF97*CF98+CF99*CF100*6)/CF98)</f>
        <v>0</v>
      </c>
      <c r="CG96" s="18">
        <f>IF(CG98=0,0,(CG97*CG98+CG99*CG100*6)/CG98)</f>
        <v>0</v>
      </c>
      <c r="CH96" s="306">
        <f>IF(CF96=0,0,(CG96-CF96)/CF96*100)</f>
        <v>0</v>
      </c>
      <c r="CI96" s="18">
        <f>IF(CI98=0,0,(CI97*CI98+CI99*CI100*6)/CI98)</f>
        <v>0</v>
      </c>
      <c r="CJ96" s="18">
        <f>IF(CJ98=0,0,(CJ97*CJ98+CJ99*CJ100*6)/CJ98)</f>
        <v>0</v>
      </c>
      <c r="CK96" s="306">
        <f>IF(CI96=0,0,(CJ96-CI96)/CI96*100)</f>
        <v>0</v>
      </c>
      <c r="CL96" s="18">
        <f>IF(CL98=0,0,(CL97*CL98+CL99*CL100*6)/CL98)</f>
        <v>0</v>
      </c>
      <c r="CM96" s="18">
        <f>IF(CM98=0,0,(CM97*CM98+CM99*CM100*6)/CM98)</f>
        <v>0</v>
      </c>
      <c r="CN96" s="306">
        <f>IF(CL96=0,0,(CM96-CL96)/CL96*100)</f>
        <v>0</v>
      </c>
      <c r="CO96" s="18">
        <f>IF(CO98=0,0,(CO97*CO98+CO99*CO100*6)/CO98)</f>
        <v>0</v>
      </c>
      <c r="CP96" s="18">
        <f>IF(CP98=0,0,(CP97*CP98+CP99*CP100*6)/CP98)</f>
        <v>0</v>
      </c>
      <c r="CQ96" s="306">
        <f>IF(CO96=0,0,(CP96-CO96)/CO96*100)</f>
        <v>0</v>
      </c>
      <c r="CR96" s="18">
        <f>IF(CR98=0,0,(CR97*CR98+CR99*CR100*6)/CR98)</f>
        <v>0</v>
      </c>
      <c r="CS96" s="18">
        <f>IF(CS98=0,0,(CS97*CS98+CS99*CS100*6)/CS98)</f>
        <v>0</v>
      </c>
      <c r="CT96" s="306">
        <f>IF(CR96=0,0,(CS96-CR96)/CR96*100)</f>
        <v>0</v>
      </c>
      <c r="CU96" s="18">
        <f>IF(CU98=0,0,(CU97*CU98+CU99*CU100*6)/CU98)</f>
        <v>0</v>
      </c>
      <c r="CV96" s="18">
        <f>IF(CV98=0,0,(CV97*CV98+CV99*CV100*6)/CV98)</f>
        <v>0</v>
      </c>
      <c r="CW96" s="306">
        <f>IF(CU96=0,0,(CV96-CU96)/CU96*100)</f>
        <v>0</v>
      </c>
      <c r="CX96" s="18">
        <f>IF(CX98=0,0,(CX97*CX98+CX99*CX100*6)/CX98)</f>
        <v>0</v>
      </c>
      <c r="CY96" s="18">
        <f>IF(CY98=0,0,(CY97*CY98+CY99*CY100*6)/CY98)</f>
        <v>0</v>
      </c>
      <c r="CZ96" s="306">
        <f>IF(CX96=0,0,(CY96-CX96)/CX96*100)</f>
        <v>0</v>
      </c>
      <c r="DA96" s="18">
        <f>IF(DA98=0,0,(DA97*DA98+DA99*DA100*6)/DA98)</f>
        <v>0</v>
      </c>
      <c r="DB96" s="18">
        <f>IF(DB98=0,0,(DB97*DB98+DB99*DB100*6)/DB98)</f>
        <v>0</v>
      </c>
      <c r="DC96" s="306">
        <f>IF(DA96=0,0,(DB96-DA96)/DA96*100)</f>
        <v>0</v>
      </c>
      <c r="DD96" s="18">
        <f>IF(DD98=0,0,(DD97*DD98+DD99*DD100*6)/DD98)</f>
        <v>0</v>
      </c>
      <c r="DE96" s="18">
        <f>IF(DE98=0,0,(DE97*DE98+DE99*DE100*6)/DE98)</f>
        <v>0</v>
      </c>
      <c r="DF96" s="306">
        <f>IF(DD96=0,0,(DE96-DD96)/DD96*100)</f>
        <v>0</v>
      </c>
      <c r="DG96" s="18">
        <f>IF(DG98=0,0,(DG97*DG98+DG99*DG100*6)/DG98)</f>
        <v>0</v>
      </c>
      <c r="DH96" s="18">
        <f>IF(DH98=0,0,(DH97*DH98+DH99*DH100*6)/DH98)</f>
        <v>0</v>
      </c>
      <c r="DI96" s="306">
        <f>IF(DG96=0,0,(DH96-DG96)/DG96*100)</f>
        <v>0</v>
      </c>
      <c r="DJ96" s="18">
        <f>IF(DJ98=0,0,(DJ97*DJ98+DJ99*DJ100*6)/DJ98)</f>
        <v>0</v>
      </c>
      <c r="DK96" s="18">
        <f>IF(DK98=0,0,(DK97*DK98+DK99*DK100*6)/DK98)</f>
        <v>0</v>
      </c>
      <c r="DL96" s="306">
        <f>IF(DJ96=0,0,(DK96-DJ96)/DJ96*100)</f>
        <v>0</v>
      </c>
      <c r="DM96" s="18">
        <f>IF(DM98=0,0,(DM97*DM98+DM99*DM100*6)/DM98)</f>
        <v>0</v>
      </c>
      <c r="DN96" s="18">
        <f>IF(DN98=0,0,(DN97*DN98+DN99*DN100*6)/DN98)</f>
        <v>0</v>
      </c>
      <c r="DO96" s="306">
        <f>IF(DM96=0,0,(DN96-DM96)/DM96*100)</f>
        <v>0</v>
      </c>
      <c r="DP96" s="18">
        <f>IF(DP98=0,0,(DP97*DP98+DP99*DP100*6)/DP98)</f>
        <v>0</v>
      </c>
      <c r="DQ96" s="18">
        <f>IF(DQ98=0,0,(DQ97*DQ98+DQ99*DQ100*6)/DQ98)</f>
        <v>0</v>
      </c>
      <c r="DR96" s="306">
        <f>IF(DP96=0,0,(DQ96-DP96)/DP96*100)</f>
        <v>0</v>
      </c>
      <c r="DS96" s="18">
        <f>IF(DS98=0,0,(DS97*DS98+DS99*DS100*6)/DS98)</f>
        <v>0</v>
      </c>
      <c r="DT96" s="18">
        <f>IF(DT98=0,0,(DT97*DT98+DT99*DT100*6)/DT98)</f>
        <v>0</v>
      </c>
      <c r="DU96" s="306">
        <f>IF(DS96=0,0,(DT96-DS96)/DS96*100)</f>
        <v>0</v>
      </c>
      <c r="DV96" s="18">
        <f>IF(DV98=0,0,(DV97*DV98+DV99*DV100*6)/DV98)</f>
        <v>0</v>
      </c>
      <c r="DW96" s="18">
        <f>IF(DW98=0,0,(DW97*DW98+DW99*DW100*6)/DW98)</f>
        <v>0</v>
      </c>
      <c r="DX96" s="306">
        <f>IF(DV96=0,0,(DW96-DV96)/DV96*100)</f>
        <v>0</v>
      </c>
      <c r="DY96" s="18">
        <f>IF(DY98=0,0,(DY97*DY98+DY99*DY100*6)/DY98)</f>
        <v>0</v>
      </c>
      <c r="DZ96" s="18">
        <f>IF(DZ98=0,0,(DZ97*DZ98+DZ99*DZ100*6)/DZ98)</f>
        <v>0</v>
      </c>
      <c r="EA96" s="306">
        <f>IF(DY96=0,0,(DZ96-DY96)/DY96*100)</f>
        <v>0</v>
      </c>
      <c r="EB96" s="18">
        <f>IF(EB98=0,0,(EB97*EB98+EB99*EB100*6)/EB98)</f>
        <v>0</v>
      </c>
      <c r="EC96" s="18">
        <f>IF(EC98=0,0,(EC97*EC98+EC99*EC100*6)/EC98)</f>
        <v>0</v>
      </c>
      <c r="ED96" s="306">
        <f>IF(EB96=0,0,(EC96-EB96)/EB96*100)</f>
        <v>0</v>
      </c>
      <c r="EE96" s="18">
        <f>IF(EE98=0,0,(EE97*EE98+EE99*EE100*6)/EE98)</f>
        <v>0</v>
      </c>
      <c r="EF96" s="18">
        <f>IF(EF98=0,0,(EF97*EF98+EF99*EF100*6)/EF98)</f>
        <v>0</v>
      </c>
      <c r="EG96" s="306">
        <f>IF(EE96=0,0,(EF96-EE96)/EE96*100)</f>
        <v>0</v>
      </c>
      <c r="EH96" s="18">
        <f>IF(EH98=0,0,(EH97*EH98+EH99*EH100*6)/EH98)</f>
        <v>0</v>
      </c>
      <c r="EI96" s="18">
        <f>IF(EI98=0,0,(EI97*EI98+EI99*EI100*6)/EI98)</f>
        <v>0</v>
      </c>
      <c r="EJ96" s="306">
        <f>IF(EH96=0,0,(EI96-EH96)/EH96*100)</f>
        <v>0</v>
      </c>
      <c r="EK96" s="18">
        <f>IF(EK98=0,0,(EK97*EK98+EK99*EK100*6)/EK98)</f>
        <v>0</v>
      </c>
      <c r="EL96" s="18">
        <f>IF(EL98=0,0,(EL97*EL98+EL99*EL100*6)/EL98)</f>
        <v>0</v>
      </c>
      <c r="EM96" s="306">
        <f>IF(EK96=0,0,(EL96-EK96)/EK96*100)</f>
        <v>0</v>
      </c>
      <c r="EN96" s="18">
        <f>IF(EN98=0,0,(EN97*EN98+EN99*EN100*6)/EN98)</f>
        <v>0</v>
      </c>
      <c r="EO96" s="18">
        <f>IF(EO98=0,0,(EO97*EO98+EO99*EO100*6)/EO98)</f>
        <v>0</v>
      </c>
      <c r="EP96" s="306">
        <f>IF(EN96=0,0,(EO96-EN96)/EN96*100)</f>
        <v>0</v>
      </c>
      <c r="EQ96" s="18">
        <f>IF(EQ98=0,0,(EQ97*EQ98+EQ99*EQ100*6)/EQ98)</f>
        <v>0</v>
      </c>
      <c r="ER96" s="18">
        <f>IF(ER98=0,0,(ER97*ER98+ER99*ER100*6)/ER98)</f>
        <v>0</v>
      </c>
      <c r="ES96" s="306">
        <f>IF(EQ96=0,0,(ER96-EQ96)/EQ96*100)</f>
        <v>0</v>
      </c>
      <c r="ET96" s="18">
        <f>IF(ET98=0,0,(ET97*ET98+ET99*ET100*6)/ET98)</f>
        <v>0</v>
      </c>
      <c r="EU96" s="18">
        <f>IF(EU98=0,0,(EU97*EU98+EU99*EU100*6)/EU98)</f>
        <v>0</v>
      </c>
      <c r="EV96" s="306">
        <f>IF(ET96=0,0,(EU96-ET96)/ET96*100)</f>
        <v>0</v>
      </c>
      <c r="EW96" s="18">
        <f>IF(EW98=0,0,(EW97*EW98+EW99*EW100*6)/EW98)</f>
        <v>0</v>
      </c>
      <c r="EX96" s="18">
        <f>IF(EX98=0,0,(EX97*EX98+EX99*EX100*6)/EX98)</f>
        <v>0</v>
      </c>
      <c r="EY96" s="306">
        <f>IF(EW96=0,0,(EX96-EW96)/EW96*100)</f>
        <v>0</v>
      </c>
      <c r="EZ96" s="18">
        <f>IF(EZ98=0,0,(EZ97*EZ98+EZ99*EZ100*6)/EZ98)</f>
        <v>0</v>
      </c>
      <c r="FA96" s="18">
        <f>IF(FA98=0,0,(FA97*FA98+FA99*FA100*6)/FA98)</f>
        <v>0</v>
      </c>
      <c r="FB96" s="306">
        <f>IF(EZ96=0,0,(FA96-EZ96)/EZ96*100)</f>
        <v>0</v>
      </c>
      <c r="FC96" s="18">
        <f>IF(FC98=0,0,(FC97*FC98+FC99*FC100*6)/FC98)</f>
        <v>0</v>
      </c>
      <c r="FD96" s="18">
        <f>IF(FD98=0,0,(FD97*FD98+FD99*FD100*6)/FD98)</f>
        <v>0</v>
      </c>
      <c r="FE96" s="306">
        <f>IF(FC96=0,0,(FD96-FC96)/FC96*100)</f>
        <v>0</v>
      </c>
      <c r="FF96" s="18">
        <f>IF(FF98=0,0,(FF97*FF98+FF99*FF100*6)/FF98)</f>
        <v>0</v>
      </c>
      <c r="FG96" s="18">
        <f>IF(FG98=0,0,(FG97*FG98+FG99*FG100*6)/FG98)</f>
        <v>0</v>
      </c>
      <c r="FH96" s="306">
        <f>IF(FF96=0,0,(FG96-FF96)/FF96*100)</f>
        <v>0</v>
      </c>
      <c r="FI96" s="18">
        <f>IF(FI98=0,0,(FI97*FI98+FI99*FI100*6)/FI98)</f>
        <v>0</v>
      </c>
      <c r="FJ96" s="18">
        <f>IF(FJ98=0,0,(FJ97*FJ98+FJ99*FJ100*6)/FJ98)</f>
        <v>0</v>
      </c>
      <c r="FK96" s="306">
        <f>IF(FI96=0,0,(FJ96-FI96)/FI96*100)</f>
        <v>0</v>
      </c>
      <c r="FL96" s="18">
        <f>IF(FL98=0,0,(FL97*FL98+FL99*FL100*6)/FL98)</f>
        <v>0</v>
      </c>
      <c r="FM96" s="18">
        <f>IF(FM98=0,0,(FM97*FM98+FM99*FM100*6)/FM98)</f>
        <v>0</v>
      </c>
      <c r="FN96" s="306">
        <f>IF(FL96=0,0,(FM96-FL96)/FL96*100)</f>
        <v>0</v>
      </c>
      <c r="FO96" s="18">
        <f>IF(FO98=0,0,(FO97*FO98+FO99*FO100*6)/FO98)</f>
        <v>0</v>
      </c>
      <c r="FP96" s="18">
        <f>IF(FP98=0,0,(FP97*FP98+FP99*FP100*6)/FP98)</f>
        <v>0</v>
      </c>
      <c r="FQ96" s="306">
        <f>IF(FO96=0,0,(FP96-FO96)/FO96*100)</f>
        <v>0</v>
      </c>
      <c r="FR96" s="18">
        <f>IF(FR98=0,0,(FR97*FR98+FR99*FR100*6)/FR98)</f>
        <v>0</v>
      </c>
      <c r="FS96" s="18">
        <f>IF(FS98=0,0,(FS97*FS98+FS99*FS100*6)/FS98)</f>
        <v>0</v>
      </c>
      <c r="FT96" s="306">
        <f>IF(FR96=0,0,(FS96-FR96)/FR96*100)</f>
        <v>0</v>
      </c>
      <c r="FU96" s="18">
        <f>IF(FU98=0,0,(FU97*FU98+FU99*FU100*6)/FU98)</f>
        <v>0</v>
      </c>
      <c r="FV96" s="18">
        <f>IF(FV98=0,0,(FV97*FV98+FV99*FV100*6)/FV98)</f>
        <v>0</v>
      </c>
      <c r="FW96" s="306">
        <f>IF(FU96=0,0,(FV96-FU96)/FU96*100)</f>
        <v>0</v>
      </c>
      <c r="FX96" s="417"/>
      <c r="FY96" s="417"/>
      <c r="FZ96" s="971" t="s">
        <v>2164</v>
      </c>
      <c r="GA96" s="971"/>
      <c r="GB96" s="971"/>
      <c r="GC96" s="971"/>
      <c r="GD96" s="971"/>
    </row>
    <row r="97" spans="1:186" s="1167" customFormat="1" ht="15" hidden="1" customHeight="1" x14ac:dyDescent="0.15">
      <c r="A97" s="1152"/>
      <c r="B97" s="803" t="b" cm="1">
        <f t="array" ref="B97">B96</f>
        <v>0</v>
      </c>
      <c r="C97" s="1108" t="s">
        <v>2165</v>
      </c>
      <c r="D97" s="1077" t="s">
        <v>2166</v>
      </c>
      <c r="E97" s="668">
        <v>15.8</v>
      </c>
      <c r="F97" s="769" t="str" cm="1">
        <f t="array" aca="1" ref="F97" ca="1">OFFSET(G97,-1,-1)</f>
        <v>1</v>
      </c>
      <c r="G97" s="612" t="s">
        <v>1788</v>
      </c>
      <c r="H97" s="160" t="s">
        <v>2167</v>
      </c>
      <c r="I97" s="160" t="s">
        <v>2114</v>
      </c>
      <c r="J97" s="1098"/>
      <c r="K97" s="1098" t="str" cm="1">
        <f t="array" aca="1" ref="K97" ca="1">OFFSET(J97,-1,1)</f>
        <v>ТЭ.42.27968109.0001</v>
      </c>
      <c r="L97" s="1098"/>
      <c r="M97" s="1098" t="s">
        <v>1750</v>
      </c>
      <c r="N97" s="1098" t="s">
        <v>2117</v>
      </c>
      <c r="O97" s="1099" t="s">
        <v>2118</v>
      </c>
      <c r="P97" s="1098" t="s">
        <v>2168</v>
      </c>
      <c r="Q97" s="1098"/>
      <c r="R97" s="774"/>
      <c r="S97" s="417"/>
      <c r="T97" s="679" t="b" cm="1">
        <f t="array" aca="1" ref="T97" ca="1">T96</f>
        <v>0</v>
      </c>
      <c r="U97" s="1152"/>
      <c r="V97" s="1152"/>
      <c r="W97" s="1152"/>
      <c r="X97" s="1485"/>
      <c r="Y97" s="1152"/>
      <c r="Z97" s="1485"/>
      <c r="AA97" s="417"/>
      <c r="AB97" s="220" t="s">
        <v>2169</v>
      </c>
      <c r="AC97" s="120" t="s">
        <v>920</v>
      </c>
      <c r="AD97" s="18">
        <f ca="1">IF(method_reg="Метод экономически обоснованных расходов",SUMIFS('Калькуляция (4.6)'!AJ$25:AJ$162,'Калькуляция (4.6)'!$F$25:$F$162,$F97,'Калькуляция (4.6)'!$G$25:$G$162,$G97),IF(method_reg="Метод сравнения аналогов",SUMIFS(INDEX('Калькуляция (МСА)'!$AE$25:$BC$82,,MATCH(AD$8,'Калькуляция (МСА)'!$AE$8:$BC$8,0)),'Калькуляция (МСА)'!$F$25:$F$82,$F97,'Калькуляция (МСА)'!$G$25:$G$82,$G97),SUMIFS(INDEX('Калькуляция (5.9)'!$AJ$25:$BC$137,,MATCH(AD$8,'Калькуляция (5.9)'!$AJ$8:$BC$8,0)),'Калькуляция (5.9)'!$F$25:$F$137,$F97,'Калькуляция (5.9)'!$G$25:$G$137,$G97)))</f>
        <v>713.35237404856821</v>
      </c>
      <c r="AE97" s="18">
        <f ca="1">IF(method_reg="Метод экономически обоснованных расходов",SUMIFS('Калькуляция (4.6)'!AK$25:AK$162,'Калькуляция (4.6)'!$F$25:$F$162,$F97,'Калькуляция (4.6)'!$G$25:$G$162,$G97),IF(method_reg="Метод сравнения аналогов",SUMIFS(INDEX('Калькуляция (МСА)'!$AE$25:$BC$82,,MATCH(AE$8,'Калькуляция (МСА)'!$AE$8:$BC$8,0)),'Калькуляция (МСА)'!$F$25:$F$82,$F97,'Калькуляция (МСА)'!$G$25:$G$82,$G97),SUMIFS(INDEX('Калькуляция (5.9)'!$AJ$25:$BC$137,,MATCH(AE$8,'Калькуляция (5.9)'!$AJ$8:$BC$8,0)),'Калькуляция (5.9)'!$F$25:$F$137,$F97,'Калькуляция (5.9)'!$G$25:$G$137,$G97)))</f>
        <v>713.35237404856821</v>
      </c>
      <c r="AF97" s="306">
        <f ca="1">IF(AD97=0,0,(AE97-AD97)/AD97*100)</f>
        <v>0</v>
      </c>
      <c r="AG97" s="1215">
        <f ca="1">IF(method_reg="Метод сравнения аналогов",SUMIFS(INDEX('Калькуляция (МСА)'!$AE$25:$BC$82,,MATCH(AG$8,'Калькуляция (МСА)'!$AE$8:$BC$8,0)),'Калькуляция (МСА)'!$F$25:$F$82,$F97,'Калькуляция (МСА)'!$G$25:$G$82,$G97),SUMIFS(INDEX('Калькуляция (5.9)'!$AJ$25:$BC$137,,MATCH(AG$8,'Калькуляция (5.9)'!$AJ$8:$BC$8,0)),'Калькуляция (5.9)'!$F$25:$F$137,$F97,'Калькуляция (5.9)'!$G$25:$G$137,$G97))</f>
        <v>0</v>
      </c>
      <c r="AH97" s="1215">
        <f ca="1">IF(method_reg="Метод сравнения аналогов",SUMIFS(INDEX('Калькуляция (МСА)'!$AE$25:$BC$82,,MATCH(AH$8,'Калькуляция (МСА)'!$AE$8:$BC$8,0)),'Калькуляция (МСА)'!$F$25:$F$82,$F97,'Калькуляция (МСА)'!$G$25:$G$82,$G97),SUMIFS(INDEX('Калькуляция (5.9)'!$AJ$25:$BC$137,,MATCH(AH$8,'Калькуляция (5.9)'!$AJ$8:$BC$8,0)),'Калькуляция (5.9)'!$F$25:$F$137,$F97,'Калькуляция (5.9)'!$G$25:$G$137,$G97))</f>
        <v>0</v>
      </c>
      <c r="AI97" s="306">
        <f ca="1">IF(AG97=0,0,(AH97-AG97)/AG97*100)</f>
        <v>0</v>
      </c>
      <c r="AJ97" s="1215">
        <f ca="1">IF(method_reg="Метод сравнения аналогов",SUMIFS(INDEX('Калькуляция (МСА)'!$AE$25:$BC$82,,MATCH(AJ$8,'Калькуляция (МСА)'!$AE$8:$BC$8,0)),'Калькуляция (МСА)'!$F$25:$F$82,$F97,'Калькуляция (МСА)'!$G$25:$G$82,$G97),SUMIFS(INDEX('Калькуляция (5.9)'!$AJ$25:$BC$137,,MATCH(AJ$8,'Калькуляция (5.9)'!$AJ$8:$BC$8,0)),'Калькуляция (5.9)'!$F$25:$F$137,$F97,'Калькуляция (5.9)'!$G$25:$G$137,$G97))</f>
        <v>0</v>
      </c>
      <c r="AK97" s="1215">
        <f ca="1">IF(method_reg="Метод сравнения аналогов",SUMIFS(INDEX('Калькуляция (МСА)'!$AE$25:$BC$82,,MATCH(AK$8,'Калькуляция (МСА)'!$AE$8:$BC$8,0)),'Калькуляция (МСА)'!$F$25:$F$82,$F97,'Калькуляция (МСА)'!$G$25:$G$82,$G97),SUMIFS(INDEX('Калькуляция (5.9)'!$AJ$25:$BC$137,,MATCH(AK$8,'Калькуляция (5.9)'!$AJ$8:$BC$8,0)),'Калькуляция (5.9)'!$F$25:$F$137,$F97,'Калькуляция (5.9)'!$G$25:$G$137,$G97))</f>
        <v>0</v>
      </c>
      <c r="AL97" s="306">
        <f ca="1">IF(AJ97=0,0,(AK97-AJ97)/AJ97*100)</f>
        <v>0</v>
      </c>
      <c r="AM97" s="18">
        <f ca="1">IF(method_reg="Метод сравнения аналогов",SUMIFS(INDEX('Калькуляция (МСА)'!$AE$25:$BC$82,,MATCH(AM$8,'Калькуляция (МСА)'!$AE$8:$BC$8,0)),'Калькуляция (МСА)'!$F$25:$F$82,$F97,'Калькуляция (МСА)'!$G$25:$G$82,$G97),SUMIFS(INDEX('Калькуляция (5.9)'!$AJ$25:$BC$137,,MATCH(AM$8,'Калькуляция (5.9)'!$AJ$8:$BC$8,0)),'Калькуляция (5.9)'!$F$25:$F$137,$F97,'Калькуляция (5.9)'!$G$25:$G$137,$G97))</f>
        <v>0</v>
      </c>
      <c r="AN97" s="18">
        <f ca="1">IF(method_reg="Метод сравнения аналогов",SUMIFS(INDEX('Калькуляция (МСА)'!$AE$25:$BC$82,,MATCH(AN$8,'Калькуляция (МСА)'!$AE$8:$BC$8,0)),'Калькуляция (МСА)'!$F$25:$F$82,$F97,'Калькуляция (МСА)'!$G$25:$G$82,$G97),SUMIFS(INDEX('Калькуляция (5.9)'!$AJ$25:$BC$137,,MATCH(AN$8,'Калькуляция (5.9)'!$AJ$8:$BC$8,0)),'Калькуляция (5.9)'!$F$25:$F$137,$F97,'Калькуляция (5.9)'!$G$25:$G$137,$G97))</f>
        <v>0</v>
      </c>
      <c r="AO97" s="306">
        <f ca="1">IF(AM97=0,0,(AN97-AM97)/AM97*100)</f>
        <v>0</v>
      </c>
      <c r="AP97" s="18">
        <f ca="1">IF(method_reg="Метод сравнения аналогов",SUMIFS(INDEX('Калькуляция (МСА)'!$AE$25:$BC$82,,MATCH(AP$8,'Калькуляция (МСА)'!$AE$8:$BC$8,0)),'Калькуляция (МСА)'!$F$25:$F$82,$F97,'Калькуляция (МСА)'!$G$25:$G$82,$G97),SUMIFS(INDEX('Калькуляция (5.9)'!$AJ$25:$BC$137,,MATCH(AP$8,'Калькуляция (5.9)'!$AJ$8:$BC$8,0)),'Калькуляция (5.9)'!$F$25:$F$137,$F97,'Калькуляция (5.9)'!$G$25:$G$137,$G97))</f>
        <v>0</v>
      </c>
      <c r="AQ97" s="18">
        <f ca="1">IF(method_reg="Метод сравнения аналогов",SUMIFS(INDEX('Калькуляция (МСА)'!$AE$25:$BC$82,,MATCH(AQ$8,'Калькуляция (МСА)'!$AE$8:$BC$8,0)),'Калькуляция (МСА)'!$F$25:$F$82,$F97,'Калькуляция (МСА)'!$G$25:$G$82,$G97),SUMIFS(INDEX('Калькуляция (5.9)'!$AJ$25:$BC$137,,MATCH(AQ$8,'Калькуляция (5.9)'!$AJ$8:$BC$8,0)),'Калькуляция (5.9)'!$F$25:$F$137,$F97,'Калькуляция (5.9)'!$G$25:$G$137,$G97))</f>
        <v>0</v>
      </c>
      <c r="AR97" s="306">
        <f ca="1">IF(AP97=0,0,(AQ97-AP97)/AP97*100)</f>
        <v>0</v>
      </c>
      <c r="AS97" s="18">
        <f ca="1">IF(method_reg="Метод сравнения аналогов",SUMIFS(INDEX('Калькуляция (МСА)'!$AE$25:$BC$82,,MATCH(AS$8,'Калькуляция (МСА)'!$AE$8:$BC$8,0)),'Калькуляция (МСА)'!$F$25:$F$82,$F97,'Калькуляция (МСА)'!$G$25:$G$82,$G97),SUMIFS(INDEX('Калькуляция (5.9)'!$AJ$25:$BC$137,,MATCH(AS$8,'Калькуляция (5.9)'!$AJ$8:$BC$8,0)),'Калькуляция (5.9)'!$F$25:$F$137,$F97,'Калькуляция (5.9)'!$G$25:$G$137,$G97))</f>
        <v>0</v>
      </c>
      <c r="AT97" s="18">
        <f ca="1">IF(method_reg="Метод сравнения аналогов",SUMIFS(INDEX('Калькуляция (МСА)'!$AE$25:$BC$82,,MATCH(AT$8,'Калькуляция (МСА)'!$AE$8:$BC$8,0)),'Калькуляция (МСА)'!$F$25:$F$82,$F97,'Калькуляция (МСА)'!$G$25:$G$82,$G97),SUMIFS(INDEX('Калькуляция (5.9)'!$AJ$25:$BC$137,,MATCH(AT$8,'Калькуляция (5.9)'!$AJ$8:$BC$8,0)),'Калькуляция (5.9)'!$F$25:$F$137,$F97,'Калькуляция (5.9)'!$G$25:$G$137,$G97))</f>
        <v>0</v>
      </c>
      <c r="AU97" s="306">
        <f ca="1">IF(AS97=0,0,(AT97-AS97)/AS97*100)</f>
        <v>0</v>
      </c>
      <c r="AV97" s="18">
        <f ca="1">IF(method_reg="Метод сравнения аналогов",SUMIFS(INDEX('Калькуляция (МСА)'!$AE$25:$BC$82,,MATCH(AV$8,'Калькуляция (МСА)'!$AE$8:$BC$8,0)),'Калькуляция (МСА)'!$F$25:$F$82,$F97,'Калькуляция (МСА)'!$G$25:$G$82,$G97),SUMIFS(INDEX('Калькуляция (5.9)'!$AJ$25:$BC$137,,MATCH(AV$8,'Калькуляция (5.9)'!$AJ$8:$BC$8,0)),'Калькуляция (5.9)'!$F$25:$F$137,$F97,'Калькуляция (5.9)'!$G$25:$G$137,$G97))</f>
        <v>0</v>
      </c>
      <c r="AW97" s="18">
        <f ca="1">IF(method_reg="Метод сравнения аналогов",SUMIFS(INDEX('Калькуляция (МСА)'!$AE$25:$BC$82,,MATCH(AW$8,'Калькуляция (МСА)'!$AE$8:$BC$8,0)),'Калькуляция (МСА)'!$F$25:$F$82,$F97,'Калькуляция (МСА)'!$G$25:$G$82,$G97),SUMIFS(INDEX('Калькуляция (5.9)'!$AJ$25:$BC$137,,MATCH(AW$8,'Калькуляция (5.9)'!$AJ$8:$BC$8,0)),'Калькуляция (5.9)'!$F$25:$F$137,$F97,'Калькуляция (5.9)'!$G$25:$G$137,$G97))</f>
        <v>0</v>
      </c>
      <c r="AX97" s="306">
        <f ca="1">IF(AV97=0,0,(AW97-AV97)/AV97*100)</f>
        <v>0</v>
      </c>
      <c r="AY97" s="18">
        <f ca="1">IF(method_reg="Метод сравнения аналогов",SUMIFS(INDEX('Калькуляция (МСА)'!$AE$25:$BC$82,,MATCH(AY$8,'Калькуляция (МСА)'!$AE$8:$BC$8,0)),'Калькуляция (МСА)'!$F$25:$F$82,$F97,'Калькуляция (МСА)'!$G$25:$G$82,$G97),SUMIFS(INDEX('Калькуляция (5.9)'!$AJ$25:$BC$137,,MATCH(AY$8,'Калькуляция (5.9)'!$AJ$8:$BC$8,0)),'Калькуляция (5.9)'!$F$25:$F$137,$F97,'Калькуляция (5.9)'!$G$25:$G$137,$G97))</f>
        <v>0</v>
      </c>
      <c r="AZ97" s="18">
        <f ca="1">IF(method_reg="Метод сравнения аналогов",SUMIFS(INDEX('Калькуляция (МСА)'!$AE$25:$BC$82,,MATCH(AZ$8,'Калькуляция (МСА)'!$AE$8:$BC$8,0)),'Калькуляция (МСА)'!$F$25:$F$82,$F97,'Калькуляция (МСА)'!$G$25:$G$82,$G97),SUMIFS(INDEX('Калькуляция (5.9)'!$AJ$25:$BC$137,,MATCH(AZ$8,'Калькуляция (5.9)'!$AJ$8:$BC$8,0)),'Калькуляция (5.9)'!$F$25:$F$137,$F97,'Калькуляция (5.9)'!$G$25:$G$137,$G97))</f>
        <v>0</v>
      </c>
      <c r="BA97" s="306">
        <f ca="1">IF(AY97=0,0,(AZ97-AY97)/AY97*100)</f>
        <v>0</v>
      </c>
      <c r="BB97" s="18">
        <f ca="1">IF(method_reg="Метод сравнения аналогов",SUMIFS(INDEX('Калькуляция (МСА)'!$AE$25:$BC$82,,MATCH(BB$8,'Калькуляция (МСА)'!$AE$8:$BC$8,0)),'Калькуляция (МСА)'!$F$25:$F$82,$F97,'Калькуляция (МСА)'!$G$25:$G$82,$G97),SUMIFS(INDEX('Калькуляция (5.9)'!$AJ$25:$BC$137,,MATCH(BB$8,'Калькуляция (5.9)'!$AJ$8:$BC$8,0)),'Калькуляция (5.9)'!$F$25:$F$137,$F97,'Калькуляция (5.9)'!$G$25:$G$137,$G97))</f>
        <v>0</v>
      </c>
      <c r="BC97" s="18">
        <f ca="1">IF(method_reg="Метод сравнения аналогов",SUMIFS(INDEX('Калькуляция (МСА)'!$AE$25:$BC$82,,MATCH(BC$8,'Калькуляция (МСА)'!$AE$8:$BC$8,0)),'Калькуляция (МСА)'!$F$25:$F$82,$F97,'Калькуляция (МСА)'!$G$25:$G$82,$G97),SUMIFS(INDEX('Калькуляция (5.9)'!$AJ$25:$BC$137,,MATCH(BC$8,'Калькуляция (5.9)'!$AJ$8:$BC$8,0)),'Калькуляция (5.9)'!$F$25:$F$137,$F97,'Калькуляция (5.9)'!$G$25:$G$137,$G97))</f>
        <v>0</v>
      </c>
      <c r="BD97" s="306">
        <f ca="1">IF(BB97=0,0,(BC97-BB97)/BB97*100)</f>
        <v>0</v>
      </c>
      <c r="BE97" s="18">
        <f ca="1">IF(method_reg="Метод сравнения аналогов",SUMIFS(INDEX('Калькуляция (МСА)'!$AE$25:$BC$82,,MATCH(BE$8,'Калькуляция (МСА)'!$AE$8:$BC$8,0)),'Калькуляция (МСА)'!$F$25:$F$82,$F97,'Калькуляция (МСА)'!$G$25:$G$82,$G97),SUMIFS(INDEX('Калькуляция (5.9)'!$AJ$25:$BC$137,,MATCH(BE$8,'Калькуляция (5.9)'!$AJ$8:$BC$8,0)),'Калькуляция (5.9)'!$F$25:$F$137,$F97,'Калькуляция (5.9)'!$G$25:$G$137,$G97))</f>
        <v>0</v>
      </c>
      <c r="BF97" s="18">
        <f ca="1">IF(method_reg="Метод сравнения аналогов",SUMIFS(INDEX('Калькуляция (МСА)'!$AE$25:$BC$82,,MATCH(BF$8,'Калькуляция (МСА)'!$AE$8:$BC$8,0)),'Калькуляция (МСА)'!$F$25:$F$82,$F97,'Калькуляция (МСА)'!$G$25:$G$82,$G97),SUMIFS(INDEX('Калькуляция (5.9)'!$AJ$25:$BC$137,,MATCH(BF$8,'Калькуляция (5.9)'!$AJ$8:$BC$8,0)),'Калькуляция (5.9)'!$F$25:$F$137,$F97,'Калькуляция (5.9)'!$G$25:$G$137,$G97))</f>
        <v>0</v>
      </c>
      <c r="BG97" s="306">
        <f ca="1">IF(BE97=0,0,(BF97-BE97)/BE97*100)</f>
        <v>0</v>
      </c>
      <c r="BH97" s="18"/>
      <c r="BI97" s="18"/>
      <c r="BJ97" s="306">
        <f>IF(BH97=0,0,(BI97-BH97)/BH97*100)</f>
        <v>0</v>
      </c>
      <c r="BK97" s="18"/>
      <c r="BL97" s="18"/>
      <c r="BM97" s="306">
        <f>IF(BK97=0,0,(BL97-BK97)/BK97*100)</f>
        <v>0</v>
      </c>
      <c r="BN97" s="18"/>
      <c r="BO97" s="18"/>
      <c r="BP97" s="306">
        <f>IF(BN97=0,0,(BO97-BN97)/BN97*100)</f>
        <v>0</v>
      </c>
      <c r="BQ97" s="18"/>
      <c r="BR97" s="18"/>
      <c r="BS97" s="306">
        <f>IF(BQ97=0,0,(BR97-BQ97)/BQ97*100)</f>
        <v>0</v>
      </c>
      <c r="BT97" s="18"/>
      <c r="BU97" s="18"/>
      <c r="BV97" s="306">
        <f>IF(BT97=0,0,(BU97-BT97)/BT97*100)</f>
        <v>0</v>
      </c>
      <c r="BW97" s="18"/>
      <c r="BX97" s="18"/>
      <c r="BY97" s="306">
        <f>IF(BW97=0,0,(BX97-BW97)/BW97*100)</f>
        <v>0</v>
      </c>
      <c r="BZ97" s="18"/>
      <c r="CA97" s="18"/>
      <c r="CB97" s="306">
        <f>IF(BZ97=0,0,(CA97-BZ97)/BZ97*100)</f>
        <v>0</v>
      </c>
      <c r="CC97" s="18"/>
      <c r="CD97" s="18"/>
      <c r="CE97" s="306">
        <f>IF(CC97=0,0,(CD97-CC97)/CC97*100)</f>
        <v>0</v>
      </c>
      <c r="CF97" s="18"/>
      <c r="CG97" s="18"/>
      <c r="CH97" s="306">
        <f>IF(CF97=0,0,(CG97-CF97)/CF97*100)</f>
        <v>0</v>
      </c>
      <c r="CI97" s="18"/>
      <c r="CJ97" s="18"/>
      <c r="CK97" s="306">
        <f>IF(CI97=0,0,(CJ97-CI97)/CI97*100)</f>
        <v>0</v>
      </c>
      <c r="CL97" s="18"/>
      <c r="CM97" s="18"/>
      <c r="CN97" s="306">
        <f>IF(CL97=0,0,(CM97-CL97)/CL97*100)</f>
        <v>0</v>
      </c>
      <c r="CO97" s="18"/>
      <c r="CP97" s="18"/>
      <c r="CQ97" s="306">
        <f>IF(CO97=0,0,(CP97-CO97)/CO97*100)</f>
        <v>0</v>
      </c>
      <c r="CR97" s="18"/>
      <c r="CS97" s="18"/>
      <c r="CT97" s="306">
        <f>IF(CR97=0,0,(CS97-CR97)/CR97*100)</f>
        <v>0</v>
      </c>
      <c r="CU97" s="18"/>
      <c r="CV97" s="18"/>
      <c r="CW97" s="306">
        <f>IF(CU97=0,0,(CV97-CU97)/CU97*100)</f>
        <v>0</v>
      </c>
      <c r="CX97" s="18"/>
      <c r="CY97" s="18"/>
      <c r="CZ97" s="306">
        <f>IF(CX97=0,0,(CY97-CX97)/CX97*100)</f>
        <v>0</v>
      </c>
      <c r="DA97" s="18"/>
      <c r="DB97" s="18"/>
      <c r="DC97" s="306">
        <f>IF(DA97=0,0,(DB97-DA97)/DA97*100)</f>
        <v>0</v>
      </c>
      <c r="DD97" s="18"/>
      <c r="DE97" s="18"/>
      <c r="DF97" s="306">
        <f>IF(DD97=0,0,(DE97-DD97)/DD97*100)</f>
        <v>0</v>
      </c>
      <c r="DG97" s="18"/>
      <c r="DH97" s="18"/>
      <c r="DI97" s="306">
        <f>IF(DG97=0,0,(DH97-DG97)/DG97*100)</f>
        <v>0</v>
      </c>
      <c r="DJ97" s="18"/>
      <c r="DK97" s="18"/>
      <c r="DL97" s="306">
        <f>IF(DJ97=0,0,(DK97-DJ97)/DJ97*100)</f>
        <v>0</v>
      </c>
      <c r="DM97" s="18"/>
      <c r="DN97" s="18"/>
      <c r="DO97" s="306">
        <f>IF(DM97=0,0,(DN97-DM97)/DM97*100)</f>
        <v>0</v>
      </c>
      <c r="DP97" s="18"/>
      <c r="DQ97" s="18"/>
      <c r="DR97" s="306">
        <f>IF(DP97=0,0,(DQ97-DP97)/DP97*100)</f>
        <v>0</v>
      </c>
      <c r="DS97" s="18"/>
      <c r="DT97" s="18"/>
      <c r="DU97" s="306">
        <f>IF(DS97=0,0,(DT97-DS97)/DS97*100)</f>
        <v>0</v>
      </c>
      <c r="DV97" s="18"/>
      <c r="DW97" s="18"/>
      <c r="DX97" s="306">
        <f>IF(DV97=0,0,(DW97-DV97)/DV97*100)</f>
        <v>0</v>
      </c>
      <c r="DY97" s="18"/>
      <c r="DZ97" s="18"/>
      <c r="EA97" s="306">
        <f>IF(DY97=0,0,(DZ97-DY97)/DY97*100)</f>
        <v>0</v>
      </c>
      <c r="EB97" s="18"/>
      <c r="EC97" s="18"/>
      <c r="ED97" s="306">
        <f>IF(EB97=0,0,(EC97-EB97)/EB97*100)</f>
        <v>0</v>
      </c>
      <c r="EE97" s="18"/>
      <c r="EF97" s="18"/>
      <c r="EG97" s="306">
        <f>IF(EE97=0,0,(EF97-EE97)/EE97*100)</f>
        <v>0</v>
      </c>
      <c r="EH97" s="18"/>
      <c r="EI97" s="18"/>
      <c r="EJ97" s="306">
        <f>IF(EH97=0,0,(EI97-EH97)/EH97*100)</f>
        <v>0</v>
      </c>
      <c r="EK97" s="18"/>
      <c r="EL97" s="18"/>
      <c r="EM97" s="306">
        <f>IF(EK97=0,0,(EL97-EK97)/EK97*100)</f>
        <v>0</v>
      </c>
      <c r="EN97" s="18"/>
      <c r="EO97" s="18"/>
      <c r="EP97" s="306">
        <f>IF(EN97=0,0,(EO97-EN97)/EN97*100)</f>
        <v>0</v>
      </c>
      <c r="EQ97" s="18"/>
      <c r="ER97" s="18"/>
      <c r="ES97" s="306">
        <f>IF(EQ97=0,0,(ER97-EQ97)/EQ97*100)</f>
        <v>0</v>
      </c>
      <c r="ET97" s="18"/>
      <c r="EU97" s="18"/>
      <c r="EV97" s="306">
        <f>IF(ET97=0,0,(EU97-ET97)/ET97*100)</f>
        <v>0</v>
      </c>
      <c r="EW97" s="18"/>
      <c r="EX97" s="18"/>
      <c r="EY97" s="306">
        <f>IF(EW97=0,0,(EX97-EW97)/EW97*100)</f>
        <v>0</v>
      </c>
      <c r="EZ97" s="18"/>
      <c r="FA97" s="18"/>
      <c r="FB97" s="306">
        <f>IF(EZ97=0,0,(FA97-EZ97)/EZ97*100)</f>
        <v>0</v>
      </c>
      <c r="FC97" s="18"/>
      <c r="FD97" s="18"/>
      <c r="FE97" s="306">
        <f>IF(FC97=0,0,(FD97-FC97)/FC97*100)</f>
        <v>0</v>
      </c>
      <c r="FF97" s="18"/>
      <c r="FG97" s="18"/>
      <c r="FH97" s="306">
        <f>IF(FF97=0,0,(FG97-FF97)/FF97*100)</f>
        <v>0</v>
      </c>
      <c r="FI97" s="18"/>
      <c r="FJ97" s="18"/>
      <c r="FK97" s="306">
        <f>IF(FI97=0,0,(FJ97-FI97)/FI97*100)</f>
        <v>0</v>
      </c>
      <c r="FL97" s="18"/>
      <c r="FM97" s="18"/>
      <c r="FN97" s="306">
        <f>IF(FL97=0,0,(FM97-FL97)/FL97*100)</f>
        <v>0</v>
      </c>
      <c r="FO97" s="18"/>
      <c r="FP97" s="18"/>
      <c r="FQ97" s="306">
        <f>IF(FO97=0,0,(FP97-FO97)/FO97*100)</f>
        <v>0</v>
      </c>
      <c r="FR97" s="18"/>
      <c r="FS97" s="18"/>
      <c r="FT97" s="306">
        <f>IF(FR97=0,0,(FS97-FR97)/FR97*100)</f>
        <v>0</v>
      </c>
      <c r="FU97" s="18"/>
      <c r="FV97" s="18"/>
      <c r="FW97" s="306">
        <f>IF(FU97=0,0,(FV97-FU97)/FU97*100)</f>
        <v>0</v>
      </c>
      <c r="FX97" s="417"/>
      <c r="FY97" s="417"/>
      <c r="FZ97" s="971" t="s">
        <v>2170</v>
      </c>
      <c r="GA97" s="971"/>
      <c r="GB97" s="971"/>
      <c r="GC97" s="971"/>
      <c r="GD97" s="971"/>
    </row>
    <row r="98" spans="1:186" s="1167" customFormat="1" ht="15" hidden="1" customHeight="1" x14ac:dyDescent="0.15">
      <c r="A98" s="1152"/>
      <c r="B98" s="803" t="b" cm="1">
        <f t="array" ref="B98">B97</f>
        <v>0</v>
      </c>
      <c r="C98" s="1108" t="s">
        <v>1747</v>
      </c>
      <c r="D98" s="1077" t="s">
        <v>1748</v>
      </c>
      <c r="E98" s="668">
        <v>15.8</v>
      </c>
      <c r="F98" s="769" t="str" cm="1">
        <f t="array" aca="1" ref="F98" ca="1">OFFSET(G98,-1,-1)</f>
        <v>1</v>
      </c>
      <c r="G98" s="140" t="s">
        <v>1749</v>
      </c>
      <c r="H98" s="160" t="s">
        <v>2171</v>
      </c>
      <c r="I98" s="160" t="s">
        <v>2114</v>
      </c>
      <c r="J98" s="1098"/>
      <c r="K98" s="1098" t="str" cm="1">
        <f t="array" aca="1" ref="K98" ca="1">OFFSET(J98,-1,1)</f>
        <v>ТЭ.42.27968109.0001</v>
      </c>
      <c r="L98" s="1098"/>
      <c r="M98" s="1098" t="s">
        <v>1750</v>
      </c>
      <c r="N98" s="1098" t="s">
        <v>2117</v>
      </c>
      <c r="O98" s="1099" t="s">
        <v>2118</v>
      </c>
      <c r="P98" s="1098" t="s">
        <v>2172</v>
      </c>
      <c r="Q98" s="1098"/>
      <c r="R98" s="774"/>
      <c r="S98" s="417"/>
      <c r="T98" s="679" t="b" cm="1">
        <f t="array" aca="1" ref="T98" ca="1">T97</f>
        <v>0</v>
      </c>
      <c r="U98" s="1152"/>
      <c r="V98" s="1152"/>
      <c r="W98" s="1152"/>
      <c r="X98" s="1485"/>
      <c r="Y98" s="1152"/>
      <c r="Z98" s="1485"/>
      <c r="AA98" s="417"/>
      <c r="AB98" s="220" t="s">
        <v>2173</v>
      </c>
      <c r="AC98" s="120" t="s">
        <v>622</v>
      </c>
      <c r="AD98" s="97">
        <f ca="1">IF(method_reg="Метод экономически обоснованных расходов",SUMIFS('Калькуляция (4.6)'!AJ$25:AJ$162,'Калькуляция (4.6)'!$F$25:$F$162,$F98,'Калькуляция (4.6)'!$G$25:$G$162,$G98),IF(method_reg="Метод сравнения аналогов",SUMIFS(INDEX('Калькуляция (МСА)'!$AE$25:$BC$82,,MATCH(AD$8,'Калькуляция (МСА)'!$AE$8:$BC$8,0)),'Калькуляция (МСА)'!$F$25:$F$82,$F98,'Калькуляция (МСА)'!$G$25:$G$82,$G98),SUMIFS(INDEX('Калькуляция (5.9)'!$AJ$25:$BC$137,,MATCH(AD$8,'Калькуляция (5.9)'!$AJ$8:$BC$8,0)),'Калькуляция (5.9)'!$F$25:$F$137,$F98,'Калькуляция (5.9)'!$G$25:$G$137,$G98)))</f>
        <v>33600.442000000003</v>
      </c>
      <c r="AE98" s="97">
        <f ca="1">IF(method_reg="Метод экономически обоснованных расходов",SUMIFS('Калькуляция (4.6)'!AK$25:AK$162,'Калькуляция (4.6)'!$F$25:$F$162,$F98,'Калькуляция (4.6)'!$G$25:$G$162,$G98),IF(method_reg="Метод сравнения аналогов",SUMIFS(INDEX('Калькуляция (МСА)'!$AE$25:$BC$82,,MATCH(AE$8,'Калькуляция (МСА)'!$AE$8:$BC$8,0)),'Калькуляция (МСА)'!$F$25:$F$82,$F98,'Калькуляция (МСА)'!$G$25:$G$82,$G98),SUMIFS(INDEX('Калькуляция (5.9)'!$AJ$25:$BC$137,,MATCH(AE$8,'Калькуляция (5.9)'!$AJ$8:$BC$8,0)),'Калькуляция (5.9)'!$F$25:$F$137,$F98,'Калькуляция (5.9)'!$G$25:$G$137,$G98)))</f>
        <v>46985.242279999999</v>
      </c>
      <c r="AF98" s="333">
        <f ca="1">IF(AD98=0,0,(AE98-AD98)/AD98*100)</f>
        <v>39.835191096593299</v>
      </c>
      <c r="AG98" s="1350">
        <f ca="1">IF(method_reg="Метод сравнения аналогов",SUMIFS(INDEX('Калькуляция (МСА)'!$AE$25:$BC$82,,MATCH(AG$8,'Калькуляция (МСА)'!$AE$8:$BC$8,0)),'Калькуляция (МСА)'!$F$25:$F$82,$F98,'Калькуляция (МСА)'!$G$25:$G$82,$G98),SUMIFS(INDEX('Калькуляция (5.9)'!$AJ$25:$BC$137,,MATCH(AG$8,'Калькуляция (5.9)'!$AJ$8:$BC$8,0)),'Калькуляция (5.9)'!$F$25:$F$137,$F98,'Калькуляция (5.9)'!$G$25:$G$137,$G98))</f>
        <v>0</v>
      </c>
      <c r="AH98" s="1350">
        <f ca="1">IF(method_reg="Метод сравнения аналогов",SUMIFS(INDEX('Калькуляция (МСА)'!$AE$25:$BC$82,,MATCH(AH$8,'Калькуляция (МСА)'!$AE$8:$BC$8,0)),'Калькуляция (МСА)'!$F$25:$F$82,$F98,'Калькуляция (МСА)'!$G$25:$G$82,$G98),SUMIFS(INDEX('Калькуляция (5.9)'!$AJ$25:$BC$137,,MATCH(AH$8,'Калькуляция (5.9)'!$AJ$8:$BC$8,0)),'Калькуляция (5.9)'!$F$25:$F$137,$F98,'Калькуляция (5.9)'!$G$25:$G$137,$G98))</f>
        <v>0</v>
      </c>
      <c r="AI98" s="333">
        <f ca="1">IF(AG98=0,0,(AH98-AG98)/AG98*100)</f>
        <v>0</v>
      </c>
      <c r="AJ98" s="1350">
        <f ca="1">IF(method_reg="Метод сравнения аналогов",SUMIFS(INDEX('Калькуляция (МСА)'!$AE$25:$BC$82,,MATCH(AJ$8,'Калькуляция (МСА)'!$AE$8:$BC$8,0)),'Калькуляция (МСА)'!$F$25:$F$82,$F98,'Калькуляция (МСА)'!$G$25:$G$82,$G98),SUMIFS(INDEX('Калькуляция (5.9)'!$AJ$25:$BC$137,,MATCH(AJ$8,'Калькуляция (5.9)'!$AJ$8:$BC$8,0)),'Калькуляция (5.9)'!$F$25:$F$137,$F98,'Калькуляция (5.9)'!$G$25:$G$137,$G98))</f>
        <v>0</v>
      </c>
      <c r="AK98" s="1350">
        <f ca="1">IF(method_reg="Метод сравнения аналогов",SUMIFS(INDEX('Калькуляция (МСА)'!$AE$25:$BC$82,,MATCH(AK$8,'Калькуляция (МСА)'!$AE$8:$BC$8,0)),'Калькуляция (МСА)'!$F$25:$F$82,$F98,'Калькуляция (МСА)'!$G$25:$G$82,$G98),SUMIFS(INDEX('Калькуляция (5.9)'!$AJ$25:$BC$137,,MATCH(AK$8,'Калькуляция (5.9)'!$AJ$8:$BC$8,0)),'Калькуляция (5.9)'!$F$25:$F$137,$F98,'Калькуляция (5.9)'!$G$25:$G$137,$G98))</f>
        <v>0</v>
      </c>
      <c r="AL98" s="333">
        <f ca="1">IF(AJ98=0,0,(AK98-AJ98)/AJ98*100)</f>
        <v>0</v>
      </c>
      <c r="AM98" s="97">
        <f ca="1">IF(method_reg="Метод сравнения аналогов",SUMIFS(INDEX('Калькуляция (МСА)'!$AE$25:$BC$82,,MATCH(AM$8,'Калькуляция (МСА)'!$AE$8:$BC$8,0)),'Калькуляция (МСА)'!$F$25:$F$82,$F98,'Калькуляция (МСА)'!$G$25:$G$82,$G98),SUMIFS(INDEX('Калькуляция (5.9)'!$AJ$25:$BC$137,,MATCH(AM$8,'Калькуляция (5.9)'!$AJ$8:$BC$8,0)),'Калькуляция (5.9)'!$F$25:$F$137,$F98,'Калькуляция (5.9)'!$G$25:$G$137,$G98))</f>
        <v>0</v>
      </c>
      <c r="AN98" s="97">
        <f ca="1">IF(method_reg="Метод сравнения аналогов",SUMIFS(INDEX('Калькуляция (МСА)'!$AE$25:$BC$82,,MATCH(AN$8,'Калькуляция (МСА)'!$AE$8:$BC$8,0)),'Калькуляция (МСА)'!$F$25:$F$82,$F98,'Калькуляция (МСА)'!$G$25:$G$82,$G98),SUMIFS(INDEX('Калькуляция (5.9)'!$AJ$25:$BC$137,,MATCH(AN$8,'Калькуляция (5.9)'!$AJ$8:$BC$8,0)),'Калькуляция (5.9)'!$F$25:$F$137,$F98,'Калькуляция (5.9)'!$G$25:$G$137,$G98))</f>
        <v>0</v>
      </c>
      <c r="AO98" s="333">
        <f ca="1">IF(AM98=0,0,(AN98-AM98)/AM98*100)</f>
        <v>0</v>
      </c>
      <c r="AP98" s="97">
        <f ca="1">IF(method_reg="Метод сравнения аналогов",SUMIFS(INDEX('Калькуляция (МСА)'!$AE$25:$BC$82,,MATCH(AP$8,'Калькуляция (МСА)'!$AE$8:$BC$8,0)),'Калькуляция (МСА)'!$F$25:$F$82,$F98,'Калькуляция (МСА)'!$G$25:$G$82,$G98),SUMIFS(INDEX('Калькуляция (5.9)'!$AJ$25:$BC$137,,MATCH(AP$8,'Калькуляция (5.9)'!$AJ$8:$BC$8,0)),'Калькуляция (5.9)'!$F$25:$F$137,$F98,'Калькуляция (5.9)'!$G$25:$G$137,$G98))</f>
        <v>0</v>
      </c>
      <c r="AQ98" s="97">
        <f ca="1">IF(method_reg="Метод сравнения аналогов",SUMIFS(INDEX('Калькуляция (МСА)'!$AE$25:$BC$82,,MATCH(AQ$8,'Калькуляция (МСА)'!$AE$8:$BC$8,0)),'Калькуляция (МСА)'!$F$25:$F$82,$F98,'Калькуляция (МСА)'!$G$25:$G$82,$G98),SUMIFS(INDEX('Калькуляция (5.9)'!$AJ$25:$BC$137,,MATCH(AQ$8,'Калькуляция (5.9)'!$AJ$8:$BC$8,0)),'Калькуляция (5.9)'!$F$25:$F$137,$F98,'Калькуляция (5.9)'!$G$25:$G$137,$G98))</f>
        <v>0</v>
      </c>
      <c r="AR98" s="333">
        <f ca="1">IF(AP98=0,0,(AQ98-AP98)/AP98*100)</f>
        <v>0</v>
      </c>
      <c r="AS98" s="97">
        <f ca="1">IF(method_reg="Метод сравнения аналогов",SUMIFS(INDEX('Калькуляция (МСА)'!$AE$25:$BC$82,,MATCH(AS$8,'Калькуляция (МСА)'!$AE$8:$BC$8,0)),'Калькуляция (МСА)'!$F$25:$F$82,$F98,'Калькуляция (МСА)'!$G$25:$G$82,$G98),SUMIFS(INDEX('Калькуляция (5.9)'!$AJ$25:$BC$137,,MATCH(AS$8,'Калькуляция (5.9)'!$AJ$8:$BC$8,0)),'Калькуляция (5.9)'!$F$25:$F$137,$F98,'Калькуляция (5.9)'!$G$25:$G$137,$G98))</f>
        <v>0</v>
      </c>
      <c r="AT98" s="97">
        <f ca="1">IF(method_reg="Метод сравнения аналогов",SUMIFS(INDEX('Калькуляция (МСА)'!$AE$25:$BC$82,,MATCH(AT$8,'Калькуляция (МСА)'!$AE$8:$BC$8,0)),'Калькуляция (МСА)'!$F$25:$F$82,$F98,'Калькуляция (МСА)'!$G$25:$G$82,$G98),SUMIFS(INDEX('Калькуляция (5.9)'!$AJ$25:$BC$137,,MATCH(AT$8,'Калькуляция (5.9)'!$AJ$8:$BC$8,0)),'Калькуляция (5.9)'!$F$25:$F$137,$F98,'Калькуляция (5.9)'!$G$25:$G$137,$G98))</f>
        <v>0</v>
      </c>
      <c r="AU98" s="333">
        <f ca="1">IF(AS98=0,0,(AT98-AS98)/AS98*100)</f>
        <v>0</v>
      </c>
      <c r="AV98" s="97">
        <f ca="1">IF(method_reg="Метод сравнения аналогов",SUMIFS(INDEX('Калькуляция (МСА)'!$AE$25:$BC$82,,MATCH(AV$8,'Калькуляция (МСА)'!$AE$8:$BC$8,0)),'Калькуляция (МСА)'!$F$25:$F$82,$F98,'Калькуляция (МСА)'!$G$25:$G$82,$G98),SUMIFS(INDEX('Калькуляция (5.9)'!$AJ$25:$BC$137,,MATCH(AV$8,'Калькуляция (5.9)'!$AJ$8:$BC$8,0)),'Калькуляция (5.9)'!$F$25:$F$137,$F98,'Калькуляция (5.9)'!$G$25:$G$137,$G98))</f>
        <v>0</v>
      </c>
      <c r="AW98" s="97">
        <f ca="1">IF(method_reg="Метод сравнения аналогов",SUMIFS(INDEX('Калькуляция (МСА)'!$AE$25:$BC$82,,MATCH(AW$8,'Калькуляция (МСА)'!$AE$8:$BC$8,0)),'Калькуляция (МСА)'!$F$25:$F$82,$F98,'Калькуляция (МСА)'!$G$25:$G$82,$G98),SUMIFS(INDEX('Калькуляция (5.9)'!$AJ$25:$BC$137,,MATCH(AW$8,'Калькуляция (5.9)'!$AJ$8:$BC$8,0)),'Калькуляция (5.9)'!$F$25:$F$137,$F98,'Калькуляция (5.9)'!$G$25:$G$137,$G98))</f>
        <v>0</v>
      </c>
      <c r="AX98" s="333">
        <f ca="1">IF(AV98=0,0,(AW98-AV98)/AV98*100)</f>
        <v>0</v>
      </c>
      <c r="AY98" s="97">
        <f ca="1">IF(method_reg="Метод сравнения аналогов",SUMIFS(INDEX('Калькуляция (МСА)'!$AE$25:$BC$82,,MATCH(AY$8,'Калькуляция (МСА)'!$AE$8:$BC$8,0)),'Калькуляция (МСА)'!$F$25:$F$82,$F98,'Калькуляция (МСА)'!$G$25:$G$82,$G98),SUMIFS(INDEX('Калькуляция (5.9)'!$AJ$25:$BC$137,,MATCH(AY$8,'Калькуляция (5.9)'!$AJ$8:$BC$8,0)),'Калькуляция (5.9)'!$F$25:$F$137,$F98,'Калькуляция (5.9)'!$G$25:$G$137,$G98))</f>
        <v>0</v>
      </c>
      <c r="AZ98" s="97">
        <f ca="1">IF(method_reg="Метод сравнения аналогов",SUMIFS(INDEX('Калькуляция (МСА)'!$AE$25:$BC$82,,MATCH(AZ$8,'Калькуляция (МСА)'!$AE$8:$BC$8,0)),'Калькуляция (МСА)'!$F$25:$F$82,$F98,'Калькуляция (МСА)'!$G$25:$G$82,$G98),SUMIFS(INDEX('Калькуляция (5.9)'!$AJ$25:$BC$137,,MATCH(AZ$8,'Калькуляция (5.9)'!$AJ$8:$BC$8,0)),'Калькуляция (5.9)'!$F$25:$F$137,$F98,'Калькуляция (5.9)'!$G$25:$G$137,$G98))</f>
        <v>0</v>
      </c>
      <c r="BA98" s="333">
        <f ca="1">IF(AY98=0,0,(AZ98-AY98)/AY98*100)</f>
        <v>0</v>
      </c>
      <c r="BB98" s="97">
        <f ca="1">IF(method_reg="Метод сравнения аналогов",SUMIFS(INDEX('Калькуляция (МСА)'!$AE$25:$BC$82,,MATCH(BB$8,'Калькуляция (МСА)'!$AE$8:$BC$8,0)),'Калькуляция (МСА)'!$F$25:$F$82,$F98,'Калькуляция (МСА)'!$G$25:$G$82,$G98),SUMIFS(INDEX('Калькуляция (5.9)'!$AJ$25:$BC$137,,MATCH(BB$8,'Калькуляция (5.9)'!$AJ$8:$BC$8,0)),'Калькуляция (5.9)'!$F$25:$F$137,$F98,'Калькуляция (5.9)'!$G$25:$G$137,$G98))</f>
        <v>0</v>
      </c>
      <c r="BC98" s="97">
        <f ca="1">IF(method_reg="Метод сравнения аналогов",SUMIFS(INDEX('Калькуляция (МСА)'!$AE$25:$BC$82,,MATCH(BC$8,'Калькуляция (МСА)'!$AE$8:$BC$8,0)),'Калькуляция (МСА)'!$F$25:$F$82,$F98,'Калькуляция (МСА)'!$G$25:$G$82,$G98),SUMIFS(INDEX('Калькуляция (5.9)'!$AJ$25:$BC$137,,MATCH(BC$8,'Калькуляция (5.9)'!$AJ$8:$BC$8,0)),'Калькуляция (5.9)'!$F$25:$F$137,$F98,'Калькуляция (5.9)'!$G$25:$G$137,$G98))</f>
        <v>0</v>
      </c>
      <c r="BD98" s="333">
        <f ca="1">IF(BB98=0,0,(BC98-BB98)/BB98*100)</f>
        <v>0</v>
      </c>
      <c r="BE98" s="97">
        <f ca="1">IF(method_reg="Метод сравнения аналогов",SUMIFS(INDEX('Калькуляция (МСА)'!$AE$25:$BC$82,,MATCH(BE$8,'Калькуляция (МСА)'!$AE$8:$BC$8,0)),'Калькуляция (МСА)'!$F$25:$F$82,$F98,'Калькуляция (МСА)'!$G$25:$G$82,$G98),SUMIFS(INDEX('Калькуляция (5.9)'!$AJ$25:$BC$137,,MATCH(BE$8,'Калькуляция (5.9)'!$AJ$8:$BC$8,0)),'Калькуляция (5.9)'!$F$25:$F$137,$F98,'Калькуляция (5.9)'!$G$25:$G$137,$G98))</f>
        <v>0</v>
      </c>
      <c r="BF98" s="97">
        <f ca="1">IF(method_reg="Метод сравнения аналогов",SUMIFS(INDEX('Калькуляция (МСА)'!$AE$25:$BC$82,,MATCH(BF$8,'Калькуляция (МСА)'!$AE$8:$BC$8,0)),'Калькуляция (МСА)'!$F$25:$F$82,$F98,'Калькуляция (МСА)'!$G$25:$G$82,$G98),SUMIFS(INDEX('Калькуляция (5.9)'!$AJ$25:$BC$137,,MATCH(BF$8,'Калькуляция (5.9)'!$AJ$8:$BC$8,0)),'Калькуляция (5.9)'!$F$25:$F$137,$F98,'Калькуляция (5.9)'!$G$25:$G$137,$G98))</f>
        <v>0</v>
      </c>
      <c r="BG98" s="333">
        <f ca="1">IF(BE98=0,0,(BF98-BE98)/BE98*100)</f>
        <v>0</v>
      </c>
      <c r="BH98" s="97"/>
      <c r="BI98" s="97"/>
      <c r="BJ98" s="333">
        <f>IF(BH98=0,0,(BI98-BH98)/BH98*100)</f>
        <v>0</v>
      </c>
      <c r="BK98" s="97"/>
      <c r="BL98" s="97"/>
      <c r="BM98" s="333">
        <f>IF(BK98=0,0,(BL98-BK98)/BK98*100)</f>
        <v>0</v>
      </c>
      <c r="BN98" s="97"/>
      <c r="BO98" s="97"/>
      <c r="BP98" s="333">
        <f>IF(BN98=0,0,(BO98-BN98)/BN98*100)</f>
        <v>0</v>
      </c>
      <c r="BQ98" s="97"/>
      <c r="BR98" s="97"/>
      <c r="BS98" s="333">
        <f>IF(BQ98=0,0,(BR98-BQ98)/BQ98*100)</f>
        <v>0</v>
      </c>
      <c r="BT98" s="97"/>
      <c r="BU98" s="97"/>
      <c r="BV98" s="333">
        <f>IF(BT98=0,0,(BU98-BT98)/BT98*100)</f>
        <v>0</v>
      </c>
      <c r="BW98" s="97"/>
      <c r="BX98" s="97"/>
      <c r="BY98" s="333">
        <f>IF(BW98=0,0,(BX98-BW98)/BW98*100)</f>
        <v>0</v>
      </c>
      <c r="BZ98" s="97"/>
      <c r="CA98" s="97"/>
      <c r="CB98" s="333">
        <f>IF(BZ98=0,0,(CA98-BZ98)/BZ98*100)</f>
        <v>0</v>
      </c>
      <c r="CC98" s="97"/>
      <c r="CD98" s="97"/>
      <c r="CE98" s="333">
        <f>IF(CC98=0,0,(CD98-CC98)/CC98*100)</f>
        <v>0</v>
      </c>
      <c r="CF98" s="97"/>
      <c r="CG98" s="97"/>
      <c r="CH98" s="333">
        <f>IF(CF98=0,0,(CG98-CF98)/CF98*100)</f>
        <v>0</v>
      </c>
      <c r="CI98" s="97"/>
      <c r="CJ98" s="97"/>
      <c r="CK98" s="333">
        <f>IF(CI98=0,0,(CJ98-CI98)/CI98*100)</f>
        <v>0</v>
      </c>
      <c r="CL98" s="97"/>
      <c r="CM98" s="97"/>
      <c r="CN98" s="333">
        <f>IF(CL98=0,0,(CM98-CL98)/CL98*100)</f>
        <v>0</v>
      </c>
      <c r="CO98" s="97"/>
      <c r="CP98" s="97"/>
      <c r="CQ98" s="333">
        <f>IF(CO98=0,0,(CP98-CO98)/CO98*100)</f>
        <v>0</v>
      </c>
      <c r="CR98" s="97"/>
      <c r="CS98" s="97"/>
      <c r="CT98" s="333">
        <f>IF(CR98=0,0,(CS98-CR98)/CR98*100)</f>
        <v>0</v>
      </c>
      <c r="CU98" s="97"/>
      <c r="CV98" s="97"/>
      <c r="CW98" s="333">
        <f>IF(CU98=0,0,(CV98-CU98)/CU98*100)</f>
        <v>0</v>
      </c>
      <c r="CX98" s="97"/>
      <c r="CY98" s="97"/>
      <c r="CZ98" s="333">
        <f>IF(CX98=0,0,(CY98-CX98)/CX98*100)</f>
        <v>0</v>
      </c>
      <c r="DA98" s="97"/>
      <c r="DB98" s="97"/>
      <c r="DC98" s="333">
        <f>IF(DA98=0,0,(DB98-DA98)/DA98*100)</f>
        <v>0</v>
      </c>
      <c r="DD98" s="97"/>
      <c r="DE98" s="97"/>
      <c r="DF98" s="333">
        <f>IF(DD98=0,0,(DE98-DD98)/DD98*100)</f>
        <v>0</v>
      </c>
      <c r="DG98" s="97"/>
      <c r="DH98" s="97"/>
      <c r="DI98" s="333">
        <f>IF(DG98=0,0,(DH98-DG98)/DG98*100)</f>
        <v>0</v>
      </c>
      <c r="DJ98" s="97"/>
      <c r="DK98" s="97"/>
      <c r="DL98" s="333">
        <f>IF(DJ98=0,0,(DK98-DJ98)/DJ98*100)</f>
        <v>0</v>
      </c>
      <c r="DM98" s="97"/>
      <c r="DN98" s="97"/>
      <c r="DO98" s="333">
        <f>IF(DM98=0,0,(DN98-DM98)/DM98*100)</f>
        <v>0</v>
      </c>
      <c r="DP98" s="97"/>
      <c r="DQ98" s="97"/>
      <c r="DR98" s="333">
        <f>IF(DP98=0,0,(DQ98-DP98)/DP98*100)</f>
        <v>0</v>
      </c>
      <c r="DS98" s="97"/>
      <c r="DT98" s="97"/>
      <c r="DU98" s="333">
        <f>IF(DS98=0,0,(DT98-DS98)/DS98*100)</f>
        <v>0</v>
      </c>
      <c r="DV98" s="97"/>
      <c r="DW98" s="97"/>
      <c r="DX98" s="333">
        <f>IF(DV98=0,0,(DW98-DV98)/DV98*100)</f>
        <v>0</v>
      </c>
      <c r="DY98" s="97"/>
      <c r="DZ98" s="97"/>
      <c r="EA98" s="333">
        <f>IF(DY98=0,0,(DZ98-DY98)/DY98*100)</f>
        <v>0</v>
      </c>
      <c r="EB98" s="97"/>
      <c r="EC98" s="97"/>
      <c r="ED98" s="333">
        <f>IF(EB98=0,0,(EC98-EB98)/EB98*100)</f>
        <v>0</v>
      </c>
      <c r="EE98" s="97"/>
      <c r="EF98" s="97"/>
      <c r="EG98" s="333">
        <f>IF(EE98=0,0,(EF98-EE98)/EE98*100)</f>
        <v>0</v>
      </c>
      <c r="EH98" s="97"/>
      <c r="EI98" s="97"/>
      <c r="EJ98" s="333">
        <f>IF(EH98=0,0,(EI98-EH98)/EH98*100)</f>
        <v>0</v>
      </c>
      <c r="EK98" s="97"/>
      <c r="EL98" s="97"/>
      <c r="EM98" s="333">
        <f>IF(EK98=0,0,(EL98-EK98)/EK98*100)</f>
        <v>0</v>
      </c>
      <c r="EN98" s="97"/>
      <c r="EO98" s="97"/>
      <c r="EP98" s="333">
        <f>IF(EN98=0,0,(EO98-EN98)/EN98*100)</f>
        <v>0</v>
      </c>
      <c r="EQ98" s="97"/>
      <c r="ER98" s="97"/>
      <c r="ES98" s="333">
        <f>IF(EQ98=0,0,(ER98-EQ98)/EQ98*100)</f>
        <v>0</v>
      </c>
      <c r="ET98" s="97"/>
      <c r="EU98" s="97"/>
      <c r="EV98" s="333">
        <f>IF(ET98=0,0,(EU98-ET98)/ET98*100)</f>
        <v>0</v>
      </c>
      <c r="EW98" s="97"/>
      <c r="EX98" s="97"/>
      <c r="EY98" s="333">
        <f>IF(EW98=0,0,(EX98-EW98)/EW98*100)</f>
        <v>0</v>
      </c>
      <c r="EZ98" s="97"/>
      <c r="FA98" s="97"/>
      <c r="FB98" s="333">
        <f>IF(EZ98=0,0,(FA98-EZ98)/EZ98*100)</f>
        <v>0</v>
      </c>
      <c r="FC98" s="97"/>
      <c r="FD98" s="97"/>
      <c r="FE98" s="333">
        <f>IF(FC98=0,0,(FD98-FC98)/FC98*100)</f>
        <v>0</v>
      </c>
      <c r="FF98" s="97"/>
      <c r="FG98" s="97"/>
      <c r="FH98" s="333">
        <f>IF(FF98=0,0,(FG98-FF98)/FF98*100)</f>
        <v>0</v>
      </c>
      <c r="FI98" s="97"/>
      <c r="FJ98" s="97"/>
      <c r="FK98" s="333">
        <f>IF(FI98=0,0,(FJ98-FI98)/FI98*100)</f>
        <v>0</v>
      </c>
      <c r="FL98" s="97"/>
      <c r="FM98" s="97"/>
      <c r="FN98" s="333">
        <f>IF(FL98=0,0,(FM98-FL98)/FL98*100)</f>
        <v>0</v>
      </c>
      <c r="FO98" s="97"/>
      <c r="FP98" s="97"/>
      <c r="FQ98" s="333">
        <f>IF(FO98=0,0,(FP98-FO98)/FO98*100)</f>
        <v>0</v>
      </c>
      <c r="FR98" s="97"/>
      <c r="FS98" s="97"/>
      <c r="FT98" s="333">
        <f>IF(FR98=0,0,(FS98-FR98)/FR98*100)</f>
        <v>0</v>
      </c>
      <c r="FU98" s="97"/>
      <c r="FV98" s="97"/>
      <c r="FW98" s="333">
        <f>IF(FU98=0,0,(FV98-FU98)/FU98*100)</f>
        <v>0</v>
      </c>
      <c r="FX98" s="417"/>
      <c r="FY98" s="417"/>
      <c r="FZ98" s="971" t="s">
        <v>2174</v>
      </c>
      <c r="GA98" s="971"/>
      <c r="GB98" s="971"/>
      <c r="GC98" s="971"/>
      <c r="GD98" s="971"/>
    </row>
    <row r="99" spans="1:186" s="1167" customFormat="1" ht="30" hidden="1" customHeight="1" x14ac:dyDescent="0.15">
      <c r="A99" s="1152"/>
      <c r="B99" s="803" t="b" cm="1">
        <f t="array" ref="B99">B98</f>
        <v>0</v>
      </c>
      <c r="C99" s="1108" t="s">
        <v>1801</v>
      </c>
      <c r="D99" s="1077" t="s">
        <v>1802</v>
      </c>
      <c r="E99" s="668">
        <v>31.5</v>
      </c>
      <c r="F99" s="769" t="str" cm="1">
        <f t="array" aca="1" ref="F99" ca="1">OFFSET(G99,-1,-1)</f>
        <v>1</v>
      </c>
      <c r="G99" s="612" t="s">
        <v>1803</v>
      </c>
      <c r="H99" s="160" t="s">
        <v>2175</v>
      </c>
      <c r="I99" s="160" t="s">
        <v>2114</v>
      </c>
      <c r="J99" s="1098"/>
      <c r="K99" s="1098" t="str" cm="1">
        <f t="array" aca="1" ref="K99" ca="1">OFFSET(J99,-1,1)</f>
        <v>ТЭ.42.27968109.0001</v>
      </c>
      <c r="L99" s="1098"/>
      <c r="M99" s="1098" t="s">
        <v>1750</v>
      </c>
      <c r="N99" s="1098" t="s">
        <v>2117</v>
      </c>
      <c r="O99" s="1099" t="s">
        <v>2118</v>
      </c>
      <c r="P99" s="1098" t="s">
        <v>2176</v>
      </c>
      <c r="Q99" s="1098"/>
      <c r="R99" s="774"/>
      <c r="S99" s="417"/>
      <c r="T99" s="679" t="b" cm="1">
        <f t="array" aca="1" ref="T99" ca="1">T98</f>
        <v>0</v>
      </c>
      <c r="U99" s="1152"/>
      <c r="V99" s="1152"/>
      <c r="W99" s="1152"/>
      <c r="X99" s="1485"/>
      <c r="Y99" s="1152"/>
      <c r="Z99" s="1485"/>
      <c r="AA99" s="417"/>
      <c r="AB99" s="220" t="s">
        <v>2177</v>
      </c>
      <c r="AC99" s="435" t="s">
        <v>1805</v>
      </c>
      <c r="AD99" s="18">
        <f ca="1">IF(method_reg="Метод экономически обоснованных расходов",SUMIFS('Калькуляция (4.6)'!AJ$25:AJ$162,'Калькуляция (4.6)'!$F$25:$F$162,$F99,'Калькуляция (4.6)'!$G$25:$G$162,$G99),IF(method_reg="Метод сравнения аналогов",SUMIFS(INDEX('Калькуляция (МСА)'!$AE$25:$BC$82,,MATCH(AD$8,'Калькуляция (МСА)'!$AE$8:$BC$8,0)),'Калькуляция (МСА)'!$F$25:$F$82,$F99,'Калькуляция (МСА)'!$G$25:$G$82,$G99),SUMIFS(INDEX('Калькуляция (5.9)'!$AJ$25:$BC$137,,MATCH(AD$8,'Калькуляция (5.9)'!$AJ$8:$BC$8,0)),'Калькуляция (5.9)'!$F$25:$F$137,$F99,'Калькуляция (5.9)'!$G$25:$G$137,$G99)))</f>
        <v>0</v>
      </c>
      <c r="AE99" s="18">
        <f ca="1">IF(method_reg="Метод экономически обоснованных расходов",SUMIFS('Калькуляция (4.6)'!AK$25:AK$162,'Калькуляция (4.6)'!$F$25:$F$162,$F99,'Калькуляция (4.6)'!$G$25:$G$162,$G99),IF(method_reg="Метод сравнения аналогов",SUMIFS(INDEX('Калькуляция (МСА)'!$AE$25:$BC$82,,MATCH(AE$8,'Калькуляция (МСА)'!$AE$8:$BC$8,0)),'Калькуляция (МСА)'!$F$25:$F$82,$F99,'Калькуляция (МСА)'!$G$25:$G$82,$G99),SUMIFS(INDEX('Калькуляция (5.9)'!$AJ$25:$BC$137,,MATCH(AE$8,'Калькуляция (5.9)'!$AJ$8:$BC$8,0)),'Калькуляция (5.9)'!$F$25:$F$137,$F99,'Калькуляция (5.9)'!$G$25:$G$137,$G99)))</f>
        <v>0</v>
      </c>
      <c r="AF99" s="306">
        <f ca="1">IF(AD99=0,0,(AE99-AD99)/AD99*100)</f>
        <v>0</v>
      </c>
      <c r="AG99" s="1215">
        <f ca="1">IF(method_reg="Метод сравнения аналогов",SUMIFS(INDEX('Калькуляция (МСА)'!$AE$25:$BC$82,,MATCH(AG$8,'Калькуляция (МСА)'!$AE$8:$BC$8,0)),'Калькуляция (МСА)'!$F$25:$F$82,$F99,'Калькуляция (МСА)'!$G$25:$G$82,$G99),SUMIFS(INDEX('Калькуляция (5.9)'!$AJ$25:$BC$137,,MATCH(AG$8,'Калькуляция (5.9)'!$AJ$8:$BC$8,0)),'Калькуляция (5.9)'!$F$25:$F$137,$F99,'Калькуляция (5.9)'!$G$25:$G$137,$G99))</f>
        <v>0</v>
      </c>
      <c r="AH99" s="1215">
        <f ca="1">IF(method_reg="Метод сравнения аналогов",SUMIFS(INDEX('Калькуляция (МСА)'!$AE$25:$BC$82,,MATCH(AH$8,'Калькуляция (МСА)'!$AE$8:$BC$8,0)),'Калькуляция (МСА)'!$F$25:$F$82,$F99,'Калькуляция (МСА)'!$G$25:$G$82,$G99),SUMIFS(INDEX('Калькуляция (5.9)'!$AJ$25:$BC$137,,MATCH(AH$8,'Калькуляция (5.9)'!$AJ$8:$BC$8,0)),'Калькуляция (5.9)'!$F$25:$F$137,$F99,'Калькуляция (5.9)'!$G$25:$G$137,$G99))</f>
        <v>0</v>
      </c>
      <c r="AI99" s="306">
        <f ca="1">IF(AG99=0,0,(AH99-AG99)/AG99*100)</f>
        <v>0</v>
      </c>
      <c r="AJ99" s="1215">
        <f ca="1">IF(method_reg="Метод сравнения аналогов",SUMIFS(INDEX('Калькуляция (МСА)'!$AE$25:$BC$82,,MATCH(AJ$8,'Калькуляция (МСА)'!$AE$8:$BC$8,0)),'Калькуляция (МСА)'!$F$25:$F$82,$F99,'Калькуляция (МСА)'!$G$25:$G$82,$G99),SUMIFS(INDEX('Калькуляция (5.9)'!$AJ$25:$BC$137,,MATCH(AJ$8,'Калькуляция (5.9)'!$AJ$8:$BC$8,0)),'Калькуляция (5.9)'!$F$25:$F$137,$F99,'Калькуляция (5.9)'!$G$25:$G$137,$G99))</f>
        <v>0</v>
      </c>
      <c r="AK99" s="1215">
        <f ca="1">IF(method_reg="Метод сравнения аналогов",SUMIFS(INDEX('Калькуляция (МСА)'!$AE$25:$BC$82,,MATCH(AK$8,'Калькуляция (МСА)'!$AE$8:$BC$8,0)),'Калькуляция (МСА)'!$F$25:$F$82,$F99,'Калькуляция (МСА)'!$G$25:$G$82,$G99),SUMIFS(INDEX('Калькуляция (5.9)'!$AJ$25:$BC$137,,MATCH(AK$8,'Калькуляция (5.9)'!$AJ$8:$BC$8,0)),'Калькуляция (5.9)'!$F$25:$F$137,$F99,'Калькуляция (5.9)'!$G$25:$G$137,$G99))</f>
        <v>0</v>
      </c>
      <c r="AL99" s="306">
        <f ca="1">IF(AJ99=0,0,(AK99-AJ99)/AJ99*100)</f>
        <v>0</v>
      </c>
      <c r="AM99" s="18">
        <f ca="1">IF(method_reg="Метод сравнения аналогов",SUMIFS(INDEX('Калькуляция (МСА)'!$AE$25:$BC$82,,MATCH(AM$8,'Калькуляция (МСА)'!$AE$8:$BC$8,0)),'Калькуляция (МСА)'!$F$25:$F$82,$F99,'Калькуляция (МСА)'!$G$25:$G$82,$G99),SUMIFS(INDEX('Калькуляция (5.9)'!$AJ$25:$BC$137,,MATCH(AM$8,'Калькуляция (5.9)'!$AJ$8:$BC$8,0)),'Калькуляция (5.9)'!$F$25:$F$137,$F99,'Калькуляция (5.9)'!$G$25:$G$137,$G99))</f>
        <v>0</v>
      </c>
      <c r="AN99" s="18">
        <f ca="1">IF(method_reg="Метод сравнения аналогов",SUMIFS(INDEX('Калькуляция (МСА)'!$AE$25:$BC$82,,MATCH(AN$8,'Калькуляция (МСА)'!$AE$8:$BC$8,0)),'Калькуляция (МСА)'!$F$25:$F$82,$F99,'Калькуляция (МСА)'!$G$25:$G$82,$G99),SUMIFS(INDEX('Калькуляция (5.9)'!$AJ$25:$BC$137,,MATCH(AN$8,'Калькуляция (5.9)'!$AJ$8:$BC$8,0)),'Калькуляция (5.9)'!$F$25:$F$137,$F99,'Калькуляция (5.9)'!$G$25:$G$137,$G99))</f>
        <v>0</v>
      </c>
      <c r="AO99" s="306">
        <f ca="1">IF(AM99=0,0,(AN99-AM99)/AM99*100)</f>
        <v>0</v>
      </c>
      <c r="AP99" s="18">
        <f ca="1">IF(method_reg="Метод сравнения аналогов",SUMIFS(INDEX('Калькуляция (МСА)'!$AE$25:$BC$82,,MATCH(AP$8,'Калькуляция (МСА)'!$AE$8:$BC$8,0)),'Калькуляция (МСА)'!$F$25:$F$82,$F99,'Калькуляция (МСА)'!$G$25:$G$82,$G99),SUMIFS(INDEX('Калькуляция (5.9)'!$AJ$25:$BC$137,,MATCH(AP$8,'Калькуляция (5.9)'!$AJ$8:$BC$8,0)),'Калькуляция (5.9)'!$F$25:$F$137,$F99,'Калькуляция (5.9)'!$G$25:$G$137,$G99))</f>
        <v>0</v>
      </c>
      <c r="AQ99" s="18">
        <f ca="1">IF(method_reg="Метод сравнения аналогов",SUMIFS(INDEX('Калькуляция (МСА)'!$AE$25:$BC$82,,MATCH(AQ$8,'Калькуляция (МСА)'!$AE$8:$BC$8,0)),'Калькуляция (МСА)'!$F$25:$F$82,$F99,'Калькуляция (МСА)'!$G$25:$G$82,$G99),SUMIFS(INDEX('Калькуляция (5.9)'!$AJ$25:$BC$137,,MATCH(AQ$8,'Калькуляция (5.9)'!$AJ$8:$BC$8,0)),'Калькуляция (5.9)'!$F$25:$F$137,$F99,'Калькуляция (5.9)'!$G$25:$G$137,$G99))</f>
        <v>0</v>
      </c>
      <c r="AR99" s="306">
        <f ca="1">IF(AP99=0,0,(AQ99-AP99)/AP99*100)</f>
        <v>0</v>
      </c>
      <c r="AS99" s="18">
        <f ca="1">IF(method_reg="Метод сравнения аналогов",SUMIFS(INDEX('Калькуляция (МСА)'!$AE$25:$BC$82,,MATCH(AS$8,'Калькуляция (МСА)'!$AE$8:$BC$8,0)),'Калькуляция (МСА)'!$F$25:$F$82,$F99,'Калькуляция (МСА)'!$G$25:$G$82,$G99),SUMIFS(INDEX('Калькуляция (5.9)'!$AJ$25:$BC$137,,MATCH(AS$8,'Калькуляция (5.9)'!$AJ$8:$BC$8,0)),'Калькуляция (5.9)'!$F$25:$F$137,$F99,'Калькуляция (5.9)'!$G$25:$G$137,$G99))</f>
        <v>0</v>
      </c>
      <c r="AT99" s="18">
        <f ca="1">IF(method_reg="Метод сравнения аналогов",SUMIFS(INDEX('Калькуляция (МСА)'!$AE$25:$BC$82,,MATCH(AT$8,'Калькуляция (МСА)'!$AE$8:$BC$8,0)),'Калькуляция (МСА)'!$F$25:$F$82,$F99,'Калькуляция (МСА)'!$G$25:$G$82,$G99),SUMIFS(INDEX('Калькуляция (5.9)'!$AJ$25:$BC$137,,MATCH(AT$8,'Калькуляция (5.9)'!$AJ$8:$BC$8,0)),'Калькуляция (5.9)'!$F$25:$F$137,$F99,'Калькуляция (5.9)'!$G$25:$G$137,$G99))</f>
        <v>0</v>
      </c>
      <c r="AU99" s="306">
        <f ca="1">IF(AS99=0,0,(AT99-AS99)/AS99*100)</f>
        <v>0</v>
      </c>
      <c r="AV99" s="18">
        <f ca="1">IF(method_reg="Метод сравнения аналогов",SUMIFS(INDEX('Калькуляция (МСА)'!$AE$25:$BC$82,,MATCH(AV$8,'Калькуляция (МСА)'!$AE$8:$BC$8,0)),'Калькуляция (МСА)'!$F$25:$F$82,$F99,'Калькуляция (МСА)'!$G$25:$G$82,$G99),SUMIFS(INDEX('Калькуляция (5.9)'!$AJ$25:$BC$137,,MATCH(AV$8,'Калькуляция (5.9)'!$AJ$8:$BC$8,0)),'Калькуляция (5.9)'!$F$25:$F$137,$F99,'Калькуляция (5.9)'!$G$25:$G$137,$G99))</f>
        <v>0</v>
      </c>
      <c r="AW99" s="18">
        <f ca="1">IF(method_reg="Метод сравнения аналогов",SUMIFS(INDEX('Калькуляция (МСА)'!$AE$25:$BC$82,,MATCH(AW$8,'Калькуляция (МСА)'!$AE$8:$BC$8,0)),'Калькуляция (МСА)'!$F$25:$F$82,$F99,'Калькуляция (МСА)'!$G$25:$G$82,$G99),SUMIFS(INDEX('Калькуляция (5.9)'!$AJ$25:$BC$137,,MATCH(AW$8,'Калькуляция (5.9)'!$AJ$8:$BC$8,0)),'Калькуляция (5.9)'!$F$25:$F$137,$F99,'Калькуляция (5.9)'!$G$25:$G$137,$G99))</f>
        <v>0</v>
      </c>
      <c r="AX99" s="306">
        <f ca="1">IF(AV99=0,0,(AW99-AV99)/AV99*100)</f>
        <v>0</v>
      </c>
      <c r="AY99" s="18">
        <f ca="1">IF(method_reg="Метод сравнения аналогов",SUMIFS(INDEX('Калькуляция (МСА)'!$AE$25:$BC$82,,MATCH(AY$8,'Калькуляция (МСА)'!$AE$8:$BC$8,0)),'Калькуляция (МСА)'!$F$25:$F$82,$F99,'Калькуляция (МСА)'!$G$25:$G$82,$G99),SUMIFS(INDEX('Калькуляция (5.9)'!$AJ$25:$BC$137,,MATCH(AY$8,'Калькуляция (5.9)'!$AJ$8:$BC$8,0)),'Калькуляция (5.9)'!$F$25:$F$137,$F99,'Калькуляция (5.9)'!$G$25:$G$137,$G99))</f>
        <v>0</v>
      </c>
      <c r="AZ99" s="18">
        <f ca="1">IF(method_reg="Метод сравнения аналогов",SUMIFS(INDEX('Калькуляция (МСА)'!$AE$25:$BC$82,,MATCH(AZ$8,'Калькуляция (МСА)'!$AE$8:$BC$8,0)),'Калькуляция (МСА)'!$F$25:$F$82,$F99,'Калькуляция (МСА)'!$G$25:$G$82,$G99),SUMIFS(INDEX('Калькуляция (5.9)'!$AJ$25:$BC$137,,MATCH(AZ$8,'Калькуляция (5.9)'!$AJ$8:$BC$8,0)),'Калькуляция (5.9)'!$F$25:$F$137,$F99,'Калькуляция (5.9)'!$G$25:$G$137,$G99))</f>
        <v>0</v>
      </c>
      <c r="BA99" s="306">
        <f ca="1">IF(AY99=0,0,(AZ99-AY99)/AY99*100)</f>
        <v>0</v>
      </c>
      <c r="BB99" s="18">
        <f ca="1">IF(method_reg="Метод сравнения аналогов",SUMIFS(INDEX('Калькуляция (МСА)'!$AE$25:$BC$82,,MATCH(BB$8,'Калькуляция (МСА)'!$AE$8:$BC$8,0)),'Калькуляция (МСА)'!$F$25:$F$82,$F99,'Калькуляция (МСА)'!$G$25:$G$82,$G99),SUMIFS(INDEX('Калькуляция (5.9)'!$AJ$25:$BC$137,,MATCH(BB$8,'Калькуляция (5.9)'!$AJ$8:$BC$8,0)),'Калькуляция (5.9)'!$F$25:$F$137,$F99,'Калькуляция (5.9)'!$G$25:$G$137,$G99))</f>
        <v>0</v>
      </c>
      <c r="BC99" s="18">
        <f ca="1">IF(method_reg="Метод сравнения аналогов",SUMIFS(INDEX('Калькуляция (МСА)'!$AE$25:$BC$82,,MATCH(BC$8,'Калькуляция (МСА)'!$AE$8:$BC$8,0)),'Калькуляция (МСА)'!$F$25:$F$82,$F99,'Калькуляция (МСА)'!$G$25:$G$82,$G99),SUMIFS(INDEX('Калькуляция (5.9)'!$AJ$25:$BC$137,,MATCH(BC$8,'Калькуляция (5.9)'!$AJ$8:$BC$8,0)),'Калькуляция (5.9)'!$F$25:$F$137,$F99,'Калькуляция (5.9)'!$G$25:$G$137,$G99))</f>
        <v>0</v>
      </c>
      <c r="BD99" s="306">
        <f ca="1">IF(BB99=0,0,(BC99-BB99)/BB99*100)</f>
        <v>0</v>
      </c>
      <c r="BE99" s="18">
        <f ca="1">IF(method_reg="Метод сравнения аналогов",SUMIFS(INDEX('Калькуляция (МСА)'!$AE$25:$BC$82,,MATCH(BE$8,'Калькуляция (МСА)'!$AE$8:$BC$8,0)),'Калькуляция (МСА)'!$F$25:$F$82,$F99,'Калькуляция (МСА)'!$G$25:$G$82,$G99),SUMIFS(INDEX('Калькуляция (5.9)'!$AJ$25:$BC$137,,MATCH(BE$8,'Калькуляция (5.9)'!$AJ$8:$BC$8,0)),'Калькуляция (5.9)'!$F$25:$F$137,$F99,'Калькуляция (5.9)'!$G$25:$G$137,$G99))</f>
        <v>0</v>
      </c>
      <c r="BF99" s="18">
        <f ca="1">IF(method_reg="Метод сравнения аналогов",SUMIFS(INDEX('Калькуляция (МСА)'!$AE$25:$BC$82,,MATCH(BF$8,'Калькуляция (МСА)'!$AE$8:$BC$8,0)),'Калькуляция (МСА)'!$F$25:$F$82,$F99,'Калькуляция (МСА)'!$G$25:$G$82,$G99),SUMIFS(INDEX('Калькуляция (5.9)'!$AJ$25:$BC$137,,MATCH(BF$8,'Калькуляция (5.9)'!$AJ$8:$BC$8,0)),'Калькуляция (5.9)'!$F$25:$F$137,$F99,'Калькуляция (5.9)'!$G$25:$G$137,$G99))</f>
        <v>0</v>
      </c>
      <c r="BG99" s="306">
        <f ca="1">IF(BE99=0,0,(BF99-BE99)/BE99*100)</f>
        <v>0</v>
      </c>
      <c r="BH99" s="18"/>
      <c r="BI99" s="18"/>
      <c r="BJ99" s="306">
        <f>IF(BH99=0,0,(BI99-BH99)/BH99*100)</f>
        <v>0</v>
      </c>
      <c r="BK99" s="18"/>
      <c r="BL99" s="18"/>
      <c r="BM99" s="306">
        <f>IF(BK99=0,0,(BL99-BK99)/BK99*100)</f>
        <v>0</v>
      </c>
      <c r="BN99" s="18"/>
      <c r="BO99" s="18"/>
      <c r="BP99" s="306">
        <f>IF(BN99=0,0,(BO99-BN99)/BN99*100)</f>
        <v>0</v>
      </c>
      <c r="BQ99" s="18"/>
      <c r="BR99" s="18"/>
      <c r="BS99" s="306">
        <f>IF(BQ99=0,0,(BR99-BQ99)/BQ99*100)</f>
        <v>0</v>
      </c>
      <c r="BT99" s="18"/>
      <c r="BU99" s="18"/>
      <c r="BV99" s="306">
        <f>IF(BT99=0,0,(BU99-BT99)/BT99*100)</f>
        <v>0</v>
      </c>
      <c r="BW99" s="18"/>
      <c r="BX99" s="18"/>
      <c r="BY99" s="306">
        <f>IF(BW99=0,0,(BX99-BW99)/BW99*100)</f>
        <v>0</v>
      </c>
      <c r="BZ99" s="18"/>
      <c r="CA99" s="18"/>
      <c r="CB99" s="306">
        <f>IF(BZ99=0,0,(CA99-BZ99)/BZ99*100)</f>
        <v>0</v>
      </c>
      <c r="CC99" s="18"/>
      <c r="CD99" s="18"/>
      <c r="CE99" s="306">
        <f>IF(CC99=0,0,(CD99-CC99)/CC99*100)</f>
        <v>0</v>
      </c>
      <c r="CF99" s="18"/>
      <c r="CG99" s="18"/>
      <c r="CH99" s="306">
        <f>IF(CF99=0,0,(CG99-CF99)/CF99*100)</f>
        <v>0</v>
      </c>
      <c r="CI99" s="18"/>
      <c r="CJ99" s="18"/>
      <c r="CK99" s="306">
        <f>IF(CI99=0,0,(CJ99-CI99)/CI99*100)</f>
        <v>0</v>
      </c>
      <c r="CL99" s="18"/>
      <c r="CM99" s="18"/>
      <c r="CN99" s="306">
        <f>IF(CL99=0,0,(CM99-CL99)/CL99*100)</f>
        <v>0</v>
      </c>
      <c r="CO99" s="18"/>
      <c r="CP99" s="18"/>
      <c r="CQ99" s="306">
        <f>IF(CO99=0,0,(CP99-CO99)/CO99*100)</f>
        <v>0</v>
      </c>
      <c r="CR99" s="18"/>
      <c r="CS99" s="18"/>
      <c r="CT99" s="306">
        <f>IF(CR99=0,0,(CS99-CR99)/CR99*100)</f>
        <v>0</v>
      </c>
      <c r="CU99" s="18"/>
      <c r="CV99" s="18"/>
      <c r="CW99" s="306">
        <f>IF(CU99=0,0,(CV99-CU99)/CU99*100)</f>
        <v>0</v>
      </c>
      <c r="CX99" s="18"/>
      <c r="CY99" s="18"/>
      <c r="CZ99" s="306">
        <f>IF(CX99=0,0,(CY99-CX99)/CX99*100)</f>
        <v>0</v>
      </c>
      <c r="DA99" s="18"/>
      <c r="DB99" s="18"/>
      <c r="DC99" s="306">
        <f>IF(DA99=0,0,(DB99-DA99)/DA99*100)</f>
        <v>0</v>
      </c>
      <c r="DD99" s="18"/>
      <c r="DE99" s="18"/>
      <c r="DF99" s="306">
        <f>IF(DD99=0,0,(DE99-DD99)/DD99*100)</f>
        <v>0</v>
      </c>
      <c r="DG99" s="18"/>
      <c r="DH99" s="18"/>
      <c r="DI99" s="306">
        <f>IF(DG99=0,0,(DH99-DG99)/DG99*100)</f>
        <v>0</v>
      </c>
      <c r="DJ99" s="18"/>
      <c r="DK99" s="18"/>
      <c r="DL99" s="306">
        <f>IF(DJ99=0,0,(DK99-DJ99)/DJ99*100)</f>
        <v>0</v>
      </c>
      <c r="DM99" s="18"/>
      <c r="DN99" s="18"/>
      <c r="DO99" s="306">
        <f>IF(DM99=0,0,(DN99-DM99)/DM99*100)</f>
        <v>0</v>
      </c>
      <c r="DP99" s="18"/>
      <c r="DQ99" s="18"/>
      <c r="DR99" s="306">
        <f>IF(DP99=0,0,(DQ99-DP99)/DP99*100)</f>
        <v>0</v>
      </c>
      <c r="DS99" s="18"/>
      <c r="DT99" s="18"/>
      <c r="DU99" s="306">
        <f>IF(DS99=0,0,(DT99-DS99)/DS99*100)</f>
        <v>0</v>
      </c>
      <c r="DV99" s="18"/>
      <c r="DW99" s="18"/>
      <c r="DX99" s="306">
        <f>IF(DV99=0,0,(DW99-DV99)/DV99*100)</f>
        <v>0</v>
      </c>
      <c r="DY99" s="18"/>
      <c r="DZ99" s="18"/>
      <c r="EA99" s="306">
        <f>IF(DY99=0,0,(DZ99-DY99)/DY99*100)</f>
        <v>0</v>
      </c>
      <c r="EB99" s="18"/>
      <c r="EC99" s="18"/>
      <c r="ED99" s="306">
        <f>IF(EB99=0,0,(EC99-EB99)/EB99*100)</f>
        <v>0</v>
      </c>
      <c r="EE99" s="18"/>
      <c r="EF99" s="18"/>
      <c r="EG99" s="306">
        <f>IF(EE99=0,0,(EF99-EE99)/EE99*100)</f>
        <v>0</v>
      </c>
      <c r="EH99" s="18"/>
      <c r="EI99" s="18"/>
      <c r="EJ99" s="306">
        <f>IF(EH99=0,0,(EI99-EH99)/EH99*100)</f>
        <v>0</v>
      </c>
      <c r="EK99" s="18"/>
      <c r="EL99" s="18"/>
      <c r="EM99" s="306">
        <f>IF(EK99=0,0,(EL99-EK99)/EK99*100)</f>
        <v>0</v>
      </c>
      <c r="EN99" s="18"/>
      <c r="EO99" s="18"/>
      <c r="EP99" s="306">
        <f>IF(EN99=0,0,(EO99-EN99)/EN99*100)</f>
        <v>0</v>
      </c>
      <c r="EQ99" s="18"/>
      <c r="ER99" s="18"/>
      <c r="ES99" s="306">
        <f>IF(EQ99=0,0,(ER99-EQ99)/EQ99*100)</f>
        <v>0</v>
      </c>
      <c r="ET99" s="18"/>
      <c r="EU99" s="18"/>
      <c r="EV99" s="306">
        <f>IF(ET99=0,0,(EU99-ET99)/ET99*100)</f>
        <v>0</v>
      </c>
      <c r="EW99" s="18"/>
      <c r="EX99" s="18"/>
      <c r="EY99" s="306">
        <f>IF(EW99=0,0,(EX99-EW99)/EW99*100)</f>
        <v>0</v>
      </c>
      <c r="EZ99" s="18"/>
      <c r="FA99" s="18"/>
      <c r="FB99" s="306">
        <f>IF(EZ99=0,0,(FA99-EZ99)/EZ99*100)</f>
        <v>0</v>
      </c>
      <c r="FC99" s="18"/>
      <c r="FD99" s="18"/>
      <c r="FE99" s="306">
        <f>IF(FC99=0,0,(FD99-FC99)/FC99*100)</f>
        <v>0</v>
      </c>
      <c r="FF99" s="18"/>
      <c r="FG99" s="18"/>
      <c r="FH99" s="306">
        <f>IF(FF99=0,0,(FG99-FF99)/FF99*100)</f>
        <v>0</v>
      </c>
      <c r="FI99" s="18"/>
      <c r="FJ99" s="18"/>
      <c r="FK99" s="306">
        <f>IF(FI99=0,0,(FJ99-FI99)/FI99*100)</f>
        <v>0</v>
      </c>
      <c r="FL99" s="18"/>
      <c r="FM99" s="18"/>
      <c r="FN99" s="306">
        <f>IF(FL99=0,0,(FM99-FL99)/FL99*100)</f>
        <v>0</v>
      </c>
      <c r="FO99" s="18"/>
      <c r="FP99" s="18"/>
      <c r="FQ99" s="306">
        <f>IF(FO99=0,0,(FP99-FO99)/FO99*100)</f>
        <v>0</v>
      </c>
      <c r="FR99" s="18"/>
      <c r="FS99" s="18"/>
      <c r="FT99" s="306">
        <f>IF(FR99=0,0,(FS99-FR99)/FR99*100)</f>
        <v>0</v>
      </c>
      <c r="FU99" s="18"/>
      <c r="FV99" s="18"/>
      <c r="FW99" s="306">
        <f>IF(FU99=0,0,(FV99-FU99)/FU99*100)</f>
        <v>0</v>
      </c>
      <c r="FX99" s="417"/>
      <c r="FY99" s="417"/>
      <c r="FZ99" s="971" t="s">
        <v>2178</v>
      </c>
      <c r="GA99" s="971"/>
      <c r="GB99" s="971"/>
      <c r="GC99" s="971"/>
      <c r="GD99" s="971"/>
    </row>
    <row r="100" spans="1:186" s="1167" customFormat="1" ht="15" hidden="1" customHeight="1" x14ac:dyDescent="0.15">
      <c r="A100" s="1152"/>
      <c r="B100" s="803" t="b" cm="1">
        <f t="array" ref="B100">B99</f>
        <v>0</v>
      </c>
      <c r="C100" s="1108" t="s">
        <v>1773</v>
      </c>
      <c r="D100" s="1077" t="s">
        <v>1774</v>
      </c>
      <c r="E100" s="668">
        <v>15.8</v>
      </c>
      <c r="F100" s="769" t="str" cm="1">
        <f t="array" aca="1" ref="F100" ca="1">OFFSET(G100,-1,-1)</f>
        <v>1</v>
      </c>
      <c r="G100" s="612" t="s">
        <v>1777</v>
      </c>
      <c r="H100" s="160" t="s">
        <v>2179</v>
      </c>
      <c r="I100" s="160" t="s">
        <v>2114</v>
      </c>
      <c r="J100" s="1098"/>
      <c r="K100" s="1098" t="str" cm="1">
        <f t="array" aca="1" ref="K100" ca="1">OFFSET(J100,-1,1)</f>
        <v>ТЭ.42.27968109.0001</v>
      </c>
      <c r="L100" s="1098"/>
      <c r="M100" s="1098" t="s">
        <v>1750</v>
      </c>
      <c r="N100" s="1098" t="s">
        <v>2117</v>
      </c>
      <c r="O100" s="1099" t="s">
        <v>2118</v>
      </c>
      <c r="P100" s="1098" t="s">
        <v>2180</v>
      </c>
      <c r="Q100" s="1098"/>
      <c r="R100" s="774"/>
      <c r="S100" s="417"/>
      <c r="T100" s="679" t="b" cm="1">
        <f t="array" aca="1" ref="T100" ca="1">T99</f>
        <v>0</v>
      </c>
      <c r="U100" s="1152"/>
      <c r="V100" s="1152"/>
      <c r="W100" s="1152"/>
      <c r="X100" s="1485"/>
      <c r="Y100" s="1152"/>
      <c r="Z100" s="1485"/>
      <c r="AA100" s="417"/>
      <c r="AB100" s="220" t="s">
        <v>2181</v>
      </c>
      <c r="AC100" s="549" t="s">
        <v>715</v>
      </c>
      <c r="AD100" s="18">
        <f ca="1">IF(method_reg="Метод экономически обоснованных расходов",SUMIFS('Калькуляция (4.6)'!AJ$25:AJ$162,'Калькуляция (4.6)'!$F$25:$F$162,$F100,'Калькуляция (4.6)'!$G$25:$G$162,$G100),IF(method_reg="Метод сравнения аналогов",SUMIFS(INDEX('Калькуляция (МСА)'!$AE$25:$BC$82,,MATCH(AD$8,'Калькуляция (МСА)'!$AE$8:$BC$8,0)),'Калькуляция (МСА)'!$F$25:$F$82,$F100,'Калькуляция (МСА)'!$G$25:$G$82,$G100),SUMIFS(INDEX('Калькуляция (5.9)'!$AJ$25:$BC$137,,MATCH(AD$8,'Калькуляция (5.9)'!$AJ$8:$BC$8,0)),'Калькуляция (5.9)'!$F$25:$F$137,$F100,'Калькуляция (5.9)'!$G$25:$G$137,$G100)))</f>
        <v>0</v>
      </c>
      <c r="AE100" s="18">
        <f ca="1">IF(method_reg="Метод экономически обоснованных расходов",SUMIFS('Калькуляция (4.6)'!AK$25:AK$162,'Калькуляция (4.6)'!$F$25:$F$162,$F100,'Калькуляция (4.6)'!$G$25:$G$162,$G100),IF(method_reg="Метод сравнения аналогов",SUMIFS(INDEX('Калькуляция (МСА)'!$AE$25:$BC$82,,MATCH(AE$8,'Калькуляция (МСА)'!$AE$8:$BC$8,0)),'Калькуляция (МСА)'!$F$25:$F$82,$F100,'Калькуляция (МСА)'!$G$25:$G$82,$G100),SUMIFS(INDEX('Калькуляция (5.9)'!$AJ$25:$BC$137,,MATCH(AE$8,'Калькуляция (5.9)'!$AJ$8:$BC$8,0)),'Калькуляция (5.9)'!$F$25:$F$137,$F100,'Калькуляция (5.9)'!$G$25:$G$137,$G100)))</f>
        <v>0</v>
      </c>
      <c r="AF100" s="306">
        <f ca="1">IF(AD100=0,0,(AE100-AD100)/AD100*100)</f>
        <v>0</v>
      </c>
      <c r="AG100" s="1215">
        <f ca="1">IF(method_reg="Метод сравнения аналогов",SUMIFS(INDEX('Калькуляция (МСА)'!$AE$25:$BC$82,,MATCH(AG$8,'Калькуляция (МСА)'!$AE$8:$BC$8,0)),'Калькуляция (МСА)'!$F$25:$F$82,$F100,'Калькуляция (МСА)'!$G$25:$G$82,$G100),SUMIFS(INDEX('Калькуляция (5.9)'!$AJ$25:$BC$137,,MATCH(AG$8,'Калькуляция (5.9)'!$AJ$8:$BC$8,0)),'Калькуляция (5.9)'!$F$25:$F$137,$F100,'Калькуляция (5.9)'!$G$25:$G$137,$G100))</f>
        <v>0</v>
      </c>
      <c r="AH100" s="1215">
        <f ca="1">IF(method_reg="Метод сравнения аналогов",SUMIFS(INDEX('Калькуляция (МСА)'!$AE$25:$BC$82,,MATCH(AH$8,'Калькуляция (МСА)'!$AE$8:$BC$8,0)),'Калькуляция (МСА)'!$F$25:$F$82,$F100,'Калькуляция (МСА)'!$G$25:$G$82,$G100),SUMIFS(INDEX('Калькуляция (5.9)'!$AJ$25:$BC$137,,MATCH(AH$8,'Калькуляция (5.9)'!$AJ$8:$BC$8,0)),'Калькуляция (5.9)'!$F$25:$F$137,$F100,'Калькуляция (5.9)'!$G$25:$G$137,$G100))</f>
        <v>0</v>
      </c>
      <c r="AI100" s="306">
        <f ca="1">IF(AG100=0,0,(AH100-AG100)/AG100*100)</f>
        <v>0</v>
      </c>
      <c r="AJ100" s="1215">
        <f ca="1">IF(method_reg="Метод сравнения аналогов",SUMIFS(INDEX('Калькуляция (МСА)'!$AE$25:$BC$82,,MATCH(AJ$8,'Калькуляция (МСА)'!$AE$8:$BC$8,0)),'Калькуляция (МСА)'!$F$25:$F$82,$F100,'Калькуляция (МСА)'!$G$25:$G$82,$G100),SUMIFS(INDEX('Калькуляция (5.9)'!$AJ$25:$BC$137,,MATCH(AJ$8,'Калькуляция (5.9)'!$AJ$8:$BC$8,0)),'Калькуляция (5.9)'!$F$25:$F$137,$F100,'Калькуляция (5.9)'!$G$25:$G$137,$G100))</f>
        <v>0</v>
      </c>
      <c r="AK100" s="1215">
        <f ca="1">IF(method_reg="Метод сравнения аналогов",SUMIFS(INDEX('Калькуляция (МСА)'!$AE$25:$BC$82,,MATCH(AK$8,'Калькуляция (МСА)'!$AE$8:$BC$8,0)),'Калькуляция (МСА)'!$F$25:$F$82,$F100,'Калькуляция (МСА)'!$G$25:$G$82,$G100),SUMIFS(INDEX('Калькуляция (5.9)'!$AJ$25:$BC$137,,MATCH(AK$8,'Калькуляция (5.9)'!$AJ$8:$BC$8,0)),'Калькуляция (5.9)'!$F$25:$F$137,$F100,'Калькуляция (5.9)'!$G$25:$G$137,$G100))</f>
        <v>0</v>
      </c>
      <c r="AL100" s="306">
        <f ca="1">IF(AJ100=0,0,(AK100-AJ100)/AJ100*100)</f>
        <v>0</v>
      </c>
      <c r="AM100" s="18">
        <f ca="1">IF(method_reg="Метод сравнения аналогов",SUMIFS(INDEX('Калькуляция (МСА)'!$AE$25:$BC$82,,MATCH(AM$8,'Калькуляция (МСА)'!$AE$8:$BC$8,0)),'Калькуляция (МСА)'!$F$25:$F$82,$F100,'Калькуляция (МСА)'!$G$25:$G$82,$G100),SUMIFS(INDEX('Калькуляция (5.9)'!$AJ$25:$BC$137,,MATCH(AM$8,'Калькуляция (5.9)'!$AJ$8:$BC$8,0)),'Калькуляция (5.9)'!$F$25:$F$137,$F100,'Калькуляция (5.9)'!$G$25:$G$137,$G100))</f>
        <v>0</v>
      </c>
      <c r="AN100" s="18">
        <f ca="1">IF(method_reg="Метод сравнения аналогов",SUMIFS(INDEX('Калькуляция (МСА)'!$AE$25:$BC$82,,MATCH(AN$8,'Калькуляция (МСА)'!$AE$8:$BC$8,0)),'Калькуляция (МСА)'!$F$25:$F$82,$F100,'Калькуляция (МСА)'!$G$25:$G$82,$G100),SUMIFS(INDEX('Калькуляция (5.9)'!$AJ$25:$BC$137,,MATCH(AN$8,'Калькуляция (5.9)'!$AJ$8:$BC$8,0)),'Калькуляция (5.9)'!$F$25:$F$137,$F100,'Калькуляция (5.9)'!$G$25:$G$137,$G100))</f>
        <v>0</v>
      </c>
      <c r="AO100" s="306">
        <f ca="1">IF(AM100=0,0,(AN100-AM100)/AM100*100)</f>
        <v>0</v>
      </c>
      <c r="AP100" s="18">
        <f ca="1">IF(method_reg="Метод сравнения аналогов",SUMIFS(INDEX('Калькуляция (МСА)'!$AE$25:$BC$82,,MATCH(AP$8,'Калькуляция (МСА)'!$AE$8:$BC$8,0)),'Калькуляция (МСА)'!$F$25:$F$82,$F100,'Калькуляция (МСА)'!$G$25:$G$82,$G100),SUMIFS(INDEX('Калькуляция (5.9)'!$AJ$25:$BC$137,,MATCH(AP$8,'Калькуляция (5.9)'!$AJ$8:$BC$8,0)),'Калькуляция (5.9)'!$F$25:$F$137,$F100,'Калькуляция (5.9)'!$G$25:$G$137,$G100))</f>
        <v>0</v>
      </c>
      <c r="AQ100" s="18">
        <f ca="1">IF(method_reg="Метод сравнения аналогов",SUMIFS(INDEX('Калькуляция (МСА)'!$AE$25:$BC$82,,MATCH(AQ$8,'Калькуляция (МСА)'!$AE$8:$BC$8,0)),'Калькуляция (МСА)'!$F$25:$F$82,$F100,'Калькуляция (МСА)'!$G$25:$G$82,$G100),SUMIFS(INDEX('Калькуляция (5.9)'!$AJ$25:$BC$137,,MATCH(AQ$8,'Калькуляция (5.9)'!$AJ$8:$BC$8,0)),'Калькуляция (5.9)'!$F$25:$F$137,$F100,'Калькуляция (5.9)'!$G$25:$G$137,$G100))</f>
        <v>0</v>
      </c>
      <c r="AR100" s="306">
        <f ca="1">IF(AP100=0,0,(AQ100-AP100)/AP100*100)</f>
        <v>0</v>
      </c>
      <c r="AS100" s="18">
        <f ca="1">IF(method_reg="Метод сравнения аналогов",SUMIFS(INDEX('Калькуляция (МСА)'!$AE$25:$BC$82,,MATCH(AS$8,'Калькуляция (МСА)'!$AE$8:$BC$8,0)),'Калькуляция (МСА)'!$F$25:$F$82,$F100,'Калькуляция (МСА)'!$G$25:$G$82,$G100),SUMIFS(INDEX('Калькуляция (5.9)'!$AJ$25:$BC$137,,MATCH(AS$8,'Калькуляция (5.9)'!$AJ$8:$BC$8,0)),'Калькуляция (5.9)'!$F$25:$F$137,$F100,'Калькуляция (5.9)'!$G$25:$G$137,$G100))</f>
        <v>0</v>
      </c>
      <c r="AT100" s="18">
        <f ca="1">IF(method_reg="Метод сравнения аналогов",SUMIFS(INDEX('Калькуляция (МСА)'!$AE$25:$BC$82,,MATCH(AT$8,'Калькуляция (МСА)'!$AE$8:$BC$8,0)),'Калькуляция (МСА)'!$F$25:$F$82,$F100,'Калькуляция (МСА)'!$G$25:$G$82,$G100),SUMIFS(INDEX('Калькуляция (5.9)'!$AJ$25:$BC$137,,MATCH(AT$8,'Калькуляция (5.9)'!$AJ$8:$BC$8,0)),'Калькуляция (5.9)'!$F$25:$F$137,$F100,'Калькуляция (5.9)'!$G$25:$G$137,$G100))</f>
        <v>0</v>
      </c>
      <c r="AU100" s="306">
        <f ca="1">IF(AS100=0,0,(AT100-AS100)/AS100*100)</f>
        <v>0</v>
      </c>
      <c r="AV100" s="18">
        <f ca="1">IF(method_reg="Метод сравнения аналогов",SUMIFS(INDEX('Калькуляция (МСА)'!$AE$25:$BC$82,,MATCH(AV$8,'Калькуляция (МСА)'!$AE$8:$BC$8,0)),'Калькуляция (МСА)'!$F$25:$F$82,$F100,'Калькуляция (МСА)'!$G$25:$G$82,$G100),SUMIFS(INDEX('Калькуляция (5.9)'!$AJ$25:$BC$137,,MATCH(AV$8,'Калькуляция (5.9)'!$AJ$8:$BC$8,0)),'Калькуляция (5.9)'!$F$25:$F$137,$F100,'Калькуляция (5.9)'!$G$25:$G$137,$G100))</f>
        <v>0</v>
      </c>
      <c r="AW100" s="18">
        <f ca="1">IF(method_reg="Метод сравнения аналогов",SUMIFS(INDEX('Калькуляция (МСА)'!$AE$25:$BC$82,,MATCH(AW$8,'Калькуляция (МСА)'!$AE$8:$BC$8,0)),'Калькуляция (МСА)'!$F$25:$F$82,$F100,'Калькуляция (МСА)'!$G$25:$G$82,$G100),SUMIFS(INDEX('Калькуляция (5.9)'!$AJ$25:$BC$137,,MATCH(AW$8,'Калькуляция (5.9)'!$AJ$8:$BC$8,0)),'Калькуляция (5.9)'!$F$25:$F$137,$F100,'Калькуляция (5.9)'!$G$25:$G$137,$G100))</f>
        <v>0</v>
      </c>
      <c r="AX100" s="306">
        <f ca="1">IF(AV100=0,0,(AW100-AV100)/AV100*100)</f>
        <v>0</v>
      </c>
      <c r="AY100" s="18">
        <f ca="1">IF(method_reg="Метод сравнения аналогов",SUMIFS(INDEX('Калькуляция (МСА)'!$AE$25:$BC$82,,MATCH(AY$8,'Калькуляция (МСА)'!$AE$8:$BC$8,0)),'Калькуляция (МСА)'!$F$25:$F$82,$F100,'Калькуляция (МСА)'!$G$25:$G$82,$G100),SUMIFS(INDEX('Калькуляция (5.9)'!$AJ$25:$BC$137,,MATCH(AY$8,'Калькуляция (5.9)'!$AJ$8:$BC$8,0)),'Калькуляция (5.9)'!$F$25:$F$137,$F100,'Калькуляция (5.9)'!$G$25:$G$137,$G100))</f>
        <v>0</v>
      </c>
      <c r="AZ100" s="18">
        <f ca="1">IF(method_reg="Метод сравнения аналогов",SUMIFS(INDEX('Калькуляция (МСА)'!$AE$25:$BC$82,,MATCH(AZ$8,'Калькуляция (МСА)'!$AE$8:$BC$8,0)),'Калькуляция (МСА)'!$F$25:$F$82,$F100,'Калькуляция (МСА)'!$G$25:$G$82,$G100),SUMIFS(INDEX('Калькуляция (5.9)'!$AJ$25:$BC$137,,MATCH(AZ$8,'Калькуляция (5.9)'!$AJ$8:$BC$8,0)),'Калькуляция (5.9)'!$F$25:$F$137,$F100,'Калькуляция (5.9)'!$G$25:$G$137,$G100))</f>
        <v>0</v>
      </c>
      <c r="BA100" s="306">
        <f ca="1">IF(AY100=0,0,(AZ100-AY100)/AY100*100)</f>
        <v>0</v>
      </c>
      <c r="BB100" s="18">
        <f ca="1">IF(method_reg="Метод сравнения аналогов",SUMIFS(INDEX('Калькуляция (МСА)'!$AE$25:$BC$82,,MATCH(BB$8,'Калькуляция (МСА)'!$AE$8:$BC$8,0)),'Калькуляция (МСА)'!$F$25:$F$82,$F100,'Калькуляция (МСА)'!$G$25:$G$82,$G100),SUMIFS(INDEX('Калькуляция (5.9)'!$AJ$25:$BC$137,,MATCH(BB$8,'Калькуляция (5.9)'!$AJ$8:$BC$8,0)),'Калькуляция (5.9)'!$F$25:$F$137,$F100,'Калькуляция (5.9)'!$G$25:$G$137,$G100))</f>
        <v>0</v>
      </c>
      <c r="BC100" s="18">
        <f ca="1">IF(method_reg="Метод сравнения аналогов",SUMIFS(INDEX('Калькуляция (МСА)'!$AE$25:$BC$82,,MATCH(BC$8,'Калькуляция (МСА)'!$AE$8:$BC$8,0)),'Калькуляция (МСА)'!$F$25:$F$82,$F100,'Калькуляция (МСА)'!$G$25:$G$82,$G100),SUMIFS(INDEX('Калькуляция (5.9)'!$AJ$25:$BC$137,,MATCH(BC$8,'Калькуляция (5.9)'!$AJ$8:$BC$8,0)),'Калькуляция (5.9)'!$F$25:$F$137,$F100,'Калькуляция (5.9)'!$G$25:$G$137,$G100))</f>
        <v>0</v>
      </c>
      <c r="BD100" s="306">
        <f ca="1">IF(BB100=0,0,(BC100-BB100)/BB100*100)</f>
        <v>0</v>
      </c>
      <c r="BE100" s="18">
        <f ca="1">IF(method_reg="Метод сравнения аналогов",SUMIFS(INDEX('Калькуляция (МСА)'!$AE$25:$BC$82,,MATCH(BE$8,'Калькуляция (МСА)'!$AE$8:$BC$8,0)),'Калькуляция (МСА)'!$F$25:$F$82,$F100,'Калькуляция (МСА)'!$G$25:$G$82,$G100),SUMIFS(INDEX('Калькуляция (5.9)'!$AJ$25:$BC$137,,MATCH(BE$8,'Калькуляция (5.9)'!$AJ$8:$BC$8,0)),'Калькуляция (5.9)'!$F$25:$F$137,$F100,'Калькуляция (5.9)'!$G$25:$G$137,$G100))</f>
        <v>0</v>
      </c>
      <c r="BF100" s="18">
        <f ca="1">IF(method_reg="Метод сравнения аналогов",SUMIFS(INDEX('Калькуляция (МСА)'!$AE$25:$BC$82,,MATCH(BF$8,'Калькуляция (МСА)'!$AE$8:$BC$8,0)),'Калькуляция (МСА)'!$F$25:$F$82,$F100,'Калькуляция (МСА)'!$G$25:$G$82,$G100),SUMIFS(INDEX('Калькуляция (5.9)'!$AJ$25:$BC$137,,MATCH(BF$8,'Калькуляция (5.9)'!$AJ$8:$BC$8,0)),'Калькуляция (5.9)'!$F$25:$F$137,$F100,'Калькуляция (5.9)'!$G$25:$G$137,$G100))</f>
        <v>0</v>
      </c>
      <c r="BG100" s="306">
        <f ca="1">IF(BE100=0,0,(BF100-BE100)/BE100*100)</f>
        <v>0</v>
      </c>
      <c r="BH100" s="18"/>
      <c r="BI100" s="18"/>
      <c r="BJ100" s="306">
        <f>IF(BH100=0,0,(BI100-BH100)/BH100*100)</f>
        <v>0</v>
      </c>
      <c r="BK100" s="18"/>
      <c r="BL100" s="18"/>
      <c r="BM100" s="306">
        <f>IF(BK100=0,0,(BL100-BK100)/BK100*100)</f>
        <v>0</v>
      </c>
      <c r="BN100" s="18"/>
      <c r="BO100" s="18"/>
      <c r="BP100" s="306">
        <f>IF(BN100=0,0,(BO100-BN100)/BN100*100)</f>
        <v>0</v>
      </c>
      <c r="BQ100" s="18"/>
      <c r="BR100" s="18"/>
      <c r="BS100" s="306">
        <f>IF(BQ100=0,0,(BR100-BQ100)/BQ100*100)</f>
        <v>0</v>
      </c>
      <c r="BT100" s="18"/>
      <c r="BU100" s="18"/>
      <c r="BV100" s="306">
        <f>IF(BT100=0,0,(BU100-BT100)/BT100*100)</f>
        <v>0</v>
      </c>
      <c r="BW100" s="18"/>
      <c r="BX100" s="18"/>
      <c r="BY100" s="306">
        <f>IF(BW100=0,0,(BX100-BW100)/BW100*100)</f>
        <v>0</v>
      </c>
      <c r="BZ100" s="18"/>
      <c r="CA100" s="18"/>
      <c r="CB100" s="306">
        <f>IF(BZ100=0,0,(CA100-BZ100)/BZ100*100)</f>
        <v>0</v>
      </c>
      <c r="CC100" s="18"/>
      <c r="CD100" s="18"/>
      <c r="CE100" s="306">
        <f>IF(CC100=0,0,(CD100-CC100)/CC100*100)</f>
        <v>0</v>
      </c>
      <c r="CF100" s="18"/>
      <c r="CG100" s="18"/>
      <c r="CH100" s="306">
        <f>IF(CF100=0,0,(CG100-CF100)/CF100*100)</f>
        <v>0</v>
      </c>
      <c r="CI100" s="18"/>
      <c r="CJ100" s="18"/>
      <c r="CK100" s="306">
        <f>IF(CI100=0,0,(CJ100-CI100)/CI100*100)</f>
        <v>0</v>
      </c>
      <c r="CL100" s="18"/>
      <c r="CM100" s="18"/>
      <c r="CN100" s="306">
        <f>IF(CL100=0,0,(CM100-CL100)/CL100*100)</f>
        <v>0</v>
      </c>
      <c r="CO100" s="18"/>
      <c r="CP100" s="18"/>
      <c r="CQ100" s="306">
        <f>IF(CO100=0,0,(CP100-CO100)/CO100*100)</f>
        <v>0</v>
      </c>
      <c r="CR100" s="18"/>
      <c r="CS100" s="18"/>
      <c r="CT100" s="306">
        <f>IF(CR100=0,0,(CS100-CR100)/CR100*100)</f>
        <v>0</v>
      </c>
      <c r="CU100" s="18"/>
      <c r="CV100" s="18"/>
      <c r="CW100" s="306">
        <f>IF(CU100=0,0,(CV100-CU100)/CU100*100)</f>
        <v>0</v>
      </c>
      <c r="CX100" s="18"/>
      <c r="CY100" s="18"/>
      <c r="CZ100" s="306">
        <f>IF(CX100=0,0,(CY100-CX100)/CX100*100)</f>
        <v>0</v>
      </c>
      <c r="DA100" s="18"/>
      <c r="DB100" s="18"/>
      <c r="DC100" s="306">
        <f>IF(DA100=0,0,(DB100-DA100)/DA100*100)</f>
        <v>0</v>
      </c>
      <c r="DD100" s="18"/>
      <c r="DE100" s="18"/>
      <c r="DF100" s="306">
        <f>IF(DD100=0,0,(DE100-DD100)/DD100*100)</f>
        <v>0</v>
      </c>
      <c r="DG100" s="18"/>
      <c r="DH100" s="18"/>
      <c r="DI100" s="306">
        <f>IF(DG100=0,0,(DH100-DG100)/DG100*100)</f>
        <v>0</v>
      </c>
      <c r="DJ100" s="18"/>
      <c r="DK100" s="18"/>
      <c r="DL100" s="306">
        <f>IF(DJ100=0,0,(DK100-DJ100)/DJ100*100)</f>
        <v>0</v>
      </c>
      <c r="DM100" s="18"/>
      <c r="DN100" s="18"/>
      <c r="DO100" s="306">
        <f>IF(DM100=0,0,(DN100-DM100)/DM100*100)</f>
        <v>0</v>
      </c>
      <c r="DP100" s="18"/>
      <c r="DQ100" s="18"/>
      <c r="DR100" s="306">
        <f>IF(DP100=0,0,(DQ100-DP100)/DP100*100)</f>
        <v>0</v>
      </c>
      <c r="DS100" s="18"/>
      <c r="DT100" s="18"/>
      <c r="DU100" s="306">
        <f>IF(DS100=0,0,(DT100-DS100)/DS100*100)</f>
        <v>0</v>
      </c>
      <c r="DV100" s="18"/>
      <c r="DW100" s="18"/>
      <c r="DX100" s="306">
        <f>IF(DV100=0,0,(DW100-DV100)/DV100*100)</f>
        <v>0</v>
      </c>
      <c r="DY100" s="18"/>
      <c r="DZ100" s="18"/>
      <c r="EA100" s="306">
        <f>IF(DY100=0,0,(DZ100-DY100)/DY100*100)</f>
        <v>0</v>
      </c>
      <c r="EB100" s="18"/>
      <c r="EC100" s="18"/>
      <c r="ED100" s="306">
        <f>IF(EB100=0,0,(EC100-EB100)/EB100*100)</f>
        <v>0</v>
      </c>
      <c r="EE100" s="18"/>
      <c r="EF100" s="18"/>
      <c r="EG100" s="306">
        <f>IF(EE100=0,0,(EF100-EE100)/EE100*100)</f>
        <v>0</v>
      </c>
      <c r="EH100" s="18"/>
      <c r="EI100" s="18"/>
      <c r="EJ100" s="306">
        <f>IF(EH100=0,0,(EI100-EH100)/EH100*100)</f>
        <v>0</v>
      </c>
      <c r="EK100" s="18"/>
      <c r="EL100" s="18"/>
      <c r="EM100" s="306">
        <f>IF(EK100=0,0,(EL100-EK100)/EK100*100)</f>
        <v>0</v>
      </c>
      <c r="EN100" s="18"/>
      <c r="EO100" s="18"/>
      <c r="EP100" s="306">
        <f>IF(EN100=0,0,(EO100-EN100)/EN100*100)</f>
        <v>0</v>
      </c>
      <c r="EQ100" s="18"/>
      <c r="ER100" s="18"/>
      <c r="ES100" s="306">
        <f>IF(EQ100=0,0,(ER100-EQ100)/EQ100*100)</f>
        <v>0</v>
      </c>
      <c r="ET100" s="18"/>
      <c r="EU100" s="18"/>
      <c r="EV100" s="306">
        <f>IF(ET100=0,0,(EU100-ET100)/ET100*100)</f>
        <v>0</v>
      </c>
      <c r="EW100" s="18"/>
      <c r="EX100" s="18"/>
      <c r="EY100" s="306">
        <f>IF(EW100=0,0,(EX100-EW100)/EW100*100)</f>
        <v>0</v>
      </c>
      <c r="EZ100" s="18"/>
      <c r="FA100" s="18"/>
      <c r="FB100" s="306">
        <f>IF(EZ100=0,0,(FA100-EZ100)/EZ100*100)</f>
        <v>0</v>
      </c>
      <c r="FC100" s="18"/>
      <c r="FD100" s="18"/>
      <c r="FE100" s="306">
        <f>IF(FC100=0,0,(FD100-FC100)/FC100*100)</f>
        <v>0</v>
      </c>
      <c r="FF100" s="18"/>
      <c r="FG100" s="18"/>
      <c r="FH100" s="306">
        <f>IF(FF100=0,0,(FG100-FF100)/FF100*100)</f>
        <v>0</v>
      </c>
      <c r="FI100" s="18"/>
      <c r="FJ100" s="18"/>
      <c r="FK100" s="306">
        <f>IF(FI100=0,0,(FJ100-FI100)/FI100*100)</f>
        <v>0</v>
      </c>
      <c r="FL100" s="18"/>
      <c r="FM100" s="18"/>
      <c r="FN100" s="306">
        <f>IF(FL100=0,0,(FM100-FL100)/FL100*100)</f>
        <v>0</v>
      </c>
      <c r="FO100" s="18"/>
      <c r="FP100" s="18"/>
      <c r="FQ100" s="306">
        <f>IF(FO100=0,0,(FP100-FO100)/FO100*100)</f>
        <v>0</v>
      </c>
      <c r="FR100" s="18"/>
      <c r="FS100" s="18"/>
      <c r="FT100" s="306">
        <f>IF(FR100=0,0,(FS100-FR100)/FR100*100)</f>
        <v>0</v>
      </c>
      <c r="FU100" s="18"/>
      <c r="FV100" s="18"/>
      <c r="FW100" s="306">
        <f>IF(FU100=0,0,(FV100-FU100)/FU100*100)</f>
        <v>0</v>
      </c>
      <c r="FX100" s="417"/>
      <c r="FY100" s="417"/>
      <c r="FZ100" s="971" t="s">
        <v>2182</v>
      </c>
      <c r="GA100" s="971"/>
      <c r="GB100" s="971"/>
      <c r="GC100" s="971"/>
      <c r="GD100" s="971"/>
    </row>
    <row r="101" spans="1:186" s="1167" customFormat="1" ht="15" hidden="1" customHeight="1" x14ac:dyDescent="0.15">
      <c r="A101" s="1152"/>
      <c r="B101" s="803" t="b" cm="1">
        <f t="array" ref="B101">B100</f>
        <v>0</v>
      </c>
      <c r="C101" s="1108"/>
      <c r="D101" s="1077"/>
      <c r="E101" s="668">
        <v>15.8</v>
      </c>
      <c r="F101" s="769" t="str" cm="1">
        <f t="array" aca="1" ref="F101" ca="1">OFFSET(G101,-1,-1)</f>
        <v>1</v>
      </c>
      <c r="G101" s="417"/>
      <c r="H101" s="417"/>
      <c r="I101" s="417"/>
      <c r="J101" s="1100"/>
      <c r="K101" s="1098" t="str" cm="1">
        <f t="array" aca="1" ref="K101" ca="1">OFFSET(J101,-1,1)</f>
        <v>ТЭ.42.27968109.0001</v>
      </c>
      <c r="L101" s="1100"/>
      <c r="M101" s="1100"/>
      <c r="N101" s="1100"/>
      <c r="O101" s="1100"/>
      <c r="P101" s="1098"/>
      <c r="Q101" s="1098"/>
      <c r="R101" s="774"/>
      <c r="S101" s="417"/>
      <c r="T101" s="679" t="b" cm="1">
        <f t="array" aca="1" ref="T101" ca="1">T100</f>
        <v>0</v>
      </c>
      <c r="U101" s="1152"/>
      <c r="V101" s="1152"/>
      <c r="W101" s="1152"/>
      <c r="X101" s="1485"/>
      <c r="Y101" s="1152"/>
      <c r="Z101" s="1485"/>
      <c r="AA101" s="417"/>
      <c r="AB101" s="1130" t="s">
        <v>2183</v>
      </c>
      <c r="AC101" s="308"/>
      <c r="AD101" s="309"/>
      <c r="AE101" s="309"/>
      <c r="AF101" s="309"/>
      <c r="AG101" s="309"/>
      <c r="AH101" s="309"/>
      <c r="AI101" s="309"/>
      <c r="AJ101" s="309"/>
      <c r="AK101" s="309"/>
      <c r="AL101" s="309"/>
      <c r="AM101" s="309"/>
      <c r="AN101" s="309"/>
      <c r="AO101" s="309"/>
      <c r="AP101" s="309"/>
      <c r="AQ101" s="309"/>
      <c r="AR101" s="309"/>
      <c r="AS101" s="309"/>
      <c r="AT101" s="309"/>
      <c r="AU101" s="309"/>
      <c r="AV101" s="309"/>
      <c r="AW101" s="309"/>
      <c r="AX101" s="309"/>
      <c r="AY101" s="309"/>
      <c r="AZ101" s="309"/>
      <c r="BA101" s="309"/>
      <c r="BB101" s="309"/>
      <c r="BC101" s="309"/>
      <c r="BD101" s="309"/>
      <c r="BE101" s="309"/>
      <c r="BF101" s="309"/>
      <c r="BG101" s="309"/>
      <c r="BH101" s="309"/>
      <c r="BI101" s="309"/>
      <c r="BJ101" s="309"/>
      <c r="BK101" s="309"/>
      <c r="BL101" s="309"/>
      <c r="BM101" s="309"/>
      <c r="BN101" s="309"/>
      <c r="BO101" s="309"/>
      <c r="BP101" s="309"/>
      <c r="BQ101" s="309"/>
      <c r="BR101" s="309"/>
      <c r="BS101" s="309"/>
      <c r="BT101" s="309"/>
      <c r="BU101" s="309"/>
      <c r="BV101" s="309"/>
      <c r="BW101" s="309"/>
      <c r="BX101" s="309"/>
      <c r="BY101" s="309"/>
      <c r="BZ101" s="309"/>
      <c r="CA101" s="309"/>
      <c r="CB101" s="309"/>
      <c r="CC101" s="309"/>
      <c r="CD101" s="309"/>
      <c r="CE101" s="309"/>
      <c r="CF101" s="309"/>
      <c r="CG101" s="309"/>
      <c r="CH101" s="309"/>
      <c r="CI101" s="309"/>
      <c r="CJ101" s="309"/>
      <c r="CK101" s="309"/>
      <c r="CL101" s="309"/>
      <c r="CM101" s="309"/>
      <c r="CN101" s="309"/>
      <c r="CO101" s="309"/>
      <c r="CP101" s="309"/>
      <c r="CQ101" s="309"/>
      <c r="CR101" s="309"/>
      <c r="CS101" s="309"/>
      <c r="CT101" s="309"/>
      <c r="CU101" s="309"/>
      <c r="CV101" s="309"/>
      <c r="CW101" s="309"/>
      <c r="CX101" s="309"/>
      <c r="CY101" s="309"/>
      <c r="CZ101" s="309"/>
      <c r="DA101" s="309"/>
      <c r="DB101" s="309"/>
      <c r="DC101" s="309"/>
      <c r="DD101" s="309"/>
      <c r="DE101" s="309"/>
      <c r="DF101" s="309"/>
      <c r="DG101" s="309"/>
      <c r="DH101" s="309"/>
      <c r="DI101" s="309"/>
      <c r="DJ101" s="309"/>
      <c r="DK101" s="309"/>
      <c r="DL101" s="309"/>
      <c r="DM101" s="309"/>
      <c r="DN101" s="309"/>
      <c r="DO101" s="309"/>
      <c r="DP101" s="309"/>
      <c r="DQ101" s="309"/>
      <c r="DR101" s="309"/>
      <c r="DS101" s="309"/>
      <c r="DT101" s="309"/>
      <c r="DU101" s="309"/>
      <c r="DV101" s="309"/>
      <c r="DW101" s="309"/>
      <c r="DX101" s="309"/>
      <c r="DY101" s="309"/>
      <c r="DZ101" s="309"/>
      <c r="EA101" s="309"/>
      <c r="EB101" s="309"/>
      <c r="EC101" s="309"/>
      <c r="ED101" s="309"/>
      <c r="EE101" s="309"/>
      <c r="EF101" s="309"/>
      <c r="EG101" s="309"/>
      <c r="EH101" s="309"/>
      <c r="EI101" s="309"/>
      <c r="EJ101" s="309"/>
      <c r="EK101" s="309"/>
      <c r="EL101" s="309"/>
      <c r="EM101" s="309"/>
      <c r="EN101" s="309"/>
      <c r="EO101" s="309"/>
      <c r="EP101" s="309"/>
      <c r="EQ101" s="309"/>
      <c r="ER101" s="309"/>
      <c r="ES101" s="309"/>
      <c r="ET101" s="309"/>
      <c r="EU101" s="309"/>
      <c r="EV101" s="309"/>
      <c r="EW101" s="309"/>
      <c r="EX101" s="309"/>
      <c r="EY101" s="309"/>
      <c r="EZ101" s="309"/>
      <c r="FA101" s="309"/>
      <c r="FB101" s="309"/>
      <c r="FC101" s="309"/>
      <c r="FD101" s="309"/>
      <c r="FE101" s="309"/>
      <c r="FF101" s="309"/>
      <c r="FG101" s="309"/>
      <c r="FH101" s="309"/>
      <c r="FI101" s="309"/>
      <c r="FJ101" s="309"/>
      <c r="FK101" s="309"/>
      <c r="FL101" s="309"/>
      <c r="FM101" s="309"/>
      <c r="FN101" s="309"/>
      <c r="FO101" s="309"/>
      <c r="FP101" s="309"/>
      <c r="FQ101" s="309"/>
      <c r="FR101" s="309"/>
      <c r="FS101" s="309"/>
      <c r="FT101" s="309"/>
      <c r="FU101" s="309"/>
      <c r="FV101" s="309"/>
      <c r="FW101" s="310"/>
      <c r="FX101" s="417"/>
      <c r="FY101" s="417"/>
      <c r="FZ101" s="1005"/>
      <c r="GA101" s="971"/>
      <c r="GB101" s="971"/>
      <c r="GC101" s="971"/>
      <c r="GD101" s="971"/>
    </row>
    <row r="102" spans="1:186" s="1167" customFormat="1" ht="15" hidden="1" customHeight="1" x14ac:dyDescent="0.15">
      <c r="A102" s="1152"/>
      <c r="B102" s="803" t="b" cm="1">
        <f t="array" ref="B102">B101</f>
        <v>0</v>
      </c>
      <c r="C102" s="1108" t="s">
        <v>2159</v>
      </c>
      <c r="D102" s="1077" t="s">
        <v>2160</v>
      </c>
      <c r="E102" s="668">
        <v>15.8</v>
      </c>
      <c r="F102" s="769" t="str" cm="1">
        <f t="array" aca="1" ref="F102" ca="1">OFFSET(G102,-1,-1)</f>
        <v>1</v>
      </c>
      <c r="G102" s="612" t="s">
        <v>1762</v>
      </c>
      <c r="H102" s="160" t="s">
        <v>2161</v>
      </c>
      <c r="I102" s="160" t="s">
        <v>2121</v>
      </c>
      <c r="J102" s="1098"/>
      <c r="K102" s="1098" t="str" cm="1">
        <f t="array" aca="1" ref="K102" ca="1">OFFSET(J102,-1,1)</f>
        <v>ТЭ.42.27968109.0001</v>
      </c>
      <c r="L102" s="1098"/>
      <c r="M102" s="1098" t="s">
        <v>1759</v>
      </c>
      <c r="N102" s="1098" t="s">
        <v>2117</v>
      </c>
      <c r="O102" s="1099" t="s">
        <v>2118</v>
      </c>
      <c r="P102" s="1098" t="s">
        <v>2162</v>
      </c>
      <c r="Q102" s="1098"/>
      <c r="R102" s="774"/>
      <c r="S102" s="417"/>
      <c r="T102" s="679" t="b" cm="1">
        <f t="array" aca="1" ref="T102" ca="1">T101</f>
        <v>0</v>
      </c>
      <c r="U102" s="1152"/>
      <c r="V102" s="1152"/>
      <c r="W102" s="1152"/>
      <c r="X102" s="1485"/>
      <c r="Y102" s="1152"/>
      <c r="Z102" s="1485"/>
      <c r="AA102" s="417"/>
      <c r="AB102" s="220" t="s">
        <v>2163</v>
      </c>
      <c r="AC102" s="120" t="s">
        <v>920</v>
      </c>
      <c r="AD102" s="18">
        <f ca="1">IF(method_reg="Метод экономически обоснованных расходов",SUMIFS('Калькуляция (4.6)'!AJ$25:AJ$162,'Калькуляция (4.6)'!$F$25:$F$162,$F102,'Калькуляция (4.6)'!$G$25:$G$162,$G102),IF(method_reg="Метод сравнения аналогов",SUMIFS(INDEX('Калькуляция (МСА)'!$AE$25:$BC$82,,MATCH(AD$8,'Калькуляция (МСА)'!$AE$8:$BC$8,0)),'Калькуляция (МСА)'!$F$25:$F$82,$F102,'Калькуляция (МСА)'!$G$25:$G$82,$G102),SUMIFS(INDEX('Калькуляция (5.9)'!$AJ$25:$BC$137,,MATCH(AD$8,'Калькуляция (5.9)'!$AJ$8:$BC$8,0)),'Калькуляция (5.9)'!$F$25:$F$137,$F102,'Калькуляция (5.9)'!$G$25:$G$137,$G102)))</f>
        <v>6897.9403764828912</v>
      </c>
      <c r="AE102" s="18">
        <f ca="1">IF(method_reg="Метод экономически обоснованных расходов",SUMIFS('Калькуляция (4.6)'!AK$25:AK$162,'Калькуляция (4.6)'!$F$25:$F$162,$F102,'Калькуляция (4.6)'!$G$25:$G$162,$G102),IF(method_reg="Метод сравнения аналогов",SUMIFS(INDEX('Калькуляция (МСА)'!$AE$25:$BC$82,,MATCH(AE$8,'Калькуляция (МСА)'!$AE$8:$BC$8,0)),'Калькуляция (МСА)'!$F$25:$F$82,$F102,'Калькуляция (МСА)'!$G$25:$G$82,$G102),SUMIFS(INDEX('Калькуляция (5.9)'!$AJ$25:$BC$137,,MATCH(AE$8,'Калькуляция (5.9)'!$AJ$8:$BC$8,0)),'Калькуляция (5.9)'!$F$25:$F$137,$F102,'Калькуляция (5.9)'!$G$25:$G$137,$G102)))</f>
        <v>5236.9232679562574</v>
      </c>
      <c r="AF102" s="306">
        <f ca="1">IF(AD102=0,0,(AE102-AD102)/AD102*100)</f>
        <v>-24.079899475349627</v>
      </c>
      <c r="AG102" s="1215">
        <f ca="1">IF(method_reg="Метод сравнения аналогов",SUMIFS(INDEX('Калькуляция (МСА)'!$AE$25:$BC$82,,MATCH(AG$8,'Калькуляция (МСА)'!$AE$8:$BC$8,0)),'Калькуляция (МСА)'!$F$25:$F$82,$F102,'Калькуляция (МСА)'!$G$25:$G$82,$G102),SUMIFS(INDEX('Калькуляция (5.9)'!$AJ$25:$BC$137,,MATCH(AG$8,'Калькуляция (5.9)'!$AJ$8:$BC$8,0)),'Калькуляция (5.9)'!$F$25:$F$137,$F102,'Калькуляция (5.9)'!$G$25:$G$137,$G102))</f>
        <v>0</v>
      </c>
      <c r="AH102" s="1215">
        <f ca="1">IF(method_reg="Метод сравнения аналогов",SUMIFS(INDEX('Калькуляция (МСА)'!$AE$25:$BC$82,,MATCH(AH$8,'Калькуляция (МСА)'!$AE$8:$BC$8,0)),'Калькуляция (МСА)'!$F$25:$F$82,$F102,'Калькуляция (МСА)'!$G$25:$G$82,$G102),SUMIFS(INDEX('Калькуляция (5.9)'!$AJ$25:$BC$137,,MATCH(AH$8,'Калькуляция (5.9)'!$AJ$8:$BC$8,0)),'Калькуляция (5.9)'!$F$25:$F$137,$F102,'Калькуляция (5.9)'!$G$25:$G$137,$G102))</f>
        <v>0</v>
      </c>
      <c r="AI102" s="306">
        <f ca="1">IF(AG102=0,0,(AH102-AG102)/AG102*100)</f>
        <v>0</v>
      </c>
      <c r="AJ102" s="1215">
        <f ca="1">IF(method_reg="Метод сравнения аналогов",SUMIFS(INDEX('Калькуляция (МСА)'!$AE$25:$BC$82,,MATCH(AJ$8,'Калькуляция (МСА)'!$AE$8:$BC$8,0)),'Калькуляция (МСА)'!$F$25:$F$82,$F102,'Калькуляция (МСА)'!$G$25:$G$82,$G102),SUMIFS(INDEX('Калькуляция (5.9)'!$AJ$25:$BC$137,,MATCH(AJ$8,'Калькуляция (5.9)'!$AJ$8:$BC$8,0)),'Калькуляция (5.9)'!$F$25:$F$137,$F102,'Калькуляция (5.9)'!$G$25:$G$137,$G102))</f>
        <v>0</v>
      </c>
      <c r="AK102" s="1215">
        <f ca="1">IF(method_reg="Метод сравнения аналогов",SUMIFS(INDEX('Калькуляция (МСА)'!$AE$25:$BC$82,,MATCH(AK$8,'Калькуляция (МСА)'!$AE$8:$BC$8,0)),'Калькуляция (МСА)'!$F$25:$F$82,$F102,'Калькуляция (МСА)'!$G$25:$G$82,$G102),SUMIFS(INDEX('Калькуляция (5.9)'!$AJ$25:$BC$137,,MATCH(AK$8,'Калькуляция (5.9)'!$AJ$8:$BC$8,0)),'Калькуляция (5.9)'!$F$25:$F$137,$F102,'Калькуляция (5.9)'!$G$25:$G$137,$G102))</f>
        <v>0</v>
      </c>
      <c r="AL102" s="306">
        <f ca="1">IF(AJ102=0,0,(AK102-AJ102)/AJ102*100)</f>
        <v>0</v>
      </c>
      <c r="AM102" s="18">
        <f ca="1">IF(method_reg="Метод сравнения аналогов",SUMIFS(INDEX('Калькуляция (МСА)'!$AE$25:$BC$82,,MATCH(AM$8,'Калькуляция (МСА)'!$AE$8:$BC$8,0)),'Калькуляция (МСА)'!$F$25:$F$82,$F102,'Калькуляция (МСА)'!$G$25:$G$82,$G102),SUMIFS(INDEX('Калькуляция (5.9)'!$AJ$25:$BC$137,,MATCH(AM$8,'Калькуляция (5.9)'!$AJ$8:$BC$8,0)),'Калькуляция (5.9)'!$F$25:$F$137,$F102,'Калькуляция (5.9)'!$G$25:$G$137,$G102))</f>
        <v>0</v>
      </c>
      <c r="AN102" s="18">
        <f ca="1">IF(method_reg="Метод сравнения аналогов",SUMIFS(INDEX('Калькуляция (МСА)'!$AE$25:$BC$82,,MATCH(AN$8,'Калькуляция (МСА)'!$AE$8:$BC$8,0)),'Калькуляция (МСА)'!$F$25:$F$82,$F102,'Калькуляция (МСА)'!$G$25:$G$82,$G102),SUMIFS(INDEX('Калькуляция (5.9)'!$AJ$25:$BC$137,,MATCH(AN$8,'Калькуляция (5.9)'!$AJ$8:$BC$8,0)),'Калькуляция (5.9)'!$F$25:$F$137,$F102,'Калькуляция (5.9)'!$G$25:$G$137,$G102))</f>
        <v>0</v>
      </c>
      <c r="AO102" s="306">
        <f ca="1">IF(AM102=0,0,(AN102-AM102)/AM102*100)</f>
        <v>0</v>
      </c>
      <c r="AP102" s="18">
        <f ca="1">IF(method_reg="Метод сравнения аналогов",SUMIFS(INDEX('Калькуляция (МСА)'!$AE$25:$BC$82,,MATCH(AP$8,'Калькуляция (МСА)'!$AE$8:$BC$8,0)),'Калькуляция (МСА)'!$F$25:$F$82,$F102,'Калькуляция (МСА)'!$G$25:$G$82,$G102),SUMIFS(INDEX('Калькуляция (5.9)'!$AJ$25:$BC$137,,MATCH(AP$8,'Калькуляция (5.9)'!$AJ$8:$BC$8,0)),'Калькуляция (5.9)'!$F$25:$F$137,$F102,'Калькуляция (5.9)'!$G$25:$G$137,$G102))</f>
        <v>0</v>
      </c>
      <c r="AQ102" s="18">
        <f ca="1">IF(method_reg="Метод сравнения аналогов",SUMIFS(INDEX('Калькуляция (МСА)'!$AE$25:$BC$82,,MATCH(AQ$8,'Калькуляция (МСА)'!$AE$8:$BC$8,0)),'Калькуляция (МСА)'!$F$25:$F$82,$F102,'Калькуляция (МСА)'!$G$25:$G$82,$G102),SUMIFS(INDEX('Калькуляция (5.9)'!$AJ$25:$BC$137,,MATCH(AQ$8,'Калькуляция (5.9)'!$AJ$8:$BC$8,0)),'Калькуляция (5.9)'!$F$25:$F$137,$F102,'Калькуляция (5.9)'!$G$25:$G$137,$G102))</f>
        <v>0</v>
      </c>
      <c r="AR102" s="306">
        <f ca="1">IF(AP102=0,0,(AQ102-AP102)/AP102*100)</f>
        <v>0</v>
      </c>
      <c r="AS102" s="18">
        <f ca="1">IF(method_reg="Метод сравнения аналогов",SUMIFS(INDEX('Калькуляция (МСА)'!$AE$25:$BC$82,,MATCH(AS$8,'Калькуляция (МСА)'!$AE$8:$BC$8,0)),'Калькуляция (МСА)'!$F$25:$F$82,$F102,'Калькуляция (МСА)'!$G$25:$G$82,$G102),SUMIFS(INDEX('Калькуляция (5.9)'!$AJ$25:$BC$137,,MATCH(AS$8,'Калькуляция (5.9)'!$AJ$8:$BC$8,0)),'Калькуляция (5.9)'!$F$25:$F$137,$F102,'Калькуляция (5.9)'!$G$25:$G$137,$G102))</f>
        <v>0</v>
      </c>
      <c r="AT102" s="18">
        <f ca="1">IF(method_reg="Метод сравнения аналогов",SUMIFS(INDEX('Калькуляция (МСА)'!$AE$25:$BC$82,,MATCH(AT$8,'Калькуляция (МСА)'!$AE$8:$BC$8,0)),'Калькуляция (МСА)'!$F$25:$F$82,$F102,'Калькуляция (МСА)'!$G$25:$G$82,$G102),SUMIFS(INDEX('Калькуляция (5.9)'!$AJ$25:$BC$137,,MATCH(AT$8,'Калькуляция (5.9)'!$AJ$8:$BC$8,0)),'Калькуляция (5.9)'!$F$25:$F$137,$F102,'Калькуляция (5.9)'!$G$25:$G$137,$G102))</f>
        <v>0</v>
      </c>
      <c r="AU102" s="306">
        <f ca="1">IF(AS102=0,0,(AT102-AS102)/AS102*100)</f>
        <v>0</v>
      </c>
      <c r="AV102" s="18">
        <f ca="1">IF(method_reg="Метод сравнения аналогов",SUMIFS(INDEX('Калькуляция (МСА)'!$AE$25:$BC$82,,MATCH(AV$8,'Калькуляция (МСА)'!$AE$8:$BC$8,0)),'Калькуляция (МСА)'!$F$25:$F$82,$F102,'Калькуляция (МСА)'!$G$25:$G$82,$G102),SUMIFS(INDEX('Калькуляция (5.9)'!$AJ$25:$BC$137,,MATCH(AV$8,'Калькуляция (5.9)'!$AJ$8:$BC$8,0)),'Калькуляция (5.9)'!$F$25:$F$137,$F102,'Калькуляция (5.9)'!$G$25:$G$137,$G102))</f>
        <v>0</v>
      </c>
      <c r="AW102" s="18">
        <f ca="1">IF(method_reg="Метод сравнения аналогов",SUMIFS(INDEX('Калькуляция (МСА)'!$AE$25:$BC$82,,MATCH(AW$8,'Калькуляция (МСА)'!$AE$8:$BC$8,0)),'Калькуляция (МСА)'!$F$25:$F$82,$F102,'Калькуляция (МСА)'!$G$25:$G$82,$G102),SUMIFS(INDEX('Калькуляция (5.9)'!$AJ$25:$BC$137,,MATCH(AW$8,'Калькуляция (5.9)'!$AJ$8:$BC$8,0)),'Калькуляция (5.9)'!$F$25:$F$137,$F102,'Калькуляция (5.9)'!$G$25:$G$137,$G102))</f>
        <v>0</v>
      </c>
      <c r="AX102" s="306">
        <f ca="1">IF(AV102=0,0,(AW102-AV102)/AV102*100)</f>
        <v>0</v>
      </c>
      <c r="AY102" s="18">
        <f ca="1">IF(method_reg="Метод сравнения аналогов",SUMIFS(INDEX('Калькуляция (МСА)'!$AE$25:$BC$82,,MATCH(AY$8,'Калькуляция (МСА)'!$AE$8:$BC$8,0)),'Калькуляция (МСА)'!$F$25:$F$82,$F102,'Калькуляция (МСА)'!$G$25:$G$82,$G102),SUMIFS(INDEX('Калькуляция (5.9)'!$AJ$25:$BC$137,,MATCH(AY$8,'Калькуляция (5.9)'!$AJ$8:$BC$8,0)),'Калькуляция (5.9)'!$F$25:$F$137,$F102,'Калькуляция (5.9)'!$G$25:$G$137,$G102))</f>
        <v>0</v>
      </c>
      <c r="AZ102" s="18">
        <f ca="1">IF(method_reg="Метод сравнения аналогов",SUMIFS(INDEX('Калькуляция (МСА)'!$AE$25:$BC$82,,MATCH(AZ$8,'Калькуляция (МСА)'!$AE$8:$BC$8,0)),'Калькуляция (МСА)'!$F$25:$F$82,$F102,'Калькуляция (МСА)'!$G$25:$G$82,$G102),SUMIFS(INDEX('Калькуляция (5.9)'!$AJ$25:$BC$137,,MATCH(AZ$8,'Калькуляция (5.9)'!$AJ$8:$BC$8,0)),'Калькуляция (5.9)'!$F$25:$F$137,$F102,'Калькуляция (5.9)'!$G$25:$G$137,$G102))</f>
        <v>0</v>
      </c>
      <c r="BA102" s="306">
        <f ca="1">IF(AY102=0,0,(AZ102-AY102)/AY102*100)</f>
        <v>0</v>
      </c>
      <c r="BB102" s="18">
        <f ca="1">IF(method_reg="Метод сравнения аналогов",SUMIFS(INDEX('Калькуляция (МСА)'!$AE$25:$BC$82,,MATCH(BB$8,'Калькуляция (МСА)'!$AE$8:$BC$8,0)),'Калькуляция (МСА)'!$F$25:$F$82,$F102,'Калькуляция (МСА)'!$G$25:$G$82,$G102),SUMIFS(INDEX('Калькуляция (5.9)'!$AJ$25:$BC$137,,MATCH(BB$8,'Калькуляция (5.9)'!$AJ$8:$BC$8,0)),'Калькуляция (5.9)'!$F$25:$F$137,$F102,'Калькуляция (5.9)'!$G$25:$G$137,$G102))</f>
        <v>0</v>
      </c>
      <c r="BC102" s="18">
        <f ca="1">IF(method_reg="Метод сравнения аналогов",SUMIFS(INDEX('Калькуляция (МСА)'!$AE$25:$BC$82,,MATCH(BC$8,'Калькуляция (МСА)'!$AE$8:$BC$8,0)),'Калькуляция (МСА)'!$F$25:$F$82,$F102,'Калькуляция (МСА)'!$G$25:$G$82,$G102),SUMIFS(INDEX('Калькуляция (5.9)'!$AJ$25:$BC$137,,MATCH(BC$8,'Калькуляция (5.9)'!$AJ$8:$BC$8,0)),'Калькуляция (5.9)'!$F$25:$F$137,$F102,'Калькуляция (5.9)'!$G$25:$G$137,$G102))</f>
        <v>0</v>
      </c>
      <c r="BD102" s="306">
        <f ca="1">IF(BB102=0,0,(BC102-BB102)/BB102*100)</f>
        <v>0</v>
      </c>
      <c r="BE102" s="18">
        <f ca="1">IF(method_reg="Метод сравнения аналогов",SUMIFS(INDEX('Калькуляция (МСА)'!$AE$25:$BC$82,,MATCH(BE$8,'Калькуляция (МСА)'!$AE$8:$BC$8,0)),'Калькуляция (МСА)'!$F$25:$F$82,$F102,'Калькуляция (МСА)'!$G$25:$G$82,$G102),SUMIFS(INDEX('Калькуляция (5.9)'!$AJ$25:$BC$137,,MATCH(BE$8,'Калькуляция (5.9)'!$AJ$8:$BC$8,0)),'Калькуляция (5.9)'!$F$25:$F$137,$F102,'Калькуляция (5.9)'!$G$25:$G$137,$G102))</f>
        <v>0</v>
      </c>
      <c r="BF102" s="18">
        <f ca="1">IF(method_reg="Метод сравнения аналогов",SUMIFS(INDEX('Калькуляция (МСА)'!$AE$25:$BC$82,,MATCH(BF$8,'Калькуляция (МСА)'!$AE$8:$BC$8,0)),'Калькуляция (МСА)'!$F$25:$F$82,$F102,'Калькуляция (МСА)'!$G$25:$G$82,$G102),SUMIFS(INDEX('Калькуляция (5.9)'!$AJ$25:$BC$137,,MATCH(BF$8,'Калькуляция (5.9)'!$AJ$8:$BC$8,0)),'Калькуляция (5.9)'!$F$25:$F$137,$F102,'Калькуляция (5.9)'!$G$25:$G$137,$G102))</f>
        <v>0</v>
      </c>
      <c r="BG102" s="306">
        <f ca="1">IF(BE102=0,0,(BF102-BE102)/BE102*100)</f>
        <v>0</v>
      </c>
      <c r="BH102" s="18">
        <f>IF(BH104=0,0,(BH103*BH104+BH105*BH106*6)/BH104)</f>
        <v>0</v>
      </c>
      <c r="BI102" s="18">
        <f>IF(BI104=0,0,(BI103*BI104+BI105*BI106*6)/BI104)</f>
        <v>0</v>
      </c>
      <c r="BJ102" s="306">
        <f>IF(BH102=0,0,(BI102-BH102)/BH102*100)</f>
        <v>0</v>
      </c>
      <c r="BK102" s="18">
        <f>IF(BK104=0,0,(BK103*BK104+BK105*BK106*6)/BK104)</f>
        <v>0</v>
      </c>
      <c r="BL102" s="18">
        <f>IF(BL104=0,0,(BL103*BL104+BL105*BL106*6)/BL104)</f>
        <v>0</v>
      </c>
      <c r="BM102" s="306">
        <f>IF(BK102=0,0,(BL102-BK102)/BK102*100)</f>
        <v>0</v>
      </c>
      <c r="BN102" s="18">
        <f>IF(BN104=0,0,(BN103*BN104+BN105*BN106*6)/BN104)</f>
        <v>0</v>
      </c>
      <c r="BO102" s="18">
        <f>IF(BO104=0,0,(BO103*BO104+BO105*BO106*6)/BO104)</f>
        <v>0</v>
      </c>
      <c r="BP102" s="306">
        <f>IF(BN102=0,0,(BO102-BN102)/BN102*100)</f>
        <v>0</v>
      </c>
      <c r="BQ102" s="18">
        <f>IF(BQ104=0,0,(BQ103*BQ104+BQ105*BQ106*6)/BQ104)</f>
        <v>0</v>
      </c>
      <c r="BR102" s="18">
        <f>IF(BR104=0,0,(BR103*BR104+BR105*BR106*6)/BR104)</f>
        <v>0</v>
      </c>
      <c r="BS102" s="306">
        <f>IF(BQ102=0,0,(BR102-BQ102)/BQ102*100)</f>
        <v>0</v>
      </c>
      <c r="BT102" s="18">
        <f>IF(BT104=0,0,(BT103*BT104+BT105*BT106*6)/BT104)</f>
        <v>0</v>
      </c>
      <c r="BU102" s="18">
        <f>IF(BU104=0,0,(BU103*BU104+BU105*BU106*6)/BU104)</f>
        <v>0</v>
      </c>
      <c r="BV102" s="306">
        <f>IF(BT102=0,0,(BU102-BT102)/BT102*100)</f>
        <v>0</v>
      </c>
      <c r="BW102" s="18">
        <f>IF(BW104=0,0,(BW103*BW104+BW105*BW106*6)/BW104)</f>
        <v>0</v>
      </c>
      <c r="BX102" s="18">
        <f>IF(BX104=0,0,(BX103*BX104+BX105*BX106*6)/BX104)</f>
        <v>0</v>
      </c>
      <c r="BY102" s="306">
        <f>IF(BW102=0,0,(BX102-BW102)/BW102*100)</f>
        <v>0</v>
      </c>
      <c r="BZ102" s="18">
        <f>IF(BZ104=0,0,(BZ103*BZ104+BZ105*BZ106*6)/BZ104)</f>
        <v>0</v>
      </c>
      <c r="CA102" s="18">
        <f>IF(CA104=0,0,(CA103*CA104+CA105*CA106*6)/CA104)</f>
        <v>0</v>
      </c>
      <c r="CB102" s="306">
        <f>IF(BZ102=0,0,(CA102-BZ102)/BZ102*100)</f>
        <v>0</v>
      </c>
      <c r="CC102" s="18">
        <f>IF(CC104=0,0,(CC103*CC104+CC105*CC106*6)/CC104)</f>
        <v>0</v>
      </c>
      <c r="CD102" s="18">
        <f>IF(CD104=0,0,(CD103*CD104+CD105*CD106*6)/CD104)</f>
        <v>0</v>
      </c>
      <c r="CE102" s="306">
        <f>IF(CC102=0,0,(CD102-CC102)/CC102*100)</f>
        <v>0</v>
      </c>
      <c r="CF102" s="18">
        <f>IF(CF104=0,0,(CF103*CF104+CF105*CF106*6)/CF104)</f>
        <v>0</v>
      </c>
      <c r="CG102" s="18">
        <f>IF(CG104=0,0,(CG103*CG104+CG105*CG106*6)/CG104)</f>
        <v>0</v>
      </c>
      <c r="CH102" s="306">
        <f>IF(CF102=0,0,(CG102-CF102)/CF102*100)</f>
        <v>0</v>
      </c>
      <c r="CI102" s="18">
        <f>IF(CI104=0,0,(CI103*CI104+CI105*CI106*6)/CI104)</f>
        <v>0</v>
      </c>
      <c r="CJ102" s="18">
        <f>IF(CJ104=0,0,(CJ103*CJ104+CJ105*CJ106*6)/CJ104)</f>
        <v>0</v>
      </c>
      <c r="CK102" s="306">
        <f>IF(CI102=0,0,(CJ102-CI102)/CI102*100)</f>
        <v>0</v>
      </c>
      <c r="CL102" s="18">
        <f>IF(CL104=0,0,(CL103*CL104+CL105*CL106*6)/CL104)</f>
        <v>0</v>
      </c>
      <c r="CM102" s="18">
        <f>IF(CM104=0,0,(CM103*CM104+CM105*CM106*6)/CM104)</f>
        <v>0</v>
      </c>
      <c r="CN102" s="306">
        <f>IF(CL102=0,0,(CM102-CL102)/CL102*100)</f>
        <v>0</v>
      </c>
      <c r="CO102" s="18">
        <f>IF(CO104=0,0,(CO103*CO104+CO105*CO106*6)/CO104)</f>
        <v>0</v>
      </c>
      <c r="CP102" s="18">
        <f>IF(CP104=0,0,(CP103*CP104+CP105*CP106*6)/CP104)</f>
        <v>0</v>
      </c>
      <c r="CQ102" s="306">
        <f>IF(CO102=0,0,(CP102-CO102)/CO102*100)</f>
        <v>0</v>
      </c>
      <c r="CR102" s="18">
        <f>IF(CR104=0,0,(CR103*CR104+CR105*CR106*6)/CR104)</f>
        <v>0</v>
      </c>
      <c r="CS102" s="18">
        <f>IF(CS104=0,0,(CS103*CS104+CS105*CS106*6)/CS104)</f>
        <v>0</v>
      </c>
      <c r="CT102" s="306">
        <f>IF(CR102=0,0,(CS102-CR102)/CR102*100)</f>
        <v>0</v>
      </c>
      <c r="CU102" s="18">
        <f>IF(CU104=0,0,(CU103*CU104+CU105*CU106*6)/CU104)</f>
        <v>0</v>
      </c>
      <c r="CV102" s="18">
        <f>IF(CV104=0,0,(CV103*CV104+CV105*CV106*6)/CV104)</f>
        <v>0</v>
      </c>
      <c r="CW102" s="306">
        <f>IF(CU102=0,0,(CV102-CU102)/CU102*100)</f>
        <v>0</v>
      </c>
      <c r="CX102" s="18">
        <f>IF(CX104=0,0,(CX103*CX104+CX105*CX106*6)/CX104)</f>
        <v>0</v>
      </c>
      <c r="CY102" s="18">
        <f>IF(CY104=0,0,(CY103*CY104+CY105*CY106*6)/CY104)</f>
        <v>0</v>
      </c>
      <c r="CZ102" s="306">
        <f>IF(CX102=0,0,(CY102-CX102)/CX102*100)</f>
        <v>0</v>
      </c>
      <c r="DA102" s="18">
        <f>IF(DA104=0,0,(DA103*DA104+DA105*DA106*6)/DA104)</f>
        <v>0</v>
      </c>
      <c r="DB102" s="18">
        <f>IF(DB104=0,0,(DB103*DB104+DB105*DB106*6)/DB104)</f>
        <v>0</v>
      </c>
      <c r="DC102" s="306">
        <f>IF(DA102=0,0,(DB102-DA102)/DA102*100)</f>
        <v>0</v>
      </c>
      <c r="DD102" s="18">
        <f>IF(DD104=0,0,(DD103*DD104+DD105*DD106*6)/DD104)</f>
        <v>0</v>
      </c>
      <c r="DE102" s="18">
        <f>IF(DE104=0,0,(DE103*DE104+DE105*DE106*6)/DE104)</f>
        <v>0</v>
      </c>
      <c r="DF102" s="306">
        <f>IF(DD102=0,0,(DE102-DD102)/DD102*100)</f>
        <v>0</v>
      </c>
      <c r="DG102" s="18">
        <f>IF(DG104=0,0,(DG103*DG104+DG105*DG106*6)/DG104)</f>
        <v>0</v>
      </c>
      <c r="DH102" s="18">
        <f>IF(DH104=0,0,(DH103*DH104+DH105*DH106*6)/DH104)</f>
        <v>0</v>
      </c>
      <c r="DI102" s="306">
        <f>IF(DG102=0,0,(DH102-DG102)/DG102*100)</f>
        <v>0</v>
      </c>
      <c r="DJ102" s="18">
        <f>IF(DJ104=0,0,(DJ103*DJ104+DJ105*DJ106*6)/DJ104)</f>
        <v>0</v>
      </c>
      <c r="DK102" s="18">
        <f>IF(DK104=0,0,(DK103*DK104+DK105*DK106*6)/DK104)</f>
        <v>0</v>
      </c>
      <c r="DL102" s="306">
        <f>IF(DJ102=0,0,(DK102-DJ102)/DJ102*100)</f>
        <v>0</v>
      </c>
      <c r="DM102" s="18">
        <f>IF(DM104=0,0,(DM103*DM104+DM105*DM106*6)/DM104)</f>
        <v>0</v>
      </c>
      <c r="DN102" s="18">
        <f>IF(DN104=0,0,(DN103*DN104+DN105*DN106*6)/DN104)</f>
        <v>0</v>
      </c>
      <c r="DO102" s="306">
        <f>IF(DM102=0,0,(DN102-DM102)/DM102*100)</f>
        <v>0</v>
      </c>
      <c r="DP102" s="18">
        <f>IF(DP104=0,0,(DP103*DP104+DP105*DP106*6)/DP104)</f>
        <v>0</v>
      </c>
      <c r="DQ102" s="18">
        <f>IF(DQ104=0,0,(DQ103*DQ104+DQ105*DQ106*6)/DQ104)</f>
        <v>0</v>
      </c>
      <c r="DR102" s="306">
        <f>IF(DP102=0,0,(DQ102-DP102)/DP102*100)</f>
        <v>0</v>
      </c>
      <c r="DS102" s="18">
        <f>IF(DS104=0,0,(DS103*DS104+DS105*DS106*6)/DS104)</f>
        <v>0</v>
      </c>
      <c r="DT102" s="18">
        <f>IF(DT104=0,0,(DT103*DT104+DT105*DT106*6)/DT104)</f>
        <v>0</v>
      </c>
      <c r="DU102" s="306">
        <f>IF(DS102=0,0,(DT102-DS102)/DS102*100)</f>
        <v>0</v>
      </c>
      <c r="DV102" s="18">
        <f>IF(DV104=0,0,(DV103*DV104+DV105*DV106*6)/DV104)</f>
        <v>0</v>
      </c>
      <c r="DW102" s="18">
        <f>IF(DW104=0,0,(DW103*DW104+DW105*DW106*6)/DW104)</f>
        <v>0</v>
      </c>
      <c r="DX102" s="306">
        <f>IF(DV102=0,0,(DW102-DV102)/DV102*100)</f>
        <v>0</v>
      </c>
      <c r="DY102" s="18">
        <f>IF(DY104=0,0,(DY103*DY104+DY105*DY106*6)/DY104)</f>
        <v>0</v>
      </c>
      <c r="DZ102" s="18">
        <f>IF(DZ104=0,0,(DZ103*DZ104+DZ105*DZ106*6)/DZ104)</f>
        <v>0</v>
      </c>
      <c r="EA102" s="306">
        <f>IF(DY102=0,0,(DZ102-DY102)/DY102*100)</f>
        <v>0</v>
      </c>
      <c r="EB102" s="18">
        <f>IF(EB104=0,0,(EB103*EB104+EB105*EB106*6)/EB104)</f>
        <v>0</v>
      </c>
      <c r="EC102" s="18">
        <f>IF(EC104=0,0,(EC103*EC104+EC105*EC106*6)/EC104)</f>
        <v>0</v>
      </c>
      <c r="ED102" s="306">
        <f>IF(EB102=0,0,(EC102-EB102)/EB102*100)</f>
        <v>0</v>
      </c>
      <c r="EE102" s="18">
        <f>IF(EE104=0,0,(EE103*EE104+EE105*EE106*6)/EE104)</f>
        <v>0</v>
      </c>
      <c r="EF102" s="18">
        <f>IF(EF104=0,0,(EF103*EF104+EF105*EF106*6)/EF104)</f>
        <v>0</v>
      </c>
      <c r="EG102" s="306">
        <f>IF(EE102=0,0,(EF102-EE102)/EE102*100)</f>
        <v>0</v>
      </c>
      <c r="EH102" s="18">
        <f>IF(EH104=0,0,(EH103*EH104+EH105*EH106*6)/EH104)</f>
        <v>0</v>
      </c>
      <c r="EI102" s="18">
        <f>IF(EI104=0,0,(EI103*EI104+EI105*EI106*6)/EI104)</f>
        <v>0</v>
      </c>
      <c r="EJ102" s="306">
        <f>IF(EH102=0,0,(EI102-EH102)/EH102*100)</f>
        <v>0</v>
      </c>
      <c r="EK102" s="18">
        <f>IF(EK104=0,0,(EK103*EK104+EK105*EK106*6)/EK104)</f>
        <v>0</v>
      </c>
      <c r="EL102" s="18">
        <f>IF(EL104=0,0,(EL103*EL104+EL105*EL106*6)/EL104)</f>
        <v>0</v>
      </c>
      <c r="EM102" s="306">
        <f>IF(EK102=0,0,(EL102-EK102)/EK102*100)</f>
        <v>0</v>
      </c>
      <c r="EN102" s="18">
        <f>IF(EN104=0,0,(EN103*EN104+EN105*EN106*6)/EN104)</f>
        <v>0</v>
      </c>
      <c r="EO102" s="18">
        <f>IF(EO104=0,0,(EO103*EO104+EO105*EO106*6)/EO104)</f>
        <v>0</v>
      </c>
      <c r="EP102" s="306">
        <f>IF(EN102=0,0,(EO102-EN102)/EN102*100)</f>
        <v>0</v>
      </c>
      <c r="EQ102" s="18">
        <f>IF(EQ104=0,0,(EQ103*EQ104+EQ105*EQ106*6)/EQ104)</f>
        <v>0</v>
      </c>
      <c r="ER102" s="18">
        <f>IF(ER104=0,0,(ER103*ER104+ER105*ER106*6)/ER104)</f>
        <v>0</v>
      </c>
      <c r="ES102" s="306">
        <f>IF(EQ102=0,0,(ER102-EQ102)/EQ102*100)</f>
        <v>0</v>
      </c>
      <c r="ET102" s="18">
        <f>IF(ET104=0,0,(ET103*ET104+ET105*ET106*6)/ET104)</f>
        <v>0</v>
      </c>
      <c r="EU102" s="18">
        <f>IF(EU104=0,0,(EU103*EU104+EU105*EU106*6)/EU104)</f>
        <v>0</v>
      </c>
      <c r="EV102" s="306">
        <f>IF(ET102=0,0,(EU102-ET102)/ET102*100)</f>
        <v>0</v>
      </c>
      <c r="EW102" s="18">
        <f>IF(EW104=0,0,(EW103*EW104+EW105*EW106*6)/EW104)</f>
        <v>0</v>
      </c>
      <c r="EX102" s="18">
        <f>IF(EX104=0,0,(EX103*EX104+EX105*EX106*6)/EX104)</f>
        <v>0</v>
      </c>
      <c r="EY102" s="306">
        <f>IF(EW102=0,0,(EX102-EW102)/EW102*100)</f>
        <v>0</v>
      </c>
      <c r="EZ102" s="18">
        <f>IF(EZ104=0,0,(EZ103*EZ104+EZ105*EZ106*6)/EZ104)</f>
        <v>0</v>
      </c>
      <c r="FA102" s="18">
        <f>IF(FA104=0,0,(FA103*FA104+FA105*FA106*6)/FA104)</f>
        <v>0</v>
      </c>
      <c r="FB102" s="306">
        <f>IF(EZ102=0,0,(FA102-EZ102)/EZ102*100)</f>
        <v>0</v>
      </c>
      <c r="FC102" s="18">
        <f>IF(FC104=0,0,(FC103*FC104+FC105*FC106*6)/FC104)</f>
        <v>0</v>
      </c>
      <c r="FD102" s="18">
        <f>IF(FD104=0,0,(FD103*FD104+FD105*FD106*6)/FD104)</f>
        <v>0</v>
      </c>
      <c r="FE102" s="306">
        <f>IF(FC102=0,0,(FD102-FC102)/FC102*100)</f>
        <v>0</v>
      </c>
      <c r="FF102" s="18">
        <f>IF(FF104=0,0,(FF103*FF104+FF105*FF106*6)/FF104)</f>
        <v>0</v>
      </c>
      <c r="FG102" s="18">
        <f>IF(FG104=0,0,(FG103*FG104+FG105*FG106*6)/FG104)</f>
        <v>0</v>
      </c>
      <c r="FH102" s="306">
        <f>IF(FF102=0,0,(FG102-FF102)/FF102*100)</f>
        <v>0</v>
      </c>
      <c r="FI102" s="18">
        <f>IF(FI104=0,0,(FI103*FI104+FI105*FI106*6)/FI104)</f>
        <v>0</v>
      </c>
      <c r="FJ102" s="18">
        <f>IF(FJ104=0,0,(FJ103*FJ104+FJ105*FJ106*6)/FJ104)</f>
        <v>0</v>
      </c>
      <c r="FK102" s="306">
        <f>IF(FI102=0,0,(FJ102-FI102)/FI102*100)</f>
        <v>0</v>
      </c>
      <c r="FL102" s="18">
        <f>IF(FL104=0,0,(FL103*FL104+FL105*FL106*6)/FL104)</f>
        <v>0</v>
      </c>
      <c r="FM102" s="18">
        <f>IF(FM104=0,0,(FM103*FM104+FM105*FM106*6)/FM104)</f>
        <v>0</v>
      </c>
      <c r="FN102" s="306">
        <f>IF(FL102=0,0,(FM102-FL102)/FL102*100)</f>
        <v>0</v>
      </c>
      <c r="FO102" s="18">
        <f>IF(FO104=0,0,(FO103*FO104+FO105*FO106*6)/FO104)</f>
        <v>0</v>
      </c>
      <c r="FP102" s="18">
        <f>IF(FP104=0,0,(FP103*FP104+FP105*FP106*6)/FP104)</f>
        <v>0</v>
      </c>
      <c r="FQ102" s="306">
        <f>IF(FO102=0,0,(FP102-FO102)/FO102*100)</f>
        <v>0</v>
      </c>
      <c r="FR102" s="18">
        <f>IF(FR104=0,0,(FR103*FR104+FR105*FR106*6)/FR104)</f>
        <v>0</v>
      </c>
      <c r="FS102" s="18">
        <f>IF(FS104=0,0,(FS103*FS104+FS105*FS106*6)/FS104)</f>
        <v>0</v>
      </c>
      <c r="FT102" s="306">
        <f>IF(FR102=0,0,(FS102-FR102)/FR102*100)</f>
        <v>0</v>
      </c>
      <c r="FU102" s="18">
        <f>IF(FU104=0,0,(FU103*FU104+FU105*FU106*6)/FU104)</f>
        <v>0</v>
      </c>
      <c r="FV102" s="18">
        <f>IF(FV104=0,0,(FV103*FV104+FV105*FV106*6)/FV104)</f>
        <v>0</v>
      </c>
      <c r="FW102" s="306">
        <f>IF(FU102=0,0,(FV102-FU102)/FU102*100)</f>
        <v>0</v>
      </c>
      <c r="FX102" s="417"/>
      <c r="FY102" s="417"/>
      <c r="FZ102" s="971" t="s">
        <v>2184</v>
      </c>
      <c r="GA102" s="971"/>
      <c r="GB102" s="971"/>
      <c r="GC102" s="971"/>
      <c r="GD102" s="971"/>
    </row>
    <row r="103" spans="1:186" s="1167" customFormat="1" ht="15" hidden="1" customHeight="1" x14ac:dyDescent="0.15">
      <c r="A103" s="1152"/>
      <c r="B103" s="803" t="b" cm="1">
        <f t="array" ref="B103">B102</f>
        <v>0</v>
      </c>
      <c r="C103" s="1108" t="s">
        <v>2165</v>
      </c>
      <c r="D103" s="1077" t="s">
        <v>2166</v>
      </c>
      <c r="E103" s="668">
        <v>15.8</v>
      </c>
      <c r="F103" s="769" t="str" cm="1">
        <f t="array" aca="1" ref="F103" ca="1">OFFSET(G103,-1,-1)</f>
        <v>1</v>
      </c>
      <c r="G103" s="612" t="s">
        <v>1791</v>
      </c>
      <c r="H103" s="160" t="s">
        <v>2167</v>
      </c>
      <c r="I103" s="160" t="s">
        <v>2121</v>
      </c>
      <c r="J103" s="1098"/>
      <c r="K103" s="1098" t="str" cm="1">
        <f t="array" aca="1" ref="K103" ca="1">OFFSET(J103,-1,1)</f>
        <v>ТЭ.42.27968109.0001</v>
      </c>
      <c r="L103" s="1098"/>
      <c r="M103" s="1098" t="s">
        <v>1759</v>
      </c>
      <c r="N103" s="1098" t="s">
        <v>2117</v>
      </c>
      <c r="O103" s="1099" t="s">
        <v>2118</v>
      </c>
      <c r="P103" s="1098" t="s">
        <v>2168</v>
      </c>
      <c r="Q103" s="1098"/>
      <c r="R103" s="774"/>
      <c r="S103" s="417"/>
      <c r="T103" s="679" t="b" cm="1">
        <f t="array" aca="1" ref="T103" ca="1">T102</f>
        <v>0</v>
      </c>
      <c r="U103" s="1152"/>
      <c r="V103" s="1152"/>
      <c r="W103" s="1152"/>
      <c r="X103" s="1485"/>
      <c r="Y103" s="1152"/>
      <c r="Z103" s="1485"/>
      <c r="AA103" s="417"/>
      <c r="AB103" s="220" t="s">
        <v>2169</v>
      </c>
      <c r="AC103" s="120" t="s">
        <v>920</v>
      </c>
      <c r="AD103" s="18">
        <f ca="1">IF(method_reg="Метод экономически обоснованных расходов",SUMIFS('Калькуляция (4.6)'!AJ$25:AJ$162,'Калькуляция (4.6)'!$F$25:$F$162,$F103,'Калькуляция (4.6)'!$G$25:$G$162,$G103),IF(method_reg="Метод сравнения аналогов",SUMIFS(INDEX('Калькуляция (МСА)'!$AE$25:$BC$82,,MATCH(AD$8,'Калькуляция (МСА)'!$AE$8:$BC$8,0)),'Калькуляция (МСА)'!$F$25:$F$82,$F103,'Калькуляция (МСА)'!$G$25:$G$82,$G103),SUMIFS(INDEX('Калькуляция (5.9)'!$AJ$25:$BC$137,,MATCH(AD$8,'Калькуляция (5.9)'!$AJ$8:$BC$8,0)),'Калькуляция (5.9)'!$F$25:$F$137,$F103,'Калькуляция (5.9)'!$G$25:$G$137,$G103)))</f>
        <v>1261.1653114645358</v>
      </c>
      <c r="AE103" s="18">
        <f ca="1">IF(method_reg="Метод экономически обоснованных расходов",SUMIFS('Калькуляция (4.6)'!AK$25:AK$162,'Калькуляция (4.6)'!$F$25:$F$162,$F103,'Калькуляция (4.6)'!$G$25:$G$162,$G103),IF(method_reg="Метод сравнения аналогов",SUMIFS(INDEX('Калькуляция (МСА)'!$AE$25:$BC$82,,MATCH(AE$8,'Калькуляция (МСА)'!$AE$8:$BC$8,0)),'Калькуляция (МСА)'!$F$25:$F$82,$F103,'Калькуляция (МСА)'!$G$25:$G$82,$G103),SUMIFS(INDEX('Калькуляция (5.9)'!$AJ$25:$BC$137,,MATCH(AE$8,'Калькуляция (5.9)'!$AJ$8:$BC$8,0)),'Калькуляция (5.9)'!$F$25:$F$137,$F103,'Калькуляция (5.9)'!$G$25:$G$137,$G103)))</f>
        <v>1459.0565024358398</v>
      </c>
      <c r="AF103" s="306">
        <f ca="1">IF(AD103=0,0,(AE103-AD103)/AD103*100)</f>
        <v>15.691138122210299</v>
      </c>
      <c r="AG103" s="1215">
        <f ca="1">IF(method_reg="Метод сравнения аналогов",SUMIFS(INDEX('Калькуляция (МСА)'!$AE$25:$BC$82,,MATCH(AG$8,'Калькуляция (МСА)'!$AE$8:$BC$8,0)),'Калькуляция (МСА)'!$F$25:$F$82,$F103,'Калькуляция (МСА)'!$G$25:$G$82,$G103),SUMIFS(INDEX('Калькуляция (5.9)'!$AJ$25:$BC$137,,MATCH(AG$8,'Калькуляция (5.9)'!$AJ$8:$BC$8,0)),'Калькуляция (5.9)'!$F$25:$F$137,$F103,'Калькуляция (5.9)'!$G$25:$G$137,$G103))</f>
        <v>0</v>
      </c>
      <c r="AH103" s="1215">
        <f ca="1">IF(method_reg="Метод сравнения аналогов",SUMIFS(INDEX('Калькуляция (МСА)'!$AE$25:$BC$82,,MATCH(AH$8,'Калькуляция (МСА)'!$AE$8:$BC$8,0)),'Калькуляция (МСА)'!$F$25:$F$82,$F103,'Калькуляция (МСА)'!$G$25:$G$82,$G103),SUMIFS(INDEX('Калькуляция (5.9)'!$AJ$25:$BC$137,,MATCH(AH$8,'Калькуляция (5.9)'!$AJ$8:$BC$8,0)),'Калькуляция (5.9)'!$F$25:$F$137,$F103,'Калькуляция (5.9)'!$G$25:$G$137,$G103))</f>
        <v>0</v>
      </c>
      <c r="AI103" s="306">
        <f ca="1">IF(AG103=0,0,(AH103-AG103)/AG103*100)</f>
        <v>0</v>
      </c>
      <c r="AJ103" s="1215">
        <f ca="1">IF(method_reg="Метод сравнения аналогов",SUMIFS(INDEX('Калькуляция (МСА)'!$AE$25:$BC$82,,MATCH(AJ$8,'Калькуляция (МСА)'!$AE$8:$BC$8,0)),'Калькуляция (МСА)'!$F$25:$F$82,$F103,'Калькуляция (МСА)'!$G$25:$G$82,$G103),SUMIFS(INDEX('Калькуляция (5.9)'!$AJ$25:$BC$137,,MATCH(AJ$8,'Калькуляция (5.9)'!$AJ$8:$BC$8,0)),'Калькуляция (5.9)'!$F$25:$F$137,$F103,'Калькуляция (5.9)'!$G$25:$G$137,$G103))</f>
        <v>0</v>
      </c>
      <c r="AK103" s="1215">
        <f ca="1">IF(method_reg="Метод сравнения аналогов",SUMIFS(INDEX('Калькуляция (МСА)'!$AE$25:$BC$82,,MATCH(AK$8,'Калькуляция (МСА)'!$AE$8:$BC$8,0)),'Калькуляция (МСА)'!$F$25:$F$82,$F103,'Калькуляция (МСА)'!$G$25:$G$82,$G103),SUMIFS(INDEX('Калькуляция (5.9)'!$AJ$25:$BC$137,,MATCH(AK$8,'Калькуляция (5.9)'!$AJ$8:$BC$8,0)),'Калькуляция (5.9)'!$F$25:$F$137,$F103,'Калькуляция (5.9)'!$G$25:$G$137,$G103))</f>
        <v>0</v>
      </c>
      <c r="AL103" s="306">
        <f ca="1">IF(AJ103=0,0,(AK103-AJ103)/AJ103*100)</f>
        <v>0</v>
      </c>
      <c r="AM103" s="18">
        <f ca="1">IF(method_reg="Метод сравнения аналогов",SUMIFS(INDEX('Калькуляция (МСА)'!$AE$25:$BC$82,,MATCH(AM$8,'Калькуляция (МСА)'!$AE$8:$BC$8,0)),'Калькуляция (МСА)'!$F$25:$F$82,$F103,'Калькуляция (МСА)'!$G$25:$G$82,$G103),SUMIFS(INDEX('Калькуляция (5.9)'!$AJ$25:$BC$137,,MATCH(AM$8,'Калькуляция (5.9)'!$AJ$8:$BC$8,0)),'Калькуляция (5.9)'!$F$25:$F$137,$F103,'Калькуляция (5.9)'!$G$25:$G$137,$G103))</f>
        <v>0</v>
      </c>
      <c r="AN103" s="18">
        <f ca="1">IF(method_reg="Метод сравнения аналогов",SUMIFS(INDEX('Калькуляция (МСА)'!$AE$25:$BC$82,,MATCH(AN$8,'Калькуляция (МСА)'!$AE$8:$BC$8,0)),'Калькуляция (МСА)'!$F$25:$F$82,$F103,'Калькуляция (МСА)'!$G$25:$G$82,$G103),SUMIFS(INDEX('Калькуляция (5.9)'!$AJ$25:$BC$137,,MATCH(AN$8,'Калькуляция (5.9)'!$AJ$8:$BC$8,0)),'Калькуляция (5.9)'!$F$25:$F$137,$F103,'Калькуляция (5.9)'!$G$25:$G$137,$G103))</f>
        <v>0</v>
      </c>
      <c r="AO103" s="306">
        <f ca="1">IF(AM103=0,0,(AN103-AM103)/AM103*100)</f>
        <v>0</v>
      </c>
      <c r="AP103" s="18">
        <f ca="1">IF(method_reg="Метод сравнения аналогов",SUMIFS(INDEX('Калькуляция (МСА)'!$AE$25:$BC$82,,MATCH(AP$8,'Калькуляция (МСА)'!$AE$8:$BC$8,0)),'Калькуляция (МСА)'!$F$25:$F$82,$F103,'Калькуляция (МСА)'!$G$25:$G$82,$G103),SUMIFS(INDEX('Калькуляция (5.9)'!$AJ$25:$BC$137,,MATCH(AP$8,'Калькуляция (5.9)'!$AJ$8:$BC$8,0)),'Калькуляция (5.9)'!$F$25:$F$137,$F103,'Калькуляция (5.9)'!$G$25:$G$137,$G103))</f>
        <v>0</v>
      </c>
      <c r="AQ103" s="18">
        <f ca="1">IF(method_reg="Метод сравнения аналогов",SUMIFS(INDEX('Калькуляция (МСА)'!$AE$25:$BC$82,,MATCH(AQ$8,'Калькуляция (МСА)'!$AE$8:$BC$8,0)),'Калькуляция (МСА)'!$F$25:$F$82,$F103,'Калькуляция (МСА)'!$G$25:$G$82,$G103),SUMIFS(INDEX('Калькуляция (5.9)'!$AJ$25:$BC$137,,MATCH(AQ$8,'Калькуляция (5.9)'!$AJ$8:$BC$8,0)),'Калькуляция (5.9)'!$F$25:$F$137,$F103,'Калькуляция (5.9)'!$G$25:$G$137,$G103))</f>
        <v>0</v>
      </c>
      <c r="AR103" s="306">
        <f ca="1">IF(AP103=0,0,(AQ103-AP103)/AP103*100)</f>
        <v>0</v>
      </c>
      <c r="AS103" s="18">
        <f ca="1">IF(method_reg="Метод сравнения аналогов",SUMIFS(INDEX('Калькуляция (МСА)'!$AE$25:$BC$82,,MATCH(AS$8,'Калькуляция (МСА)'!$AE$8:$BC$8,0)),'Калькуляция (МСА)'!$F$25:$F$82,$F103,'Калькуляция (МСА)'!$G$25:$G$82,$G103),SUMIFS(INDEX('Калькуляция (5.9)'!$AJ$25:$BC$137,,MATCH(AS$8,'Калькуляция (5.9)'!$AJ$8:$BC$8,0)),'Калькуляция (5.9)'!$F$25:$F$137,$F103,'Калькуляция (5.9)'!$G$25:$G$137,$G103))</f>
        <v>0</v>
      </c>
      <c r="AT103" s="18">
        <f ca="1">IF(method_reg="Метод сравнения аналогов",SUMIFS(INDEX('Калькуляция (МСА)'!$AE$25:$BC$82,,MATCH(AT$8,'Калькуляция (МСА)'!$AE$8:$BC$8,0)),'Калькуляция (МСА)'!$F$25:$F$82,$F103,'Калькуляция (МСА)'!$G$25:$G$82,$G103),SUMIFS(INDEX('Калькуляция (5.9)'!$AJ$25:$BC$137,,MATCH(AT$8,'Калькуляция (5.9)'!$AJ$8:$BC$8,0)),'Калькуляция (5.9)'!$F$25:$F$137,$F103,'Калькуляция (5.9)'!$G$25:$G$137,$G103))</f>
        <v>0</v>
      </c>
      <c r="AU103" s="306">
        <f ca="1">IF(AS103=0,0,(AT103-AS103)/AS103*100)</f>
        <v>0</v>
      </c>
      <c r="AV103" s="18">
        <f ca="1">IF(method_reg="Метод сравнения аналогов",SUMIFS(INDEX('Калькуляция (МСА)'!$AE$25:$BC$82,,MATCH(AV$8,'Калькуляция (МСА)'!$AE$8:$BC$8,0)),'Калькуляция (МСА)'!$F$25:$F$82,$F103,'Калькуляция (МСА)'!$G$25:$G$82,$G103),SUMIFS(INDEX('Калькуляция (5.9)'!$AJ$25:$BC$137,,MATCH(AV$8,'Калькуляция (5.9)'!$AJ$8:$BC$8,0)),'Калькуляция (5.9)'!$F$25:$F$137,$F103,'Калькуляция (5.9)'!$G$25:$G$137,$G103))</f>
        <v>0</v>
      </c>
      <c r="AW103" s="18">
        <f ca="1">IF(method_reg="Метод сравнения аналогов",SUMIFS(INDEX('Калькуляция (МСА)'!$AE$25:$BC$82,,MATCH(AW$8,'Калькуляция (МСА)'!$AE$8:$BC$8,0)),'Калькуляция (МСА)'!$F$25:$F$82,$F103,'Калькуляция (МСА)'!$G$25:$G$82,$G103),SUMIFS(INDEX('Калькуляция (5.9)'!$AJ$25:$BC$137,,MATCH(AW$8,'Калькуляция (5.9)'!$AJ$8:$BC$8,0)),'Калькуляция (5.9)'!$F$25:$F$137,$F103,'Калькуляция (5.9)'!$G$25:$G$137,$G103))</f>
        <v>0</v>
      </c>
      <c r="AX103" s="306">
        <f ca="1">IF(AV103=0,0,(AW103-AV103)/AV103*100)</f>
        <v>0</v>
      </c>
      <c r="AY103" s="18">
        <f ca="1">IF(method_reg="Метод сравнения аналогов",SUMIFS(INDEX('Калькуляция (МСА)'!$AE$25:$BC$82,,MATCH(AY$8,'Калькуляция (МСА)'!$AE$8:$BC$8,0)),'Калькуляция (МСА)'!$F$25:$F$82,$F103,'Калькуляция (МСА)'!$G$25:$G$82,$G103),SUMIFS(INDEX('Калькуляция (5.9)'!$AJ$25:$BC$137,,MATCH(AY$8,'Калькуляция (5.9)'!$AJ$8:$BC$8,0)),'Калькуляция (5.9)'!$F$25:$F$137,$F103,'Калькуляция (5.9)'!$G$25:$G$137,$G103))</f>
        <v>0</v>
      </c>
      <c r="AZ103" s="18">
        <f ca="1">IF(method_reg="Метод сравнения аналогов",SUMIFS(INDEX('Калькуляция (МСА)'!$AE$25:$BC$82,,MATCH(AZ$8,'Калькуляция (МСА)'!$AE$8:$BC$8,0)),'Калькуляция (МСА)'!$F$25:$F$82,$F103,'Калькуляция (МСА)'!$G$25:$G$82,$G103),SUMIFS(INDEX('Калькуляция (5.9)'!$AJ$25:$BC$137,,MATCH(AZ$8,'Калькуляция (5.9)'!$AJ$8:$BC$8,0)),'Калькуляция (5.9)'!$F$25:$F$137,$F103,'Калькуляция (5.9)'!$G$25:$G$137,$G103))</f>
        <v>0</v>
      </c>
      <c r="BA103" s="306">
        <f ca="1">IF(AY103=0,0,(AZ103-AY103)/AY103*100)</f>
        <v>0</v>
      </c>
      <c r="BB103" s="18">
        <f ca="1">IF(method_reg="Метод сравнения аналогов",SUMIFS(INDEX('Калькуляция (МСА)'!$AE$25:$BC$82,,MATCH(BB$8,'Калькуляция (МСА)'!$AE$8:$BC$8,0)),'Калькуляция (МСА)'!$F$25:$F$82,$F103,'Калькуляция (МСА)'!$G$25:$G$82,$G103),SUMIFS(INDEX('Калькуляция (5.9)'!$AJ$25:$BC$137,,MATCH(BB$8,'Калькуляция (5.9)'!$AJ$8:$BC$8,0)),'Калькуляция (5.9)'!$F$25:$F$137,$F103,'Калькуляция (5.9)'!$G$25:$G$137,$G103))</f>
        <v>0</v>
      </c>
      <c r="BC103" s="18">
        <f ca="1">IF(method_reg="Метод сравнения аналогов",SUMIFS(INDEX('Калькуляция (МСА)'!$AE$25:$BC$82,,MATCH(BC$8,'Калькуляция (МСА)'!$AE$8:$BC$8,0)),'Калькуляция (МСА)'!$F$25:$F$82,$F103,'Калькуляция (МСА)'!$G$25:$G$82,$G103),SUMIFS(INDEX('Калькуляция (5.9)'!$AJ$25:$BC$137,,MATCH(BC$8,'Калькуляция (5.9)'!$AJ$8:$BC$8,0)),'Калькуляция (5.9)'!$F$25:$F$137,$F103,'Калькуляция (5.9)'!$G$25:$G$137,$G103))</f>
        <v>0</v>
      </c>
      <c r="BD103" s="306">
        <f ca="1">IF(BB103=0,0,(BC103-BB103)/BB103*100)</f>
        <v>0</v>
      </c>
      <c r="BE103" s="18">
        <f ca="1">IF(method_reg="Метод сравнения аналогов",SUMIFS(INDEX('Калькуляция (МСА)'!$AE$25:$BC$82,,MATCH(BE$8,'Калькуляция (МСА)'!$AE$8:$BC$8,0)),'Калькуляция (МСА)'!$F$25:$F$82,$F103,'Калькуляция (МСА)'!$G$25:$G$82,$G103),SUMIFS(INDEX('Калькуляция (5.9)'!$AJ$25:$BC$137,,MATCH(BE$8,'Калькуляция (5.9)'!$AJ$8:$BC$8,0)),'Калькуляция (5.9)'!$F$25:$F$137,$F103,'Калькуляция (5.9)'!$G$25:$G$137,$G103))</f>
        <v>0</v>
      </c>
      <c r="BF103" s="18">
        <f ca="1">IF(method_reg="Метод сравнения аналогов",SUMIFS(INDEX('Калькуляция (МСА)'!$AE$25:$BC$82,,MATCH(BF$8,'Калькуляция (МСА)'!$AE$8:$BC$8,0)),'Калькуляция (МСА)'!$F$25:$F$82,$F103,'Калькуляция (МСА)'!$G$25:$G$82,$G103),SUMIFS(INDEX('Калькуляция (5.9)'!$AJ$25:$BC$137,,MATCH(BF$8,'Калькуляция (5.9)'!$AJ$8:$BC$8,0)),'Калькуляция (5.9)'!$F$25:$F$137,$F103,'Калькуляция (5.9)'!$G$25:$G$137,$G103))</f>
        <v>0</v>
      </c>
      <c r="BG103" s="306">
        <f ca="1">IF(BE103=0,0,(BF103-BE103)/BE103*100)</f>
        <v>0</v>
      </c>
      <c r="BH103" s="18"/>
      <c r="BI103" s="18"/>
      <c r="BJ103" s="306">
        <f>IF(BH103=0,0,(BI103-BH103)/BH103*100)</f>
        <v>0</v>
      </c>
      <c r="BK103" s="18"/>
      <c r="BL103" s="18"/>
      <c r="BM103" s="306">
        <f>IF(BK103=0,0,(BL103-BK103)/BK103*100)</f>
        <v>0</v>
      </c>
      <c r="BN103" s="18"/>
      <c r="BO103" s="18"/>
      <c r="BP103" s="306">
        <f>IF(BN103=0,0,(BO103-BN103)/BN103*100)</f>
        <v>0</v>
      </c>
      <c r="BQ103" s="18"/>
      <c r="BR103" s="18"/>
      <c r="BS103" s="306">
        <f>IF(BQ103=0,0,(BR103-BQ103)/BQ103*100)</f>
        <v>0</v>
      </c>
      <c r="BT103" s="18"/>
      <c r="BU103" s="18"/>
      <c r="BV103" s="306">
        <f>IF(BT103=0,0,(BU103-BT103)/BT103*100)</f>
        <v>0</v>
      </c>
      <c r="BW103" s="18"/>
      <c r="BX103" s="18"/>
      <c r="BY103" s="306">
        <f>IF(BW103=0,0,(BX103-BW103)/BW103*100)</f>
        <v>0</v>
      </c>
      <c r="BZ103" s="18"/>
      <c r="CA103" s="18"/>
      <c r="CB103" s="306">
        <f>IF(BZ103=0,0,(CA103-BZ103)/BZ103*100)</f>
        <v>0</v>
      </c>
      <c r="CC103" s="18"/>
      <c r="CD103" s="18"/>
      <c r="CE103" s="306">
        <f>IF(CC103=0,0,(CD103-CC103)/CC103*100)</f>
        <v>0</v>
      </c>
      <c r="CF103" s="18"/>
      <c r="CG103" s="18"/>
      <c r="CH103" s="306">
        <f>IF(CF103=0,0,(CG103-CF103)/CF103*100)</f>
        <v>0</v>
      </c>
      <c r="CI103" s="18"/>
      <c r="CJ103" s="18"/>
      <c r="CK103" s="306">
        <f>IF(CI103=0,0,(CJ103-CI103)/CI103*100)</f>
        <v>0</v>
      </c>
      <c r="CL103" s="18"/>
      <c r="CM103" s="18"/>
      <c r="CN103" s="306">
        <f>IF(CL103=0,0,(CM103-CL103)/CL103*100)</f>
        <v>0</v>
      </c>
      <c r="CO103" s="18"/>
      <c r="CP103" s="18"/>
      <c r="CQ103" s="306">
        <f>IF(CO103=0,0,(CP103-CO103)/CO103*100)</f>
        <v>0</v>
      </c>
      <c r="CR103" s="18"/>
      <c r="CS103" s="18"/>
      <c r="CT103" s="306">
        <f>IF(CR103=0,0,(CS103-CR103)/CR103*100)</f>
        <v>0</v>
      </c>
      <c r="CU103" s="18"/>
      <c r="CV103" s="18"/>
      <c r="CW103" s="306">
        <f>IF(CU103=0,0,(CV103-CU103)/CU103*100)</f>
        <v>0</v>
      </c>
      <c r="CX103" s="18"/>
      <c r="CY103" s="18"/>
      <c r="CZ103" s="306">
        <f>IF(CX103=0,0,(CY103-CX103)/CX103*100)</f>
        <v>0</v>
      </c>
      <c r="DA103" s="18"/>
      <c r="DB103" s="18"/>
      <c r="DC103" s="306">
        <f>IF(DA103=0,0,(DB103-DA103)/DA103*100)</f>
        <v>0</v>
      </c>
      <c r="DD103" s="18"/>
      <c r="DE103" s="18"/>
      <c r="DF103" s="306">
        <f>IF(DD103=0,0,(DE103-DD103)/DD103*100)</f>
        <v>0</v>
      </c>
      <c r="DG103" s="18"/>
      <c r="DH103" s="18"/>
      <c r="DI103" s="306">
        <f>IF(DG103=0,0,(DH103-DG103)/DG103*100)</f>
        <v>0</v>
      </c>
      <c r="DJ103" s="18"/>
      <c r="DK103" s="18"/>
      <c r="DL103" s="306">
        <f>IF(DJ103=0,0,(DK103-DJ103)/DJ103*100)</f>
        <v>0</v>
      </c>
      <c r="DM103" s="18"/>
      <c r="DN103" s="18"/>
      <c r="DO103" s="306">
        <f>IF(DM103=0,0,(DN103-DM103)/DM103*100)</f>
        <v>0</v>
      </c>
      <c r="DP103" s="18"/>
      <c r="DQ103" s="18"/>
      <c r="DR103" s="306">
        <f>IF(DP103=0,0,(DQ103-DP103)/DP103*100)</f>
        <v>0</v>
      </c>
      <c r="DS103" s="18"/>
      <c r="DT103" s="18"/>
      <c r="DU103" s="306">
        <f>IF(DS103=0,0,(DT103-DS103)/DS103*100)</f>
        <v>0</v>
      </c>
      <c r="DV103" s="18"/>
      <c r="DW103" s="18"/>
      <c r="DX103" s="306">
        <f>IF(DV103=0,0,(DW103-DV103)/DV103*100)</f>
        <v>0</v>
      </c>
      <c r="DY103" s="18"/>
      <c r="DZ103" s="18"/>
      <c r="EA103" s="306">
        <f>IF(DY103=0,0,(DZ103-DY103)/DY103*100)</f>
        <v>0</v>
      </c>
      <c r="EB103" s="18"/>
      <c r="EC103" s="18"/>
      <c r="ED103" s="306">
        <f>IF(EB103=0,0,(EC103-EB103)/EB103*100)</f>
        <v>0</v>
      </c>
      <c r="EE103" s="18"/>
      <c r="EF103" s="18"/>
      <c r="EG103" s="306">
        <f>IF(EE103=0,0,(EF103-EE103)/EE103*100)</f>
        <v>0</v>
      </c>
      <c r="EH103" s="18"/>
      <c r="EI103" s="18"/>
      <c r="EJ103" s="306">
        <f>IF(EH103=0,0,(EI103-EH103)/EH103*100)</f>
        <v>0</v>
      </c>
      <c r="EK103" s="18"/>
      <c r="EL103" s="18"/>
      <c r="EM103" s="306">
        <f>IF(EK103=0,0,(EL103-EK103)/EK103*100)</f>
        <v>0</v>
      </c>
      <c r="EN103" s="18"/>
      <c r="EO103" s="18"/>
      <c r="EP103" s="306">
        <f>IF(EN103=0,0,(EO103-EN103)/EN103*100)</f>
        <v>0</v>
      </c>
      <c r="EQ103" s="18"/>
      <c r="ER103" s="18"/>
      <c r="ES103" s="306">
        <f>IF(EQ103=0,0,(ER103-EQ103)/EQ103*100)</f>
        <v>0</v>
      </c>
      <c r="ET103" s="18"/>
      <c r="EU103" s="18"/>
      <c r="EV103" s="306">
        <f>IF(ET103=0,0,(EU103-ET103)/ET103*100)</f>
        <v>0</v>
      </c>
      <c r="EW103" s="18"/>
      <c r="EX103" s="18"/>
      <c r="EY103" s="306">
        <f>IF(EW103=0,0,(EX103-EW103)/EW103*100)</f>
        <v>0</v>
      </c>
      <c r="EZ103" s="18"/>
      <c r="FA103" s="18"/>
      <c r="FB103" s="306">
        <f>IF(EZ103=0,0,(FA103-EZ103)/EZ103*100)</f>
        <v>0</v>
      </c>
      <c r="FC103" s="18"/>
      <c r="FD103" s="18"/>
      <c r="FE103" s="306">
        <f>IF(FC103=0,0,(FD103-FC103)/FC103*100)</f>
        <v>0</v>
      </c>
      <c r="FF103" s="18"/>
      <c r="FG103" s="18"/>
      <c r="FH103" s="306">
        <f>IF(FF103=0,0,(FG103-FF103)/FF103*100)</f>
        <v>0</v>
      </c>
      <c r="FI103" s="18"/>
      <c r="FJ103" s="18"/>
      <c r="FK103" s="306">
        <f>IF(FI103=0,0,(FJ103-FI103)/FI103*100)</f>
        <v>0</v>
      </c>
      <c r="FL103" s="18"/>
      <c r="FM103" s="18"/>
      <c r="FN103" s="306">
        <f>IF(FL103=0,0,(FM103-FL103)/FL103*100)</f>
        <v>0</v>
      </c>
      <c r="FO103" s="18"/>
      <c r="FP103" s="18"/>
      <c r="FQ103" s="306">
        <f>IF(FO103=0,0,(FP103-FO103)/FO103*100)</f>
        <v>0</v>
      </c>
      <c r="FR103" s="18"/>
      <c r="FS103" s="18"/>
      <c r="FT103" s="306">
        <f>IF(FR103=0,0,(FS103-FR103)/FR103*100)</f>
        <v>0</v>
      </c>
      <c r="FU103" s="18"/>
      <c r="FV103" s="18"/>
      <c r="FW103" s="306">
        <f>IF(FU103=0,0,(FV103-FU103)/FU103*100)</f>
        <v>0</v>
      </c>
      <c r="FX103" s="417"/>
      <c r="FY103" s="417"/>
      <c r="FZ103" s="971" t="s">
        <v>2185</v>
      </c>
      <c r="GA103" s="971"/>
      <c r="GB103" s="971"/>
      <c r="GC103" s="971"/>
      <c r="GD103" s="971"/>
    </row>
    <row r="104" spans="1:186" s="1167" customFormat="1" ht="15" hidden="1" customHeight="1" x14ac:dyDescent="0.15">
      <c r="A104" s="1152"/>
      <c r="B104" s="803" t="b" cm="1">
        <f t="array" ref="B104">B103</f>
        <v>0</v>
      </c>
      <c r="C104" s="1108" t="s">
        <v>1747</v>
      </c>
      <c r="D104" s="1077" t="s">
        <v>1748</v>
      </c>
      <c r="E104" s="668">
        <v>15.8</v>
      </c>
      <c r="F104" s="769" t="str" cm="1">
        <f t="array" aca="1" ref="F104" ca="1">OFFSET(G104,-1,-1)</f>
        <v>1</v>
      </c>
      <c r="G104" s="140" t="s">
        <v>1758</v>
      </c>
      <c r="H104" s="160" t="s">
        <v>2171</v>
      </c>
      <c r="I104" s="160" t="s">
        <v>2121</v>
      </c>
      <c r="J104" s="1098"/>
      <c r="K104" s="1098" t="str" cm="1">
        <f t="array" aca="1" ref="K104" ca="1">OFFSET(J104,-1,1)</f>
        <v>ТЭ.42.27968109.0001</v>
      </c>
      <c r="L104" s="1098"/>
      <c r="M104" s="1098" t="s">
        <v>1759</v>
      </c>
      <c r="N104" s="1098" t="s">
        <v>2117</v>
      </c>
      <c r="O104" s="1099" t="s">
        <v>2118</v>
      </c>
      <c r="P104" s="1098" t="s">
        <v>2172</v>
      </c>
      <c r="Q104" s="1098"/>
      <c r="R104" s="774"/>
      <c r="S104" s="417"/>
      <c r="T104" s="679" t="b" cm="1">
        <f t="array" aca="1" ref="T104" ca="1">T103</f>
        <v>0</v>
      </c>
      <c r="U104" s="1152"/>
      <c r="V104" s="1152"/>
      <c r="W104" s="1152"/>
      <c r="X104" s="1485"/>
      <c r="Y104" s="1152"/>
      <c r="Z104" s="1485"/>
      <c r="AA104" s="417"/>
      <c r="AB104" s="220" t="s">
        <v>2173</v>
      </c>
      <c r="AC104" s="120" t="s">
        <v>622</v>
      </c>
      <c r="AD104" s="97">
        <f ca="1">IF(method_reg="Метод экономически обоснованных расходов",SUMIFS('Калькуляция (4.6)'!AJ$25:AJ$162,'Калькуляция (4.6)'!$F$25:$F$162,$F104,'Калькуляция (4.6)'!$G$25:$G$162,$G104),IF(method_reg="Метод сравнения аналогов",SUMIFS(INDEX('Калькуляция (МСА)'!$AE$25:$BC$82,,MATCH(AD$8,'Калькуляция (МСА)'!$AE$8:$BC$8,0)),'Калькуляция (МСА)'!$F$25:$F$82,$F104,'Калькуляция (МСА)'!$G$25:$G$82,$G104),SUMIFS(INDEX('Калькуляция (5.9)'!$AJ$25:$BC$137,,MATCH(AD$8,'Калькуляция (5.9)'!$AJ$8:$BC$8,0)),'Калькуляция (5.9)'!$F$25:$F$137,$F104,'Калькуляция (5.9)'!$G$25:$G$137,$G104)))</f>
        <v>31508.597999999991</v>
      </c>
      <c r="AE104" s="97">
        <f ca="1">IF(method_reg="Метод экономически обоснованных расходов",SUMIFS('Калькуляция (4.6)'!AK$25:AK$162,'Калькуляция (4.6)'!$F$25:$F$162,$F104,'Калькуляция (4.6)'!$G$25:$G$162,$G104),IF(method_reg="Метод сравнения аналогов",SUMIFS(INDEX('Калькуляция (МСА)'!$AE$25:$BC$82,,MATCH(AE$8,'Калькуляция (МСА)'!$AE$8:$BC$8,0)),'Калькуляция (МСА)'!$F$25:$F$82,$F104,'Калькуляция (МСА)'!$G$25:$G$82,$G104),SUMIFS(INDEX('Калькуляция (5.9)'!$AJ$25:$BC$137,,MATCH(AE$8,'Калькуляция (5.9)'!$AJ$8:$BC$8,0)),'Калькуляция (5.9)'!$F$25:$F$137,$F104,'Калькуляция (5.9)'!$G$25:$G$137,$G104)))</f>
        <v>18123.757720000001</v>
      </c>
      <c r="AF104" s="333">
        <f ca="1">IF(AD104=0,0,(AE104-AD104)/AD104*100)</f>
        <v>-42.4799614378272</v>
      </c>
      <c r="AG104" s="1350">
        <f ca="1">IF(method_reg="Метод сравнения аналогов",SUMIFS(INDEX('Калькуляция (МСА)'!$AE$25:$BC$82,,MATCH(AG$8,'Калькуляция (МСА)'!$AE$8:$BC$8,0)),'Калькуляция (МСА)'!$F$25:$F$82,$F104,'Калькуляция (МСА)'!$G$25:$G$82,$G104),SUMIFS(INDEX('Калькуляция (5.9)'!$AJ$25:$BC$137,,MATCH(AG$8,'Калькуляция (5.9)'!$AJ$8:$BC$8,0)),'Калькуляция (5.9)'!$F$25:$F$137,$F104,'Калькуляция (5.9)'!$G$25:$G$137,$G104))</f>
        <v>0</v>
      </c>
      <c r="AH104" s="1350">
        <f ca="1">IF(method_reg="Метод сравнения аналогов",SUMIFS(INDEX('Калькуляция (МСА)'!$AE$25:$BC$82,,MATCH(AH$8,'Калькуляция (МСА)'!$AE$8:$BC$8,0)),'Калькуляция (МСА)'!$F$25:$F$82,$F104,'Калькуляция (МСА)'!$G$25:$G$82,$G104),SUMIFS(INDEX('Калькуляция (5.9)'!$AJ$25:$BC$137,,MATCH(AH$8,'Калькуляция (5.9)'!$AJ$8:$BC$8,0)),'Калькуляция (5.9)'!$F$25:$F$137,$F104,'Калькуляция (5.9)'!$G$25:$G$137,$G104))</f>
        <v>0</v>
      </c>
      <c r="AI104" s="333">
        <f ca="1">IF(AG104=0,0,(AH104-AG104)/AG104*100)</f>
        <v>0</v>
      </c>
      <c r="AJ104" s="1350">
        <f ca="1">IF(method_reg="Метод сравнения аналогов",SUMIFS(INDEX('Калькуляция (МСА)'!$AE$25:$BC$82,,MATCH(AJ$8,'Калькуляция (МСА)'!$AE$8:$BC$8,0)),'Калькуляция (МСА)'!$F$25:$F$82,$F104,'Калькуляция (МСА)'!$G$25:$G$82,$G104),SUMIFS(INDEX('Калькуляция (5.9)'!$AJ$25:$BC$137,,MATCH(AJ$8,'Калькуляция (5.9)'!$AJ$8:$BC$8,0)),'Калькуляция (5.9)'!$F$25:$F$137,$F104,'Калькуляция (5.9)'!$G$25:$G$137,$G104))</f>
        <v>0</v>
      </c>
      <c r="AK104" s="1350">
        <f ca="1">IF(method_reg="Метод сравнения аналогов",SUMIFS(INDEX('Калькуляция (МСА)'!$AE$25:$BC$82,,MATCH(AK$8,'Калькуляция (МСА)'!$AE$8:$BC$8,0)),'Калькуляция (МСА)'!$F$25:$F$82,$F104,'Калькуляция (МСА)'!$G$25:$G$82,$G104),SUMIFS(INDEX('Калькуляция (5.9)'!$AJ$25:$BC$137,,MATCH(AK$8,'Калькуляция (5.9)'!$AJ$8:$BC$8,0)),'Калькуляция (5.9)'!$F$25:$F$137,$F104,'Калькуляция (5.9)'!$G$25:$G$137,$G104))</f>
        <v>0</v>
      </c>
      <c r="AL104" s="333">
        <f ca="1">IF(AJ104=0,0,(AK104-AJ104)/AJ104*100)</f>
        <v>0</v>
      </c>
      <c r="AM104" s="97">
        <f ca="1">IF(method_reg="Метод сравнения аналогов",SUMIFS(INDEX('Калькуляция (МСА)'!$AE$25:$BC$82,,MATCH(AM$8,'Калькуляция (МСА)'!$AE$8:$BC$8,0)),'Калькуляция (МСА)'!$F$25:$F$82,$F104,'Калькуляция (МСА)'!$G$25:$G$82,$G104),SUMIFS(INDEX('Калькуляция (5.9)'!$AJ$25:$BC$137,,MATCH(AM$8,'Калькуляция (5.9)'!$AJ$8:$BC$8,0)),'Калькуляция (5.9)'!$F$25:$F$137,$F104,'Калькуляция (5.9)'!$G$25:$G$137,$G104))</f>
        <v>0</v>
      </c>
      <c r="AN104" s="97">
        <f ca="1">IF(method_reg="Метод сравнения аналогов",SUMIFS(INDEX('Калькуляция (МСА)'!$AE$25:$BC$82,,MATCH(AN$8,'Калькуляция (МСА)'!$AE$8:$BC$8,0)),'Калькуляция (МСА)'!$F$25:$F$82,$F104,'Калькуляция (МСА)'!$G$25:$G$82,$G104),SUMIFS(INDEX('Калькуляция (5.9)'!$AJ$25:$BC$137,,MATCH(AN$8,'Калькуляция (5.9)'!$AJ$8:$BC$8,0)),'Калькуляция (5.9)'!$F$25:$F$137,$F104,'Калькуляция (5.9)'!$G$25:$G$137,$G104))</f>
        <v>0</v>
      </c>
      <c r="AO104" s="333">
        <f ca="1">IF(AM104=0,0,(AN104-AM104)/AM104*100)</f>
        <v>0</v>
      </c>
      <c r="AP104" s="97">
        <f ca="1">IF(method_reg="Метод сравнения аналогов",SUMIFS(INDEX('Калькуляция (МСА)'!$AE$25:$BC$82,,MATCH(AP$8,'Калькуляция (МСА)'!$AE$8:$BC$8,0)),'Калькуляция (МСА)'!$F$25:$F$82,$F104,'Калькуляция (МСА)'!$G$25:$G$82,$G104),SUMIFS(INDEX('Калькуляция (5.9)'!$AJ$25:$BC$137,,MATCH(AP$8,'Калькуляция (5.9)'!$AJ$8:$BC$8,0)),'Калькуляция (5.9)'!$F$25:$F$137,$F104,'Калькуляция (5.9)'!$G$25:$G$137,$G104))</f>
        <v>0</v>
      </c>
      <c r="AQ104" s="97">
        <f ca="1">IF(method_reg="Метод сравнения аналогов",SUMIFS(INDEX('Калькуляция (МСА)'!$AE$25:$BC$82,,MATCH(AQ$8,'Калькуляция (МСА)'!$AE$8:$BC$8,0)),'Калькуляция (МСА)'!$F$25:$F$82,$F104,'Калькуляция (МСА)'!$G$25:$G$82,$G104),SUMIFS(INDEX('Калькуляция (5.9)'!$AJ$25:$BC$137,,MATCH(AQ$8,'Калькуляция (5.9)'!$AJ$8:$BC$8,0)),'Калькуляция (5.9)'!$F$25:$F$137,$F104,'Калькуляция (5.9)'!$G$25:$G$137,$G104))</f>
        <v>0</v>
      </c>
      <c r="AR104" s="333">
        <f ca="1">IF(AP104=0,0,(AQ104-AP104)/AP104*100)</f>
        <v>0</v>
      </c>
      <c r="AS104" s="97">
        <f ca="1">IF(method_reg="Метод сравнения аналогов",SUMIFS(INDEX('Калькуляция (МСА)'!$AE$25:$BC$82,,MATCH(AS$8,'Калькуляция (МСА)'!$AE$8:$BC$8,0)),'Калькуляция (МСА)'!$F$25:$F$82,$F104,'Калькуляция (МСА)'!$G$25:$G$82,$G104),SUMIFS(INDEX('Калькуляция (5.9)'!$AJ$25:$BC$137,,MATCH(AS$8,'Калькуляция (5.9)'!$AJ$8:$BC$8,0)),'Калькуляция (5.9)'!$F$25:$F$137,$F104,'Калькуляция (5.9)'!$G$25:$G$137,$G104))</f>
        <v>0</v>
      </c>
      <c r="AT104" s="97">
        <f ca="1">IF(method_reg="Метод сравнения аналогов",SUMIFS(INDEX('Калькуляция (МСА)'!$AE$25:$BC$82,,MATCH(AT$8,'Калькуляция (МСА)'!$AE$8:$BC$8,0)),'Калькуляция (МСА)'!$F$25:$F$82,$F104,'Калькуляция (МСА)'!$G$25:$G$82,$G104),SUMIFS(INDEX('Калькуляция (5.9)'!$AJ$25:$BC$137,,MATCH(AT$8,'Калькуляция (5.9)'!$AJ$8:$BC$8,0)),'Калькуляция (5.9)'!$F$25:$F$137,$F104,'Калькуляция (5.9)'!$G$25:$G$137,$G104))</f>
        <v>0</v>
      </c>
      <c r="AU104" s="333">
        <f ca="1">IF(AS104=0,0,(AT104-AS104)/AS104*100)</f>
        <v>0</v>
      </c>
      <c r="AV104" s="97">
        <f ca="1">IF(method_reg="Метод сравнения аналогов",SUMIFS(INDEX('Калькуляция (МСА)'!$AE$25:$BC$82,,MATCH(AV$8,'Калькуляция (МСА)'!$AE$8:$BC$8,0)),'Калькуляция (МСА)'!$F$25:$F$82,$F104,'Калькуляция (МСА)'!$G$25:$G$82,$G104),SUMIFS(INDEX('Калькуляция (5.9)'!$AJ$25:$BC$137,,MATCH(AV$8,'Калькуляция (5.9)'!$AJ$8:$BC$8,0)),'Калькуляция (5.9)'!$F$25:$F$137,$F104,'Калькуляция (5.9)'!$G$25:$G$137,$G104))</f>
        <v>0</v>
      </c>
      <c r="AW104" s="97">
        <f ca="1">IF(method_reg="Метод сравнения аналогов",SUMIFS(INDEX('Калькуляция (МСА)'!$AE$25:$BC$82,,MATCH(AW$8,'Калькуляция (МСА)'!$AE$8:$BC$8,0)),'Калькуляция (МСА)'!$F$25:$F$82,$F104,'Калькуляция (МСА)'!$G$25:$G$82,$G104),SUMIFS(INDEX('Калькуляция (5.9)'!$AJ$25:$BC$137,,MATCH(AW$8,'Калькуляция (5.9)'!$AJ$8:$BC$8,0)),'Калькуляция (5.9)'!$F$25:$F$137,$F104,'Калькуляция (5.9)'!$G$25:$G$137,$G104))</f>
        <v>0</v>
      </c>
      <c r="AX104" s="333">
        <f ca="1">IF(AV104=0,0,(AW104-AV104)/AV104*100)</f>
        <v>0</v>
      </c>
      <c r="AY104" s="97">
        <f ca="1">IF(method_reg="Метод сравнения аналогов",SUMIFS(INDEX('Калькуляция (МСА)'!$AE$25:$BC$82,,MATCH(AY$8,'Калькуляция (МСА)'!$AE$8:$BC$8,0)),'Калькуляция (МСА)'!$F$25:$F$82,$F104,'Калькуляция (МСА)'!$G$25:$G$82,$G104),SUMIFS(INDEX('Калькуляция (5.9)'!$AJ$25:$BC$137,,MATCH(AY$8,'Калькуляция (5.9)'!$AJ$8:$BC$8,0)),'Калькуляция (5.9)'!$F$25:$F$137,$F104,'Калькуляция (5.9)'!$G$25:$G$137,$G104))</f>
        <v>0</v>
      </c>
      <c r="AZ104" s="97">
        <f ca="1">IF(method_reg="Метод сравнения аналогов",SUMIFS(INDEX('Калькуляция (МСА)'!$AE$25:$BC$82,,MATCH(AZ$8,'Калькуляция (МСА)'!$AE$8:$BC$8,0)),'Калькуляция (МСА)'!$F$25:$F$82,$F104,'Калькуляция (МСА)'!$G$25:$G$82,$G104),SUMIFS(INDEX('Калькуляция (5.9)'!$AJ$25:$BC$137,,MATCH(AZ$8,'Калькуляция (5.9)'!$AJ$8:$BC$8,0)),'Калькуляция (5.9)'!$F$25:$F$137,$F104,'Калькуляция (5.9)'!$G$25:$G$137,$G104))</f>
        <v>0</v>
      </c>
      <c r="BA104" s="333">
        <f ca="1">IF(AY104=0,0,(AZ104-AY104)/AY104*100)</f>
        <v>0</v>
      </c>
      <c r="BB104" s="97">
        <f ca="1">IF(method_reg="Метод сравнения аналогов",SUMIFS(INDEX('Калькуляция (МСА)'!$AE$25:$BC$82,,MATCH(BB$8,'Калькуляция (МСА)'!$AE$8:$BC$8,0)),'Калькуляция (МСА)'!$F$25:$F$82,$F104,'Калькуляция (МСА)'!$G$25:$G$82,$G104),SUMIFS(INDEX('Калькуляция (5.9)'!$AJ$25:$BC$137,,MATCH(BB$8,'Калькуляция (5.9)'!$AJ$8:$BC$8,0)),'Калькуляция (5.9)'!$F$25:$F$137,$F104,'Калькуляция (5.9)'!$G$25:$G$137,$G104))</f>
        <v>0</v>
      </c>
      <c r="BC104" s="97">
        <f ca="1">IF(method_reg="Метод сравнения аналогов",SUMIFS(INDEX('Калькуляция (МСА)'!$AE$25:$BC$82,,MATCH(BC$8,'Калькуляция (МСА)'!$AE$8:$BC$8,0)),'Калькуляция (МСА)'!$F$25:$F$82,$F104,'Калькуляция (МСА)'!$G$25:$G$82,$G104),SUMIFS(INDEX('Калькуляция (5.9)'!$AJ$25:$BC$137,,MATCH(BC$8,'Калькуляция (5.9)'!$AJ$8:$BC$8,0)),'Калькуляция (5.9)'!$F$25:$F$137,$F104,'Калькуляция (5.9)'!$G$25:$G$137,$G104))</f>
        <v>0</v>
      </c>
      <c r="BD104" s="333">
        <f ca="1">IF(BB104=0,0,(BC104-BB104)/BB104*100)</f>
        <v>0</v>
      </c>
      <c r="BE104" s="97">
        <f ca="1">IF(method_reg="Метод сравнения аналогов",SUMIFS(INDEX('Калькуляция (МСА)'!$AE$25:$BC$82,,MATCH(BE$8,'Калькуляция (МСА)'!$AE$8:$BC$8,0)),'Калькуляция (МСА)'!$F$25:$F$82,$F104,'Калькуляция (МСА)'!$G$25:$G$82,$G104),SUMIFS(INDEX('Калькуляция (5.9)'!$AJ$25:$BC$137,,MATCH(BE$8,'Калькуляция (5.9)'!$AJ$8:$BC$8,0)),'Калькуляция (5.9)'!$F$25:$F$137,$F104,'Калькуляция (5.9)'!$G$25:$G$137,$G104))</f>
        <v>0</v>
      </c>
      <c r="BF104" s="97">
        <f ca="1">IF(method_reg="Метод сравнения аналогов",SUMIFS(INDEX('Калькуляция (МСА)'!$AE$25:$BC$82,,MATCH(BF$8,'Калькуляция (МСА)'!$AE$8:$BC$8,0)),'Калькуляция (МСА)'!$F$25:$F$82,$F104,'Калькуляция (МСА)'!$G$25:$G$82,$G104),SUMIFS(INDEX('Калькуляция (5.9)'!$AJ$25:$BC$137,,MATCH(BF$8,'Калькуляция (5.9)'!$AJ$8:$BC$8,0)),'Калькуляция (5.9)'!$F$25:$F$137,$F104,'Калькуляция (5.9)'!$G$25:$G$137,$G104))</f>
        <v>0</v>
      </c>
      <c r="BG104" s="333">
        <f ca="1">IF(BE104=0,0,(BF104-BE104)/BE104*100)</f>
        <v>0</v>
      </c>
      <c r="BH104" s="97"/>
      <c r="BI104" s="97"/>
      <c r="BJ104" s="333">
        <f>IF(BH104=0,0,(BI104-BH104)/BH104*100)</f>
        <v>0</v>
      </c>
      <c r="BK104" s="97"/>
      <c r="BL104" s="97"/>
      <c r="BM104" s="333">
        <f>IF(BK104=0,0,(BL104-BK104)/BK104*100)</f>
        <v>0</v>
      </c>
      <c r="BN104" s="97"/>
      <c r="BO104" s="97"/>
      <c r="BP104" s="333">
        <f>IF(BN104=0,0,(BO104-BN104)/BN104*100)</f>
        <v>0</v>
      </c>
      <c r="BQ104" s="97"/>
      <c r="BR104" s="97"/>
      <c r="BS104" s="333">
        <f>IF(BQ104=0,0,(BR104-BQ104)/BQ104*100)</f>
        <v>0</v>
      </c>
      <c r="BT104" s="97"/>
      <c r="BU104" s="97"/>
      <c r="BV104" s="333">
        <f>IF(BT104=0,0,(BU104-BT104)/BT104*100)</f>
        <v>0</v>
      </c>
      <c r="BW104" s="97"/>
      <c r="BX104" s="97"/>
      <c r="BY104" s="333">
        <f>IF(BW104=0,0,(BX104-BW104)/BW104*100)</f>
        <v>0</v>
      </c>
      <c r="BZ104" s="97"/>
      <c r="CA104" s="97"/>
      <c r="CB104" s="333">
        <f>IF(BZ104=0,0,(CA104-BZ104)/BZ104*100)</f>
        <v>0</v>
      </c>
      <c r="CC104" s="97"/>
      <c r="CD104" s="97"/>
      <c r="CE104" s="333">
        <f>IF(CC104=0,0,(CD104-CC104)/CC104*100)</f>
        <v>0</v>
      </c>
      <c r="CF104" s="97"/>
      <c r="CG104" s="97"/>
      <c r="CH104" s="333">
        <f>IF(CF104=0,0,(CG104-CF104)/CF104*100)</f>
        <v>0</v>
      </c>
      <c r="CI104" s="97"/>
      <c r="CJ104" s="97"/>
      <c r="CK104" s="333">
        <f>IF(CI104=0,0,(CJ104-CI104)/CI104*100)</f>
        <v>0</v>
      </c>
      <c r="CL104" s="97"/>
      <c r="CM104" s="97"/>
      <c r="CN104" s="333">
        <f>IF(CL104=0,0,(CM104-CL104)/CL104*100)</f>
        <v>0</v>
      </c>
      <c r="CO104" s="97"/>
      <c r="CP104" s="97"/>
      <c r="CQ104" s="333">
        <f>IF(CO104=0,0,(CP104-CO104)/CO104*100)</f>
        <v>0</v>
      </c>
      <c r="CR104" s="97"/>
      <c r="CS104" s="97"/>
      <c r="CT104" s="333">
        <f>IF(CR104=0,0,(CS104-CR104)/CR104*100)</f>
        <v>0</v>
      </c>
      <c r="CU104" s="97"/>
      <c r="CV104" s="97"/>
      <c r="CW104" s="333">
        <f>IF(CU104=0,0,(CV104-CU104)/CU104*100)</f>
        <v>0</v>
      </c>
      <c r="CX104" s="97"/>
      <c r="CY104" s="97"/>
      <c r="CZ104" s="333">
        <f>IF(CX104=0,0,(CY104-CX104)/CX104*100)</f>
        <v>0</v>
      </c>
      <c r="DA104" s="97"/>
      <c r="DB104" s="97"/>
      <c r="DC104" s="333">
        <f>IF(DA104=0,0,(DB104-DA104)/DA104*100)</f>
        <v>0</v>
      </c>
      <c r="DD104" s="97"/>
      <c r="DE104" s="97"/>
      <c r="DF104" s="333">
        <f>IF(DD104=0,0,(DE104-DD104)/DD104*100)</f>
        <v>0</v>
      </c>
      <c r="DG104" s="97"/>
      <c r="DH104" s="97"/>
      <c r="DI104" s="333">
        <f>IF(DG104=0,0,(DH104-DG104)/DG104*100)</f>
        <v>0</v>
      </c>
      <c r="DJ104" s="97"/>
      <c r="DK104" s="97"/>
      <c r="DL104" s="333">
        <f>IF(DJ104=0,0,(DK104-DJ104)/DJ104*100)</f>
        <v>0</v>
      </c>
      <c r="DM104" s="97"/>
      <c r="DN104" s="97"/>
      <c r="DO104" s="333">
        <f>IF(DM104=0,0,(DN104-DM104)/DM104*100)</f>
        <v>0</v>
      </c>
      <c r="DP104" s="97"/>
      <c r="DQ104" s="97"/>
      <c r="DR104" s="333">
        <f>IF(DP104=0,0,(DQ104-DP104)/DP104*100)</f>
        <v>0</v>
      </c>
      <c r="DS104" s="97"/>
      <c r="DT104" s="97"/>
      <c r="DU104" s="333">
        <f>IF(DS104=0,0,(DT104-DS104)/DS104*100)</f>
        <v>0</v>
      </c>
      <c r="DV104" s="97"/>
      <c r="DW104" s="97"/>
      <c r="DX104" s="333">
        <f>IF(DV104=0,0,(DW104-DV104)/DV104*100)</f>
        <v>0</v>
      </c>
      <c r="DY104" s="97"/>
      <c r="DZ104" s="97"/>
      <c r="EA104" s="333">
        <f>IF(DY104=0,0,(DZ104-DY104)/DY104*100)</f>
        <v>0</v>
      </c>
      <c r="EB104" s="97"/>
      <c r="EC104" s="97"/>
      <c r="ED104" s="333">
        <f>IF(EB104=0,0,(EC104-EB104)/EB104*100)</f>
        <v>0</v>
      </c>
      <c r="EE104" s="97"/>
      <c r="EF104" s="97"/>
      <c r="EG104" s="333">
        <f>IF(EE104=0,0,(EF104-EE104)/EE104*100)</f>
        <v>0</v>
      </c>
      <c r="EH104" s="97"/>
      <c r="EI104" s="97"/>
      <c r="EJ104" s="333">
        <f>IF(EH104=0,0,(EI104-EH104)/EH104*100)</f>
        <v>0</v>
      </c>
      <c r="EK104" s="97"/>
      <c r="EL104" s="97"/>
      <c r="EM104" s="333">
        <f>IF(EK104=0,0,(EL104-EK104)/EK104*100)</f>
        <v>0</v>
      </c>
      <c r="EN104" s="97"/>
      <c r="EO104" s="97"/>
      <c r="EP104" s="333">
        <f>IF(EN104=0,0,(EO104-EN104)/EN104*100)</f>
        <v>0</v>
      </c>
      <c r="EQ104" s="97"/>
      <c r="ER104" s="97"/>
      <c r="ES104" s="333">
        <f>IF(EQ104=0,0,(ER104-EQ104)/EQ104*100)</f>
        <v>0</v>
      </c>
      <c r="ET104" s="97"/>
      <c r="EU104" s="97"/>
      <c r="EV104" s="333">
        <f>IF(ET104=0,0,(EU104-ET104)/ET104*100)</f>
        <v>0</v>
      </c>
      <c r="EW104" s="97"/>
      <c r="EX104" s="97"/>
      <c r="EY104" s="333">
        <f>IF(EW104=0,0,(EX104-EW104)/EW104*100)</f>
        <v>0</v>
      </c>
      <c r="EZ104" s="97"/>
      <c r="FA104" s="97"/>
      <c r="FB104" s="333">
        <f>IF(EZ104=0,0,(FA104-EZ104)/EZ104*100)</f>
        <v>0</v>
      </c>
      <c r="FC104" s="97"/>
      <c r="FD104" s="97"/>
      <c r="FE104" s="333">
        <f>IF(FC104=0,0,(FD104-FC104)/FC104*100)</f>
        <v>0</v>
      </c>
      <c r="FF104" s="97"/>
      <c r="FG104" s="97"/>
      <c r="FH104" s="333">
        <f>IF(FF104=0,0,(FG104-FF104)/FF104*100)</f>
        <v>0</v>
      </c>
      <c r="FI104" s="97"/>
      <c r="FJ104" s="97"/>
      <c r="FK104" s="333">
        <f>IF(FI104=0,0,(FJ104-FI104)/FI104*100)</f>
        <v>0</v>
      </c>
      <c r="FL104" s="97"/>
      <c r="FM104" s="97"/>
      <c r="FN104" s="333">
        <f>IF(FL104=0,0,(FM104-FL104)/FL104*100)</f>
        <v>0</v>
      </c>
      <c r="FO104" s="97"/>
      <c r="FP104" s="97"/>
      <c r="FQ104" s="333">
        <f>IF(FO104=0,0,(FP104-FO104)/FO104*100)</f>
        <v>0</v>
      </c>
      <c r="FR104" s="97"/>
      <c r="FS104" s="97"/>
      <c r="FT104" s="333">
        <f>IF(FR104=0,0,(FS104-FR104)/FR104*100)</f>
        <v>0</v>
      </c>
      <c r="FU104" s="97"/>
      <c r="FV104" s="97"/>
      <c r="FW104" s="333">
        <f>IF(FU104=0,0,(FV104-FU104)/FU104*100)</f>
        <v>0</v>
      </c>
      <c r="FX104" s="417"/>
      <c r="FY104" s="417"/>
      <c r="FZ104" s="971" t="s">
        <v>2186</v>
      </c>
      <c r="GA104" s="971"/>
      <c r="GB104" s="971"/>
      <c r="GC104" s="971"/>
      <c r="GD104" s="971"/>
    </row>
    <row r="105" spans="1:186" s="1167" customFormat="1" ht="30" hidden="1" customHeight="1" x14ac:dyDescent="0.15">
      <c r="A105" s="1152"/>
      <c r="B105" s="803" t="b" cm="1">
        <f t="array" ref="B105">B104</f>
        <v>0</v>
      </c>
      <c r="C105" s="1108" t="s">
        <v>1801</v>
      </c>
      <c r="D105" s="1077" t="s">
        <v>1802</v>
      </c>
      <c r="E105" s="668">
        <v>31.5</v>
      </c>
      <c r="F105" s="769" t="str" cm="1">
        <f t="array" aca="1" ref="F105" ca="1">OFFSET(G105,-1,-1)</f>
        <v>1</v>
      </c>
      <c r="G105" s="612" t="s">
        <v>1807</v>
      </c>
      <c r="H105" s="160" t="s">
        <v>2175</v>
      </c>
      <c r="I105" s="160" t="s">
        <v>2121</v>
      </c>
      <c r="J105" s="1098"/>
      <c r="K105" s="1098" t="str" cm="1">
        <f t="array" aca="1" ref="K105" ca="1">OFFSET(J105,-1,1)</f>
        <v>ТЭ.42.27968109.0001</v>
      </c>
      <c r="L105" s="1098"/>
      <c r="M105" s="1098" t="s">
        <v>1759</v>
      </c>
      <c r="N105" s="1098" t="s">
        <v>2117</v>
      </c>
      <c r="O105" s="1099" t="s">
        <v>2118</v>
      </c>
      <c r="P105" s="1098" t="s">
        <v>2176</v>
      </c>
      <c r="Q105" s="1098"/>
      <c r="R105" s="774"/>
      <c r="S105" s="417"/>
      <c r="T105" s="679" t="b" cm="1">
        <f t="array" aca="1" ref="T105" ca="1">T104</f>
        <v>0</v>
      </c>
      <c r="U105" s="1152"/>
      <c r="V105" s="1152"/>
      <c r="W105" s="1152"/>
      <c r="X105" s="1485"/>
      <c r="Y105" s="1152"/>
      <c r="Z105" s="1485"/>
      <c r="AA105" s="417"/>
      <c r="AB105" s="220" t="s">
        <v>2177</v>
      </c>
      <c r="AC105" s="435" t="s">
        <v>1805</v>
      </c>
      <c r="AD105" s="18">
        <f ca="1">IF(method_reg="Метод экономически обоснованных расходов",SUMIFS('Калькуляция (4.6)'!AJ$25:AJ$162,'Калькуляция (4.6)'!$F$25:$F$162,$F105,'Калькуляция (4.6)'!$G$25:$G$162,$G105),IF(method_reg="Метод сравнения аналогов",SUMIFS(INDEX('Калькуляция (МСА)'!$AE$25:$BC$82,,MATCH(AD$8,'Калькуляция (МСА)'!$AE$8:$BC$8,0)),'Калькуляция (МСА)'!$F$25:$F$82,$F105,'Калькуляция (МСА)'!$G$25:$G$82,$G105),SUMIFS(INDEX('Калькуляция (5.9)'!$AJ$25:$BC$137,,MATCH(AD$8,'Калькуляция (5.9)'!$AJ$8:$BC$8,0)),'Калькуляция (5.9)'!$F$25:$F$137,$F105,'Калькуляция (5.9)'!$G$25:$G$137,$G105)))</f>
        <v>0</v>
      </c>
      <c r="AE105" s="18">
        <f ca="1">IF(method_reg="Метод экономически обоснованных расходов",SUMIFS('Калькуляция (4.6)'!AK$25:AK$162,'Калькуляция (4.6)'!$F$25:$F$162,$F105,'Калькуляция (4.6)'!$G$25:$G$162,$G105),IF(method_reg="Метод сравнения аналогов",SUMIFS(INDEX('Калькуляция (МСА)'!$AE$25:$BC$82,,MATCH(AE$8,'Калькуляция (МСА)'!$AE$8:$BC$8,0)),'Калькуляция (МСА)'!$F$25:$F$82,$F105,'Калькуляция (МСА)'!$G$25:$G$82,$G105),SUMIFS(INDEX('Калькуляция (5.9)'!$AJ$25:$BC$137,,MATCH(AE$8,'Калькуляция (5.9)'!$AJ$8:$BC$8,0)),'Калькуляция (5.9)'!$F$25:$F$137,$F105,'Калькуляция (5.9)'!$G$25:$G$137,$G105)))</f>
        <v>0</v>
      </c>
      <c r="AF105" s="306">
        <f ca="1">IF(AD105=0,0,(AE105-AD105)/AD105*100)</f>
        <v>0</v>
      </c>
      <c r="AG105" s="1215">
        <f ca="1">IF(method_reg="Метод сравнения аналогов",SUMIFS(INDEX('Калькуляция (МСА)'!$AE$25:$BC$82,,MATCH(AG$8,'Калькуляция (МСА)'!$AE$8:$BC$8,0)),'Калькуляция (МСА)'!$F$25:$F$82,$F105,'Калькуляция (МСА)'!$G$25:$G$82,$G105),SUMIFS(INDEX('Калькуляция (5.9)'!$AJ$25:$BC$137,,MATCH(AG$8,'Калькуляция (5.9)'!$AJ$8:$BC$8,0)),'Калькуляция (5.9)'!$F$25:$F$137,$F105,'Калькуляция (5.9)'!$G$25:$G$137,$G105))</f>
        <v>0</v>
      </c>
      <c r="AH105" s="1215">
        <f ca="1">IF(method_reg="Метод сравнения аналогов",SUMIFS(INDEX('Калькуляция (МСА)'!$AE$25:$BC$82,,MATCH(AH$8,'Калькуляция (МСА)'!$AE$8:$BC$8,0)),'Калькуляция (МСА)'!$F$25:$F$82,$F105,'Калькуляция (МСА)'!$G$25:$G$82,$G105),SUMIFS(INDEX('Калькуляция (5.9)'!$AJ$25:$BC$137,,MATCH(AH$8,'Калькуляция (5.9)'!$AJ$8:$BC$8,0)),'Калькуляция (5.9)'!$F$25:$F$137,$F105,'Калькуляция (5.9)'!$G$25:$G$137,$G105))</f>
        <v>0</v>
      </c>
      <c r="AI105" s="306">
        <f ca="1">IF(AG105=0,0,(AH105-AG105)/AG105*100)</f>
        <v>0</v>
      </c>
      <c r="AJ105" s="1215">
        <f ca="1">IF(method_reg="Метод сравнения аналогов",SUMIFS(INDEX('Калькуляция (МСА)'!$AE$25:$BC$82,,MATCH(AJ$8,'Калькуляция (МСА)'!$AE$8:$BC$8,0)),'Калькуляция (МСА)'!$F$25:$F$82,$F105,'Калькуляция (МСА)'!$G$25:$G$82,$G105),SUMIFS(INDEX('Калькуляция (5.9)'!$AJ$25:$BC$137,,MATCH(AJ$8,'Калькуляция (5.9)'!$AJ$8:$BC$8,0)),'Калькуляция (5.9)'!$F$25:$F$137,$F105,'Калькуляция (5.9)'!$G$25:$G$137,$G105))</f>
        <v>0</v>
      </c>
      <c r="AK105" s="1215">
        <f ca="1">IF(method_reg="Метод сравнения аналогов",SUMIFS(INDEX('Калькуляция (МСА)'!$AE$25:$BC$82,,MATCH(AK$8,'Калькуляция (МСА)'!$AE$8:$BC$8,0)),'Калькуляция (МСА)'!$F$25:$F$82,$F105,'Калькуляция (МСА)'!$G$25:$G$82,$G105),SUMIFS(INDEX('Калькуляция (5.9)'!$AJ$25:$BC$137,,MATCH(AK$8,'Калькуляция (5.9)'!$AJ$8:$BC$8,0)),'Калькуляция (5.9)'!$F$25:$F$137,$F105,'Калькуляция (5.9)'!$G$25:$G$137,$G105))</f>
        <v>0</v>
      </c>
      <c r="AL105" s="306">
        <f ca="1">IF(AJ105=0,0,(AK105-AJ105)/AJ105*100)</f>
        <v>0</v>
      </c>
      <c r="AM105" s="18">
        <f ca="1">IF(method_reg="Метод сравнения аналогов",SUMIFS(INDEX('Калькуляция (МСА)'!$AE$25:$BC$82,,MATCH(AM$8,'Калькуляция (МСА)'!$AE$8:$BC$8,0)),'Калькуляция (МСА)'!$F$25:$F$82,$F105,'Калькуляция (МСА)'!$G$25:$G$82,$G105),SUMIFS(INDEX('Калькуляция (5.9)'!$AJ$25:$BC$137,,MATCH(AM$8,'Калькуляция (5.9)'!$AJ$8:$BC$8,0)),'Калькуляция (5.9)'!$F$25:$F$137,$F105,'Калькуляция (5.9)'!$G$25:$G$137,$G105))</f>
        <v>0</v>
      </c>
      <c r="AN105" s="18">
        <f ca="1">IF(method_reg="Метод сравнения аналогов",SUMIFS(INDEX('Калькуляция (МСА)'!$AE$25:$BC$82,,MATCH(AN$8,'Калькуляция (МСА)'!$AE$8:$BC$8,0)),'Калькуляция (МСА)'!$F$25:$F$82,$F105,'Калькуляция (МСА)'!$G$25:$G$82,$G105),SUMIFS(INDEX('Калькуляция (5.9)'!$AJ$25:$BC$137,,MATCH(AN$8,'Калькуляция (5.9)'!$AJ$8:$BC$8,0)),'Калькуляция (5.9)'!$F$25:$F$137,$F105,'Калькуляция (5.9)'!$G$25:$G$137,$G105))</f>
        <v>0</v>
      </c>
      <c r="AO105" s="306">
        <f ca="1">IF(AM105=0,0,(AN105-AM105)/AM105*100)</f>
        <v>0</v>
      </c>
      <c r="AP105" s="18">
        <f ca="1">IF(method_reg="Метод сравнения аналогов",SUMIFS(INDEX('Калькуляция (МСА)'!$AE$25:$BC$82,,MATCH(AP$8,'Калькуляция (МСА)'!$AE$8:$BC$8,0)),'Калькуляция (МСА)'!$F$25:$F$82,$F105,'Калькуляция (МСА)'!$G$25:$G$82,$G105),SUMIFS(INDEX('Калькуляция (5.9)'!$AJ$25:$BC$137,,MATCH(AP$8,'Калькуляция (5.9)'!$AJ$8:$BC$8,0)),'Калькуляция (5.9)'!$F$25:$F$137,$F105,'Калькуляция (5.9)'!$G$25:$G$137,$G105))</f>
        <v>0</v>
      </c>
      <c r="AQ105" s="18">
        <f ca="1">IF(method_reg="Метод сравнения аналогов",SUMIFS(INDEX('Калькуляция (МСА)'!$AE$25:$BC$82,,MATCH(AQ$8,'Калькуляция (МСА)'!$AE$8:$BC$8,0)),'Калькуляция (МСА)'!$F$25:$F$82,$F105,'Калькуляция (МСА)'!$G$25:$G$82,$G105),SUMIFS(INDEX('Калькуляция (5.9)'!$AJ$25:$BC$137,,MATCH(AQ$8,'Калькуляция (5.9)'!$AJ$8:$BC$8,0)),'Калькуляция (5.9)'!$F$25:$F$137,$F105,'Калькуляция (5.9)'!$G$25:$G$137,$G105))</f>
        <v>0</v>
      </c>
      <c r="AR105" s="306">
        <f ca="1">IF(AP105=0,0,(AQ105-AP105)/AP105*100)</f>
        <v>0</v>
      </c>
      <c r="AS105" s="18">
        <f ca="1">IF(method_reg="Метод сравнения аналогов",SUMIFS(INDEX('Калькуляция (МСА)'!$AE$25:$BC$82,,MATCH(AS$8,'Калькуляция (МСА)'!$AE$8:$BC$8,0)),'Калькуляция (МСА)'!$F$25:$F$82,$F105,'Калькуляция (МСА)'!$G$25:$G$82,$G105),SUMIFS(INDEX('Калькуляция (5.9)'!$AJ$25:$BC$137,,MATCH(AS$8,'Калькуляция (5.9)'!$AJ$8:$BC$8,0)),'Калькуляция (5.9)'!$F$25:$F$137,$F105,'Калькуляция (5.9)'!$G$25:$G$137,$G105))</f>
        <v>0</v>
      </c>
      <c r="AT105" s="18">
        <f ca="1">IF(method_reg="Метод сравнения аналогов",SUMIFS(INDEX('Калькуляция (МСА)'!$AE$25:$BC$82,,MATCH(AT$8,'Калькуляция (МСА)'!$AE$8:$BC$8,0)),'Калькуляция (МСА)'!$F$25:$F$82,$F105,'Калькуляция (МСА)'!$G$25:$G$82,$G105),SUMIFS(INDEX('Калькуляция (5.9)'!$AJ$25:$BC$137,,MATCH(AT$8,'Калькуляция (5.9)'!$AJ$8:$BC$8,0)),'Калькуляция (5.9)'!$F$25:$F$137,$F105,'Калькуляция (5.9)'!$G$25:$G$137,$G105))</f>
        <v>0</v>
      </c>
      <c r="AU105" s="306">
        <f ca="1">IF(AS105=0,0,(AT105-AS105)/AS105*100)</f>
        <v>0</v>
      </c>
      <c r="AV105" s="18">
        <f ca="1">IF(method_reg="Метод сравнения аналогов",SUMIFS(INDEX('Калькуляция (МСА)'!$AE$25:$BC$82,,MATCH(AV$8,'Калькуляция (МСА)'!$AE$8:$BC$8,0)),'Калькуляция (МСА)'!$F$25:$F$82,$F105,'Калькуляция (МСА)'!$G$25:$G$82,$G105),SUMIFS(INDEX('Калькуляция (5.9)'!$AJ$25:$BC$137,,MATCH(AV$8,'Калькуляция (5.9)'!$AJ$8:$BC$8,0)),'Калькуляция (5.9)'!$F$25:$F$137,$F105,'Калькуляция (5.9)'!$G$25:$G$137,$G105))</f>
        <v>0</v>
      </c>
      <c r="AW105" s="18">
        <f ca="1">IF(method_reg="Метод сравнения аналогов",SUMIFS(INDEX('Калькуляция (МСА)'!$AE$25:$BC$82,,MATCH(AW$8,'Калькуляция (МСА)'!$AE$8:$BC$8,0)),'Калькуляция (МСА)'!$F$25:$F$82,$F105,'Калькуляция (МСА)'!$G$25:$G$82,$G105),SUMIFS(INDEX('Калькуляция (5.9)'!$AJ$25:$BC$137,,MATCH(AW$8,'Калькуляция (5.9)'!$AJ$8:$BC$8,0)),'Калькуляция (5.9)'!$F$25:$F$137,$F105,'Калькуляция (5.9)'!$G$25:$G$137,$G105))</f>
        <v>0</v>
      </c>
      <c r="AX105" s="306">
        <f ca="1">IF(AV105=0,0,(AW105-AV105)/AV105*100)</f>
        <v>0</v>
      </c>
      <c r="AY105" s="18">
        <f ca="1">IF(method_reg="Метод сравнения аналогов",SUMIFS(INDEX('Калькуляция (МСА)'!$AE$25:$BC$82,,MATCH(AY$8,'Калькуляция (МСА)'!$AE$8:$BC$8,0)),'Калькуляция (МСА)'!$F$25:$F$82,$F105,'Калькуляция (МСА)'!$G$25:$G$82,$G105),SUMIFS(INDEX('Калькуляция (5.9)'!$AJ$25:$BC$137,,MATCH(AY$8,'Калькуляция (5.9)'!$AJ$8:$BC$8,0)),'Калькуляция (5.9)'!$F$25:$F$137,$F105,'Калькуляция (5.9)'!$G$25:$G$137,$G105))</f>
        <v>0</v>
      </c>
      <c r="AZ105" s="18">
        <f ca="1">IF(method_reg="Метод сравнения аналогов",SUMIFS(INDEX('Калькуляция (МСА)'!$AE$25:$BC$82,,MATCH(AZ$8,'Калькуляция (МСА)'!$AE$8:$BC$8,0)),'Калькуляция (МСА)'!$F$25:$F$82,$F105,'Калькуляция (МСА)'!$G$25:$G$82,$G105),SUMIFS(INDEX('Калькуляция (5.9)'!$AJ$25:$BC$137,,MATCH(AZ$8,'Калькуляция (5.9)'!$AJ$8:$BC$8,0)),'Калькуляция (5.9)'!$F$25:$F$137,$F105,'Калькуляция (5.9)'!$G$25:$G$137,$G105))</f>
        <v>0</v>
      </c>
      <c r="BA105" s="306">
        <f ca="1">IF(AY105=0,0,(AZ105-AY105)/AY105*100)</f>
        <v>0</v>
      </c>
      <c r="BB105" s="18">
        <f ca="1">IF(method_reg="Метод сравнения аналогов",SUMIFS(INDEX('Калькуляция (МСА)'!$AE$25:$BC$82,,MATCH(BB$8,'Калькуляция (МСА)'!$AE$8:$BC$8,0)),'Калькуляция (МСА)'!$F$25:$F$82,$F105,'Калькуляция (МСА)'!$G$25:$G$82,$G105),SUMIFS(INDEX('Калькуляция (5.9)'!$AJ$25:$BC$137,,MATCH(BB$8,'Калькуляция (5.9)'!$AJ$8:$BC$8,0)),'Калькуляция (5.9)'!$F$25:$F$137,$F105,'Калькуляция (5.9)'!$G$25:$G$137,$G105))</f>
        <v>0</v>
      </c>
      <c r="BC105" s="18">
        <f ca="1">IF(method_reg="Метод сравнения аналогов",SUMIFS(INDEX('Калькуляция (МСА)'!$AE$25:$BC$82,,MATCH(BC$8,'Калькуляция (МСА)'!$AE$8:$BC$8,0)),'Калькуляция (МСА)'!$F$25:$F$82,$F105,'Калькуляция (МСА)'!$G$25:$G$82,$G105),SUMIFS(INDEX('Калькуляция (5.9)'!$AJ$25:$BC$137,,MATCH(BC$8,'Калькуляция (5.9)'!$AJ$8:$BC$8,0)),'Калькуляция (5.9)'!$F$25:$F$137,$F105,'Калькуляция (5.9)'!$G$25:$G$137,$G105))</f>
        <v>0</v>
      </c>
      <c r="BD105" s="306">
        <f ca="1">IF(BB105=0,0,(BC105-BB105)/BB105*100)</f>
        <v>0</v>
      </c>
      <c r="BE105" s="18">
        <f ca="1">IF(method_reg="Метод сравнения аналогов",SUMIFS(INDEX('Калькуляция (МСА)'!$AE$25:$BC$82,,MATCH(BE$8,'Калькуляция (МСА)'!$AE$8:$BC$8,0)),'Калькуляция (МСА)'!$F$25:$F$82,$F105,'Калькуляция (МСА)'!$G$25:$G$82,$G105),SUMIFS(INDEX('Калькуляция (5.9)'!$AJ$25:$BC$137,,MATCH(BE$8,'Калькуляция (5.9)'!$AJ$8:$BC$8,0)),'Калькуляция (5.9)'!$F$25:$F$137,$F105,'Калькуляция (5.9)'!$G$25:$G$137,$G105))</f>
        <v>0</v>
      </c>
      <c r="BF105" s="18">
        <f ca="1">IF(method_reg="Метод сравнения аналогов",SUMIFS(INDEX('Калькуляция (МСА)'!$AE$25:$BC$82,,MATCH(BF$8,'Калькуляция (МСА)'!$AE$8:$BC$8,0)),'Калькуляция (МСА)'!$F$25:$F$82,$F105,'Калькуляция (МСА)'!$G$25:$G$82,$G105),SUMIFS(INDEX('Калькуляция (5.9)'!$AJ$25:$BC$137,,MATCH(BF$8,'Калькуляция (5.9)'!$AJ$8:$BC$8,0)),'Калькуляция (5.9)'!$F$25:$F$137,$F105,'Калькуляция (5.9)'!$G$25:$G$137,$G105))</f>
        <v>0</v>
      </c>
      <c r="BG105" s="306">
        <f ca="1">IF(BE105=0,0,(BF105-BE105)/BE105*100)</f>
        <v>0</v>
      </c>
      <c r="BH105" s="18"/>
      <c r="BI105" s="18"/>
      <c r="BJ105" s="306">
        <f>IF(BH105=0,0,(BI105-BH105)/BH105*100)</f>
        <v>0</v>
      </c>
      <c r="BK105" s="18"/>
      <c r="BL105" s="18"/>
      <c r="BM105" s="306">
        <f>IF(BK105=0,0,(BL105-BK105)/BK105*100)</f>
        <v>0</v>
      </c>
      <c r="BN105" s="18"/>
      <c r="BO105" s="18"/>
      <c r="BP105" s="306">
        <f>IF(BN105=0,0,(BO105-BN105)/BN105*100)</f>
        <v>0</v>
      </c>
      <c r="BQ105" s="18"/>
      <c r="BR105" s="18"/>
      <c r="BS105" s="306">
        <f>IF(BQ105=0,0,(BR105-BQ105)/BQ105*100)</f>
        <v>0</v>
      </c>
      <c r="BT105" s="18"/>
      <c r="BU105" s="18"/>
      <c r="BV105" s="306">
        <f>IF(BT105=0,0,(BU105-BT105)/BT105*100)</f>
        <v>0</v>
      </c>
      <c r="BW105" s="18"/>
      <c r="BX105" s="18"/>
      <c r="BY105" s="306">
        <f>IF(BW105=0,0,(BX105-BW105)/BW105*100)</f>
        <v>0</v>
      </c>
      <c r="BZ105" s="18"/>
      <c r="CA105" s="18"/>
      <c r="CB105" s="306">
        <f>IF(BZ105=0,0,(CA105-BZ105)/BZ105*100)</f>
        <v>0</v>
      </c>
      <c r="CC105" s="18"/>
      <c r="CD105" s="18"/>
      <c r="CE105" s="306">
        <f>IF(CC105=0,0,(CD105-CC105)/CC105*100)</f>
        <v>0</v>
      </c>
      <c r="CF105" s="18"/>
      <c r="CG105" s="18"/>
      <c r="CH105" s="306">
        <f>IF(CF105=0,0,(CG105-CF105)/CF105*100)</f>
        <v>0</v>
      </c>
      <c r="CI105" s="18"/>
      <c r="CJ105" s="18"/>
      <c r="CK105" s="306">
        <f>IF(CI105=0,0,(CJ105-CI105)/CI105*100)</f>
        <v>0</v>
      </c>
      <c r="CL105" s="18"/>
      <c r="CM105" s="18"/>
      <c r="CN105" s="306">
        <f>IF(CL105=0,0,(CM105-CL105)/CL105*100)</f>
        <v>0</v>
      </c>
      <c r="CO105" s="18"/>
      <c r="CP105" s="18"/>
      <c r="CQ105" s="306">
        <f>IF(CO105=0,0,(CP105-CO105)/CO105*100)</f>
        <v>0</v>
      </c>
      <c r="CR105" s="18"/>
      <c r="CS105" s="18"/>
      <c r="CT105" s="306">
        <f>IF(CR105=0,0,(CS105-CR105)/CR105*100)</f>
        <v>0</v>
      </c>
      <c r="CU105" s="18"/>
      <c r="CV105" s="18"/>
      <c r="CW105" s="306">
        <f>IF(CU105=0,0,(CV105-CU105)/CU105*100)</f>
        <v>0</v>
      </c>
      <c r="CX105" s="18"/>
      <c r="CY105" s="18"/>
      <c r="CZ105" s="306">
        <f>IF(CX105=0,0,(CY105-CX105)/CX105*100)</f>
        <v>0</v>
      </c>
      <c r="DA105" s="18"/>
      <c r="DB105" s="18"/>
      <c r="DC105" s="306">
        <f>IF(DA105=0,0,(DB105-DA105)/DA105*100)</f>
        <v>0</v>
      </c>
      <c r="DD105" s="18"/>
      <c r="DE105" s="18"/>
      <c r="DF105" s="306">
        <f>IF(DD105=0,0,(DE105-DD105)/DD105*100)</f>
        <v>0</v>
      </c>
      <c r="DG105" s="18"/>
      <c r="DH105" s="18"/>
      <c r="DI105" s="306">
        <f>IF(DG105=0,0,(DH105-DG105)/DG105*100)</f>
        <v>0</v>
      </c>
      <c r="DJ105" s="18"/>
      <c r="DK105" s="18"/>
      <c r="DL105" s="306">
        <f>IF(DJ105=0,0,(DK105-DJ105)/DJ105*100)</f>
        <v>0</v>
      </c>
      <c r="DM105" s="18"/>
      <c r="DN105" s="18"/>
      <c r="DO105" s="306">
        <f>IF(DM105=0,0,(DN105-DM105)/DM105*100)</f>
        <v>0</v>
      </c>
      <c r="DP105" s="18"/>
      <c r="DQ105" s="18"/>
      <c r="DR105" s="306">
        <f>IF(DP105=0,0,(DQ105-DP105)/DP105*100)</f>
        <v>0</v>
      </c>
      <c r="DS105" s="18"/>
      <c r="DT105" s="18"/>
      <c r="DU105" s="306">
        <f>IF(DS105=0,0,(DT105-DS105)/DS105*100)</f>
        <v>0</v>
      </c>
      <c r="DV105" s="18"/>
      <c r="DW105" s="18"/>
      <c r="DX105" s="306">
        <f>IF(DV105=0,0,(DW105-DV105)/DV105*100)</f>
        <v>0</v>
      </c>
      <c r="DY105" s="18"/>
      <c r="DZ105" s="18"/>
      <c r="EA105" s="306">
        <f>IF(DY105=0,0,(DZ105-DY105)/DY105*100)</f>
        <v>0</v>
      </c>
      <c r="EB105" s="18"/>
      <c r="EC105" s="18"/>
      <c r="ED105" s="306">
        <f>IF(EB105=0,0,(EC105-EB105)/EB105*100)</f>
        <v>0</v>
      </c>
      <c r="EE105" s="18"/>
      <c r="EF105" s="18"/>
      <c r="EG105" s="306">
        <f>IF(EE105=0,0,(EF105-EE105)/EE105*100)</f>
        <v>0</v>
      </c>
      <c r="EH105" s="18"/>
      <c r="EI105" s="18"/>
      <c r="EJ105" s="306">
        <f>IF(EH105=0,0,(EI105-EH105)/EH105*100)</f>
        <v>0</v>
      </c>
      <c r="EK105" s="18"/>
      <c r="EL105" s="18"/>
      <c r="EM105" s="306">
        <f>IF(EK105=0,0,(EL105-EK105)/EK105*100)</f>
        <v>0</v>
      </c>
      <c r="EN105" s="18"/>
      <c r="EO105" s="18"/>
      <c r="EP105" s="306">
        <f>IF(EN105=0,0,(EO105-EN105)/EN105*100)</f>
        <v>0</v>
      </c>
      <c r="EQ105" s="18"/>
      <c r="ER105" s="18"/>
      <c r="ES105" s="306">
        <f>IF(EQ105=0,0,(ER105-EQ105)/EQ105*100)</f>
        <v>0</v>
      </c>
      <c r="ET105" s="18"/>
      <c r="EU105" s="18"/>
      <c r="EV105" s="306">
        <f>IF(ET105=0,0,(EU105-ET105)/ET105*100)</f>
        <v>0</v>
      </c>
      <c r="EW105" s="18"/>
      <c r="EX105" s="18"/>
      <c r="EY105" s="306">
        <f>IF(EW105=0,0,(EX105-EW105)/EW105*100)</f>
        <v>0</v>
      </c>
      <c r="EZ105" s="18"/>
      <c r="FA105" s="18"/>
      <c r="FB105" s="306">
        <f>IF(EZ105=0,0,(FA105-EZ105)/EZ105*100)</f>
        <v>0</v>
      </c>
      <c r="FC105" s="18"/>
      <c r="FD105" s="18"/>
      <c r="FE105" s="306">
        <f>IF(FC105=0,0,(FD105-FC105)/FC105*100)</f>
        <v>0</v>
      </c>
      <c r="FF105" s="18"/>
      <c r="FG105" s="18"/>
      <c r="FH105" s="306">
        <f>IF(FF105=0,0,(FG105-FF105)/FF105*100)</f>
        <v>0</v>
      </c>
      <c r="FI105" s="18"/>
      <c r="FJ105" s="18"/>
      <c r="FK105" s="306">
        <f>IF(FI105=0,0,(FJ105-FI105)/FI105*100)</f>
        <v>0</v>
      </c>
      <c r="FL105" s="18"/>
      <c r="FM105" s="18"/>
      <c r="FN105" s="306">
        <f>IF(FL105=0,0,(FM105-FL105)/FL105*100)</f>
        <v>0</v>
      </c>
      <c r="FO105" s="18"/>
      <c r="FP105" s="18"/>
      <c r="FQ105" s="306">
        <f>IF(FO105=0,0,(FP105-FO105)/FO105*100)</f>
        <v>0</v>
      </c>
      <c r="FR105" s="18"/>
      <c r="FS105" s="18"/>
      <c r="FT105" s="306">
        <f>IF(FR105=0,0,(FS105-FR105)/FR105*100)</f>
        <v>0</v>
      </c>
      <c r="FU105" s="18"/>
      <c r="FV105" s="18"/>
      <c r="FW105" s="306">
        <f>IF(FU105=0,0,(FV105-FU105)/FU105*100)</f>
        <v>0</v>
      </c>
      <c r="FX105" s="417"/>
      <c r="FY105" s="417"/>
      <c r="FZ105" s="971" t="s">
        <v>2187</v>
      </c>
      <c r="GA105" s="971"/>
      <c r="GB105" s="971"/>
      <c r="GC105" s="971"/>
      <c r="GD105" s="971"/>
    </row>
    <row r="106" spans="1:186" s="1167" customFormat="1" ht="15" hidden="1" customHeight="1" x14ac:dyDescent="0.15">
      <c r="A106" s="1152"/>
      <c r="B106" s="803" t="b" cm="1">
        <f t="array" ref="B106">B105</f>
        <v>0</v>
      </c>
      <c r="C106" s="1108" t="s">
        <v>1773</v>
      </c>
      <c r="D106" s="1077" t="s">
        <v>1774</v>
      </c>
      <c r="E106" s="668">
        <v>15.8</v>
      </c>
      <c r="F106" s="769" t="str" cm="1">
        <f t="array" aca="1" ref="F106" ca="1">OFFSET(G106,-1,-1)</f>
        <v>1</v>
      </c>
      <c r="G106" s="612" t="s">
        <v>1780</v>
      </c>
      <c r="H106" s="160" t="s">
        <v>2179</v>
      </c>
      <c r="I106" s="160" t="s">
        <v>2121</v>
      </c>
      <c r="J106" s="1098"/>
      <c r="K106" s="1098" t="str" cm="1">
        <f t="array" aca="1" ref="K106" ca="1">OFFSET(J106,-1,1)</f>
        <v>ТЭ.42.27968109.0001</v>
      </c>
      <c r="L106" s="1098"/>
      <c r="M106" s="1098" t="s">
        <v>1759</v>
      </c>
      <c r="N106" s="1098" t="s">
        <v>2117</v>
      </c>
      <c r="O106" s="1099" t="s">
        <v>2118</v>
      </c>
      <c r="P106" s="1098" t="s">
        <v>2180</v>
      </c>
      <c r="Q106" s="1098"/>
      <c r="R106" s="774"/>
      <c r="S106" s="417"/>
      <c r="T106" s="679" t="b" cm="1">
        <f t="array" aca="1" ref="T106" ca="1">T105</f>
        <v>0</v>
      </c>
      <c r="U106" s="1152"/>
      <c r="V106" s="1152"/>
      <c r="W106" s="1152"/>
      <c r="X106" s="1485"/>
      <c r="Y106" s="1152"/>
      <c r="Z106" s="1485"/>
      <c r="AA106" s="417"/>
      <c r="AB106" s="220" t="s">
        <v>2181</v>
      </c>
      <c r="AC106" s="549" t="s">
        <v>715</v>
      </c>
      <c r="AD106" s="18">
        <f ca="1">IF(method_reg="Метод экономически обоснованных расходов",SUMIFS('Калькуляция (4.6)'!AJ$25:AJ$162,'Калькуляция (4.6)'!$F$25:$F$162,$F106,'Калькуляция (4.6)'!$G$25:$G$162,$G106),IF(method_reg="Метод сравнения аналогов",SUMIFS(INDEX('Калькуляция (МСА)'!$AE$25:$BC$82,,MATCH(AD$8,'Калькуляция (МСА)'!$AE$8:$BC$8,0)),'Калькуляция (МСА)'!$F$25:$F$82,$F106,'Калькуляция (МСА)'!$G$25:$G$82,$G106),SUMIFS(INDEX('Калькуляция (5.9)'!$AJ$25:$BC$137,,MATCH(AD$8,'Калькуляция (5.9)'!$AJ$8:$BC$8,0)),'Калькуляция (5.9)'!$F$25:$F$137,$F106,'Калькуляция (5.9)'!$G$25:$G$137,$G106)))</f>
        <v>0</v>
      </c>
      <c r="AE106" s="18">
        <f ca="1">IF(method_reg="Метод экономически обоснованных расходов",SUMIFS('Калькуляция (4.6)'!AK$25:AK$162,'Калькуляция (4.6)'!$F$25:$F$162,$F106,'Калькуляция (4.6)'!$G$25:$G$162,$G106),IF(method_reg="Метод сравнения аналогов",SUMIFS(INDEX('Калькуляция (МСА)'!$AE$25:$BC$82,,MATCH(AE$8,'Калькуляция (МСА)'!$AE$8:$BC$8,0)),'Калькуляция (МСА)'!$F$25:$F$82,$F106,'Калькуляция (МСА)'!$G$25:$G$82,$G106),SUMIFS(INDEX('Калькуляция (5.9)'!$AJ$25:$BC$137,,MATCH(AE$8,'Калькуляция (5.9)'!$AJ$8:$BC$8,0)),'Калькуляция (5.9)'!$F$25:$F$137,$F106,'Калькуляция (5.9)'!$G$25:$G$137,$G106)))</f>
        <v>0</v>
      </c>
      <c r="AF106" s="306">
        <f ca="1">IF(AD106=0,0,(AE106-AD106)/AD106*100)</f>
        <v>0</v>
      </c>
      <c r="AG106" s="1215">
        <f ca="1">IF(method_reg="Метод сравнения аналогов",SUMIFS(INDEX('Калькуляция (МСА)'!$AE$25:$BC$82,,MATCH(AG$8,'Калькуляция (МСА)'!$AE$8:$BC$8,0)),'Калькуляция (МСА)'!$F$25:$F$82,$F106,'Калькуляция (МСА)'!$G$25:$G$82,$G106),SUMIFS(INDEX('Калькуляция (5.9)'!$AJ$25:$BC$137,,MATCH(AG$8,'Калькуляция (5.9)'!$AJ$8:$BC$8,0)),'Калькуляция (5.9)'!$F$25:$F$137,$F106,'Калькуляция (5.9)'!$G$25:$G$137,$G106))</f>
        <v>0</v>
      </c>
      <c r="AH106" s="1215">
        <f ca="1">IF(method_reg="Метод сравнения аналогов",SUMIFS(INDEX('Калькуляция (МСА)'!$AE$25:$BC$82,,MATCH(AH$8,'Калькуляция (МСА)'!$AE$8:$BC$8,0)),'Калькуляция (МСА)'!$F$25:$F$82,$F106,'Калькуляция (МСА)'!$G$25:$G$82,$G106),SUMIFS(INDEX('Калькуляция (5.9)'!$AJ$25:$BC$137,,MATCH(AH$8,'Калькуляция (5.9)'!$AJ$8:$BC$8,0)),'Калькуляция (5.9)'!$F$25:$F$137,$F106,'Калькуляция (5.9)'!$G$25:$G$137,$G106))</f>
        <v>0</v>
      </c>
      <c r="AI106" s="306">
        <f ca="1">IF(AG106=0,0,(AH106-AG106)/AG106*100)</f>
        <v>0</v>
      </c>
      <c r="AJ106" s="1215">
        <f ca="1">IF(method_reg="Метод сравнения аналогов",SUMIFS(INDEX('Калькуляция (МСА)'!$AE$25:$BC$82,,MATCH(AJ$8,'Калькуляция (МСА)'!$AE$8:$BC$8,0)),'Калькуляция (МСА)'!$F$25:$F$82,$F106,'Калькуляция (МСА)'!$G$25:$G$82,$G106),SUMIFS(INDEX('Калькуляция (5.9)'!$AJ$25:$BC$137,,MATCH(AJ$8,'Калькуляция (5.9)'!$AJ$8:$BC$8,0)),'Калькуляция (5.9)'!$F$25:$F$137,$F106,'Калькуляция (5.9)'!$G$25:$G$137,$G106))</f>
        <v>0</v>
      </c>
      <c r="AK106" s="1215">
        <f ca="1">IF(method_reg="Метод сравнения аналогов",SUMIFS(INDEX('Калькуляция (МСА)'!$AE$25:$BC$82,,MATCH(AK$8,'Калькуляция (МСА)'!$AE$8:$BC$8,0)),'Калькуляция (МСА)'!$F$25:$F$82,$F106,'Калькуляция (МСА)'!$G$25:$G$82,$G106),SUMIFS(INDEX('Калькуляция (5.9)'!$AJ$25:$BC$137,,MATCH(AK$8,'Калькуляция (5.9)'!$AJ$8:$BC$8,0)),'Калькуляция (5.9)'!$F$25:$F$137,$F106,'Калькуляция (5.9)'!$G$25:$G$137,$G106))</f>
        <v>0</v>
      </c>
      <c r="AL106" s="306">
        <f ca="1">IF(AJ106=0,0,(AK106-AJ106)/AJ106*100)</f>
        <v>0</v>
      </c>
      <c r="AM106" s="18">
        <f ca="1">IF(method_reg="Метод сравнения аналогов",SUMIFS(INDEX('Калькуляция (МСА)'!$AE$25:$BC$82,,MATCH(AM$8,'Калькуляция (МСА)'!$AE$8:$BC$8,0)),'Калькуляция (МСА)'!$F$25:$F$82,$F106,'Калькуляция (МСА)'!$G$25:$G$82,$G106),SUMIFS(INDEX('Калькуляция (5.9)'!$AJ$25:$BC$137,,MATCH(AM$8,'Калькуляция (5.9)'!$AJ$8:$BC$8,0)),'Калькуляция (5.9)'!$F$25:$F$137,$F106,'Калькуляция (5.9)'!$G$25:$G$137,$G106))</f>
        <v>0</v>
      </c>
      <c r="AN106" s="18">
        <f ca="1">IF(method_reg="Метод сравнения аналогов",SUMIFS(INDEX('Калькуляция (МСА)'!$AE$25:$BC$82,,MATCH(AN$8,'Калькуляция (МСА)'!$AE$8:$BC$8,0)),'Калькуляция (МСА)'!$F$25:$F$82,$F106,'Калькуляция (МСА)'!$G$25:$G$82,$G106),SUMIFS(INDEX('Калькуляция (5.9)'!$AJ$25:$BC$137,,MATCH(AN$8,'Калькуляция (5.9)'!$AJ$8:$BC$8,0)),'Калькуляция (5.9)'!$F$25:$F$137,$F106,'Калькуляция (5.9)'!$G$25:$G$137,$G106))</f>
        <v>0</v>
      </c>
      <c r="AO106" s="306">
        <f ca="1">IF(AM106=0,0,(AN106-AM106)/AM106*100)</f>
        <v>0</v>
      </c>
      <c r="AP106" s="18">
        <f ca="1">IF(method_reg="Метод сравнения аналогов",SUMIFS(INDEX('Калькуляция (МСА)'!$AE$25:$BC$82,,MATCH(AP$8,'Калькуляция (МСА)'!$AE$8:$BC$8,0)),'Калькуляция (МСА)'!$F$25:$F$82,$F106,'Калькуляция (МСА)'!$G$25:$G$82,$G106),SUMIFS(INDEX('Калькуляция (5.9)'!$AJ$25:$BC$137,,MATCH(AP$8,'Калькуляция (5.9)'!$AJ$8:$BC$8,0)),'Калькуляция (5.9)'!$F$25:$F$137,$F106,'Калькуляция (5.9)'!$G$25:$G$137,$G106))</f>
        <v>0</v>
      </c>
      <c r="AQ106" s="18">
        <f ca="1">IF(method_reg="Метод сравнения аналогов",SUMIFS(INDEX('Калькуляция (МСА)'!$AE$25:$BC$82,,MATCH(AQ$8,'Калькуляция (МСА)'!$AE$8:$BC$8,0)),'Калькуляция (МСА)'!$F$25:$F$82,$F106,'Калькуляция (МСА)'!$G$25:$G$82,$G106),SUMIFS(INDEX('Калькуляция (5.9)'!$AJ$25:$BC$137,,MATCH(AQ$8,'Калькуляция (5.9)'!$AJ$8:$BC$8,0)),'Калькуляция (5.9)'!$F$25:$F$137,$F106,'Калькуляция (5.9)'!$G$25:$G$137,$G106))</f>
        <v>0</v>
      </c>
      <c r="AR106" s="306">
        <f ca="1">IF(AP106=0,0,(AQ106-AP106)/AP106*100)</f>
        <v>0</v>
      </c>
      <c r="AS106" s="18">
        <f ca="1">IF(method_reg="Метод сравнения аналогов",SUMIFS(INDEX('Калькуляция (МСА)'!$AE$25:$BC$82,,MATCH(AS$8,'Калькуляция (МСА)'!$AE$8:$BC$8,0)),'Калькуляция (МСА)'!$F$25:$F$82,$F106,'Калькуляция (МСА)'!$G$25:$G$82,$G106),SUMIFS(INDEX('Калькуляция (5.9)'!$AJ$25:$BC$137,,MATCH(AS$8,'Калькуляция (5.9)'!$AJ$8:$BC$8,0)),'Калькуляция (5.9)'!$F$25:$F$137,$F106,'Калькуляция (5.9)'!$G$25:$G$137,$G106))</f>
        <v>0</v>
      </c>
      <c r="AT106" s="18">
        <f ca="1">IF(method_reg="Метод сравнения аналогов",SUMIFS(INDEX('Калькуляция (МСА)'!$AE$25:$BC$82,,MATCH(AT$8,'Калькуляция (МСА)'!$AE$8:$BC$8,0)),'Калькуляция (МСА)'!$F$25:$F$82,$F106,'Калькуляция (МСА)'!$G$25:$G$82,$G106),SUMIFS(INDEX('Калькуляция (5.9)'!$AJ$25:$BC$137,,MATCH(AT$8,'Калькуляция (5.9)'!$AJ$8:$BC$8,0)),'Калькуляция (5.9)'!$F$25:$F$137,$F106,'Калькуляция (5.9)'!$G$25:$G$137,$G106))</f>
        <v>0</v>
      </c>
      <c r="AU106" s="306">
        <f ca="1">IF(AS106=0,0,(AT106-AS106)/AS106*100)</f>
        <v>0</v>
      </c>
      <c r="AV106" s="18">
        <f ca="1">IF(method_reg="Метод сравнения аналогов",SUMIFS(INDEX('Калькуляция (МСА)'!$AE$25:$BC$82,,MATCH(AV$8,'Калькуляция (МСА)'!$AE$8:$BC$8,0)),'Калькуляция (МСА)'!$F$25:$F$82,$F106,'Калькуляция (МСА)'!$G$25:$G$82,$G106),SUMIFS(INDEX('Калькуляция (5.9)'!$AJ$25:$BC$137,,MATCH(AV$8,'Калькуляция (5.9)'!$AJ$8:$BC$8,0)),'Калькуляция (5.9)'!$F$25:$F$137,$F106,'Калькуляция (5.9)'!$G$25:$G$137,$G106))</f>
        <v>0</v>
      </c>
      <c r="AW106" s="18">
        <f ca="1">IF(method_reg="Метод сравнения аналогов",SUMIFS(INDEX('Калькуляция (МСА)'!$AE$25:$BC$82,,MATCH(AW$8,'Калькуляция (МСА)'!$AE$8:$BC$8,0)),'Калькуляция (МСА)'!$F$25:$F$82,$F106,'Калькуляция (МСА)'!$G$25:$G$82,$G106),SUMIFS(INDEX('Калькуляция (5.9)'!$AJ$25:$BC$137,,MATCH(AW$8,'Калькуляция (5.9)'!$AJ$8:$BC$8,0)),'Калькуляция (5.9)'!$F$25:$F$137,$F106,'Калькуляция (5.9)'!$G$25:$G$137,$G106))</f>
        <v>0</v>
      </c>
      <c r="AX106" s="306">
        <f ca="1">IF(AV106=0,0,(AW106-AV106)/AV106*100)</f>
        <v>0</v>
      </c>
      <c r="AY106" s="18">
        <f ca="1">IF(method_reg="Метод сравнения аналогов",SUMIFS(INDEX('Калькуляция (МСА)'!$AE$25:$BC$82,,MATCH(AY$8,'Калькуляция (МСА)'!$AE$8:$BC$8,0)),'Калькуляция (МСА)'!$F$25:$F$82,$F106,'Калькуляция (МСА)'!$G$25:$G$82,$G106),SUMIFS(INDEX('Калькуляция (5.9)'!$AJ$25:$BC$137,,MATCH(AY$8,'Калькуляция (5.9)'!$AJ$8:$BC$8,0)),'Калькуляция (5.9)'!$F$25:$F$137,$F106,'Калькуляция (5.9)'!$G$25:$G$137,$G106))</f>
        <v>0</v>
      </c>
      <c r="AZ106" s="18">
        <f ca="1">IF(method_reg="Метод сравнения аналогов",SUMIFS(INDEX('Калькуляция (МСА)'!$AE$25:$BC$82,,MATCH(AZ$8,'Калькуляция (МСА)'!$AE$8:$BC$8,0)),'Калькуляция (МСА)'!$F$25:$F$82,$F106,'Калькуляция (МСА)'!$G$25:$G$82,$G106),SUMIFS(INDEX('Калькуляция (5.9)'!$AJ$25:$BC$137,,MATCH(AZ$8,'Калькуляция (5.9)'!$AJ$8:$BC$8,0)),'Калькуляция (5.9)'!$F$25:$F$137,$F106,'Калькуляция (5.9)'!$G$25:$G$137,$G106))</f>
        <v>0</v>
      </c>
      <c r="BA106" s="306">
        <f ca="1">IF(AY106=0,0,(AZ106-AY106)/AY106*100)</f>
        <v>0</v>
      </c>
      <c r="BB106" s="18">
        <f ca="1">IF(method_reg="Метод сравнения аналогов",SUMIFS(INDEX('Калькуляция (МСА)'!$AE$25:$BC$82,,MATCH(BB$8,'Калькуляция (МСА)'!$AE$8:$BC$8,0)),'Калькуляция (МСА)'!$F$25:$F$82,$F106,'Калькуляция (МСА)'!$G$25:$G$82,$G106),SUMIFS(INDEX('Калькуляция (5.9)'!$AJ$25:$BC$137,,MATCH(BB$8,'Калькуляция (5.9)'!$AJ$8:$BC$8,0)),'Калькуляция (5.9)'!$F$25:$F$137,$F106,'Калькуляция (5.9)'!$G$25:$G$137,$G106))</f>
        <v>0</v>
      </c>
      <c r="BC106" s="18">
        <f ca="1">IF(method_reg="Метод сравнения аналогов",SUMIFS(INDEX('Калькуляция (МСА)'!$AE$25:$BC$82,,MATCH(BC$8,'Калькуляция (МСА)'!$AE$8:$BC$8,0)),'Калькуляция (МСА)'!$F$25:$F$82,$F106,'Калькуляция (МСА)'!$G$25:$G$82,$G106),SUMIFS(INDEX('Калькуляция (5.9)'!$AJ$25:$BC$137,,MATCH(BC$8,'Калькуляция (5.9)'!$AJ$8:$BC$8,0)),'Калькуляция (5.9)'!$F$25:$F$137,$F106,'Калькуляция (5.9)'!$G$25:$G$137,$G106))</f>
        <v>0</v>
      </c>
      <c r="BD106" s="306">
        <f ca="1">IF(BB106=0,0,(BC106-BB106)/BB106*100)</f>
        <v>0</v>
      </c>
      <c r="BE106" s="18">
        <f ca="1">IF(method_reg="Метод сравнения аналогов",SUMIFS(INDEX('Калькуляция (МСА)'!$AE$25:$BC$82,,MATCH(BE$8,'Калькуляция (МСА)'!$AE$8:$BC$8,0)),'Калькуляция (МСА)'!$F$25:$F$82,$F106,'Калькуляция (МСА)'!$G$25:$G$82,$G106),SUMIFS(INDEX('Калькуляция (5.9)'!$AJ$25:$BC$137,,MATCH(BE$8,'Калькуляция (5.9)'!$AJ$8:$BC$8,0)),'Калькуляция (5.9)'!$F$25:$F$137,$F106,'Калькуляция (5.9)'!$G$25:$G$137,$G106))</f>
        <v>0</v>
      </c>
      <c r="BF106" s="18">
        <f ca="1">IF(method_reg="Метод сравнения аналогов",SUMIFS(INDEX('Калькуляция (МСА)'!$AE$25:$BC$82,,MATCH(BF$8,'Калькуляция (МСА)'!$AE$8:$BC$8,0)),'Калькуляция (МСА)'!$F$25:$F$82,$F106,'Калькуляция (МСА)'!$G$25:$G$82,$G106),SUMIFS(INDEX('Калькуляция (5.9)'!$AJ$25:$BC$137,,MATCH(BF$8,'Калькуляция (5.9)'!$AJ$8:$BC$8,0)),'Калькуляция (5.9)'!$F$25:$F$137,$F106,'Калькуляция (5.9)'!$G$25:$G$137,$G106))</f>
        <v>0</v>
      </c>
      <c r="BG106" s="306">
        <f ca="1">IF(BE106=0,0,(BF106-BE106)/BE106*100)</f>
        <v>0</v>
      </c>
      <c r="BH106" s="18"/>
      <c r="BI106" s="18"/>
      <c r="BJ106" s="306">
        <f>IF(BH106=0,0,(BI106-BH106)/BH106*100)</f>
        <v>0</v>
      </c>
      <c r="BK106" s="18"/>
      <c r="BL106" s="18"/>
      <c r="BM106" s="306">
        <f>IF(BK106=0,0,(BL106-BK106)/BK106*100)</f>
        <v>0</v>
      </c>
      <c r="BN106" s="18"/>
      <c r="BO106" s="18"/>
      <c r="BP106" s="306">
        <f>IF(BN106=0,0,(BO106-BN106)/BN106*100)</f>
        <v>0</v>
      </c>
      <c r="BQ106" s="18"/>
      <c r="BR106" s="18"/>
      <c r="BS106" s="306">
        <f>IF(BQ106=0,0,(BR106-BQ106)/BQ106*100)</f>
        <v>0</v>
      </c>
      <c r="BT106" s="18"/>
      <c r="BU106" s="18"/>
      <c r="BV106" s="306">
        <f>IF(BT106=0,0,(BU106-BT106)/BT106*100)</f>
        <v>0</v>
      </c>
      <c r="BW106" s="18"/>
      <c r="BX106" s="18"/>
      <c r="BY106" s="306">
        <f>IF(BW106=0,0,(BX106-BW106)/BW106*100)</f>
        <v>0</v>
      </c>
      <c r="BZ106" s="18"/>
      <c r="CA106" s="18"/>
      <c r="CB106" s="306">
        <f>IF(BZ106=0,0,(CA106-BZ106)/BZ106*100)</f>
        <v>0</v>
      </c>
      <c r="CC106" s="18"/>
      <c r="CD106" s="18"/>
      <c r="CE106" s="306">
        <f>IF(CC106=0,0,(CD106-CC106)/CC106*100)</f>
        <v>0</v>
      </c>
      <c r="CF106" s="18"/>
      <c r="CG106" s="18"/>
      <c r="CH106" s="306">
        <f>IF(CF106=0,0,(CG106-CF106)/CF106*100)</f>
        <v>0</v>
      </c>
      <c r="CI106" s="18"/>
      <c r="CJ106" s="18"/>
      <c r="CK106" s="306">
        <f>IF(CI106=0,0,(CJ106-CI106)/CI106*100)</f>
        <v>0</v>
      </c>
      <c r="CL106" s="18"/>
      <c r="CM106" s="18"/>
      <c r="CN106" s="306">
        <f>IF(CL106=0,0,(CM106-CL106)/CL106*100)</f>
        <v>0</v>
      </c>
      <c r="CO106" s="18"/>
      <c r="CP106" s="18"/>
      <c r="CQ106" s="306">
        <f>IF(CO106=0,0,(CP106-CO106)/CO106*100)</f>
        <v>0</v>
      </c>
      <c r="CR106" s="18"/>
      <c r="CS106" s="18"/>
      <c r="CT106" s="306">
        <f>IF(CR106=0,0,(CS106-CR106)/CR106*100)</f>
        <v>0</v>
      </c>
      <c r="CU106" s="18"/>
      <c r="CV106" s="18"/>
      <c r="CW106" s="306">
        <f>IF(CU106=0,0,(CV106-CU106)/CU106*100)</f>
        <v>0</v>
      </c>
      <c r="CX106" s="18"/>
      <c r="CY106" s="18"/>
      <c r="CZ106" s="306">
        <f>IF(CX106=0,0,(CY106-CX106)/CX106*100)</f>
        <v>0</v>
      </c>
      <c r="DA106" s="18"/>
      <c r="DB106" s="18"/>
      <c r="DC106" s="306">
        <f>IF(DA106=0,0,(DB106-DA106)/DA106*100)</f>
        <v>0</v>
      </c>
      <c r="DD106" s="18"/>
      <c r="DE106" s="18"/>
      <c r="DF106" s="306">
        <f>IF(DD106=0,0,(DE106-DD106)/DD106*100)</f>
        <v>0</v>
      </c>
      <c r="DG106" s="18"/>
      <c r="DH106" s="18"/>
      <c r="DI106" s="306">
        <f>IF(DG106=0,0,(DH106-DG106)/DG106*100)</f>
        <v>0</v>
      </c>
      <c r="DJ106" s="18"/>
      <c r="DK106" s="18"/>
      <c r="DL106" s="306">
        <f>IF(DJ106=0,0,(DK106-DJ106)/DJ106*100)</f>
        <v>0</v>
      </c>
      <c r="DM106" s="18"/>
      <c r="DN106" s="18"/>
      <c r="DO106" s="306">
        <f>IF(DM106=0,0,(DN106-DM106)/DM106*100)</f>
        <v>0</v>
      </c>
      <c r="DP106" s="18"/>
      <c r="DQ106" s="18"/>
      <c r="DR106" s="306">
        <f>IF(DP106=0,0,(DQ106-DP106)/DP106*100)</f>
        <v>0</v>
      </c>
      <c r="DS106" s="18"/>
      <c r="DT106" s="18"/>
      <c r="DU106" s="306">
        <f>IF(DS106=0,0,(DT106-DS106)/DS106*100)</f>
        <v>0</v>
      </c>
      <c r="DV106" s="18"/>
      <c r="DW106" s="18"/>
      <c r="DX106" s="306">
        <f>IF(DV106=0,0,(DW106-DV106)/DV106*100)</f>
        <v>0</v>
      </c>
      <c r="DY106" s="18"/>
      <c r="DZ106" s="18"/>
      <c r="EA106" s="306">
        <f>IF(DY106=0,0,(DZ106-DY106)/DY106*100)</f>
        <v>0</v>
      </c>
      <c r="EB106" s="18"/>
      <c r="EC106" s="18"/>
      <c r="ED106" s="306">
        <f>IF(EB106=0,0,(EC106-EB106)/EB106*100)</f>
        <v>0</v>
      </c>
      <c r="EE106" s="18"/>
      <c r="EF106" s="18"/>
      <c r="EG106" s="306">
        <f>IF(EE106=0,0,(EF106-EE106)/EE106*100)</f>
        <v>0</v>
      </c>
      <c r="EH106" s="18"/>
      <c r="EI106" s="18"/>
      <c r="EJ106" s="306">
        <f>IF(EH106=0,0,(EI106-EH106)/EH106*100)</f>
        <v>0</v>
      </c>
      <c r="EK106" s="18"/>
      <c r="EL106" s="18"/>
      <c r="EM106" s="306">
        <f>IF(EK106=0,0,(EL106-EK106)/EK106*100)</f>
        <v>0</v>
      </c>
      <c r="EN106" s="18"/>
      <c r="EO106" s="18"/>
      <c r="EP106" s="306">
        <f>IF(EN106=0,0,(EO106-EN106)/EN106*100)</f>
        <v>0</v>
      </c>
      <c r="EQ106" s="18"/>
      <c r="ER106" s="18"/>
      <c r="ES106" s="306">
        <f>IF(EQ106=0,0,(ER106-EQ106)/EQ106*100)</f>
        <v>0</v>
      </c>
      <c r="ET106" s="18"/>
      <c r="EU106" s="18"/>
      <c r="EV106" s="306">
        <f>IF(ET106=0,0,(EU106-ET106)/ET106*100)</f>
        <v>0</v>
      </c>
      <c r="EW106" s="18"/>
      <c r="EX106" s="18"/>
      <c r="EY106" s="306">
        <f>IF(EW106=0,0,(EX106-EW106)/EW106*100)</f>
        <v>0</v>
      </c>
      <c r="EZ106" s="18"/>
      <c r="FA106" s="18"/>
      <c r="FB106" s="306">
        <f>IF(EZ106=0,0,(FA106-EZ106)/EZ106*100)</f>
        <v>0</v>
      </c>
      <c r="FC106" s="18"/>
      <c r="FD106" s="18"/>
      <c r="FE106" s="306">
        <f>IF(FC106=0,0,(FD106-FC106)/FC106*100)</f>
        <v>0</v>
      </c>
      <c r="FF106" s="18"/>
      <c r="FG106" s="18"/>
      <c r="FH106" s="306">
        <f>IF(FF106=0,0,(FG106-FF106)/FF106*100)</f>
        <v>0</v>
      </c>
      <c r="FI106" s="18"/>
      <c r="FJ106" s="18"/>
      <c r="FK106" s="306">
        <f>IF(FI106=0,0,(FJ106-FI106)/FI106*100)</f>
        <v>0</v>
      </c>
      <c r="FL106" s="18"/>
      <c r="FM106" s="18"/>
      <c r="FN106" s="306">
        <f>IF(FL106=0,0,(FM106-FL106)/FL106*100)</f>
        <v>0</v>
      </c>
      <c r="FO106" s="18"/>
      <c r="FP106" s="18"/>
      <c r="FQ106" s="306">
        <f>IF(FO106=0,0,(FP106-FO106)/FO106*100)</f>
        <v>0</v>
      </c>
      <c r="FR106" s="18"/>
      <c r="FS106" s="18"/>
      <c r="FT106" s="306">
        <f>IF(FR106=0,0,(FS106-FR106)/FR106*100)</f>
        <v>0</v>
      </c>
      <c r="FU106" s="18"/>
      <c r="FV106" s="18"/>
      <c r="FW106" s="306">
        <f>IF(FU106=0,0,(FV106-FU106)/FU106*100)</f>
        <v>0</v>
      </c>
      <c r="FX106" s="417"/>
      <c r="FY106" s="417"/>
      <c r="FZ106" s="971" t="s">
        <v>2188</v>
      </c>
      <c r="GA106" s="971"/>
      <c r="GB106" s="971"/>
      <c r="GC106" s="971"/>
      <c r="GD106" s="971"/>
    </row>
    <row r="107" spans="1:186" s="1167" customFormat="1" ht="15" hidden="1" customHeight="1" x14ac:dyDescent="0.15">
      <c r="A107" s="1152"/>
      <c r="B107" s="803" t="b" cm="1">
        <f t="array" ref="B107">B106</f>
        <v>0</v>
      </c>
      <c r="C107" s="1108"/>
      <c r="D107" s="1077"/>
      <c r="E107" s="668">
        <v>15.8</v>
      </c>
      <c r="F107" s="769" t="str" cm="1">
        <f t="array" aca="1" ref="F107" ca="1">OFFSET(G107,-1,-1)</f>
        <v>1</v>
      </c>
      <c r="G107" s="417"/>
      <c r="H107" s="417"/>
      <c r="I107" s="417"/>
      <c r="J107" s="1100"/>
      <c r="K107" s="1098" t="str" cm="1">
        <f t="array" aca="1" ref="K107" ca="1">OFFSET(J107,-1,1)</f>
        <v>ТЭ.42.27968109.0001</v>
      </c>
      <c r="L107" s="1100"/>
      <c r="M107" s="1100"/>
      <c r="N107" s="1100"/>
      <c r="O107" s="1100"/>
      <c r="P107" s="1098"/>
      <c r="Q107" s="1098"/>
      <c r="R107" s="774"/>
      <c r="S107" s="417"/>
      <c r="T107" s="679" t="b" cm="1">
        <f t="array" aca="1" ref="T107" ca="1">T106</f>
        <v>0</v>
      </c>
      <c r="U107" s="1152"/>
      <c r="V107" s="1152"/>
      <c r="W107" s="1152"/>
      <c r="X107" s="1485"/>
      <c r="Y107" s="1152"/>
      <c r="Z107" s="1485"/>
      <c r="AA107" s="417"/>
      <c r="AB107" s="1130" t="s">
        <v>2139</v>
      </c>
      <c r="AC107" s="308"/>
      <c r="AD107" s="309"/>
      <c r="AE107" s="309"/>
      <c r="AF107" s="309"/>
      <c r="AG107" s="309"/>
      <c r="AH107" s="309"/>
      <c r="AI107" s="309"/>
      <c r="AJ107" s="309"/>
      <c r="AK107" s="309"/>
      <c r="AL107" s="309"/>
      <c r="AM107" s="309"/>
      <c r="AN107" s="309"/>
      <c r="AO107" s="309"/>
      <c r="AP107" s="309"/>
      <c r="AQ107" s="309"/>
      <c r="AR107" s="309"/>
      <c r="AS107" s="309"/>
      <c r="AT107" s="309"/>
      <c r="AU107" s="309"/>
      <c r="AV107" s="309"/>
      <c r="AW107" s="309"/>
      <c r="AX107" s="309"/>
      <c r="AY107" s="309"/>
      <c r="AZ107" s="309"/>
      <c r="BA107" s="309"/>
      <c r="BB107" s="309"/>
      <c r="BC107" s="309"/>
      <c r="BD107" s="309"/>
      <c r="BE107" s="309"/>
      <c r="BF107" s="309"/>
      <c r="BG107" s="309"/>
      <c r="BH107" s="309"/>
      <c r="BI107" s="309"/>
      <c r="BJ107" s="309"/>
      <c r="BK107" s="309"/>
      <c r="BL107" s="309"/>
      <c r="BM107" s="309"/>
      <c r="BN107" s="309"/>
      <c r="BO107" s="309"/>
      <c r="BP107" s="309"/>
      <c r="BQ107" s="309"/>
      <c r="BR107" s="309"/>
      <c r="BS107" s="309"/>
      <c r="BT107" s="309"/>
      <c r="BU107" s="309"/>
      <c r="BV107" s="309"/>
      <c r="BW107" s="309"/>
      <c r="BX107" s="309"/>
      <c r="BY107" s="309"/>
      <c r="BZ107" s="309"/>
      <c r="CA107" s="309"/>
      <c r="CB107" s="309"/>
      <c r="CC107" s="309"/>
      <c r="CD107" s="309"/>
      <c r="CE107" s="309"/>
      <c r="CF107" s="309"/>
      <c r="CG107" s="309"/>
      <c r="CH107" s="309"/>
      <c r="CI107" s="309"/>
      <c r="CJ107" s="309"/>
      <c r="CK107" s="309"/>
      <c r="CL107" s="309"/>
      <c r="CM107" s="309"/>
      <c r="CN107" s="309"/>
      <c r="CO107" s="309"/>
      <c r="CP107" s="309"/>
      <c r="CQ107" s="309"/>
      <c r="CR107" s="309"/>
      <c r="CS107" s="309"/>
      <c r="CT107" s="309"/>
      <c r="CU107" s="309"/>
      <c r="CV107" s="309"/>
      <c r="CW107" s="309"/>
      <c r="CX107" s="309"/>
      <c r="CY107" s="309"/>
      <c r="CZ107" s="309"/>
      <c r="DA107" s="309"/>
      <c r="DB107" s="309"/>
      <c r="DC107" s="309"/>
      <c r="DD107" s="309"/>
      <c r="DE107" s="309"/>
      <c r="DF107" s="309"/>
      <c r="DG107" s="309"/>
      <c r="DH107" s="309"/>
      <c r="DI107" s="309"/>
      <c r="DJ107" s="309"/>
      <c r="DK107" s="309"/>
      <c r="DL107" s="309"/>
      <c r="DM107" s="309"/>
      <c r="DN107" s="309"/>
      <c r="DO107" s="309"/>
      <c r="DP107" s="309"/>
      <c r="DQ107" s="309"/>
      <c r="DR107" s="309"/>
      <c r="DS107" s="309"/>
      <c r="DT107" s="309"/>
      <c r="DU107" s="309"/>
      <c r="DV107" s="309"/>
      <c r="DW107" s="309"/>
      <c r="DX107" s="309"/>
      <c r="DY107" s="309"/>
      <c r="DZ107" s="309"/>
      <c r="EA107" s="309"/>
      <c r="EB107" s="309"/>
      <c r="EC107" s="309"/>
      <c r="ED107" s="309"/>
      <c r="EE107" s="309"/>
      <c r="EF107" s="309"/>
      <c r="EG107" s="309"/>
      <c r="EH107" s="309"/>
      <c r="EI107" s="309"/>
      <c r="EJ107" s="309"/>
      <c r="EK107" s="309"/>
      <c r="EL107" s="309"/>
      <c r="EM107" s="309"/>
      <c r="EN107" s="309"/>
      <c r="EO107" s="309"/>
      <c r="EP107" s="309"/>
      <c r="EQ107" s="309"/>
      <c r="ER107" s="309"/>
      <c r="ES107" s="309"/>
      <c r="ET107" s="309"/>
      <c r="EU107" s="309"/>
      <c r="EV107" s="309"/>
      <c r="EW107" s="309"/>
      <c r="EX107" s="309"/>
      <c r="EY107" s="309"/>
      <c r="EZ107" s="309"/>
      <c r="FA107" s="309"/>
      <c r="FB107" s="309"/>
      <c r="FC107" s="309"/>
      <c r="FD107" s="309"/>
      <c r="FE107" s="309"/>
      <c r="FF107" s="309"/>
      <c r="FG107" s="309"/>
      <c r="FH107" s="309"/>
      <c r="FI107" s="309"/>
      <c r="FJ107" s="309"/>
      <c r="FK107" s="309"/>
      <c r="FL107" s="309"/>
      <c r="FM107" s="309"/>
      <c r="FN107" s="309"/>
      <c r="FO107" s="309"/>
      <c r="FP107" s="309"/>
      <c r="FQ107" s="309"/>
      <c r="FR107" s="309"/>
      <c r="FS107" s="309"/>
      <c r="FT107" s="309"/>
      <c r="FU107" s="309"/>
      <c r="FV107" s="309"/>
      <c r="FW107" s="310"/>
      <c r="FX107" s="417"/>
      <c r="FY107" s="417"/>
      <c r="FZ107" s="1005"/>
      <c r="GA107" s="971"/>
      <c r="GB107" s="971"/>
      <c r="GC107" s="971"/>
      <c r="GD107" s="971"/>
    </row>
    <row r="108" spans="1:186" s="1167" customFormat="1" ht="15" hidden="1" customHeight="1" x14ac:dyDescent="0.15">
      <c r="A108" s="1152"/>
      <c r="B108" s="803" t="b" cm="1">
        <f t="array" ref="B108">B107</f>
        <v>0</v>
      </c>
      <c r="C108" s="1108" t="s">
        <v>2189</v>
      </c>
      <c r="D108" s="1077" t="s">
        <v>2190</v>
      </c>
      <c r="E108" s="668">
        <v>15.8</v>
      </c>
      <c r="F108" s="769" t="str" cm="1">
        <f t="array" aca="1" ref="F108" ca="1">OFFSET(G108,-1,-1)</f>
        <v>1</v>
      </c>
      <c r="G108" s="417"/>
      <c r="H108" s="160" t="s">
        <v>2161</v>
      </c>
      <c r="I108" s="160" t="s">
        <v>2136</v>
      </c>
      <c r="J108" s="1098"/>
      <c r="K108" s="1098" t="str" cm="1">
        <f t="array" aca="1" ref="K108" ca="1">OFFSET(J108,-1,1)</f>
        <v>ТЭ.42.27968109.0001</v>
      </c>
      <c r="L108" s="1098"/>
      <c r="M108" s="1098" t="s">
        <v>1750</v>
      </c>
      <c r="N108" s="1098" t="s">
        <v>2137</v>
      </c>
      <c r="O108" s="1099" t="s">
        <v>2138</v>
      </c>
      <c r="P108" s="1098" t="s">
        <v>2162</v>
      </c>
      <c r="Q108" s="1098"/>
      <c r="R108" s="774"/>
      <c r="S108" s="417"/>
      <c r="T108" s="679" t="b" cm="1">
        <f t="array" aca="1" ref="T108" ca="1">T107</f>
        <v>0</v>
      </c>
      <c r="U108" s="1152"/>
      <c r="V108" s="1152"/>
      <c r="W108" s="1152"/>
      <c r="X108" s="1485"/>
      <c r="Y108" s="1152"/>
      <c r="Z108" s="1485"/>
      <c r="AA108" s="417"/>
      <c r="AB108" s="220" t="s">
        <v>2163</v>
      </c>
      <c r="AC108" s="120" t="s">
        <v>920</v>
      </c>
      <c r="AD108" s="18">
        <f>IF(AD110=0,0,(AD109*AD110+AD111*AD112*IF(god=2026,9,6))/AD110)</f>
        <v>0</v>
      </c>
      <c r="AE108" s="18">
        <f>IF(AE110=0,0,(AE109*AE110+AE111*AE112*IF(god=2026,9,6))/AE110)</f>
        <v>0</v>
      </c>
      <c r="AF108" s="306">
        <f>IF(AD108=0,0,(AE108-AD108)/AD108*100)</f>
        <v>0</v>
      </c>
      <c r="AG108" s="1215">
        <f>IF(AG110=0,0,(AG109*AG110+AG111*AG112*IF(god=2025,9,6))/AG110)</f>
        <v>0</v>
      </c>
      <c r="AH108" s="1215">
        <f>IF(AH110=0,0,(AH109*AH110+AH111*AH112*IF(god=2025,9,6))/AH110)</f>
        <v>0</v>
      </c>
      <c r="AI108" s="306">
        <f>IF(AG108=0,0,(AH108-AG108)/AG108*100)</f>
        <v>0</v>
      </c>
      <c r="AJ108" s="1215">
        <f>IF(AJ110=0,0,(AJ109*AJ110+AJ111*AJ112*6)/AJ110)</f>
        <v>0</v>
      </c>
      <c r="AK108" s="1215">
        <f>IF(AK110=0,0,(AK109*AK110+AK111*AK112*6)/AK110)</f>
        <v>0</v>
      </c>
      <c r="AL108" s="306">
        <f>IF(AJ108=0,0,(AK108-AJ108)/AJ108*100)</f>
        <v>0</v>
      </c>
      <c r="AM108" s="18">
        <f>IF(AM110=0,0,(AM109*AM110+AM111*AM112*6)/AM110)</f>
        <v>0</v>
      </c>
      <c r="AN108" s="18">
        <f>IF(AN110=0,0,(AN109*AN110+AN111*AN112*6)/AN110)</f>
        <v>0</v>
      </c>
      <c r="AO108" s="306">
        <f>IF(AM108=0,0,(AN108-AM108)/AM108*100)</f>
        <v>0</v>
      </c>
      <c r="AP108" s="18">
        <f>IF(AP110=0,0,(AP109*AP110+AP111*AP112*6)/AP110)</f>
        <v>0</v>
      </c>
      <c r="AQ108" s="18">
        <f>IF(AQ110=0,0,(AQ109*AQ110+AQ111*AQ112*6)/AQ110)</f>
        <v>0</v>
      </c>
      <c r="AR108" s="306">
        <f>IF(AP108=0,0,(AQ108-AP108)/AP108*100)</f>
        <v>0</v>
      </c>
      <c r="AS108" s="18">
        <f>IF(AS110=0,0,(AS109*AS110+AS111*AS112*6)/AS110)</f>
        <v>0</v>
      </c>
      <c r="AT108" s="18">
        <f>IF(AT110=0,0,(AT109*AT110+AT111*AT112*6)/AT110)</f>
        <v>0</v>
      </c>
      <c r="AU108" s="306">
        <f>IF(AS108=0,0,(AT108-AS108)/AS108*100)</f>
        <v>0</v>
      </c>
      <c r="AV108" s="18">
        <f>IF(AV110=0,0,(AV109*AV110+AV111*AV112*6)/AV110)</f>
        <v>0</v>
      </c>
      <c r="AW108" s="18">
        <f>IF(AW110=0,0,(AW109*AW110+AW111*AW112*6)/AW110)</f>
        <v>0</v>
      </c>
      <c r="AX108" s="306">
        <f>IF(AV108=0,0,(AW108-AV108)/AV108*100)</f>
        <v>0</v>
      </c>
      <c r="AY108" s="18">
        <f>IF(AY110=0,0,(AY109*AY110+AY111*AY112*6)/AY110)</f>
        <v>0</v>
      </c>
      <c r="AZ108" s="18">
        <f>IF(AZ110=0,0,(AZ109*AZ110+AZ111*AZ112*6)/AZ110)</f>
        <v>0</v>
      </c>
      <c r="BA108" s="306">
        <f>IF(AY108=0,0,(AZ108-AY108)/AY108*100)</f>
        <v>0</v>
      </c>
      <c r="BB108" s="18">
        <f>IF(BB110=0,0,(BB109*BB110+BB111*BB112*6)/BB110)</f>
        <v>0</v>
      </c>
      <c r="BC108" s="18">
        <f>IF(BC110=0,0,(BC109*BC110+BC111*BC112*6)/BC110)</f>
        <v>0</v>
      </c>
      <c r="BD108" s="306">
        <f>IF(BB108=0,0,(BC108-BB108)/BB108*100)</f>
        <v>0</v>
      </c>
      <c r="BE108" s="18">
        <f>IF(BE110=0,0,(BE109*BE110+BE111*BE112*6)/BE110)</f>
        <v>0</v>
      </c>
      <c r="BF108" s="18">
        <f>IF(BF110=0,0,(BF109*BF110+BF111*BF112*6)/BF110)</f>
        <v>0</v>
      </c>
      <c r="BG108" s="306">
        <f>IF(BE108=0,0,(BF108-BE108)/BE108*100)</f>
        <v>0</v>
      </c>
      <c r="BH108" s="18">
        <f>IF(BH110=0,0,(BH109*BH110+BH111*BH112*6)/BH110)</f>
        <v>0</v>
      </c>
      <c r="BI108" s="18">
        <f>IF(BI110=0,0,(BI109*BI110+BI111*BI112*6)/BI110)</f>
        <v>0</v>
      </c>
      <c r="BJ108" s="306">
        <f>IF(BH108=0,0,(BI108-BH108)/BH108*100)</f>
        <v>0</v>
      </c>
      <c r="BK108" s="18">
        <f>IF(BK110=0,0,(BK109*BK110+BK111*BK112*6)/BK110)</f>
        <v>0</v>
      </c>
      <c r="BL108" s="18">
        <f>IF(BL110=0,0,(BL109*BL110+BL111*BL112*6)/BL110)</f>
        <v>0</v>
      </c>
      <c r="BM108" s="306">
        <f>IF(BK108=0,0,(BL108-BK108)/BK108*100)</f>
        <v>0</v>
      </c>
      <c r="BN108" s="18">
        <f>IF(BN110=0,0,(BN109*BN110+BN111*BN112*6)/BN110)</f>
        <v>0</v>
      </c>
      <c r="BO108" s="18">
        <f>IF(BO110=0,0,(BO109*BO110+BO111*BO112*6)/BO110)</f>
        <v>0</v>
      </c>
      <c r="BP108" s="306">
        <f>IF(BN108=0,0,(BO108-BN108)/BN108*100)</f>
        <v>0</v>
      </c>
      <c r="BQ108" s="18">
        <f>IF(BQ110=0,0,(BQ109*BQ110+BQ111*BQ112*6)/BQ110)</f>
        <v>0</v>
      </c>
      <c r="BR108" s="18">
        <f>IF(BR110=0,0,(BR109*BR110+BR111*BR112*6)/BR110)</f>
        <v>0</v>
      </c>
      <c r="BS108" s="306">
        <f>IF(BQ108=0,0,(BR108-BQ108)/BQ108*100)</f>
        <v>0</v>
      </c>
      <c r="BT108" s="18">
        <f>IF(BT110=0,0,(BT109*BT110+BT111*BT112*6)/BT110)</f>
        <v>0</v>
      </c>
      <c r="BU108" s="18">
        <f>IF(BU110=0,0,(BU109*BU110+BU111*BU112*6)/BU110)</f>
        <v>0</v>
      </c>
      <c r="BV108" s="306">
        <f>IF(BT108=0,0,(BU108-BT108)/BT108*100)</f>
        <v>0</v>
      </c>
      <c r="BW108" s="18">
        <f>IF(BW110=0,0,(BW109*BW110+BW111*BW112*6)/BW110)</f>
        <v>0</v>
      </c>
      <c r="BX108" s="18">
        <f>IF(BX110=0,0,(BX109*BX110+BX111*BX112*6)/BX110)</f>
        <v>0</v>
      </c>
      <c r="BY108" s="306">
        <f>IF(BW108=0,0,(BX108-BW108)/BW108*100)</f>
        <v>0</v>
      </c>
      <c r="BZ108" s="18">
        <f>IF(BZ110=0,0,(BZ109*BZ110+BZ111*BZ112*6)/BZ110)</f>
        <v>0</v>
      </c>
      <c r="CA108" s="18">
        <f>IF(CA110=0,0,(CA109*CA110+CA111*CA112*6)/CA110)</f>
        <v>0</v>
      </c>
      <c r="CB108" s="306">
        <f>IF(BZ108=0,0,(CA108-BZ108)/BZ108*100)</f>
        <v>0</v>
      </c>
      <c r="CC108" s="18">
        <f>IF(CC110=0,0,(CC109*CC110+CC111*CC112*6)/CC110)</f>
        <v>0</v>
      </c>
      <c r="CD108" s="18">
        <f>IF(CD110=0,0,(CD109*CD110+CD111*CD112*6)/CD110)</f>
        <v>0</v>
      </c>
      <c r="CE108" s="306">
        <f>IF(CC108=0,0,(CD108-CC108)/CC108*100)</f>
        <v>0</v>
      </c>
      <c r="CF108" s="18">
        <f>IF(CF110=0,0,(CF109*CF110+CF111*CF112*6)/CF110)</f>
        <v>0</v>
      </c>
      <c r="CG108" s="18">
        <f>IF(CG110=0,0,(CG109*CG110+CG111*CG112*6)/CG110)</f>
        <v>0</v>
      </c>
      <c r="CH108" s="306">
        <f>IF(CF108=0,0,(CG108-CF108)/CF108*100)</f>
        <v>0</v>
      </c>
      <c r="CI108" s="18">
        <f>IF(CI110=0,0,(CI109*CI110+CI111*CI112*6)/CI110)</f>
        <v>0</v>
      </c>
      <c r="CJ108" s="18">
        <f>IF(CJ110=0,0,(CJ109*CJ110+CJ111*CJ112*6)/CJ110)</f>
        <v>0</v>
      </c>
      <c r="CK108" s="306">
        <f>IF(CI108=0,0,(CJ108-CI108)/CI108*100)</f>
        <v>0</v>
      </c>
      <c r="CL108" s="18">
        <f>IF(CL110=0,0,(CL109*CL110+CL111*CL112*6)/CL110)</f>
        <v>0</v>
      </c>
      <c r="CM108" s="18">
        <f>IF(CM110=0,0,(CM109*CM110+CM111*CM112*6)/CM110)</f>
        <v>0</v>
      </c>
      <c r="CN108" s="306">
        <f>IF(CL108=0,0,(CM108-CL108)/CL108*100)</f>
        <v>0</v>
      </c>
      <c r="CO108" s="18">
        <f>IF(CO110=0,0,(CO109*CO110+CO111*CO112*6)/CO110)</f>
        <v>0</v>
      </c>
      <c r="CP108" s="18">
        <f>IF(CP110=0,0,(CP109*CP110+CP111*CP112*6)/CP110)</f>
        <v>0</v>
      </c>
      <c r="CQ108" s="306">
        <f>IF(CO108=0,0,(CP108-CO108)/CO108*100)</f>
        <v>0</v>
      </c>
      <c r="CR108" s="18">
        <f>IF(CR110=0,0,(CR109*CR110+CR111*CR112*6)/CR110)</f>
        <v>0</v>
      </c>
      <c r="CS108" s="18">
        <f>IF(CS110=0,0,(CS109*CS110+CS111*CS112*6)/CS110)</f>
        <v>0</v>
      </c>
      <c r="CT108" s="306">
        <f>IF(CR108=0,0,(CS108-CR108)/CR108*100)</f>
        <v>0</v>
      </c>
      <c r="CU108" s="18">
        <f>IF(CU110=0,0,(CU109*CU110+CU111*CU112*6)/CU110)</f>
        <v>0</v>
      </c>
      <c r="CV108" s="18">
        <f>IF(CV110=0,0,(CV109*CV110+CV111*CV112*6)/CV110)</f>
        <v>0</v>
      </c>
      <c r="CW108" s="306">
        <f>IF(CU108=0,0,(CV108-CU108)/CU108*100)</f>
        <v>0</v>
      </c>
      <c r="CX108" s="18">
        <f>IF(CX110=0,0,(CX109*CX110+CX111*CX112*6)/CX110)</f>
        <v>0</v>
      </c>
      <c r="CY108" s="18">
        <f>IF(CY110=0,0,(CY109*CY110+CY111*CY112*6)/CY110)</f>
        <v>0</v>
      </c>
      <c r="CZ108" s="306">
        <f>IF(CX108=0,0,(CY108-CX108)/CX108*100)</f>
        <v>0</v>
      </c>
      <c r="DA108" s="18">
        <f>IF(DA110=0,0,(DA109*DA110+DA111*DA112*6)/DA110)</f>
        <v>0</v>
      </c>
      <c r="DB108" s="18">
        <f>IF(DB110=0,0,(DB109*DB110+DB111*DB112*6)/DB110)</f>
        <v>0</v>
      </c>
      <c r="DC108" s="306">
        <f>IF(DA108=0,0,(DB108-DA108)/DA108*100)</f>
        <v>0</v>
      </c>
      <c r="DD108" s="18">
        <f>IF(DD110=0,0,(DD109*DD110+DD111*DD112*6)/DD110)</f>
        <v>0</v>
      </c>
      <c r="DE108" s="18">
        <f>IF(DE110=0,0,(DE109*DE110+DE111*DE112*6)/DE110)</f>
        <v>0</v>
      </c>
      <c r="DF108" s="306">
        <f>IF(DD108=0,0,(DE108-DD108)/DD108*100)</f>
        <v>0</v>
      </c>
      <c r="DG108" s="18">
        <f>IF(DG110=0,0,(DG109*DG110+DG111*DG112*6)/DG110)</f>
        <v>0</v>
      </c>
      <c r="DH108" s="18">
        <f>IF(DH110=0,0,(DH109*DH110+DH111*DH112*6)/DH110)</f>
        <v>0</v>
      </c>
      <c r="DI108" s="306">
        <f>IF(DG108=0,0,(DH108-DG108)/DG108*100)</f>
        <v>0</v>
      </c>
      <c r="DJ108" s="18">
        <f>IF(DJ110=0,0,(DJ109*DJ110+DJ111*DJ112*6)/DJ110)</f>
        <v>0</v>
      </c>
      <c r="DK108" s="18">
        <f>IF(DK110=0,0,(DK109*DK110+DK111*DK112*6)/DK110)</f>
        <v>0</v>
      </c>
      <c r="DL108" s="306">
        <f>IF(DJ108=0,0,(DK108-DJ108)/DJ108*100)</f>
        <v>0</v>
      </c>
      <c r="DM108" s="18">
        <f>IF(DM110=0,0,(DM109*DM110+DM111*DM112*6)/DM110)</f>
        <v>0</v>
      </c>
      <c r="DN108" s="18">
        <f>IF(DN110=0,0,(DN109*DN110+DN111*DN112*6)/DN110)</f>
        <v>0</v>
      </c>
      <c r="DO108" s="306">
        <f>IF(DM108=0,0,(DN108-DM108)/DM108*100)</f>
        <v>0</v>
      </c>
      <c r="DP108" s="18">
        <f>IF(DP110=0,0,(DP109*DP110+DP111*DP112*6)/DP110)</f>
        <v>0</v>
      </c>
      <c r="DQ108" s="18">
        <f>IF(DQ110=0,0,(DQ109*DQ110+DQ111*DQ112*6)/DQ110)</f>
        <v>0</v>
      </c>
      <c r="DR108" s="306">
        <f>IF(DP108=0,0,(DQ108-DP108)/DP108*100)</f>
        <v>0</v>
      </c>
      <c r="DS108" s="18">
        <f>IF(DS110=0,0,(DS109*DS110+DS111*DS112*6)/DS110)</f>
        <v>0</v>
      </c>
      <c r="DT108" s="18">
        <f>IF(DT110=0,0,(DT109*DT110+DT111*DT112*6)/DT110)</f>
        <v>0</v>
      </c>
      <c r="DU108" s="306">
        <f>IF(DS108=0,0,(DT108-DS108)/DS108*100)</f>
        <v>0</v>
      </c>
      <c r="DV108" s="18">
        <f>IF(DV110=0,0,(DV109*DV110+DV111*DV112*6)/DV110)</f>
        <v>0</v>
      </c>
      <c r="DW108" s="18">
        <f>IF(DW110=0,0,(DW109*DW110+DW111*DW112*6)/DW110)</f>
        <v>0</v>
      </c>
      <c r="DX108" s="306">
        <f>IF(DV108=0,0,(DW108-DV108)/DV108*100)</f>
        <v>0</v>
      </c>
      <c r="DY108" s="18">
        <f>IF(DY110=0,0,(DY109*DY110+DY111*DY112*6)/DY110)</f>
        <v>0</v>
      </c>
      <c r="DZ108" s="18">
        <f>IF(DZ110=0,0,(DZ109*DZ110+DZ111*DZ112*6)/DZ110)</f>
        <v>0</v>
      </c>
      <c r="EA108" s="306">
        <f>IF(DY108=0,0,(DZ108-DY108)/DY108*100)</f>
        <v>0</v>
      </c>
      <c r="EB108" s="18">
        <f>IF(EB110=0,0,(EB109*EB110+EB111*EB112*6)/EB110)</f>
        <v>0</v>
      </c>
      <c r="EC108" s="18">
        <f>IF(EC110=0,0,(EC109*EC110+EC111*EC112*6)/EC110)</f>
        <v>0</v>
      </c>
      <c r="ED108" s="306">
        <f>IF(EB108=0,0,(EC108-EB108)/EB108*100)</f>
        <v>0</v>
      </c>
      <c r="EE108" s="18">
        <f>IF(EE110=0,0,(EE109*EE110+EE111*EE112*6)/EE110)</f>
        <v>0</v>
      </c>
      <c r="EF108" s="18">
        <f>IF(EF110=0,0,(EF109*EF110+EF111*EF112*6)/EF110)</f>
        <v>0</v>
      </c>
      <c r="EG108" s="306">
        <f>IF(EE108=0,0,(EF108-EE108)/EE108*100)</f>
        <v>0</v>
      </c>
      <c r="EH108" s="18">
        <f>IF(EH110=0,0,(EH109*EH110+EH111*EH112*6)/EH110)</f>
        <v>0</v>
      </c>
      <c r="EI108" s="18">
        <f>IF(EI110=0,0,(EI109*EI110+EI111*EI112*6)/EI110)</f>
        <v>0</v>
      </c>
      <c r="EJ108" s="306">
        <f>IF(EH108=0,0,(EI108-EH108)/EH108*100)</f>
        <v>0</v>
      </c>
      <c r="EK108" s="18">
        <f>IF(EK110=0,0,(EK109*EK110+EK111*EK112*6)/EK110)</f>
        <v>0</v>
      </c>
      <c r="EL108" s="18">
        <f>IF(EL110=0,0,(EL109*EL110+EL111*EL112*6)/EL110)</f>
        <v>0</v>
      </c>
      <c r="EM108" s="306">
        <f>IF(EK108=0,0,(EL108-EK108)/EK108*100)</f>
        <v>0</v>
      </c>
      <c r="EN108" s="18">
        <f>IF(EN110=0,0,(EN109*EN110+EN111*EN112*6)/EN110)</f>
        <v>0</v>
      </c>
      <c r="EO108" s="18">
        <f>IF(EO110=0,0,(EO109*EO110+EO111*EO112*6)/EO110)</f>
        <v>0</v>
      </c>
      <c r="EP108" s="306">
        <f>IF(EN108=0,0,(EO108-EN108)/EN108*100)</f>
        <v>0</v>
      </c>
      <c r="EQ108" s="18">
        <f>IF(EQ110=0,0,(EQ109*EQ110+EQ111*EQ112*6)/EQ110)</f>
        <v>0</v>
      </c>
      <c r="ER108" s="18">
        <f>IF(ER110=0,0,(ER109*ER110+ER111*ER112*6)/ER110)</f>
        <v>0</v>
      </c>
      <c r="ES108" s="306">
        <f>IF(EQ108=0,0,(ER108-EQ108)/EQ108*100)</f>
        <v>0</v>
      </c>
      <c r="ET108" s="18">
        <f>IF(ET110=0,0,(ET109*ET110+ET111*ET112*6)/ET110)</f>
        <v>0</v>
      </c>
      <c r="EU108" s="18">
        <f>IF(EU110=0,0,(EU109*EU110+EU111*EU112*6)/EU110)</f>
        <v>0</v>
      </c>
      <c r="EV108" s="306">
        <f>IF(ET108=0,0,(EU108-ET108)/ET108*100)</f>
        <v>0</v>
      </c>
      <c r="EW108" s="18">
        <f>IF(EW110=0,0,(EW109*EW110+EW111*EW112*6)/EW110)</f>
        <v>0</v>
      </c>
      <c r="EX108" s="18">
        <f>IF(EX110=0,0,(EX109*EX110+EX111*EX112*6)/EX110)</f>
        <v>0</v>
      </c>
      <c r="EY108" s="306">
        <f>IF(EW108=0,0,(EX108-EW108)/EW108*100)</f>
        <v>0</v>
      </c>
      <c r="EZ108" s="18">
        <f>IF(EZ110=0,0,(EZ109*EZ110+EZ111*EZ112*6)/EZ110)</f>
        <v>0</v>
      </c>
      <c r="FA108" s="18">
        <f>IF(FA110=0,0,(FA109*FA110+FA111*FA112*6)/FA110)</f>
        <v>0</v>
      </c>
      <c r="FB108" s="306">
        <f>IF(EZ108=0,0,(FA108-EZ108)/EZ108*100)</f>
        <v>0</v>
      </c>
      <c r="FC108" s="18">
        <f>IF(FC110=0,0,(FC109*FC110+FC111*FC112*6)/FC110)</f>
        <v>0</v>
      </c>
      <c r="FD108" s="18">
        <f>IF(FD110=0,0,(FD109*FD110+FD111*FD112*6)/FD110)</f>
        <v>0</v>
      </c>
      <c r="FE108" s="306">
        <f>IF(FC108=0,0,(FD108-FC108)/FC108*100)</f>
        <v>0</v>
      </c>
      <c r="FF108" s="18">
        <f>IF(FF110=0,0,(FF109*FF110+FF111*FF112*6)/FF110)</f>
        <v>0</v>
      </c>
      <c r="FG108" s="18">
        <f>IF(FG110=0,0,(FG109*FG110+FG111*FG112*6)/FG110)</f>
        <v>0</v>
      </c>
      <c r="FH108" s="306">
        <f>IF(FF108=0,0,(FG108-FF108)/FF108*100)</f>
        <v>0</v>
      </c>
      <c r="FI108" s="18">
        <f>IF(FI110=0,0,(FI109*FI110+FI111*FI112*6)/FI110)</f>
        <v>0</v>
      </c>
      <c r="FJ108" s="18">
        <f>IF(FJ110=0,0,(FJ109*FJ110+FJ111*FJ112*6)/FJ110)</f>
        <v>0</v>
      </c>
      <c r="FK108" s="306">
        <f>IF(FI108=0,0,(FJ108-FI108)/FI108*100)</f>
        <v>0</v>
      </c>
      <c r="FL108" s="18">
        <f>IF(FL110=0,0,(FL109*FL110+FL111*FL112*6)/FL110)</f>
        <v>0</v>
      </c>
      <c r="FM108" s="18">
        <f>IF(FM110=0,0,(FM109*FM110+FM111*FM112*6)/FM110)</f>
        <v>0</v>
      </c>
      <c r="FN108" s="306">
        <f>IF(FL108=0,0,(FM108-FL108)/FL108*100)</f>
        <v>0</v>
      </c>
      <c r="FO108" s="18">
        <f>IF(FO110=0,0,(FO109*FO110+FO111*FO112*6)/FO110)</f>
        <v>0</v>
      </c>
      <c r="FP108" s="18">
        <f>IF(FP110=0,0,(FP109*FP110+FP111*FP112*6)/FP110)</f>
        <v>0</v>
      </c>
      <c r="FQ108" s="306">
        <f>IF(FO108=0,0,(FP108-FO108)/FO108*100)</f>
        <v>0</v>
      </c>
      <c r="FR108" s="18">
        <f>IF(FR110=0,0,(FR109*FR110+FR111*FR112*6)/FR110)</f>
        <v>0</v>
      </c>
      <c r="FS108" s="18">
        <f>IF(FS110=0,0,(FS109*FS110+FS111*FS112*6)/FS110)</f>
        <v>0</v>
      </c>
      <c r="FT108" s="306">
        <f>IF(FR108=0,0,(FS108-FR108)/FR108*100)</f>
        <v>0</v>
      </c>
      <c r="FU108" s="18">
        <f>IF(FU110=0,0,(FU109*FU110+FU111*FU112*6)/FU110)</f>
        <v>0</v>
      </c>
      <c r="FV108" s="18">
        <f>IF(FV110=0,0,(FV109*FV110+FV111*FV112*6)/FV110)</f>
        <v>0</v>
      </c>
      <c r="FW108" s="306">
        <f>IF(FU108=0,0,(FV108-FU108)/FU108*100)</f>
        <v>0</v>
      </c>
      <c r="FX108" s="417"/>
      <c r="FY108" s="417"/>
      <c r="FZ108" s="971" t="s">
        <v>2191</v>
      </c>
      <c r="GA108" s="971"/>
      <c r="GB108" s="971"/>
      <c r="GC108" s="971"/>
      <c r="GD108" s="971"/>
    </row>
    <row r="109" spans="1:186" s="1167" customFormat="1" ht="15" hidden="1" customHeight="1" x14ac:dyDescent="0.15">
      <c r="A109" s="1152"/>
      <c r="B109" s="803" t="b" cm="1">
        <f t="array" ref="B109">B108</f>
        <v>0</v>
      </c>
      <c r="C109" s="1108" t="s">
        <v>2192</v>
      </c>
      <c r="D109" s="1077" t="s">
        <v>2193</v>
      </c>
      <c r="E109" s="668">
        <v>15.8</v>
      </c>
      <c r="F109" s="769" t="str" cm="1">
        <f t="array" aca="1" ref="F109" ca="1">OFFSET(G109,-1,-1)</f>
        <v>1</v>
      </c>
      <c r="G109" s="417"/>
      <c r="H109" s="160" t="s">
        <v>2167</v>
      </c>
      <c r="I109" s="160" t="s">
        <v>2136</v>
      </c>
      <c r="J109" s="1098"/>
      <c r="K109" s="1098" t="str" cm="1">
        <f t="array" aca="1" ref="K109" ca="1">OFFSET(J109,-1,1)</f>
        <v>ТЭ.42.27968109.0001</v>
      </c>
      <c r="L109" s="1098"/>
      <c r="M109" s="1098" t="s">
        <v>1750</v>
      </c>
      <c r="N109" s="1098" t="s">
        <v>2137</v>
      </c>
      <c r="O109" s="1099" t="s">
        <v>2138</v>
      </c>
      <c r="P109" s="1098" t="s">
        <v>2168</v>
      </c>
      <c r="Q109" s="1098"/>
      <c r="R109" s="774"/>
      <c r="S109" s="417"/>
      <c r="T109" s="679" t="b" cm="1">
        <f t="array" aca="1" ref="T109" ca="1">T108</f>
        <v>0</v>
      </c>
      <c r="U109" s="1152"/>
      <c r="V109" s="1152"/>
      <c r="W109" s="1152"/>
      <c r="X109" s="1485"/>
      <c r="Y109" s="1152"/>
      <c r="Z109" s="1485"/>
      <c r="AA109" s="417"/>
      <c r="AB109" s="220" t="s">
        <v>2169</v>
      </c>
      <c r="AC109" s="120" t="s">
        <v>920</v>
      </c>
      <c r="AD109" s="18"/>
      <c r="AE109" s="18"/>
      <c r="AF109" s="306">
        <f>IF(AD109=0,0,(AE109-AD109)/AD109*100)</f>
        <v>0</v>
      </c>
      <c r="AG109" s="1215"/>
      <c r="AH109" s="1215"/>
      <c r="AI109" s="306">
        <f>IF(AG109=0,0,(AH109-AG109)/AG109*100)</f>
        <v>0</v>
      </c>
      <c r="AJ109" s="1215"/>
      <c r="AK109" s="1215"/>
      <c r="AL109" s="306">
        <f>IF(AJ109=0,0,(AK109-AJ109)/AJ109*100)</f>
        <v>0</v>
      </c>
      <c r="AM109" s="18"/>
      <c r="AN109" s="18"/>
      <c r="AO109" s="306">
        <f>IF(AM109=0,0,(AN109-AM109)/AM109*100)</f>
        <v>0</v>
      </c>
      <c r="AP109" s="18"/>
      <c r="AQ109" s="18"/>
      <c r="AR109" s="306">
        <f>IF(AP109=0,0,(AQ109-AP109)/AP109*100)</f>
        <v>0</v>
      </c>
      <c r="AS109" s="18"/>
      <c r="AT109" s="18"/>
      <c r="AU109" s="306">
        <f>IF(AS109=0,0,(AT109-AS109)/AS109*100)</f>
        <v>0</v>
      </c>
      <c r="AV109" s="18"/>
      <c r="AW109" s="18"/>
      <c r="AX109" s="306">
        <f>IF(AV109=0,0,(AW109-AV109)/AV109*100)</f>
        <v>0</v>
      </c>
      <c r="AY109" s="18"/>
      <c r="AZ109" s="18"/>
      <c r="BA109" s="306">
        <f>IF(AY109=0,0,(AZ109-AY109)/AY109*100)</f>
        <v>0</v>
      </c>
      <c r="BB109" s="18"/>
      <c r="BC109" s="18"/>
      <c r="BD109" s="306">
        <f>IF(BB109=0,0,(BC109-BB109)/BB109*100)</f>
        <v>0</v>
      </c>
      <c r="BE109" s="18"/>
      <c r="BF109" s="18"/>
      <c r="BG109" s="306">
        <f>IF(BE109=0,0,(BF109-BE109)/BE109*100)</f>
        <v>0</v>
      </c>
      <c r="BH109" s="18"/>
      <c r="BI109" s="18"/>
      <c r="BJ109" s="306">
        <f>IF(BH109=0,0,(BI109-BH109)/BH109*100)</f>
        <v>0</v>
      </c>
      <c r="BK109" s="18"/>
      <c r="BL109" s="18"/>
      <c r="BM109" s="306">
        <f>IF(BK109=0,0,(BL109-BK109)/BK109*100)</f>
        <v>0</v>
      </c>
      <c r="BN109" s="18"/>
      <c r="BO109" s="18"/>
      <c r="BP109" s="306">
        <f>IF(BN109=0,0,(BO109-BN109)/BN109*100)</f>
        <v>0</v>
      </c>
      <c r="BQ109" s="18"/>
      <c r="BR109" s="18"/>
      <c r="BS109" s="306">
        <f>IF(BQ109=0,0,(BR109-BQ109)/BQ109*100)</f>
        <v>0</v>
      </c>
      <c r="BT109" s="18"/>
      <c r="BU109" s="18"/>
      <c r="BV109" s="306">
        <f>IF(BT109=0,0,(BU109-BT109)/BT109*100)</f>
        <v>0</v>
      </c>
      <c r="BW109" s="18"/>
      <c r="BX109" s="18"/>
      <c r="BY109" s="306">
        <f>IF(BW109=0,0,(BX109-BW109)/BW109*100)</f>
        <v>0</v>
      </c>
      <c r="BZ109" s="18"/>
      <c r="CA109" s="18"/>
      <c r="CB109" s="306">
        <f>IF(BZ109=0,0,(CA109-BZ109)/BZ109*100)</f>
        <v>0</v>
      </c>
      <c r="CC109" s="18"/>
      <c r="CD109" s="18"/>
      <c r="CE109" s="306">
        <f>IF(CC109=0,0,(CD109-CC109)/CC109*100)</f>
        <v>0</v>
      </c>
      <c r="CF109" s="18"/>
      <c r="CG109" s="18"/>
      <c r="CH109" s="306">
        <f>IF(CF109=0,0,(CG109-CF109)/CF109*100)</f>
        <v>0</v>
      </c>
      <c r="CI109" s="18"/>
      <c r="CJ109" s="18"/>
      <c r="CK109" s="306">
        <f>IF(CI109=0,0,(CJ109-CI109)/CI109*100)</f>
        <v>0</v>
      </c>
      <c r="CL109" s="18"/>
      <c r="CM109" s="18"/>
      <c r="CN109" s="306">
        <f>IF(CL109=0,0,(CM109-CL109)/CL109*100)</f>
        <v>0</v>
      </c>
      <c r="CO109" s="18"/>
      <c r="CP109" s="18"/>
      <c r="CQ109" s="306">
        <f>IF(CO109=0,0,(CP109-CO109)/CO109*100)</f>
        <v>0</v>
      </c>
      <c r="CR109" s="18"/>
      <c r="CS109" s="18"/>
      <c r="CT109" s="306">
        <f>IF(CR109=0,0,(CS109-CR109)/CR109*100)</f>
        <v>0</v>
      </c>
      <c r="CU109" s="18"/>
      <c r="CV109" s="18"/>
      <c r="CW109" s="306">
        <f>IF(CU109=0,0,(CV109-CU109)/CU109*100)</f>
        <v>0</v>
      </c>
      <c r="CX109" s="18"/>
      <c r="CY109" s="18"/>
      <c r="CZ109" s="306">
        <f>IF(CX109=0,0,(CY109-CX109)/CX109*100)</f>
        <v>0</v>
      </c>
      <c r="DA109" s="18"/>
      <c r="DB109" s="18"/>
      <c r="DC109" s="306">
        <f>IF(DA109=0,0,(DB109-DA109)/DA109*100)</f>
        <v>0</v>
      </c>
      <c r="DD109" s="18"/>
      <c r="DE109" s="18"/>
      <c r="DF109" s="306">
        <f>IF(DD109=0,0,(DE109-DD109)/DD109*100)</f>
        <v>0</v>
      </c>
      <c r="DG109" s="18"/>
      <c r="DH109" s="18"/>
      <c r="DI109" s="306">
        <f>IF(DG109=0,0,(DH109-DG109)/DG109*100)</f>
        <v>0</v>
      </c>
      <c r="DJ109" s="18"/>
      <c r="DK109" s="18"/>
      <c r="DL109" s="306">
        <f>IF(DJ109=0,0,(DK109-DJ109)/DJ109*100)</f>
        <v>0</v>
      </c>
      <c r="DM109" s="18"/>
      <c r="DN109" s="18"/>
      <c r="DO109" s="306">
        <f>IF(DM109=0,0,(DN109-DM109)/DM109*100)</f>
        <v>0</v>
      </c>
      <c r="DP109" s="18"/>
      <c r="DQ109" s="18"/>
      <c r="DR109" s="306">
        <f>IF(DP109=0,0,(DQ109-DP109)/DP109*100)</f>
        <v>0</v>
      </c>
      <c r="DS109" s="18"/>
      <c r="DT109" s="18"/>
      <c r="DU109" s="306">
        <f>IF(DS109=0,0,(DT109-DS109)/DS109*100)</f>
        <v>0</v>
      </c>
      <c r="DV109" s="18"/>
      <c r="DW109" s="18"/>
      <c r="DX109" s="306">
        <f>IF(DV109=0,0,(DW109-DV109)/DV109*100)</f>
        <v>0</v>
      </c>
      <c r="DY109" s="18"/>
      <c r="DZ109" s="18"/>
      <c r="EA109" s="306">
        <f>IF(DY109=0,0,(DZ109-DY109)/DY109*100)</f>
        <v>0</v>
      </c>
      <c r="EB109" s="18"/>
      <c r="EC109" s="18"/>
      <c r="ED109" s="306">
        <f>IF(EB109=0,0,(EC109-EB109)/EB109*100)</f>
        <v>0</v>
      </c>
      <c r="EE109" s="18"/>
      <c r="EF109" s="18"/>
      <c r="EG109" s="306">
        <f>IF(EE109=0,0,(EF109-EE109)/EE109*100)</f>
        <v>0</v>
      </c>
      <c r="EH109" s="18"/>
      <c r="EI109" s="18"/>
      <c r="EJ109" s="306">
        <f>IF(EH109=0,0,(EI109-EH109)/EH109*100)</f>
        <v>0</v>
      </c>
      <c r="EK109" s="18"/>
      <c r="EL109" s="18"/>
      <c r="EM109" s="306">
        <f>IF(EK109=0,0,(EL109-EK109)/EK109*100)</f>
        <v>0</v>
      </c>
      <c r="EN109" s="18"/>
      <c r="EO109" s="18"/>
      <c r="EP109" s="306">
        <f>IF(EN109=0,0,(EO109-EN109)/EN109*100)</f>
        <v>0</v>
      </c>
      <c r="EQ109" s="18"/>
      <c r="ER109" s="18"/>
      <c r="ES109" s="306">
        <f>IF(EQ109=0,0,(ER109-EQ109)/EQ109*100)</f>
        <v>0</v>
      </c>
      <c r="ET109" s="18"/>
      <c r="EU109" s="18"/>
      <c r="EV109" s="306">
        <f>IF(ET109=0,0,(EU109-ET109)/ET109*100)</f>
        <v>0</v>
      </c>
      <c r="EW109" s="18"/>
      <c r="EX109" s="18"/>
      <c r="EY109" s="306">
        <f>IF(EW109=0,0,(EX109-EW109)/EW109*100)</f>
        <v>0</v>
      </c>
      <c r="EZ109" s="18"/>
      <c r="FA109" s="18"/>
      <c r="FB109" s="306">
        <f>IF(EZ109=0,0,(FA109-EZ109)/EZ109*100)</f>
        <v>0</v>
      </c>
      <c r="FC109" s="18"/>
      <c r="FD109" s="18"/>
      <c r="FE109" s="306">
        <f>IF(FC109=0,0,(FD109-FC109)/FC109*100)</f>
        <v>0</v>
      </c>
      <c r="FF109" s="18"/>
      <c r="FG109" s="18"/>
      <c r="FH109" s="306">
        <f>IF(FF109=0,0,(FG109-FF109)/FF109*100)</f>
        <v>0</v>
      </c>
      <c r="FI109" s="18"/>
      <c r="FJ109" s="18"/>
      <c r="FK109" s="306">
        <f>IF(FI109=0,0,(FJ109-FI109)/FI109*100)</f>
        <v>0</v>
      </c>
      <c r="FL109" s="18"/>
      <c r="FM109" s="18"/>
      <c r="FN109" s="306">
        <f>IF(FL109=0,0,(FM109-FL109)/FL109*100)</f>
        <v>0</v>
      </c>
      <c r="FO109" s="18"/>
      <c r="FP109" s="18"/>
      <c r="FQ109" s="306">
        <f>IF(FO109=0,0,(FP109-FO109)/FO109*100)</f>
        <v>0</v>
      </c>
      <c r="FR109" s="18"/>
      <c r="FS109" s="18"/>
      <c r="FT109" s="306">
        <f>IF(FR109=0,0,(FS109-FR109)/FR109*100)</f>
        <v>0</v>
      </c>
      <c r="FU109" s="18"/>
      <c r="FV109" s="18"/>
      <c r="FW109" s="306">
        <f>IF(FU109=0,0,(FV109-FU109)/FU109*100)</f>
        <v>0</v>
      </c>
      <c r="FX109" s="417"/>
      <c r="FY109" s="417"/>
      <c r="FZ109" s="971" t="s">
        <v>2194</v>
      </c>
      <c r="GA109" s="971"/>
      <c r="GB109" s="971"/>
      <c r="GC109" s="971"/>
      <c r="GD109" s="971"/>
    </row>
    <row r="110" spans="1:186" s="1167" customFormat="1" ht="15" hidden="1" customHeight="1" x14ac:dyDescent="0.15">
      <c r="A110" s="1152"/>
      <c r="B110" s="803" t="b" cm="1">
        <f t="array" ref="B110">B109</f>
        <v>0</v>
      </c>
      <c r="C110" s="1108" t="s">
        <v>1747</v>
      </c>
      <c r="D110" s="1077" t="s">
        <v>1748</v>
      </c>
      <c r="E110" s="668">
        <v>15.8</v>
      </c>
      <c r="F110" s="769" t="str" cm="1">
        <f t="array" aca="1" ref="F110" ca="1">OFFSET(G110,-1,-1)</f>
        <v>1</v>
      </c>
      <c r="G110" s="417"/>
      <c r="H110" s="160" t="s">
        <v>2171</v>
      </c>
      <c r="I110" s="160" t="s">
        <v>2136</v>
      </c>
      <c r="J110" s="1098"/>
      <c r="K110" s="1098" t="str" cm="1">
        <f t="array" aca="1" ref="K110" ca="1">OFFSET(J110,-1,1)</f>
        <v>ТЭ.42.27968109.0001</v>
      </c>
      <c r="L110" s="1098"/>
      <c r="M110" s="1098" t="s">
        <v>1750</v>
      </c>
      <c r="N110" s="1098" t="s">
        <v>2137</v>
      </c>
      <c r="O110" s="1099" t="s">
        <v>2138</v>
      </c>
      <c r="P110" s="1098" t="s">
        <v>2172</v>
      </c>
      <c r="Q110" s="1098"/>
      <c r="R110" s="774"/>
      <c r="S110" s="417"/>
      <c r="T110" s="679" t="b" cm="1">
        <f t="array" aca="1" ref="T110" ca="1">T109</f>
        <v>0</v>
      </c>
      <c r="U110" s="1152"/>
      <c r="V110" s="1152"/>
      <c r="W110" s="1152"/>
      <c r="X110" s="1485"/>
      <c r="Y110" s="1152"/>
      <c r="Z110" s="1485"/>
      <c r="AA110" s="417"/>
      <c r="AB110" s="220" t="s">
        <v>2173</v>
      </c>
      <c r="AC110" s="120" t="s">
        <v>622</v>
      </c>
      <c r="AD110" s="97"/>
      <c r="AE110" s="97"/>
      <c r="AF110" s="333">
        <f>IF(AD110=0,0,(AE110-AD110)/AD110*100)</f>
        <v>0</v>
      </c>
      <c r="AG110" s="1350"/>
      <c r="AH110" s="1350"/>
      <c r="AI110" s="333">
        <f>IF(AG110=0,0,(AH110-AG110)/AG110*100)</f>
        <v>0</v>
      </c>
      <c r="AJ110" s="1350"/>
      <c r="AK110" s="1350"/>
      <c r="AL110" s="333">
        <f>IF(AJ110=0,0,(AK110-AJ110)/AJ110*100)</f>
        <v>0</v>
      </c>
      <c r="AM110" s="97"/>
      <c r="AN110" s="97"/>
      <c r="AO110" s="333">
        <f>IF(AM110=0,0,(AN110-AM110)/AM110*100)</f>
        <v>0</v>
      </c>
      <c r="AP110" s="97"/>
      <c r="AQ110" s="97"/>
      <c r="AR110" s="333">
        <f>IF(AP110=0,0,(AQ110-AP110)/AP110*100)</f>
        <v>0</v>
      </c>
      <c r="AS110" s="97"/>
      <c r="AT110" s="97"/>
      <c r="AU110" s="333">
        <f>IF(AS110=0,0,(AT110-AS110)/AS110*100)</f>
        <v>0</v>
      </c>
      <c r="AV110" s="97"/>
      <c r="AW110" s="97"/>
      <c r="AX110" s="333">
        <f>IF(AV110=0,0,(AW110-AV110)/AV110*100)</f>
        <v>0</v>
      </c>
      <c r="AY110" s="97"/>
      <c r="AZ110" s="97"/>
      <c r="BA110" s="333">
        <f>IF(AY110=0,0,(AZ110-AY110)/AY110*100)</f>
        <v>0</v>
      </c>
      <c r="BB110" s="97"/>
      <c r="BC110" s="97"/>
      <c r="BD110" s="333">
        <f>IF(BB110=0,0,(BC110-BB110)/BB110*100)</f>
        <v>0</v>
      </c>
      <c r="BE110" s="97"/>
      <c r="BF110" s="97"/>
      <c r="BG110" s="333">
        <f>IF(BE110=0,0,(BF110-BE110)/BE110*100)</f>
        <v>0</v>
      </c>
      <c r="BH110" s="97"/>
      <c r="BI110" s="97"/>
      <c r="BJ110" s="333">
        <f>IF(BH110=0,0,(BI110-BH110)/BH110*100)</f>
        <v>0</v>
      </c>
      <c r="BK110" s="97"/>
      <c r="BL110" s="97"/>
      <c r="BM110" s="333">
        <f>IF(BK110=0,0,(BL110-BK110)/BK110*100)</f>
        <v>0</v>
      </c>
      <c r="BN110" s="97"/>
      <c r="BO110" s="97"/>
      <c r="BP110" s="333">
        <f>IF(BN110=0,0,(BO110-BN110)/BN110*100)</f>
        <v>0</v>
      </c>
      <c r="BQ110" s="97"/>
      <c r="BR110" s="97"/>
      <c r="BS110" s="333">
        <f>IF(BQ110=0,0,(BR110-BQ110)/BQ110*100)</f>
        <v>0</v>
      </c>
      <c r="BT110" s="97"/>
      <c r="BU110" s="97"/>
      <c r="BV110" s="333">
        <f>IF(BT110=0,0,(BU110-BT110)/BT110*100)</f>
        <v>0</v>
      </c>
      <c r="BW110" s="97"/>
      <c r="BX110" s="97"/>
      <c r="BY110" s="333">
        <f>IF(BW110=0,0,(BX110-BW110)/BW110*100)</f>
        <v>0</v>
      </c>
      <c r="BZ110" s="97"/>
      <c r="CA110" s="97"/>
      <c r="CB110" s="333">
        <f>IF(BZ110=0,0,(CA110-BZ110)/BZ110*100)</f>
        <v>0</v>
      </c>
      <c r="CC110" s="97"/>
      <c r="CD110" s="97"/>
      <c r="CE110" s="333">
        <f>IF(CC110=0,0,(CD110-CC110)/CC110*100)</f>
        <v>0</v>
      </c>
      <c r="CF110" s="97"/>
      <c r="CG110" s="97"/>
      <c r="CH110" s="333">
        <f>IF(CF110=0,0,(CG110-CF110)/CF110*100)</f>
        <v>0</v>
      </c>
      <c r="CI110" s="97"/>
      <c r="CJ110" s="97"/>
      <c r="CK110" s="333">
        <f>IF(CI110=0,0,(CJ110-CI110)/CI110*100)</f>
        <v>0</v>
      </c>
      <c r="CL110" s="97"/>
      <c r="CM110" s="97"/>
      <c r="CN110" s="333">
        <f>IF(CL110=0,0,(CM110-CL110)/CL110*100)</f>
        <v>0</v>
      </c>
      <c r="CO110" s="97"/>
      <c r="CP110" s="97"/>
      <c r="CQ110" s="333">
        <f>IF(CO110=0,0,(CP110-CO110)/CO110*100)</f>
        <v>0</v>
      </c>
      <c r="CR110" s="97"/>
      <c r="CS110" s="97"/>
      <c r="CT110" s="333">
        <f>IF(CR110=0,0,(CS110-CR110)/CR110*100)</f>
        <v>0</v>
      </c>
      <c r="CU110" s="97"/>
      <c r="CV110" s="97"/>
      <c r="CW110" s="333">
        <f>IF(CU110=0,0,(CV110-CU110)/CU110*100)</f>
        <v>0</v>
      </c>
      <c r="CX110" s="97"/>
      <c r="CY110" s="97"/>
      <c r="CZ110" s="333">
        <f>IF(CX110=0,0,(CY110-CX110)/CX110*100)</f>
        <v>0</v>
      </c>
      <c r="DA110" s="97"/>
      <c r="DB110" s="97"/>
      <c r="DC110" s="333">
        <f>IF(DA110=0,0,(DB110-DA110)/DA110*100)</f>
        <v>0</v>
      </c>
      <c r="DD110" s="97"/>
      <c r="DE110" s="97"/>
      <c r="DF110" s="333">
        <f>IF(DD110=0,0,(DE110-DD110)/DD110*100)</f>
        <v>0</v>
      </c>
      <c r="DG110" s="97"/>
      <c r="DH110" s="97"/>
      <c r="DI110" s="333">
        <f>IF(DG110=0,0,(DH110-DG110)/DG110*100)</f>
        <v>0</v>
      </c>
      <c r="DJ110" s="97"/>
      <c r="DK110" s="97"/>
      <c r="DL110" s="333">
        <f>IF(DJ110=0,0,(DK110-DJ110)/DJ110*100)</f>
        <v>0</v>
      </c>
      <c r="DM110" s="97"/>
      <c r="DN110" s="97"/>
      <c r="DO110" s="333">
        <f>IF(DM110=0,0,(DN110-DM110)/DM110*100)</f>
        <v>0</v>
      </c>
      <c r="DP110" s="97"/>
      <c r="DQ110" s="97"/>
      <c r="DR110" s="333">
        <f>IF(DP110=0,0,(DQ110-DP110)/DP110*100)</f>
        <v>0</v>
      </c>
      <c r="DS110" s="97"/>
      <c r="DT110" s="97"/>
      <c r="DU110" s="333">
        <f>IF(DS110=0,0,(DT110-DS110)/DS110*100)</f>
        <v>0</v>
      </c>
      <c r="DV110" s="97"/>
      <c r="DW110" s="97"/>
      <c r="DX110" s="333">
        <f>IF(DV110=0,0,(DW110-DV110)/DV110*100)</f>
        <v>0</v>
      </c>
      <c r="DY110" s="97"/>
      <c r="DZ110" s="97"/>
      <c r="EA110" s="333">
        <f>IF(DY110=0,0,(DZ110-DY110)/DY110*100)</f>
        <v>0</v>
      </c>
      <c r="EB110" s="97"/>
      <c r="EC110" s="97"/>
      <c r="ED110" s="333">
        <f>IF(EB110=0,0,(EC110-EB110)/EB110*100)</f>
        <v>0</v>
      </c>
      <c r="EE110" s="97"/>
      <c r="EF110" s="97"/>
      <c r="EG110" s="333">
        <f>IF(EE110=0,0,(EF110-EE110)/EE110*100)</f>
        <v>0</v>
      </c>
      <c r="EH110" s="97"/>
      <c r="EI110" s="97"/>
      <c r="EJ110" s="333">
        <f>IF(EH110=0,0,(EI110-EH110)/EH110*100)</f>
        <v>0</v>
      </c>
      <c r="EK110" s="97"/>
      <c r="EL110" s="97"/>
      <c r="EM110" s="333">
        <f>IF(EK110=0,0,(EL110-EK110)/EK110*100)</f>
        <v>0</v>
      </c>
      <c r="EN110" s="97"/>
      <c r="EO110" s="97"/>
      <c r="EP110" s="333">
        <f>IF(EN110=0,0,(EO110-EN110)/EN110*100)</f>
        <v>0</v>
      </c>
      <c r="EQ110" s="97"/>
      <c r="ER110" s="97"/>
      <c r="ES110" s="333">
        <f>IF(EQ110=0,0,(ER110-EQ110)/EQ110*100)</f>
        <v>0</v>
      </c>
      <c r="ET110" s="97"/>
      <c r="EU110" s="97"/>
      <c r="EV110" s="333">
        <f>IF(ET110=0,0,(EU110-ET110)/ET110*100)</f>
        <v>0</v>
      </c>
      <c r="EW110" s="97"/>
      <c r="EX110" s="97"/>
      <c r="EY110" s="333">
        <f>IF(EW110=0,0,(EX110-EW110)/EW110*100)</f>
        <v>0</v>
      </c>
      <c r="EZ110" s="97"/>
      <c r="FA110" s="97"/>
      <c r="FB110" s="333">
        <f>IF(EZ110=0,0,(FA110-EZ110)/EZ110*100)</f>
        <v>0</v>
      </c>
      <c r="FC110" s="97"/>
      <c r="FD110" s="97"/>
      <c r="FE110" s="333">
        <f>IF(FC110=0,0,(FD110-FC110)/FC110*100)</f>
        <v>0</v>
      </c>
      <c r="FF110" s="97"/>
      <c r="FG110" s="97"/>
      <c r="FH110" s="333">
        <f>IF(FF110=0,0,(FG110-FF110)/FF110*100)</f>
        <v>0</v>
      </c>
      <c r="FI110" s="97"/>
      <c r="FJ110" s="97"/>
      <c r="FK110" s="333">
        <f>IF(FI110=0,0,(FJ110-FI110)/FI110*100)</f>
        <v>0</v>
      </c>
      <c r="FL110" s="97"/>
      <c r="FM110" s="97"/>
      <c r="FN110" s="333">
        <f>IF(FL110=0,0,(FM110-FL110)/FL110*100)</f>
        <v>0</v>
      </c>
      <c r="FO110" s="97"/>
      <c r="FP110" s="97"/>
      <c r="FQ110" s="333">
        <f>IF(FO110=0,0,(FP110-FO110)/FO110*100)</f>
        <v>0</v>
      </c>
      <c r="FR110" s="97"/>
      <c r="FS110" s="97"/>
      <c r="FT110" s="333">
        <f>IF(FR110=0,0,(FS110-FR110)/FR110*100)</f>
        <v>0</v>
      </c>
      <c r="FU110" s="97"/>
      <c r="FV110" s="97"/>
      <c r="FW110" s="333">
        <f>IF(FU110=0,0,(FV110-FU110)/FU110*100)</f>
        <v>0</v>
      </c>
      <c r="FX110" s="417"/>
      <c r="FY110" s="417"/>
      <c r="FZ110" s="971" t="s">
        <v>2195</v>
      </c>
      <c r="GA110" s="971"/>
      <c r="GB110" s="971"/>
      <c r="GC110" s="971"/>
      <c r="GD110" s="971"/>
    </row>
    <row r="111" spans="1:186" s="1167" customFormat="1" ht="30" hidden="1" customHeight="1" x14ac:dyDescent="0.15">
      <c r="A111" s="1152"/>
      <c r="B111" s="803" t="b" cm="1">
        <f t="array" ref="B111">B110</f>
        <v>0</v>
      </c>
      <c r="C111" s="1108" t="s">
        <v>1801</v>
      </c>
      <c r="D111" s="1077" t="s">
        <v>1802</v>
      </c>
      <c r="E111" s="668">
        <v>31.5</v>
      </c>
      <c r="F111" s="769" t="str" cm="1">
        <f t="array" aca="1" ref="F111" ca="1">OFFSET(G111,-1,-1)</f>
        <v>1</v>
      </c>
      <c r="G111" s="417"/>
      <c r="H111" s="160" t="s">
        <v>2175</v>
      </c>
      <c r="I111" s="160" t="s">
        <v>2136</v>
      </c>
      <c r="J111" s="1098"/>
      <c r="K111" s="1098" t="str" cm="1">
        <f t="array" aca="1" ref="K111" ca="1">OFFSET(J111,-1,1)</f>
        <v>ТЭ.42.27968109.0001</v>
      </c>
      <c r="L111" s="1098"/>
      <c r="M111" s="1098" t="s">
        <v>1750</v>
      </c>
      <c r="N111" s="1098" t="s">
        <v>2137</v>
      </c>
      <c r="O111" s="1099" t="s">
        <v>2138</v>
      </c>
      <c r="P111" s="1098" t="s">
        <v>2176</v>
      </c>
      <c r="Q111" s="1098"/>
      <c r="R111" s="774"/>
      <c r="S111" s="417"/>
      <c r="T111" s="679" t="b" cm="1">
        <f t="array" aca="1" ref="T111" ca="1">T110</f>
        <v>0</v>
      </c>
      <c r="U111" s="1152"/>
      <c r="V111" s="1152"/>
      <c r="W111" s="1152"/>
      <c r="X111" s="1485"/>
      <c r="Y111" s="1152"/>
      <c r="Z111" s="1485"/>
      <c r="AA111" s="417"/>
      <c r="AB111" s="220" t="s">
        <v>2177</v>
      </c>
      <c r="AC111" s="435" t="s">
        <v>1805</v>
      </c>
      <c r="AD111" s="18"/>
      <c r="AE111" s="18"/>
      <c r="AF111" s="306">
        <f>IF(AD111=0,0,(AE111-AD111)/AD111*100)</f>
        <v>0</v>
      </c>
      <c r="AG111" s="1215"/>
      <c r="AH111" s="1215"/>
      <c r="AI111" s="306">
        <f>IF(AG111=0,0,(AH111-AG111)/AG111*100)</f>
        <v>0</v>
      </c>
      <c r="AJ111" s="1215"/>
      <c r="AK111" s="1215"/>
      <c r="AL111" s="306">
        <f>IF(AJ111=0,0,(AK111-AJ111)/AJ111*100)</f>
        <v>0</v>
      </c>
      <c r="AM111" s="18"/>
      <c r="AN111" s="18"/>
      <c r="AO111" s="306">
        <f>IF(AM111=0,0,(AN111-AM111)/AM111*100)</f>
        <v>0</v>
      </c>
      <c r="AP111" s="18"/>
      <c r="AQ111" s="18"/>
      <c r="AR111" s="306">
        <f>IF(AP111=0,0,(AQ111-AP111)/AP111*100)</f>
        <v>0</v>
      </c>
      <c r="AS111" s="18"/>
      <c r="AT111" s="18"/>
      <c r="AU111" s="306">
        <f>IF(AS111=0,0,(AT111-AS111)/AS111*100)</f>
        <v>0</v>
      </c>
      <c r="AV111" s="18"/>
      <c r="AW111" s="18"/>
      <c r="AX111" s="306">
        <f>IF(AV111=0,0,(AW111-AV111)/AV111*100)</f>
        <v>0</v>
      </c>
      <c r="AY111" s="18"/>
      <c r="AZ111" s="18"/>
      <c r="BA111" s="306">
        <f>IF(AY111=0,0,(AZ111-AY111)/AY111*100)</f>
        <v>0</v>
      </c>
      <c r="BB111" s="18"/>
      <c r="BC111" s="18"/>
      <c r="BD111" s="306">
        <f>IF(BB111=0,0,(BC111-BB111)/BB111*100)</f>
        <v>0</v>
      </c>
      <c r="BE111" s="18"/>
      <c r="BF111" s="18"/>
      <c r="BG111" s="306">
        <f>IF(BE111=0,0,(BF111-BE111)/BE111*100)</f>
        <v>0</v>
      </c>
      <c r="BH111" s="18"/>
      <c r="BI111" s="18"/>
      <c r="BJ111" s="306">
        <f>IF(BH111=0,0,(BI111-BH111)/BH111*100)</f>
        <v>0</v>
      </c>
      <c r="BK111" s="18"/>
      <c r="BL111" s="18"/>
      <c r="BM111" s="306">
        <f>IF(BK111=0,0,(BL111-BK111)/BK111*100)</f>
        <v>0</v>
      </c>
      <c r="BN111" s="18"/>
      <c r="BO111" s="18"/>
      <c r="BP111" s="306">
        <f>IF(BN111=0,0,(BO111-BN111)/BN111*100)</f>
        <v>0</v>
      </c>
      <c r="BQ111" s="18"/>
      <c r="BR111" s="18"/>
      <c r="BS111" s="306">
        <f>IF(BQ111=0,0,(BR111-BQ111)/BQ111*100)</f>
        <v>0</v>
      </c>
      <c r="BT111" s="18"/>
      <c r="BU111" s="18"/>
      <c r="BV111" s="306">
        <f>IF(BT111=0,0,(BU111-BT111)/BT111*100)</f>
        <v>0</v>
      </c>
      <c r="BW111" s="18"/>
      <c r="BX111" s="18"/>
      <c r="BY111" s="306">
        <f>IF(BW111=0,0,(BX111-BW111)/BW111*100)</f>
        <v>0</v>
      </c>
      <c r="BZ111" s="18"/>
      <c r="CA111" s="18"/>
      <c r="CB111" s="306">
        <f>IF(BZ111=0,0,(CA111-BZ111)/BZ111*100)</f>
        <v>0</v>
      </c>
      <c r="CC111" s="18"/>
      <c r="CD111" s="18"/>
      <c r="CE111" s="306">
        <f>IF(CC111=0,0,(CD111-CC111)/CC111*100)</f>
        <v>0</v>
      </c>
      <c r="CF111" s="18"/>
      <c r="CG111" s="18"/>
      <c r="CH111" s="306">
        <f>IF(CF111=0,0,(CG111-CF111)/CF111*100)</f>
        <v>0</v>
      </c>
      <c r="CI111" s="18"/>
      <c r="CJ111" s="18"/>
      <c r="CK111" s="306">
        <f>IF(CI111=0,0,(CJ111-CI111)/CI111*100)</f>
        <v>0</v>
      </c>
      <c r="CL111" s="18"/>
      <c r="CM111" s="18"/>
      <c r="CN111" s="306">
        <f>IF(CL111=0,0,(CM111-CL111)/CL111*100)</f>
        <v>0</v>
      </c>
      <c r="CO111" s="18"/>
      <c r="CP111" s="18"/>
      <c r="CQ111" s="306">
        <f>IF(CO111=0,0,(CP111-CO111)/CO111*100)</f>
        <v>0</v>
      </c>
      <c r="CR111" s="18"/>
      <c r="CS111" s="18"/>
      <c r="CT111" s="306">
        <f>IF(CR111=0,0,(CS111-CR111)/CR111*100)</f>
        <v>0</v>
      </c>
      <c r="CU111" s="18"/>
      <c r="CV111" s="18"/>
      <c r="CW111" s="306">
        <f>IF(CU111=0,0,(CV111-CU111)/CU111*100)</f>
        <v>0</v>
      </c>
      <c r="CX111" s="18"/>
      <c r="CY111" s="18"/>
      <c r="CZ111" s="306">
        <f>IF(CX111=0,0,(CY111-CX111)/CX111*100)</f>
        <v>0</v>
      </c>
      <c r="DA111" s="18"/>
      <c r="DB111" s="18"/>
      <c r="DC111" s="306">
        <f>IF(DA111=0,0,(DB111-DA111)/DA111*100)</f>
        <v>0</v>
      </c>
      <c r="DD111" s="18"/>
      <c r="DE111" s="18"/>
      <c r="DF111" s="306">
        <f>IF(DD111=0,0,(DE111-DD111)/DD111*100)</f>
        <v>0</v>
      </c>
      <c r="DG111" s="18"/>
      <c r="DH111" s="18"/>
      <c r="DI111" s="306">
        <f>IF(DG111=0,0,(DH111-DG111)/DG111*100)</f>
        <v>0</v>
      </c>
      <c r="DJ111" s="18"/>
      <c r="DK111" s="18"/>
      <c r="DL111" s="306">
        <f>IF(DJ111=0,0,(DK111-DJ111)/DJ111*100)</f>
        <v>0</v>
      </c>
      <c r="DM111" s="18"/>
      <c r="DN111" s="18"/>
      <c r="DO111" s="306">
        <f>IF(DM111=0,0,(DN111-DM111)/DM111*100)</f>
        <v>0</v>
      </c>
      <c r="DP111" s="18"/>
      <c r="DQ111" s="18"/>
      <c r="DR111" s="306">
        <f>IF(DP111=0,0,(DQ111-DP111)/DP111*100)</f>
        <v>0</v>
      </c>
      <c r="DS111" s="18"/>
      <c r="DT111" s="18"/>
      <c r="DU111" s="306">
        <f>IF(DS111=0,0,(DT111-DS111)/DS111*100)</f>
        <v>0</v>
      </c>
      <c r="DV111" s="18"/>
      <c r="DW111" s="18"/>
      <c r="DX111" s="306">
        <f>IF(DV111=0,0,(DW111-DV111)/DV111*100)</f>
        <v>0</v>
      </c>
      <c r="DY111" s="18"/>
      <c r="DZ111" s="18"/>
      <c r="EA111" s="306">
        <f>IF(DY111=0,0,(DZ111-DY111)/DY111*100)</f>
        <v>0</v>
      </c>
      <c r="EB111" s="18"/>
      <c r="EC111" s="18"/>
      <c r="ED111" s="306">
        <f>IF(EB111=0,0,(EC111-EB111)/EB111*100)</f>
        <v>0</v>
      </c>
      <c r="EE111" s="18"/>
      <c r="EF111" s="18"/>
      <c r="EG111" s="306">
        <f>IF(EE111=0,0,(EF111-EE111)/EE111*100)</f>
        <v>0</v>
      </c>
      <c r="EH111" s="18"/>
      <c r="EI111" s="18"/>
      <c r="EJ111" s="306">
        <f>IF(EH111=0,0,(EI111-EH111)/EH111*100)</f>
        <v>0</v>
      </c>
      <c r="EK111" s="18"/>
      <c r="EL111" s="18"/>
      <c r="EM111" s="306">
        <f>IF(EK111=0,0,(EL111-EK111)/EK111*100)</f>
        <v>0</v>
      </c>
      <c r="EN111" s="18"/>
      <c r="EO111" s="18"/>
      <c r="EP111" s="306">
        <f>IF(EN111=0,0,(EO111-EN111)/EN111*100)</f>
        <v>0</v>
      </c>
      <c r="EQ111" s="18"/>
      <c r="ER111" s="18"/>
      <c r="ES111" s="306">
        <f>IF(EQ111=0,0,(ER111-EQ111)/EQ111*100)</f>
        <v>0</v>
      </c>
      <c r="ET111" s="18"/>
      <c r="EU111" s="18"/>
      <c r="EV111" s="306">
        <f>IF(ET111=0,0,(EU111-ET111)/ET111*100)</f>
        <v>0</v>
      </c>
      <c r="EW111" s="18"/>
      <c r="EX111" s="18"/>
      <c r="EY111" s="306">
        <f>IF(EW111=0,0,(EX111-EW111)/EW111*100)</f>
        <v>0</v>
      </c>
      <c r="EZ111" s="18"/>
      <c r="FA111" s="18"/>
      <c r="FB111" s="306">
        <f>IF(EZ111=0,0,(FA111-EZ111)/EZ111*100)</f>
        <v>0</v>
      </c>
      <c r="FC111" s="18"/>
      <c r="FD111" s="18"/>
      <c r="FE111" s="306">
        <f>IF(FC111=0,0,(FD111-FC111)/FC111*100)</f>
        <v>0</v>
      </c>
      <c r="FF111" s="18"/>
      <c r="FG111" s="18"/>
      <c r="FH111" s="306">
        <f>IF(FF111=0,0,(FG111-FF111)/FF111*100)</f>
        <v>0</v>
      </c>
      <c r="FI111" s="18"/>
      <c r="FJ111" s="18"/>
      <c r="FK111" s="306">
        <f>IF(FI111=0,0,(FJ111-FI111)/FI111*100)</f>
        <v>0</v>
      </c>
      <c r="FL111" s="18"/>
      <c r="FM111" s="18"/>
      <c r="FN111" s="306">
        <f>IF(FL111=0,0,(FM111-FL111)/FL111*100)</f>
        <v>0</v>
      </c>
      <c r="FO111" s="18"/>
      <c r="FP111" s="18"/>
      <c r="FQ111" s="306">
        <f>IF(FO111=0,0,(FP111-FO111)/FO111*100)</f>
        <v>0</v>
      </c>
      <c r="FR111" s="18"/>
      <c r="FS111" s="18"/>
      <c r="FT111" s="306">
        <f>IF(FR111=0,0,(FS111-FR111)/FR111*100)</f>
        <v>0</v>
      </c>
      <c r="FU111" s="18"/>
      <c r="FV111" s="18"/>
      <c r="FW111" s="306">
        <f>IF(FU111=0,0,(FV111-FU111)/FU111*100)</f>
        <v>0</v>
      </c>
      <c r="FX111" s="417"/>
      <c r="FY111" s="417"/>
      <c r="FZ111" s="971" t="s">
        <v>2196</v>
      </c>
      <c r="GA111" s="971"/>
      <c r="GB111" s="971"/>
      <c r="GC111" s="971"/>
      <c r="GD111" s="971"/>
    </row>
    <row r="112" spans="1:186" s="1167" customFormat="1" ht="15" hidden="1" customHeight="1" x14ac:dyDescent="0.15">
      <c r="A112" s="1152"/>
      <c r="B112" s="803" t="b" cm="1">
        <f t="array" ref="B112">B111</f>
        <v>0</v>
      </c>
      <c r="C112" s="1108" t="s">
        <v>1773</v>
      </c>
      <c r="D112" s="1077" t="s">
        <v>1774</v>
      </c>
      <c r="E112" s="668">
        <v>15.8</v>
      </c>
      <c r="F112" s="769" t="str" cm="1">
        <f t="array" aca="1" ref="F112" ca="1">OFFSET(G112,-1,-1)</f>
        <v>1</v>
      </c>
      <c r="G112" s="417"/>
      <c r="H112" s="160" t="s">
        <v>2179</v>
      </c>
      <c r="I112" s="160" t="s">
        <v>2136</v>
      </c>
      <c r="J112" s="1098"/>
      <c r="K112" s="1098" t="str" cm="1">
        <f t="array" aca="1" ref="K112" ca="1">OFFSET(J112,-1,1)</f>
        <v>ТЭ.42.27968109.0001</v>
      </c>
      <c r="L112" s="1098"/>
      <c r="M112" s="1098" t="s">
        <v>1750</v>
      </c>
      <c r="N112" s="1098" t="s">
        <v>2137</v>
      </c>
      <c r="O112" s="1099" t="s">
        <v>2138</v>
      </c>
      <c r="P112" s="1098" t="s">
        <v>2180</v>
      </c>
      <c r="Q112" s="1098"/>
      <c r="R112" s="774"/>
      <c r="S112" s="417"/>
      <c r="T112" s="679" t="b" cm="1">
        <f t="array" aca="1" ref="T112" ca="1">T111</f>
        <v>0</v>
      </c>
      <c r="U112" s="1152"/>
      <c r="V112" s="1152"/>
      <c r="W112" s="1152"/>
      <c r="X112" s="1485"/>
      <c r="Y112" s="1152"/>
      <c r="Z112" s="1485"/>
      <c r="AA112" s="417"/>
      <c r="AB112" s="220" t="s">
        <v>2181</v>
      </c>
      <c r="AC112" s="549" t="s">
        <v>715</v>
      </c>
      <c r="AD112" s="18"/>
      <c r="AE112" s="18"/>
      <c r="AF112" s="306">
        <f>IF(AD112=0,0,(AE112-AD112)/AD112*100)</f>
        <v>0</v>
      </c>
      <c r="AG112" s="1215"/>
      <c r="AH112" s="1215"/>
      <c r="AI112" s="306">
        <f>IF(AG112=0,0,(AH112-AG112)/AG112*100)</f>
        <v>0</v>
      </c>
      <c r="AJ112" s="1215"/>
      <c r="AK112" s="1215"/>
      <c r="AL112" s="306">
        <f>IF(AJ112=0,0,(AK112-AJ112)/AJ112*100)</f>
        <v>0</v>
      </c>
      <c r="AM112" s="18"/>
      <c r="AN112" s="18"/>
      <c r="AO112" s="306">
        <f>IF(AM112=0,0,(AN112-AM112)/AM112*100)</f>
        <v>0</v>
      </c>
      <c r="AP112" s="18"/>
      <c r="AQ112" s="18"/>
      <c r="AR112" s="306">
        <f>IF(AP112=0,0,(AQ112-AP112)/AP112*100)</f>
        <v>0</v>
      </c>
      <c r="AS112" s="18"/>
      <c r="AT112" s="18"/>
      <c r="AU112" s="306">
        <f>IF(AS112=0,0,(AT112-AS112)/AS112*100)</f>
        <v>0</v>
      </c>
      <c r="AV112" s="18"/>
      <c r="AW112" s="18"/>
      <c r="AX112" s="306">
        <f>IF(AV112=0,0,(AW112-AV112)/AV112*100)</f>
        <v>0</v>
      </c>
      <c r="AY112" s="18"/>
      <c r="AZ112" s="18"/>
      <c r="BA112" s="306">
        <f>IF(AY112=0,0,(AZ112-AY112)/AY112*100)</f>
        <v>0</v>
      </c>
      <c r="BB112" s="18"/>
      <c r="BC112" s="18"/>
      <c r="BD112" s="306">
        <f>IF(BB112=0,0,(BC112-BB112)/BB112*100)</f>
        <v>0</v>
      </c>
      <c r="BE112" s="18"/>
      <c r="BF112" s="18"/>
      <c r="BG112" s="306">
        <f>IF(BE112=0,0,(BF112-BE112)/BE112*100)</f>
        <v>0</v>
      </c>
      <c r="BH112" s="18"/>
      <c r="BI112" s="18"/>
      <c r="BJ112" s="306">
        <f>IF(BH112=0,0,(BI112-BH112)/BH112*100)</f>
        <v>0</v>
      </c>
      <c r="BK112" s="18"/>
      <c r="BL112" s="18"/>
      <c r="BM112" s="306">
        <f>IF(BK112=0,0,(BL112-BK112)/BK112*100)</f>
        <v>0</v>
      </c>
      <c r="BN112" s="18"/>
      <c r="BO112" s="18"/>
      <c r="BP112" s="306">
        <f>IF(BN112=0,0,(BO112-BN112)/BN112*100)</f>
        <v>0</v>
      </c>
      <c r="BQ112" s="18"/>
      <c r="BR112" s="18"/>
      <c r="BS112" s="306">
        <f>IF(BQ112=0,0,(BR112-BQ112)/BQ112*100)</f>
        <v>0</v>
      </c>
      <c r="BT112" s="18"/>
      <c r="BU112" s="18"/>
      <c r="BV112" s="306">
        <f>IF(BT112=0,0,(BU112-BT112)/BT112*100)</f>
        <v>0</v>
      </c>
      <c r="BW112" s="18"/>
      <c r="BX112" s="18"/>
      <c r="BY112" s="306">
        <f>IF(BW112=0,0,(BX112-BW112)/BW112*100)</f>
        <v>0</v>
      </c>
      <c r="BZ112" s="18"/>
      <c r="CA112" s="18"/>
      <c r="CB112" s="306">
        <f>IF(BZ112=0,0,(CA112-BZ112)/BZ112*100)</f>
        <v>0</v>
      </c>
      <c r="CC112" s="18"/>
      <c r="CD112" s="18"/>
      <c r="CE112" s="306">
        <f>IF(CC112=0,0,(CD112-CC112)/CC112*100)</f>
        <v>0</v>
      </c>
      <c r="CF112" s="18"/>
      <c r="CG112" s="18"/>
      <c r="CH112" s="306">
        <f>IF(CF112=0,0,(CG112-CF112)/CF112*100)</f>
        <v>0</v>
      </c>
      <c r="CI112" s="18"/>
      <c r="CJ112" s="18"/>
      <c r="CK112" s="306">
        <f>IF(CI112=0,0,(CJ112-CI112)/CI112*100)</f>
        <v>0</v>
      </c>
      <c r="CL112" s="18"/>
      <c r="CM112" s="18"/>
      <c r="CN112" s="306">
        <f>IF(CL112=0,0,(CM112-CL112)/CL112*100)</f>
        <v>0</v>
      </c>
      <c r="CO112" s="18"/>
      <c r="CP112" s="18"/>
      <c r="CQ112" s="306">
        <f>IF(CO112=0,0,(CP112-CO112)/CO112*100)</f>
        <v>0</v>
      </c>
      <c r="CR112" s="18"/>
      <c r="CS112" s="18"/>
      <c r="CT112" s="306">
        <f>IF(CR112=0,0,(CS112-CR112)/CR112*100)</f>
        <v>0</v>
      </c>
      <c r="CU112" s="18"/>
      <c r="CV112" s="18"/>
      <c r="CW112" s="306">
        <f>IF(CU112=0,0,(CV112-CU112)/CU112*100)</f>
        <v>0</v>
      </c>
      <c r="CX112" s="18"/>
      <c r="CY112" s="18"/>
      <c r="CZ112" s="306">
        <f>IF(CX112=0,0,(CY112-CX112)/CX112*100)</f>
        <v>0</v>
      </c>
      <c r="DA112" s="18"/>
      <c r="DB112" s="18"/>
      <c r="DC112" s="306">
        <f>IF(DA112=0,0,(DB112-DA112)/DA112*100)</f>
        <v>0</v>
      </c>
      <c r="DD112" s="18"/>
      <c r="DE112" s="18"/>
      <c r="DF112" s="306">
        <f>IF(DD112=0,0,(DE112-DD112)/DD112*100)</f>
        <v>0</v>
      </c>
      <c r="DG112" s="18"/>
      <c r="DH112" s="18"/>
      <c r="DI112" s="306">
        <f>IF(DG112=0,0,(DH112-DG112)/DG112*100)</f>
        <v>0</v>
      </c>
      <c r="DJ112" s="18"/>
      <c r="DK112" s="18"/>
      <c r="DL112" s="306">
        <f>IF(DJ112=0,0,(DK112-DJ112)/DJ112*100)</f>
        <v>0</v>
      </c>
      <c r="DM112" s="18"/>
      <c r="DN112" s="18"/>
      <c r="DO112" s="306">
        <f>IF(DM112=0,0,(DN112-DM112)/DM112*100)</f>
        <v>0</v>
      </c>
      <c r="DP112" s="18"/>
      <c r="DQ112" s="18"/>
      <c r="DR112" s="306">
        <f>IF(DP112=0,0,(DQ112-DP112)/DP112*100)</f>
        <v>0</v>
      </c>
      <c r="DS112" s="18"/>
      <c r="DT112" s="18"/>
      <c r="DU112" s="306">
        <f>IF(DS112=0,0,(DT112-DS112)/DS112*100)</f>
        <v>0</v>
      </c>
      <c r="DV112" s="18"/>
      <c r="DW112" s="18"/>
      <c r="DX112" s="306">
        <f>IF(DV112=0,0,(DW112-DV112)/DV112*100)</f>
        <v>0</v>
      </c>
      <c r="DY112" s="18"/>
      <c r="DZ112" s="18"/>
      <c r="EA112" s="306">
        <f>IF(DY112=0,0,(DZ112-DY112)/DY112*100)</f>
        <v>0</v>
      </c>
      <c r="EB112" s="18"/>
      <c r="EC112" s="18"/>
      <c r="ED112" s="306">
        <f>IF(EB112=0,0,(EC112-EB112)/EB112*100)</f>
        <v>0</v>
      </c>
      <c r="EE112" s="18"/>
      <c r="EF112" s="18"/>
      <c r="EG112" s="306">
        <f>IF(EE112=0,0,(EF112-EE112)/EE112*100)</f>
        <v>0</v>
      </c>
      <c r="EH112" s="18"/>
      <c r="EI112" s="18"/>
      <c r="EJ112" s="306">
        <f>IF(EH112=0,0,(EI112-EH112)/EH112*100)</f>
        <v>0</v>
      </c>
      <c r="EK112" s="18"/>
      <c r="EL112" s="18"/>
      <c r="EM112" s="306">
        <f>IF(EK112=0,0,(EL112-EK112)/EK112*100)</f>
        <v>0</v>
      </c>
      <c r="EN112" s="18"/>
      <c r="EO112" s="18"/>
      <c r="EP112" s="306">
        <f>IF(EN112=0,0,(EO112-EN112)/EN112*100)</f>
        <v>0</v>
      </c>
      <c r="EQ112" s="18"/>
      <c r="ER112" s="18"/>
      <c r="ES112" s="306">
        <f>IF(EQ112=0,0,(ER112-EQ112)/EQ112*100)</f>
        <v>0</v>
      </c>
      <c r="ET112" s="18"/>
      <c r="EU112" s="18"/>
      <c r="EV112" s="306">
        <f>IF(ET112=0,0,(EU112-ET112)/ET112*100)</f>
        <v>0</v>
      </c>
      <c r="EW112" s="18"/>
      <c r="EX112" s="18"/>
      <c r="EY112" s="306">
        <f>IF(EW112=0,0,(EX112-EW112)/EW112*100)</f>
        <v>0</v>
      </c>
      <c r="EZ112" s="18"/>
      <c r="FA112" s="18"/>
      <c r="FB112" s="306">
        <f>IF(EZ112=0,0,(FA112-EZ112)/EZ112*100)</f>
        <v>0</v>
      </c>
      <c r="FC112" s="18"/>
      <c r="FD112" s="18"/>
      <c r="FE112" s="306">
        <f>IF(FC112=0,0,(FD112-FC112)/FC112*100)</f>
        <v>0</v>
      </c>
      <c r="FF112" s="18"/>
      <c r="FG112" s="18"/>
      <c r="FH112" s="306">
        <f>IF(FF112=0,0,(FG112-FF112)/FF112*100)</f>
        <v>0</v>
      </c>
      <c r="FI112" s="18"/>
      <c r="FJ112" s="18"/>
      <c r="FK112" s="306">
        <f>IF(FI112=0,0,(FJ112-FI112)/FI112*100)</f>
        <v>0</v>
      </c>
      <c r="FL112" s="18"/>
      <c r="FM112" s="18"/>
      <c r="FN112" s="306">
        <f>IF(FL112=0,0,(FM112-FL112)/FL112*100)</f>
        <v>0</v>
      </c>
      <c r="FO112" s="18"/>
      <c r="FP112" s="18"/>
      <c r="FQ112" s="306">
        <f>IF(FO112=0,0,(FP112-FO112)/FO112*100)</f>
        <v>0</v>
      </c>
      <c r="FR112" s="18"/>
      <c r="FS112" s="18"/>
      <c r="FT112" s="306">
        <f>IF(FR112=0,0,(FS112-FR112)/FR112*100)</f>
        <v>0</v>
      </c>
      <c r="FU112" s="18"/>
      <c r="FV112" s="18"/>
      <c r="FW112" s="306">
        <f>IF(FU112=0,0,(FV112-FU112)/FU112*100)</f>
        <v>0</v>
      </c>
      <c r="FX112" s="417"/>
      <c r="FY112" s="417"/>
      <c r="FZ112" s="971" t="s">
        <v>2197</v>
      </c>
      <c r="GA112" s="971"/>
      <c r="GB112" s="971"/>
      <c r="GC112" s="971"/>
      <c r="GD112" s="971"/>
    </row>
    <row r="113" spans="1:186" s="1167" customFormat="1" ht="15" hidden="1" customHeight="1" x14ac:dyDescent="0.15">
      <c r="A113" s="1152"/>
      <c r="B113" s="803" t="b" cm="1">
        <f t="array" ref="B113">B112</f>
        <v>0</v>
      </c>
      <c r="C113" s="1108"/>
      <c r="D113" s="1077"/>
      <c r="E113" s="668">
        <v>15.8</v>
      </c>
      <c r="F113" s="769" t="str" cm="1">
        <f t="array" aca="1" ref="F113" ca="1">OFFSET(G113,-1,-1)</f>
        <v>1</v>
      </c>
      <c r="G113" s="417"/>
      <c r="H113" s="417"/>
      <c r="I113" s="417"/>
      <c r="J113" s="1100"/>
      <c r="K113" s="1098" t="str" cm="1">
        <f t="array" aca="1" ref="K113" ca="1">OFFSET(J113,-1,1)</f>
        <v>ТЭ.42.27968109.0001</v>
      </c>
      <c r="L113" s="1100"/>
      <c r="M113" s="1100"/>
      <c r="N113" s="1100"/>
      <c r="O113" s="1100"/>
      <c r="P113" s="1098"/>
      <c r="Q113" s="1098"/>
      <c r="R113" s="774"/>
      <c r="S113" s="417"/>
      <c r="T113" s="679" t="b" cm="1">
        <f t="array" aca="1" ref="T113" ca="1">T112</f>
        <v>0</v>
      </c>
      <c r="U113" s="1152"/>
      <c r="V113" s="1152"/>
      <c r="W113" s="1152"/>
      <c r="X113" s="1485"/>
      <c r="Y113" s="1152"/>
      <c r="Z113" s="1485"/>
      <c r="AA113" s="417"/>
      <c r="AB113" s="1130" t="s">
        <v>2142</v>
      </c>
      <c r="AC113" s="308"/>
      <c r="AD113" s="309"/>
      <c r="AE113" s="309"/>
      <c r="AF113" s="309"/>
      <c r="AG113" s="309"/>
      <c r="AH113" s="309"/>
      <c r="AI113" s="309"/>
      <c r="AJ113" s="309"/>
      <c r="AK113" s="309"/>
      <c r="AL113" s="309"/>
      <c r="AM113" s="309"/>
      <c r="AN113" s="309"/>
      <c r="AO113" s="309"/>
      <c r="AP113" s="309"/>
      <c r="AQ113" s="309"/>
      <c r="AR113" s="309"/>
      <c r="AS113" s="309"/>
      <c r="AT113" s="309"/>
      <c r="AU113" s="309"/>
      <c r="AV113" s="309"/>
      <c r="AW113" s="309"/>
      <c r="AX113" s="309"/>
      <c r="AY113" s="309"/>
      <c r="AZ113" s="309"/>
      <c r="BA113" s="309"/>
      <c r="BB113" s="309"/>
      <c r="BC113" s="309"/>
      <c r="BD113" s="309"/>
      <c r="BE113" s="309"/>
      <c r="BF113" s="309"/>
      <c r="BG113" s="309"/>
      <c r="BH113" s="309"/>
      <c r="BI113" s="309"/>
      <c r="BJ113" s="309"/>
      <c r="BK113" s="309"/>
      <c r="BL113" s="309"/>
      <c r="BM113" s="309"/>
      <c r="BN113" s="309"/>
      <c r="BO113" s="309"/>
      <c r="BP113" s="309"/>
      <c r="BQ113" s="309"/>
      <c r="BR113" s="309"/>
      <c r="BS113" s="309"/>
      <c r="BT113" s="309"/>
      <c r="BU113" s="309"/>
      <c r="BV113" s="309"/>
      <c r="BW113" s="309"/>
      <c r="BX113" s="309"/>
      <c r="BY113" s="309"/>
      <c r="BZ113" s="309"/>
      <c r="CA113" s="309"/>
      <c r="CB113" s="309"/>
      <c r="CC113" s="309"/>
      <c r="CD113" s="309"/>
      <c r="CE113" s="309"/>
      <c r="CF113" s="309"/>
      <c r="CG113" s="309"/>
      <c r="CH113" s="309"/>
      <c r="CI113" s="309"/>
      <c r="CJ113" s="309"/>
      <c r="CK113" s="309"/>
      <c r="CL113" s="309"/>
      <c r="CM113" s="309"/>
      <c r="CN113" s="309"/>
      <c r="CO113" s="309"/>
      <c r="CP113" s="309"/>
      <c r="CQ113" s="309"/>
      <c r="CR113" s="309"/>
      <c r="CS113" s="309"/>
      <c r="CT113" s="309"/>
      <c r="CU113" s="309"/>
      <c r="CV113" s="309"/>
      <c r="CW113" s="309"/>
      <c r="CX113" s="309"/>
      <c r="CY113" s="309"/>
      <c r="CZ113" s="309"/>
      <c r="DA113" s="309"/>
      <c r="DB113" s="309"/>
      <c r="DC113" s="309"/>
      <c r="DD113" s="309"/>
      <c r="DE113" s="309"/>
      <c r="DF113" s="309"/>
      <c r="DG113" s="309"/>
      <c r="DH113" s="309"/>
      <c r="DI113" s="309"/>
      <c r="DJ113" s="309"/>
      <c r="DK113" s="309"/>
      <c r="DL113" s="309"/>
      <c r="DM113" s="309"/>
      <c r="DN113" s="309"/>
      <c r="DO113" s="309"/>
      <c r="DP113" s="309"/>
      <c r="DQ113" s="309"/>
      <c r="DR113" s="309"/>
      <c r="DS113" s="309"/>
      <c r="DT113" s="309"/>
      <c r="DU113" s="309"/>
      <c r="DV113" s="309"/>
      <c r="DW113" s="309"/>
      <c r="DX113" s="309"/>
      <c r="DY113" s="309"/>
      <c r="DZ113" s="309"/>
      <c r="EA113" s="309"/>
      <c r="EB113" s="309"/>
      <c r="EC113" s="309"/>
      <c r="ED113" s="309"/>
      <c r="EE113" s="309"/>
      <c r="EF113" s="309"/>
      <c r="EG113" s="309"/>
      <c r="EH113" s="309"/>
      <c r="EI113" s="309"/>
      <c r="EJ113" s="309"/>
      <c r="EK113" s="309"/>
      <c r="EL113" s="309"/>
      <c r="EM113" s="309"/>
      <c r="EN113" s="309"/>
      <c r="EO113" s="309"/>
      <c r="EP113" s="309"/>
      <c r="EQ113" s="309"/>
      <c r="ER113" s="309"/>
      <c r="ES113" s="309"/>
      <c r="ET113" s="309"/>
      <c r="EU113" s="309"/>
      <c r="EV113" s="309"/>
      <c r="EW113" s="309"/>
      <c r="EX113" s="309"/>
      <c r="EY113" s="309"/>
      <c r="EZ113" s="309"/>
      <c r="FA113" s="309"/>
      <c r="FB113" s="309"/>
      <c r="FC113" s="309"/>
      <c r="FD113" s="309"/>
      <c r="FE113" s="309"/>
      <c r="FF113" s="309"/>
      <c r="FG113" s="309"/>
      <c r="FH113" s="309"/>
      <c r="FI113" s="309"/>
      <c r="FJ113" s="309"/>
      <c r="FK113" s="309"/>
      <c r="FL113" s="309"/>
      <c r="FM113" s="309"/>
      <c r="FN113" s="309"/>
      <c r="FO113" s="309"/>
      <c r="FP113" s="309"/>
      <c r="FQ113" s="309"/>
      <c r="FR113" s="309"/>
      <c r="FS113" s="309"/>
      <c r="FT113" s="309"/>
      <c r="FU113" s="309"/>
      <c r="FV113" s="309"/>
      <c r="FW113" s="310"/>
      <c r="FX113" s="417"/>
      <c r="FY113" s="417"/>
      <c r="FZ113" s="1005"/>
      <c r="GA113" s="971"/>
      <c r="GB113" s="971"/>
      <c r="GC113" s="971"/>
      <c r="GD113" s="971"/>
    </row>
    <row r="114" spans="1:186" s="1167" customFormat="1" ht="15" hidden="1" customHeight="1" x14ac:dyDescent="0.15">
      <c r="A114" s="1152"/>
      <c r="B114" s="803" t="b" cm="1">
        <f t="array" ref="B114">B113</f>
        <v>0</v>
      </c>
      <c r="C114" s="1108" t="s">
        <v>2189</v>
      </c>
      <c r="D114" s="1077" t="s">
        <v>2190</v>
      </c>
      <c r="E114" s="668">
        <v>15.8</v>
      </c>
      <c r="F114" s="769" t="str" cm="1">
        <f t="array" aca="1" ref="F114" ca="1">OFFSET(G114,-1,-1)</f>
        <v>1</v>
      </c>
      <c r="G114" s="417"/>
      <c r="H114" s="160" t="s">
        <v>2161</v>
      </c>
      <c r="I114" s="160" t="s">
        <v>2141</v>
      </c>
      <c r="J114" s="1098"/>
      <c r="K114" s="1098" t="str" cm="1">
        <f t="array" aca="1" ref="K114" ca="1">OFFSET(J114,-1,1)</f>
        <v>ТЭ.42.27968109.0001</v>
      </c>
      <c r="L114" s="1098"/>
      <c r="M114" s="1098" t="s">
        <v>1759</v>
      </c>
      <c r="N114" s="1098" t="s">
        <v>2137</v>
      </c>
      <c r="O114" s="1099" t="s">
        <v>2138</v>
      </c>
      <c r="P114" s="1098" t="s">
        <v>2162</v>
      </c>
      <c r="Q114" s="1098"/>
      <c r="R114" s="774"/>
      <c r="S114" s="417"/>
      <c r="T114" s="679" t="b" cm="1">
        <f t="array" aca="1" ref="T114" ca="1">T113</f>
        <v>0</v>
      </c>
      <c r="U114" s="1152"/>
      <c r="V114" s="1152"/>
      <c r="W114" s="1152"/>
      <c r="X114" s="1485"/>
      <c r="Y114" s="1152"/>
      <c r="Z114" s="1485"/>
      <c r="AA114" s="417"/>
      <c r="AB114" s="220" t="s">
        <v>2163</v>
      </c>
      <c r="AC114" s="120" t="s">
        <v>920</v>
      </c>
      <c r="AD114" s="18">
        <f>IF(AD116=0,0,(AD115*AD116+AD117*AD118*IF(god=2026,3,6))/AD116)</f>
        <v>0</v>
      </c>
      <c r="AE114" s="18">
        <f>IF(AE116=0,0,(AE115*AE116+AE117*AE118*IF(god=2026,3,6))/AE116)</f>
        <v>0</v>
      </c>
      <c r="AF114" s="306">
        <f>IF(AD114=0,0,(AE114-AD114)/AD114*100)</f>
        <v>0</v>
      </c>
      <c r="AG114" s="1215">
        <f>IF(AG116=0,0,(AG115*AG116+AG117*AG118*IF(god=2025,3,6))/AG116)</f>
        <v>0</v>
      </c>
      <c r="AH114" s="1215">
        <f>IF(AH116=0,0,(AH115*AH116+AH117*AH118*IF(god=2025,3,6))/AH116)</f>
        <v>0</v>
      </c>
      <c r="AI114" s="306">
        <f>IF(AG114=0,0,(AH114-AG114)/AG114*100)</f>
        <v>0</v>
      </c>
      <c r="AJ114" s="1215">
        <f>IF(AJ116=0,0,(AJ115*AJ116+AJ117*AJ118*6)/AJ116)</f>
        <v>0</v>
      </c>
      <c r="AK114" s="1215">
        <f>IF(AK116=0,0,(AK115*AK116+AK117*AK118*6)/AK116)</f>
        <v>0</v>
      </c>
      <c r="AL114" s="306">
        <f>IF(AJ114=0,0,(AK114-AJ114)/AJ114*100)</f>
        <v>0</v>
      </c>
      <c r="AM114" s="18">
        <f>IF(AM116=0,0,(AM115*AM116+AM117*AM118*6)/AM116)</f>
        <v>0</v>
      </c>
      <c r="AN114" s="18">
        <f>IF(AN116=0,0,(AN115*AN116+AN117*AN118*6)/AN116)</f>
        <v>0</v>
      </c>
      <c r="AO114" s="306">
        <f>IF(AM114=0,0,(AN114-AM114)/AM114*100)</f>
        <v>0</v>
      </c>
      <c r="AP114" s="18">
        <f>IF(AP116=0,0,(AP115*AP116+AP117*AP118*6)/AP116)</f>
        <v>0</v>
      </c>
      <c r="AQ114" s="18">
        <f>IF(AQ116=0,0,(AQ115*AQ116+AQ117*AQ118*6)/AQ116)</f>
        <v>0</v>
      </c>
      <c r="AR114" s="306">
        <f>IF(AP114=0,0,(AQ114-AP114)/AP114*100)</f>
        <v>0</v>
      </c>
      <c r="AS114" s="18">
        <f>IF(AS116=0,0,(AS115*AS116+AS117*AS118*6)/AS116)</f>
        <v>0</v>
      </c>
      <c r="AT114" s="18">
        <f>IF(AT116=0,0,(AT115*AT116+AT117*AT118*6)/AT116)</f>
        <v>0</v>
      </c>
      <c r="AU114" s="306">
        <f>IF(AS114=0,0,(AT114-AS114)/AS114*100)</f>
        <v>0</v>
      </c>
      <c r="AV114" s="18">
        <f>IF(AV116=0,0,(AV115*AV116+AV117*AV118*6)/AV116)</f>
        <v>0</v>
      </c>
      <c r="AW114" s="18">
        <f>IF(AW116=0,0,(AW115*AW116+AW117*AW118*6)/AW116)</f>
        <v>0</v>
      </c>
      <c r="AX114" s="306">
        <f>IF(AV114=0,0,(AW114-AV114)/AV114*100)</f>
        <v>0</v>
      </c>
      <c r="AY114" s="18">
        <f>IF(AY116=0,0,(AY115*AY116+AY117*AY118*6)/AY116)</f>
        <v>0</v>
      </c>
      <c r="AZ114" s="18">
        <f>IF(AZ116=0,0,(AZ115*AZ116+AZ117*AZ118*6)/AZ116)</f>
        <v>0</v>
      </c>
      <c r="BA114" s="306">
        <f>IF(AY114=0,0,(AZ114-AY114)/AY114*100)</f>
        <v>0</v>
      </c>
      <c r="BB114" s="18">
        <f>IF(BB116=0,0,(BB115*BB116+BB117*BB118*6)/BB116)</f>
        <v>0</v>
      </c>
      <c r="BC114" s="18">
        <f>IF(BC116=0,0,(BC115*BC116+BC117*BC118*6)/BC116)</f>
        <v>0</v>
      </c>
      <c r="BD114" s="306">
        <f>IF(BB114=0,0,(BC114-BB114)/BB114*100)</f>
        <v>0</v>
      </c>
      <c r="BE114" s="18">
        <f>IF(BE116=0,0,(BE115*BE116+BE117*BE118*6)/BE116)</f>
        <v>0</v>
      </c>
      <c r="BF114" s="18">
        <f>IF(BF116=0,0,(BF115*BF116+BF117*BF118*6)/BF116)</f>
        <v>0</v>
      </c>
      <c r="BG114" s="306">
        <f>IF(BE114=0,0,(BF114-BE114)/BE114*100)</f>
        <v>0</v>
      </c>
      <c r="BH114" s="18">
        <f>IF(BH116=0,0,(BH115*BH116+BH117*BH118*6)/BH116)</f>
        <v>0</v>
      </c>
      <c r="BI114" s="18">
        <f>IF(BI116=0,0,(BI115*BI116+BI117*BI118*6)/BI116)</f>
        <v>0</v>
      </c>
      <c r="BJ114" s="306">
        <f>IF(BH114=0,0,(BI114-BH114)/BH114*100)</f>
        <v>0</v>
      </c>
      <c r="BK114" s="18">
        <f>IF(BK116=0,0,(BK115*BK116+BK117*BK118*6)/BK116)</f>
        <v>0</v>
      </c>
      <c r="BL114" s="18">
        <f>IF(BL116=0,0,(BL115*BL116+BL117*BL118*6)/BL116)</f>
        <v>0</v>
      </c>
      <c r="BM114" s="306">
        <f>IF(BK114=0,0,(BL114-BK114)/BK114*100)</f>
        <v>0</v>
      </c>
      <c r="BN114" s="18">
        <f>IF(BN116=0,0,(BN115*BN116+BN117*BN118*6)/BN116)</f>
        <v>0</v>
      </c>
      <c r="BO114" s="18">
        <f>IF(BO116=0,0,(BO115*BO116+BO117*BO118*6)/BO116)</f>
        <v>0</v>
      </c>
      <c r="BP114" s="306">
        <f>IF(BN114=0,0,(BO114-BN114)/BN114*100)</f>
        <v>0</v>
      </c>
      <c r="BQ114" s="18">
        <f>IF(BQ116=0,0,(BQ115*BQ116+BQ117*BQ118*6)/BQ116)</f>
        <v>0</v>
      </c>
      <c r="BR114" s="18">
        <f>IF(BR116=0,0,(BR115*BR116+BR117*BR118*6)/BR116)</f>
        <v>0</v>
      </c>
      <c r="BS114" s="306">
        <f>IF(BQ114=0,0,(BR114-BQ114)/BQ114*100)</f>
        <v>0</v>
      </c>
      <c r="BT114" s="18">
        <f>IF(BT116=0,0,(BT115*BT116+BT117*BT118*6)/BT116)</f>
        <v>0</v>
      </c>
      <c r="BU114" s="18">
        <f>IF(BU116=0,0,(BU115*BU116+BU117*BU118*6)/BU116)</f>
        <v>0</v>
      </c>
      <c r="BV114" s="306">
        <f>IF(BT114=0,0,(BU114-BT114)/BT114*100)</f>
        <v>0</v>
      </c>
      <c r="BW114" s="18">
        <f>IF(BW116=0,0,(BW115*BW116+BW117*BW118*6)/BW116)</f>
        <v>0</v>
      </c>
      <c r="BX114" s="18">
        <f>IF(BX116=0,0,(BX115*BX116+BX117*BX118*6)/BX116)</f>
        <v>0</v>
      </c>
      <c r="BY114" s="306">
        <f>IF(BW114=0,0,(BX114-BW114)/BW114*100)</f>
        <v>0</v>
      </c>
      <c r="BZ114" s="18">
        <f>IF(BZ116=0,0,(BZ115*BZ116+BZ117*BZ118*6)/BZ116)</f>
        <v>0</v>
      </c>
      <c r="CA114" s="18">
        <f>IF(CA116=0,0,(CA115*CA116+CA117*CA118*6)/CA116)</f>
        <v>0</v>
      </c>
      <c r="CB114" s="306">
        <f>IF(BZ114=0,0,(CA114-BZ114)/BZ114*100)</f>
        <v>0</v>
      </c>
      <c r="CC114" s="18">
        <f>IF(CC116=0,0,(CC115*CC116+CC117*CC118*6)/CC116)</f>
        <v>0</v>
      </c>
      <c r="CD114" s="18">
        <f>IF(CD116=0,0,(CD115*CD116+CD117*CD118*6)/CD116)</f>
        <v>0</v>
      </c>
      <c r="CE114" s="306">
        <f>IF(CC114=0,0,(CD114-CC114)/CC114*100)</f>
        <v>0</v>
      </c>
      <c r="CF114" s="18">
        <f>IF(CF116=0,0,(CF115*CF116+CF117*CF118*6)/CF116)</f>
        <v>0</v>
      </c>
      <c r="CG114" s="18">
        <f>IF(CG116=0,0,(CG115*CG116+CG117*CG118*6)/CG116)</f>
        <v>0</v>
      </c>
      <c r="CH114" s="306">
        <f>IF(CF114=0,0,(CG114-CF114)/CF114*100)</f>
        <v>0</v>
      </c>
      <c r="CI114" s="18">
        <f>IF(CI116=0,0,(CI115*CI116+CI117*CI118*6)/CI116)</f>
        <v>0</v>
      </c>
      <c r="CJ114" s="18">
        <f>IF(CJ116=0,0,(CJ115*CJ116+CJ117*CJ118*6)/CJ116)</f>
        <v>0</v>
      </c>
      <c r="CK114" s="306">
        <f>IF(CI114=0,0,(CJ114-CI114)/CI114*100)</f>
        <v>0</v>
      </c>
      <c r="CL114" s="18">
        <f>IF(CL116=0,0,(CL115*CL116+CL117*CL118*6)/CL116)</f>
        <v>0</v>
      </c>
      <c r="CM114" s="18">
        <f>IF(CM116=0,0,(CM115*CM116+CM117*CM118*6)/CM116)</f>
        <v>0</v>
      </c>
      <c r="CN114" s="306">
        <f>IF(CL114=0,0,(CM114-CL114)/CL114*100)</f>
        <v>0</v>
      </c>
      <c r="CO114" s="18">
        <f>IF(CO116=0,0,(CO115*CO116+CO117*CO118*6)/CO116)</f>
        <v>0</v>
      </c>
      <c r="CP114" s="18">
        <f>IF(CP116=0,0,(CP115*CP116+CP117*CP118*6)/CP116)</f>
        <v>0</v>
      </c>
      <c r="CQ114" s="306">
        <f>IF(CO114=0,0,(CP114-CO114)/CO114*100)</f>
        <v>0</v>
      </c>
      <c r="CR114" s="18">
        <f>IF(CR116=0,0,(CR115*CR116+CR117*CR118*6)/CR116)</f>
        <v>0</v>
      </c>
      <c r="CS114" s="18">
        <f>IF(CS116=0,0,(CS115*CS116+CS117*CS118*6)/CS116)</f>
        <v>0</v>
      </c>
      <c r="CT114" s="306">
        <f>IF(CR114=0,0,(CS114-CR114)/CR114*100)</f>
        <v>0</v>
      </c>
      <c r="CU114" s="18">
        <f>IF(CU116=0,0,(CU115*CU116+CU117*CU118*6)/CU116)</f>
        <v>0</v>
      </c>
      <c r="CV114" s="18">
        <f>IF(CV116=0,0,(CV115*CV116+CV117*CV118*6)/CV116)</f>
        <v>0</v>
      </c>
      <c r="CW114" s="306">
        <f>IF(CU114=0,0,(CV114-CU114)/CU114*100)</f>
        <v>0</v>
      </c>
      <c r="CX114" s="18">
        <f>IF(CX116=0,0,(CX115*CX116+CX117*CX118*6)/CX116)</f>
        <v>0</v>
      </c>
      <c r="CY114" s="18">
        <f>IF(CY116=0,0,(CY115*CY116+CY117*CY118*6)/CY116)</f>
        <v>0</v>
      </c>
      <c r="CZ114" s="306">
        <f>IF(CX114=0,0,(CY114-CX114)/CX114*100)</f>
        <v>0</v>
      </c>
      <c r="DA114" s="18">
        <f>IF(DA116=0,0,(DA115*DA116+DA117*DA118*6)/DA116)</f>
        <v>0</v>
      </c>
      <c r="DB114" s="18">
        <f>IF(DB116=0,0,(DB115*DB116+DB117*DB118*6)/DB116)</f>
        <v>0</v>
      </c>
      <c r="DC114" s="306">
        <f>IF(DA114=0,0,(DB114-DA114)/DA114*100)</f>
        <v>0</v>
      </c>
      <c r="DD114" s="18">
        <f>IF(DD116=0,0,(DD115*DD116+DD117*DD118*6)/DD116)</f>
        <v>0</v>
      </c>
      <c r="DE114" s="18">
        <f>IF(DE116=0,0,(DE115*DE116+DE117*DE118*6)/DE116)</f>
        <v>0</v>
      </c>
      <c r="DF114" s="306">
        <f>IF(DD114=0,0,(DE114-DD114)/DD114*100)</f>
        <v>0</v>
      </c>
      <c r="DG114" s="18">
        <f>IF(DG116=0,0,(DG115*DG116+DG117*DG118*6)/DG116)</f>
        <v>0</v>
      </c>
      <c r="DH114" s="18">
        <f>IF(DH116=0,0,(DH115*DH116+DH117*DH118*6)/DH116)</f>
        <v>0</v>
      </c>
      <c r="DI114" s="306">
        <f>IF(DG114=0,0,(DH114-DG114)/DG114*100)</f>
        <v>0</v>
      </c>
      <c r="DJ114" s="18">
        <f>IF(DJ116=0,0,(DJ115*DJ116+DJ117*DJ118*6)/DJ116)</f>
        <v>0</v>
      </c>
      <c r="DK114" s="18">
        <f>IF(DK116=0,0,(DK115*DK116+DK117*DK118*6)/DK116)</f>
        <v>0</v>
      </c>
      <c r="DL114" s="306">
        <f>IF(DJ114=0,0,(DK114-DJ114)/DJ114*100)</f>
        <v>0</v>
      </c>
      <c r="DM114" s="18">
        <f>IF(DM116=0,0,(DM115*DM116+DM117*DM118*6)/DM116)</f>
        <v>0</v>
      </c>
      <c r="DN114" s="18">
        <f>IF(DN116=0,0,(DN115*DN116+DN117*DN118*6)/DN116)</f>
        <v>0</v>
      </c>
      <c r="DO114" s="306">
        <f>IF(DM114=0,0,(DN114-DM114)/DM114*100)</f>
        <v>0</v>
      </c>
      <c r="DP114" s="18">
        <f>IF(DP116=0,0,(DP115*DP116+DP117*DP118*6)/DP116)</f>
        <v>0</v>
      </c>
      <c r="DQ114" s="18">
        <f>IF(DQ116=0,0,(DQ115*DQ116+DQ117*DQ118*6)/DQ116)</f>
        <v>0</v>
      </c>
      <c r="DR114" s="306">
        <f>IF(DP114=0,0,(DQ114-DP114)/DP114*100)</f>
        <v>0</v>
      </c>
      <c r="DS114" s="18">
        <f>IF(DS116=0,0,(DS115*DS116+DS117*DS118*6)/DS116)</f>
        <v>0</v>
      </c>
      <c r="DT114" s="18">
        <f>IF(DT116=0,0,(DT115*DT116+DT117*DT118*6)/DT116)</f>
        <v>0</v>
      </c>
      <c r="DU114" s="306">
        <f>IF(DS114=0,0,(DT114-DS114)/DS114*100)</f>
        <v>0</v>
      </c>
      <c r="DV114" s="18">
        <f>IF(DV116=0,0,(DV115*DV116+DV117*DV118*6)/DV116)</f>
        <v>0</v>
      </c>
      <c r="DW114" s="18">
        <f>IF(DW116=0,0,(DW115*DW116+DW117*DW118*6)/DW116)</f>
        <v>0</v>
      </c>
      <c r="DX114" s="306">
        <f>IF(DV114=0,0,(DW114-DV114)/DV114*100)</f>
        <v>0</v>
      </c>
      <c r="DY114" s="18">
        <f>IF(DY116=0,0,(DY115*DY116+DY117*DY118*6)/DY116)</f>
        <v>0</v>
      </c>
      <c r="DZ114" s="18">
        <f>IF(DZ116=0,0,(DZ115*DZ116+DZ117*DZ118*6)/DZ116)</f>
        <v>0</v>
      </c>
      <c r="EA114" s="306">
        <f>IF(DY114=0,0,(DZ114-DY114)/DY114*100)</f>
        <v>0</v>
      </c>
      <c r="EB114" s="18">
        <f>IF(EB116=0,0,(EB115*EB116+EB117*EB118*6)/EB116)</f>
        <v>0</v>
      </c>
      <c r="EC114" s="18">
        <f>IF(EC116=0,0,(EC115*EC116+EC117*EC118*6)/EC116)</f>
        <v>0</v>
      </c>
      <c r="ED114" s="306">
        <f>IF(EB114=0,0,(EC114-EB114)/EB114*100)</f>
        <v>0</v>
      </c>
      <c r="EE114" s="18">
        <f>IF(EE116=0,0,(EE115*EE116+EE117*EE118*6)/EE116)</f>
        <v>0</v>
      </c>
      <c r="EF114" s="18">
        <f>IF(EF116=0,0,(EF115*EF116+EF117*EF118*6)/EF116)</f>
        <v>0</v>
      </c>
      <c r="EG114" s="306">
        <f>IF(EE114=0,0,(EF114-EE114)/EE114*100)</f>
        <v>0</v>
      </c>
      <c r="EH114" s="18">
        <f>IF(EH116=0,0,(EH115*EH116+EH117*EH118*6)/EH116)</f>
        <v>0</v>
      </c>
      <c r="EI114" s="18">
        <f>IF(EI116=0,0,(EI115*EI116+EI117*EI118*6)/EI116)</f>
        <v>0</v>
      </c>
      <c r="EJ114" s="306">
        <f>IF(EH114=0,0,(EI114-EH114)/EH114*100)</f>
        <v>0</v>
      </c>
      <c r="EK114" s="18">
        <f>IF(EK116=0,0,(EK115*EK116+EK117*EK118*6)/EK116)</f>
        <v>0</v>
      </c>
      <c r="EL114" s="18">
        <f>IF(EL116=0,0,(EL115*EL116+EL117*EL118*6)/EL116)</f>
        <v>0</v>
      </c>
      <c r="EM114" s="306">
        <f>IF(EK114=0,0,(EL114-EK114)/EK114*100)</f>
        <v>0</v>
      </c>
      <c r="EN114" s="18">
        <f>IF(EN116=0,0,(EN115*EN116+EN117*EN118*6)/EN116)</f>
        <v>0</v>
      </c>
      <c r="EO114" s="18">
        <f>IF(EO116=0,0,(EO115*EO116+EO117*EO118*6)/EO116)</f>
        <v>0</v>
      </c>
      <c r="EP114" s="306">
        <f>IF(EN114=0,0,(EO114-EN114)/EN114*100)</f>
        <v>0</v>
      </c>
      <c r="EQ114" s="18">
        <f>IF(EQ116=0,0,(EQ115*EQ116+EQ117*EQ118*6)/EQ116)</f>
        <v>0</v>
      </c>
      <c r="ER114" s="18">
        <f>IF(ER116=0,0,(ER115*ER116+ER117*ER118*6)/ER116)</f>
        <v>0</v>
      </c>
      <c r="ES114" s="306">
        <f>IF(EQ114=0,0,(ER114-EQ114)/EQ114*100)</f>
        <v>0</v>
      </c>
      <c r="ET114" s="18">
        <f>IF(ET116=0,0,(ET115*ET116+ET117*ET118*6)/ET116)</f>
        <v>0</v>
      </c>
      <c r="EU114" s="18">
        <f>IF(EU116=0,0,(EU115*EU116+EU117*EU118*6)/EU116)</f>
        <v>0</v>
      </c>
      <c r="EV114" s="306">
        <f>IF(ET114=0,0,(EU114-ET114)/ET114*100)</f>
        <v>0</v>
      </c>
      <c r="EW114" s="18">
        <f>IF(EW116=0,0,(EW115*EW116+EW117*EW118*6)/EW116)</f>
        <v>0</v>
      </c>
      <c r="EX114" s="18">
        <f>IF(EX116=0,0,(EX115*EX116+EX117*EX118*6)/EX116)</f>
        <v>0</v>
      </c>
      <c r="EY114" s="306">
        <f>IF(EW114=0,0,(EX114-EW114)/EW114*100)</f>
        <v>0</v>
      </c>
      <c r="EZ114" s="18">
        <f>IF(EZ116=0,0,(EZ115*EZ116+EZ117*EZ118*6)/EZ116)</f>
        <v>0</v>
      </c>
      <c r="FA114" s="18">
        <f>IF(FA116=0,0,(FA115*FA116+FA117*FA118*6)/FA116)</f>
        <v>0</v>
      </c>
      <c r="FB114" s="306">
        <f>IF(EZ114=0,0,(FA114-EZ114)/EZ114*100)</f>
        <v>0</v>
      </c>
      <c r="FC114" s="18">
        <f>IF(FC116=0,0,(FC115*FC116+FC117*FC118*6)/FC116)</f>
        <v>0</v>
      </c>
      <c r="FD114" s="18">
        <f>IF(FD116=0,0,(FD115*FD116+FD117*FD118*6)/FD116)</f>
        <v>0</v>
      </c>
      <c r="FE114" s="306">
        <f>IF(FC114=0,0,(FD114-FC114)/FC114*100)</f>
        <v>0</v>
      </c>
      <c r="FF114" s="18">
        <f>IF(FF116=0,0,(FF115*FF116+FF117*FF118*6)/FF116)</f>
        <v>0</v>
      </c>
      <c r="FG114" s="18">
        <f>IF(FG116=0,0,(FG115*FG116+FG117*FG118*6)/FG116)</f>
        <v>0</v>
      </c>
      <c r="FH114" s="306">
        <f>IF(FF114=0,0,(FG114-FF114)/FF114*100)</f>
        <v>0</v>
      </c>
      <c r="FI114" s="18">
        <f>IF(FI116=0,0,(FI115*FI116+FI117*FI118*6)/FI116)</f>
        <v>0</v>
      </c>
      <c r="FJ114" s="18">
        <f>IF(FJ116=0,0,(FJ115*FJ116+FJ117*FJ118*6)/FJ116)</f>
        <v>0</v>
      </c>
      <c r="FK114" s="306">
        <f>IF(FI114=0,0,(FJ114-FI114)/FI114*100)</f>
        <v>0</v>
      </c>
      <c r="FL114" s="18">
        <f>IF(FL116=0,0,(FL115*FL116+FL117*FL118*6)/FL116)</f>
        <v>0</v>
      </c>
      <c r="FM114" s="18">
        <f>IF(FM116=0,0,(FM115*FM116+FM117*FM118*6)/FM116)</f>
        <v>0</v>
      </c>
      <c r="FN114" s="306">
        <f>IF(FL114=0,0,(FM114-FL114)/FL114*100)</f>
        <v>0</v>
      </c>
      <c r="FO114" s="18">
        <f>IF(FO116=0,0,(FO115*FO116+FO117*FO118*6)/FO116)</f>
        <v>0</v>
      </c>
      <c r="FP114" s="18">
        <f>IF(FP116=0,0,(FP115*FP116+FP117*FP118*6)/FP116)</f>
        <v>0</v>
      </c>
      <c r="FQ114" s="306">
        <f>IF(FO114=0,0,(FP114-FO114)/FO114*100)</f>
        <v>0</v>
      </c>
      <c r="FR114" s="18">
        <f>IF(FR116=0,0,(FR115*FR116+FR117*FR118*6)/FR116)</f>
        <v>0</v>
      </c>
      <c r="FS114" s="18">
        <f>IF(FS116=0,0,(FS115*FS116+FS117*FS118*6)/FS116)</f>
        <v>0</v>
      </c>
      <c r="FT114" s="306">
        <f>IF(FR114=0,0,(FS114-FR114)/FR114*100)</f>
        <v>0</v>
      </c>
      <c r="FU114" s="18">
        <f>IF(FU116=0,0,(FU115*FU116+FU117*FU118*6)/FU116)</f>
        <v>0</v>
      </c>
      <c r="FV114" s="18">
        <f>IF(FV116=0,0,(FV115*FV116+FV117*FV118*6)/FV116)</f>
        <v>0</v>
      </c>
      <c r="FW114" s="306">
        <f>IF(FU114=0,0,(FV114-FU114)/FU114*100)</f>
        <v>0</v>
      </c>
      <c r="FX114" s="417"/>
      <c r="FY114" s="417"/>
      <c r="FZ114" s="971" t="s">
        <v>2198</v>
      </c>
      <c r="GA114" s="971"/>
      <c r="GB114" s="971"/>
      <c r="GC114" s="971"/>
      <c r="GD114" s="971"/>
    </row>
    <row r="115" spans="1:186" s="1167" customFormat="1" ht="15" hidden="1" customHeight="1" x14ac:dyDescent="0.15">
      <c r="A115" s="1152"/>
      <c r="B115" s="803" t="b" cm="1">
        <f t="array" ref="B115">B114</f>
        <v>0</v>
      </c>
      <c r="C115" s="1108" t="s">
        <v>2192</v>
      </c>
      <c r="D115" s="1077" t="s">
        <v>2193</v>
      </c>
      <c r="E115" s="668">
        <v>15.8</v>
      </c>
      <c r="F115" s="769" t="str" cm="1">
        <f t="array" aca="1" ref="F115" ca="1">OFFSET(G115,-1,-1)</f>
        <v>1</v>
      </c>
      <c r="G115" s="417"/>
      <c r="H115" s="160" t="s">
        <v>2167</v>
      </c>
      <c r="I115" s="160" t="s">
        <v>2141</v>
      </c>
      <c r="J115" s="1098"/>
      <c r="K115" s="1098" t="str" cm="1">
        <f t="array" aca="1" ref="K115" ca="1">OFFSET(J115,-1,1)</f>
        <v>ТЭ.42.27968109.0001</v>
      </c>
      <c r="L115" s="1098"/>
      <c r="M115" s="1098" t="s">
        <v>1759</v>
      </c>
      <c r="N115" s="1098" t="s">
        <v>2137</v>
      </c>
      <c r="O115" s="1099" t="s">
        <v>2138</v>
      </c>
      <c r="P115" s="1098" t="s">
        <v>2168</v>
      </c>
      <c r="Q115" s="1098"/>
      <c r="R115" s="774"/>
      <c r="S115" s="417"/>
      <c r="T115" s="679" t="b" cm="1">
        <f t="array" aca="1" ref="T115" ca="1">T114</f>
        <v>0</v>
      </c>
      <c r="U115" s="1152"/>
      <c r="V115" s="1152"/>
      <c r="W115" s="1152"/>
      <c r="X115" s="1485"/>
      <c r="Y115" s="1152"/>
      <c r="Z115" s="1485"/>
      <c r="AA115" s="417"/>
      <c r="AB115" s="220" t="s">
        <v>2169</v>
      </c>
      <c r="AC115" s="120" t="s">
        <v>920</v>
      </c>
      <c r="AD115" s="18"/>
      <c r="AE115" s="18"/>
      <c r="AF115" s="306">
        <f>IF(AD115=0,0,(AE115-AD115)/AD115*100)</f>
        <v>0</v>
      </c>
      <c r="AG115" s="1215"/>
      <c r="AH115" s="1215"/>
      <c r="AI115" s="306">
        <f>IF(AG115=0,0,(AH115-AG115)/AG115*100)</f>
        <v>0</v>
      </c>
      <c r="AJ115" s="1215"/>
      <c r="AK115" s="1215"/>
      <c r="AL115" s="306">
        <f>IF(AJ115=0,0,(AK115-AJ115)/AJ115*100)</f>
        <v>0</v>
      </c>
      <c r="AM115" s="18"/>
      <c r="AN115" s="18"/>
      <c r="AO115" s="306">
        <f>IF(AM115=0,0,(AN115-AM115)/AM115*100)</f>
        <v>0</v>
      </c>
      <c r="AP115" s="18"/>
      <c r="AQ115" s="18"/>
      <c r="AR115" s="306">
        <f>IF(AP115=0,0,(AQ115-AP115)/AP115*100)</f>
        <v>0</v>
      </c>
      <c r="AS115" s="18"/>
      <c r="AT115" s="18"/>
      <c r="AU115" s="306">
        <f>IF(AS115=0,0,(AT115-AS115)/AS115*100)</f>
        <v>0</v>
      </c>
      <c r="AV115" s="18"/>
      <c r="AW115" s="18"/>
      <c r="AX115" s="306">
        <f>IF(AV115=0,0,(AW115-AV115)/AV115*100)</f>
        <v>0</v>
      </c>
      <c r="AY115" s="18"/>
      <c r="AZ115" s="18"/>
      <c r="BA115" s="306">
        <f>IF(AY115=0,0,(AZ115-AY115)/AY115*100)</f>
        <v>0</v>
      </c>
      <c r="BB115" s="18"/>
      <c r="BC115" s="18"/>
      <c r="BD115" s="306">
        <f>IF(BB115=0,0,(BC115-BB115)/BB115*100)</f>
        <v>0</v>
      </c>
      <c r="BE115" s="18"/>
      <c r="BF115" s="18"/>
      <c r="BG115" s="306">
        <f>IF(BE115=0,0,(BF115-BE115)/BE115*100)</f>
        <v>0</v>
      </c>
      <c r="BH115" s="18"/>
      <c r="BI115" s="18"/>
      <c r="BJ115" s="306">
        <f>IF(BH115=0,0,(BI115-BH115)/BH115*100)</f>
        <v>0</v>
      </c>
      <c r="BK115" s="18"/>
      <c r="BL115" s="18"/>
      <c r="BM115" s="306">
        <f>IF(BK115=0,0,(BL115-BK115)/BK115*100)</f>
        <v>0</v>
      </c>
      <c r="BN115" s="18"/>
      <c r="BO115" s="18"/>
      <c r="BP115" s="306">
        <f>IF(BN115=0,0,(BO115-BN115)/BN115*100)</f>
        <v>0</v>
      </c>
      <c r="BQ115" s="18"/>
      <c r="BR115" s="18"/>
      <c r="BS115" s="306">
        <f>IF(BQ115=0,0,(BR115-BQ115)/BQ115*100)</f>
        <v>0</v>
      </c>
      <c r="BT115" s="18"/>
      <c r="BU115" s="18"/>
      <c r="BV115" s="306">
        <f>IF(BT115=0,0,(BU115-BT115)/BT115*100)</f>
        <v>0</v>
      </c>
      <c r="BW115" s="18"/>
      <c r="BX115" s="18"/>
      <c r="BY115" s="306">
        <f>IF(BW115=0,0,(BX115-BW115)/BW115*100)</f>
        <v>0</v>
      </c>
      <c r="BZ115" s="18"/>
      <c r="CA115" s="18"/>
      <c r="CB115" s="306">
        <f>IF(BZ115=0,0,(CA115-BZ115)/BZ115*100)</f>
        <v>0</v>
      </c>
      <c r="CC115" s="18"/>
      <c r="CD115" s="18"/>
      <c r="CE115" s="306">
        <f>IF(CC115=0,0,(CD115-CC115)/CC115*100)</f>
        <v>0</v>
      </c>
      <c r="CF115" s="18"/>
      <c r="CG115" s="18"/>
      <c r="CH115" s="306">
        <f>IF(CF115=0,0,(CG115-CF115)/CF115*100)</f>
        <v>0</v>
      </c>
      <c r="CI115" s="18"/>
      <c r="CJ115" s="18"/>
      <c r="CK115" s="306">
        <f>IF(CI115=0,0,(CJ115-CI115)/CI115*100)</f>
        <v>0</v>
      </c>
      <c r="CL115" s="18"/>
      <c r="CM115" s="18"/>
      <c r="CN115" s="306">
        <f>IF(CL115=0,0,(CM115-CL115)/CL115*100)</f>
        <v>0</v>
      </c>
      <c r="CO115" s="18"/>
      <c r="CP115" s="18"/>
      <c r="CQ115" s="306">
        <f>IF(CO115=0,0,(CP115-CO115)/CO115*100)</f>
        <v>0</v>
      </c>
      <c r="CR115" s="18"/>
      <c r="CS115" s="18"/>
      <c r="CT115" s="306">
        <f>IF(CR115=0,0,(CS115-CR115)/CR115*100)</f>
        <v>0</v>
      </c>
      <c r="CU115" s="18"/>
      <c r="CV115" s="18"/>
      <c r="CW115" s="306">
        <f>IF(CU115=0,0,(CV115-CU115)/CU115*100)</f>
        <v>0</v>
      </c>
      <c r="CX115" s="18"/>
      <c r="CY115" s="18"/>
      <c r="CZ115" s="306">
        <f>IF(CX115=0,0,(CY115-CX115)/CX115*100)</f>
        <v>0</v>
      </c>
      <c r="DA115" s="18"/>
      <c r="DB115" s="18"/>
      <c r="DC115" s="306">
        <f>IF(DA115=0,0,(DB115-DA115)/DA115*100)</f>
        <v>0</v>
      </c>
      <c r="DD115" s="18"/>
      <c r="DE115" s="18"/>
      <c r="DF115" s="306">
        <f>IF(DD115=0,0,(DE115-DD115)/DD115*100)</f>
        <v>0</v>
      </c>
      <c r="DG115" s="18"/>
      <c r="DH115" s="18"/>
      <c r="DI115" s="306">
        <f>IF(DG115=0,0,(DH115-DG115)/DG115*100)</f>
        <v>0</v>
      </c>
      <c r="DJ115" s="18"/>
      <c r="DK115" s="18"/>
      <c r="DL115" s="306">
        <f>IF(DJ115=0,0,(DK115-DJ115)/DJ115*100)</f>
        <v>0</v>
      </c>
      <c r="DM115" s="18"/>
      <c r="DN115" s="18"/>
      <c r="DO115" s="306">
        <f>IF(DM115=0,0,(DN115-DM115)/DM115*100)</f>
        <v>0</v>
      </c>
      <c r="DP115" s="18"/>
      <c r="DQ115" s="18"/>
      <c r="DR115" s="306">
        <f>IF(DP115=0,0,(DQ115-DP115)/DP115*100)</f>
        <v>0</v>
      </c>
      <c r="DS115" s="18"/>
      <c r="DT115" s="18"/>
      <c r="DU115" s="306">
        <f>IF(DS115=0,0,(DT115-DS115)/DS115*100)</f>
        <v>0</v>
      </c>
      <c r="DV115" s="18"/>
      <c r="DW115" s="18"/>
      <c r="DX115" s="306">
        <f>IF(DV115=0,0,(DW115-DV115)/DV115*100)</f>
        <v>0</v>
      </c>
      <c r="DY115" s="18"/>
      <c r="DZ115" s="18"/>
      <c r="EA115" s="306">
        <f>IF(DY115=0,0,(DZ115-DY115)/DY115*100)</f>
        <v>0</v>
      </c>
      <c r="EB115" s="18"/>
      <c r="EC115" s="18"/>
      <c r="ED115" s="306">
        <f>IF(EB115=0,0,(EC115-EB115)/EB115*100)</f>
        <v>0</v>
      </c>
      <c r="EE115" s="18"/>
      <c r="EF115" s="18"/>
      <c r="EG115" s="306">
        <f>IF(EE115=0,0,(EF115-EE115)/EE115*100)</f>
        <v>0</v>
      </c>
      <c r="EH115" s="18"/>
      <c r="EI115" s="18"/>
      <c r="EJ115" s="306">
        <f>IF(EH115=0,0,(EI115-EH115)/EH115*100)</f>
        <v>0</v>
      </c>
      <c r="EK115" s="18"/>
      <c r="EL115" s="18"/>
      <c r="EM115" s="306">
        <f>IF(EK115=0,0,(EL115-EK115)/EK115*100)</f>
        <v>0</v>
      </c>
      <c r="EN115" s="18"/>
      <c r="EO115" s="18"/>
      <c r="EP115" s="306">
        <f>IF(EN115=0,0,(EO115-EN115)/EN115*100)</f>
        <v>0</v>
      </c>
      <c r="EQ115" s="18"/>
      <c r="ER115" s="18"/>
      <c r="ES115" s="306">
        <f>IF(EQ115=0,0,(ER115-EQ115)/EQ115*100)</f>
        <v>0</v>
      </c>
      <c r="ET115" s="18"/>
      <c r="EU115" s="18"/>
      <c r="EV115" s="306">
        <f>IF(ET115=0,0,(EU115-ET115)/ET115*100)</f>
        <v>0</v>
      </c>
      <c r="EW115" s="18"/>
      <c r="EX115" s="18"/>
      <c r="EY115" s="306">
        <f>IF(EW115=0,0,(EX115-EW115)/EW115*100)</f>
        <v>0</v>
      </c>
      <c r="EZ115" s="18"/>
      <c r="FA115" s="18"/>
      <c r="FB115" s="306">
        <f>IF(EZ115=0,0,(FA115-EZ115)/EZ115*100)</f>
        <v>0</v>
      </c>
      <c r="FC115" s="18"/>
      <c r="FD115" s="18"/>
      <c r="FE115" s="306">
        <f>IF(FC115=0,0,(FD115-FC115)/FC115*100)</f>
        <v>0</v>
      </c>
      <c r="FF115" s="18"/>
      <c r="FG115" s="18"/>
      <c r="FH115" s="306">
        <f>IF(FF115=0,0,(FG115-FF115)/FF115*100)</f>
        <v>0</v>
      </c>
      <c r="FI115" s="18"/>
      <c r="FJ115" s="18"/>
      <c r="FK115" s="306">
        <f>IF(FI115=0,0,(FJ115-FI115)/FI115*100)</f>
        <v>0</v>
      </c>
      <c r="FL115" s="18"/>
      <c r="FM115" s="18"/>
      <c r="FN115" s="306">
        <f>IF(FL115=0,0,(FM115-FL115)/FL115*100)</f>
        <v>0</v>
      </c>
      <c r="FO115" s="18"/>
      <c r="FP115" s="18"/>
      <c r="FQ115" s="306">
        <f>IF(FO115=0,0,(FP115-FO115)/FO115*100)</f>
        <v>0</v>
      </c>
      <c r="FR115" s="18"/>
      <c r="FS115" s="18"/>
      <c r="FT115" s="306">
        <f>IF(FR115=0,0,(FS115-FR115)/FR115*100)</f>
        <v>0</v>
      </c>
      <c r="FU115" s="18"/>
      <c r="FV115" s="18"/>
      <c r="FW115" s="306">
        <f>IF(FU115=0,0,(FV115-FU115)/FU115*100)</f>
        <v>0</v>
      </c>
      <c r="FX115" s="417"/>
      <c r="FY115" s="417"/>
      <c r="FZ115" s="971" t="s">
        <v>2199</v>
      </c>
      <c r="GA115" s="971"/>
      <c r="GB115" s="971"/>
      <c r="GC115" s="971"/>
      <c r="GD115" s="971"/>
    </row>
    <row r="116" spans="1:186" s="1167" customFormat="1" ht="15" hidden="1" customHeight="1" x14ac:dyDescent="0.15">
      <c r="A116" s="1152"/>
      <c r="B116" s="803" t="b" cm="1">
        <f t="array" ref="B116">B115</f>
        <v>0</v>
      </c>
      <c r="C116" s="1108" t="s">
        <v>1747</v>
      </c>
      <c r="D116" s="1077" t="s">
        <v>1748</v>
      </c>
      <c r="E116" s="668">
        <v>15.8</v>
      </c>
      <c r="F116" s="769" t="str" cm="1">
        <f t="array" aca="1" ref="F116" ca="1">OFFSET(G116,-1,-1)</f>
        <v>1</v>
      </c>
      <c r="G116" s="417"/>
      <c r="H116" s="160" t="s">
        <v>2171</v>
      </c>
      <c r="I116" s="160" t="s">
        <v>2141</v>
      </c>
      <c r="J116" s="1098"/>
      <c r="K116" s="1098" t="str" cm="1">
        <f t="array" aca="1" ref="K116" ca="1">OFFSET(J116,-1,1)</f>
        <v>ТЭ.42.27968109.0001</v>
      </c>
      <c r="L116" s="1098"/>
      <c r="M116" s="1098" t="s">
        <v>1759</v>
      </c>
      <c r="N116" s="1098" t="s">
        <v>2137</v>
      </c>
      <c r="O116" s="1099" t="s">
        <v>2138</v>
      </c>
      <c r="P116" s="1098" t="s">
        <v>2172</v>
      </c>
      <c r="Q116" s="1098"/>
      <c r="R116" s="774"/>
      <c r="S116" s="417"/>
      <c r="T116" s="679" t="b" cm="1">
        <f t="array" aca="1" ref="T116" ca="1">T115</f>
        <v>0</v>
      </c>
      <c r="U116" s="1152"/>
      <c r="V116" s="1152"/>
      <c r="W116" s="1152"/>
      <c r="X116" s="1485"/>
      <c r="Y116" s="1152"/>
      <c r="Z116" s="1485"/>
      <c r="AA116" s="417"/>
      <c r="AB116" s="220" t="s">
        <v>2173</v>
      </c>
      <c r="AC116" s="120" t="s">
        <v>622</v>
      </c>
      <c r="AD116" s="97"/>
      <c r="AE116" s="97"/>
      <c r="AF116" s="333">
        <f>IF(AD116=0,0,(AE116-AD116)/AD116*100)</f>
        <v>0</v>
      </c>
      <c r="AG116" s="1350"/>
      <c r="AH116" s="1350"/>
      <c r="AI116" s="333">
        <f>IF(AG116=0,0,(AH116-AG116)/AG116*100)</f>
        <v>0</v>
      </c>
      <c r="AJ116" s="1350"/>
      <c r="AK116" s="1350"/>
      <c r="AL116" s="333">
        <f>IF(AJ116=0,0,(AK116-AJ116)/AJ116*100)</f>
        <v>0</v>
      </c>
      <c r="AM116" s="97"/>
      <c r="AN116" s="97"/>
      <c r="AO116" s="333">
        <f>IF(AM116=0,0,(AN116-AM116)/AM116*100)</f>
        <v>0</v>
      </c>
      <c r="AP116" s="97"/>
      <c r="AQ116" s="97"/>
      <c r="AR116" s="333">
        <f>IF(AP116=0,0,(AQ116-AP116)/AP116*100)</f>
        <v>0</v>
      </c>
      <c r="AS116" s="97"/>
      <c r="AT116" s="97"/>
      <c r="AU116" s="333">
        <f>IF(AS116=0,0,(AT116-AS116)/AS116*100)</f>
        <v>0</v>
      </c>
      <c r="AV116" s="97"/>
      <c r="AW116" s="97"/>
      <c r="AX116" s="333">
        <f>IF(AV116=0,0,(AW116-AV116)/AV116*100)</f>
        <v>0</v>
      </c>
      <c r="AY116" s="97"/>
      <c r="AZ116" s="97"/>
      <c r="BA116" s="333">
        <f>IF(AY116=0,0,(AZ116-AY116)/AY116*100)</f>
        <v>0</v>
      </c>
      <c r="BB116" s="97"/>
      <c r="BC116" s="97"/>
      <c r="BD116" s="333">
        <f>IF(BB116=0,0,(BC116-BB116)/BB116*100)</f>
        <v>0</v>
      </c>
      <c r="BE116" s="97"/>
      <c r="BF116" s="97"/>
      <c r="BG116" s="333">
        <f>IF(BE116=0,0,(BF116-BE116)/BE116*100)</f>
        <v>0</v>
      </c>
      <c r="BH116" s="97"/>
      <c r="BI116" s="97"/>
      <c r="BJ116" s="333">
        <f>IF(BH116=0,0,(BI116-BH116)/BH116*100)</f>
        <v>0</v>
      </c>
      <c r="BK116" s="97"/>
      <c r="BL116" s="97"/>
      <c r="BM116" s="333">
        <f>IF(BK116=0,0,(BL116-BK116)/BK116*100)</f>
        <v>0</v>
      </c>
      <c r="BN116" s="97"/>
      <c r="BO116" s="97"/>
      <c r="BP116" s="333">
        <f>IF(BN116=0,0,(BO116-BN116)/BN116*100)</f>
        <v>0</v>
      </c>
      <c r="BQ116" s="97"/>
      <c r="BR116" s="97"/>
      <c r="BS116" s="333">
        <f>IF(BQ116=0,0,(BR116-BQ116)/BQ116*100)</f>
        <v>0</v>
      </c>
      <c r="BT116" s="97"/>
      <c r="BU116" s="97"/>
      <c r="BV116" s="333">
        <f>IF(BT116=0,0,(BU116-BT116)/BT116*100)</f>
        <v>0</v>
      </c>
      <c r="BW116" s="97"/>
      <c r="BX116" s="97"/>
      <c r="BY116" s="333">
        <f>IF(BW116=0,0,(BX116-BW116)/BW116*100)</f>
        <v>0</v>
      </c>
      <c r="BZ116" s="97"/>
      <c r="CA116" s="97"/>
      <c r="CB116" s="333">
        <f>IF(BZ116=0,0,(CA116-BZ116)/BZ116*100)</f>
        <v>0</v>
      </c>
      <c r="CC116" s="97"/>
      <c r="CD116" s="97"/>
      <c r="CE116" s="333">
        <f>IF(CC116=0,0,(CD116-CC116)/CC116*100)</f>
        <v>0</v>
      </c>
      <c r="CF116" s="97"/>
      <c r="CG116" s="97"/>
      <c r="CH116" s="333">
        <f>IF(CF116=0,0,(CG116-CF116)/CF116*100)</f>
        <v>0</v>
      </c>
      <c r="CI116" s="97"/>
      <c r="CJ116" s="97"/>
      <c r="CK116" s="333">
        <f>IF(CI116=0,0,(CJ116-CI116)/CI116*100)</f>
        <v>0</v>
      </c>
      <c r="CL116" s="97"/>
      <c r="CM116" s="97"/>
      <c r="CN116" s="333">
        <f>IF(CL116=0,0,(CM116-CL116)/CL116*100)</f>
        <v>0</v>
      </c>
      <c r="CO116" s="97"/>
      <c r="CP116" s="97"/>
      <c r="CQ116" s="333">
        <f>IF(CO116=0,0,(CP116-CO116)/CO116*100)</f>
        <v>0</v>
      </c>
      <c r="CR116" s="97"/>
      <c r="CS116" s="97"/>
      <c r="CT116" s="333">
        <f>IF(CR116=0,0,(CS116-CR116)/CR116*100)</f>
        <v>0</v>
      </c>
      <c r="CU116" s="97"/>
      <c r="CV116" s="97"/>
      <c r="CW116" s="333">
        <f>IF(CU116=0,0,(CV116-CU116)/CU116*100)</f>
        <v>0</v>
      </c>
      <c r="CX116" s="97"/>
      <c r="CY116" s="97"/>
      <c r="CZ116" s="333">
        <f>IF(CX116=0,0,(CY116-CX116)/CX116*100)</f>
        <v>0</v>
      </c>
      <c r="DA116" s="97"/>
      <c r="DB116" s="97"/>
      <c r="DC116" s="333">
        <f>IF(DA116=0,0,(DB116-DA116)/DA116*100)</f>
        <v>0</v>
      </c>
      <c r="DD116" s="97"/>
      <c r="DE116" s="97"/>
      <c r="DF116" s="333">
        <f>IF(DD116=0,0,(DE116-DD116)/DD116*100)</f>
        <v>0</v>
      </c>
      <c r="DG116" s="97"/>
      <c r="DH116" s="97"/>
      <c r="DI116" s="333">
        <f>IF(DG116=0,0,(DH116-DG116)/DG116*100)</f>
        <v>0</v>
      </c>
      <c r="DJ116" s="97"/>
      <c r="DK116" s="97"/>
      <c r="DL116" s="333">
        <f>IF(DJ116=0,0,(DK116-DJ116)/DJ116*100)</f>
        <v>0</v>
      </c>
      <c r="DM116" s="97"/>
      <c r="DN116" s="97"/>
      <c r="DO116" s="333">
        <f>IF(DM116=0,0,(DN116-DM116)/DM116*100)</f>
        <v>0</v>
      </c>
      <c r="DP116" s="97"/>
      <c r="DQ116" s="97"/>
      <c r="DR116" s="333">
        <f>IF(DP116=0,0,(DQ116-DP116)/DP116*100)</f>
        <v>0</v>
      </c>
      <c r="DS116" s="97"/>
      <c r="DT116" s="97"/>
      <c r="DU116" s="333">
        <f>IF(DS116=0,0,(DT116-DS116)/DS116*100)</f>
        <v>0</v>
      </c>
      <c r="DV116" s="97"/>
      <c r="DW116" s="97"/>
      <c r="DX116" s="333">
        <f>IF(DV116=0,0,(DW116-DV116)/DV116*100)</f>
        <v>0</v>
      </c>
      <c r="DY116" s="97"/>
      <c r="DZ116" s="97"/>
      <c r="EA116" s="333">
        <f>IF(DY116=0,0,(DZ116-DY116)/DY116*100)</f>
        <v>0</v>
      </c>
      <c r="EB116" s="97"/>
      <c r="EC116" s="97"/>
      <c r="ED116" s="333">
        <f>IF(EB116=0,0,(EC116-EB116)/EB116*100)</f>
        <v>0</v>
      </c>
      <c r="EE116" s="97"/>
      <c r="EF116" s="97"/>
      <c r="EG116" s="333">
        <f>IF(EE116=0,0,(EF116-EE116)/EE116*100)</f>
        <v>0</v>
      </c>
      <c r="EH116" s="97"/>
      <c r="EI116" s="97"/>
      <c r="EJ116" s="333">
        <f>IF(EH116=0,0,(EI116-EH116)/EH116*100)</f>
        <v>0</v>
      </c>
      <c r="EK116" s="97"/>
      <c r="EL116" s="97"/>
      <c r="EM116" s="333">
        <f>IF(EK116=0,0,(EL116-EK116)/EK116*100)</f>
        <v>0</v>
      </c>
      <c r="EN116" s="97"/>
      <c r="EO116" s="97"/>
      <c r="EP116" s="333">
        <f>IF(EN116=0,0,(EO116-EN116)/EN116*100)</f>
        <v>0</v>
      </c>
      <c r="EQ116" s="97"/>
      <c r="ER116" s="97"/>
      <c r="ES116" s="333">
        <f>IF(EQ116=0,0,(ER116-EQ116)/EQ116*100)</f>
        <v>0</v>
      </c>
      <c r="ET116" s="97"/>
      <c r="EU116" s="97"/>
      <c r="EV116" s="333">
        <f>IF(ET116=0,0,(EU116-ET116)/ET116*100)</f>
        <v>0</v>
      </c>
      <c r="EW116" s="97"/>
      <c r="EX116" s="97"/>
      <c r="EY116" s="333">
        <f>IF(EW116=0,0,(EX116-EW116)/EW116*100)</f>
        <v>0</v>
      </c>
      <c r="EZ116" s="97"/>
      <c r="FA116" s="97"/>
      <c r="FB116" s="333">
        <f>IF(EZ116=0,0,(FA116-EZ116)/EZ116*100)</f>
        <v>0</v>
      </c>
      <c r="FC116" s="97"/>
      <c r="FD116" s="97"/>
      <c r="FE116" s="333">
        <f>IF(FC116=0,0,(FD116-FC116)/FC116*100)</f>
        <v>0</v>
      </c>
      <c r="FF116" s="97"/>
      <c r="FG116" s="97"/>
      <c r="FH116" s="333">
        <f>IF(FF116=0,0,(FG116-FF116)/FF116*100)</f>
        <v>0</v>
      </c>
      <c r="FI116" s="97"/>
      <c r="FJ116" s="97"/>
      <c r="FK116" s="333">
        <f>IF(FI116=0,0,(FJ116-FI116)/FI116*100)</f>
        <v>0</v>
      </c>
      <c r="FL116" s="97"/>
      <c r="FM116" s="97"/>
      <c r="FN116" s="333">
        <f>IF(FL116=0,0,(FM116-FL116)/FL116*100)</f>
        <v>0</v>
      </c>
      <c r="FO116" s="97"/>
      <c r="FP116" s="97"/>
      <c r="FQ116" s="333">
        <f>IF(FO116=0,0,(FP116-FO116)/FO116*100)</f>
        <v>0</v>
      </c>
      <c r="FR116" s="97"/>
      <c r="FS116" s="97"/>
      <c r="FT116" s="333">
        <f>IF(FR116=0,0,(FS116-FR116)/FR116*100)</f>
        <v>0</v>
      </c>
      <c r="FU116" s="97"/>
      <c r="FV116" s="97"/>
      <c r="FW116" s="333">
        <f>IF(FU116=0,0,(FV116-FU116)/FU116*100)</f>
        <v>0</v>
      </c>
      <c r="FX116" s="417"/>
      <c r="FY116" s="417"/>
      <c r="FZ116" s="971" t="s">
        <v>2200</v>
      </c>
      <c r="GA116" s="971"/>
      <c r="GB116" s="971"/>
      <c r="GC116" s="971"/>
      <c r="GD116" s="971"/>
    </row>
    <row r="117" spans="1:186" s="1167" customFormat="1" ht="30" hidden="1" customHeight="1" x14ac:dyDescent="0.15">
      <c r="A117" s="1152"/>
      <c r="B117" s="803" t="b" cm="1">
        <f t="array" ref="B117">B116</f>
        <v>0</v>
      </c>
      <c r="C117" s="1108" t="s">
        <v>1801</v>
      </c>
      <c r="D117" s="1077" t="s">
        <v>1802</v>
      </c>
      <c r="E117" s="668">
        <v>31.5</v>
      </c>
      <c r="F117" s="769" t="str" cm="1">
        <f t="array" aca="1" ref="F117" ca="1">OFFSET(G117,-1,-1)</f>
        <v>1</v>
      </c>
      <c r="G117" s="417"/>
      <c r="H117" s="160" t="s">
        <v>2175</v>
      </c>
      <c r="I117" s="160" t="s">
        <v>2141</v>
      </c>
      <c r="J117" s="1098"/>
      <c r="K117" s="1098" t="str" cm="1">
        <f t="array" aca="1" ref="K117" ca="1">OFFSET(J117,-1,1)</f>
        <v>ТЭ.42.27968109.0001</v>
      </c>
      <c r="L117" s="1098"/>
      <c r="M117" s="1098" t="s">
        <v>1759</v>
      </c>
      <c r="N117" s="1098" t="s">
        <v>2137</v>
      </c>
      <c r="O117" s="1099" t="s">
        <v>2138</v>
      </c>
      <c r="P117" s="1098" t="s">
        <v>2176</v>
      </c>
      <c r="Q117" s="1098"/>
      <c r="R117" s="774"/>
      <c r="S117" s="417"/>
      <c r="T117" s="679" t="b" cm="1">
        <f t="array" aca="1" ref="T117" ca="1">T116</f>
        <v>0</v>
      </c>
      <c r="U117" s="1152"/>
      <c r="V117" s="1152"/>
      <c r="W117" s="1152"/>
      <c r="X117" s="1485"/>
      <c r="Y117" s="1152"/>
      <c r="Z117" s="1485"/>
      <c r="AA117" s="417"/>
      <c r="AB117" s="220" t="s">
        <v>2177</v>
      </c>
      <c r="AC117" s="435" t="s">
        <v>1805</v>
      </c>
      <c r="AD117" s="18"/>
      <c r="AE117" s="18"/>
      <c r="AF117" s="306">
        <f>IF(AD117=0,0,(AE117-AD117)/AD117*100)</f>
        <v>0</v>
      </c>
      <c r="AG117" s="1215"/>
      <c r="AH117" s="1215"/>
      <c r="AI117" s="306">
        <f>IF(AG117=0,0,(AH117-AG117)/AG117*100)</f>
        <v>0</v>
      </c>
      <c r="AJ117" s="1215"/>
      <c r="AK117" s="1215"/>
      <c r="AL117" s="306">
        <f>IF(AJ117=0,0,(AK117-AJ117)/AJ117*100)</f>
        <v>0</v>
      </c>
      <c r="AM117" s="18"/>
      <c r="AN117" s="18"/>
      <c r="AO117" s="306">
        <f>IF(AM117=0,0,(AN117-AM117)/AM117*100)</f>
        <v>0</v>
      </c>
      <c r="AP117" s="18"/>
      <c r="AQ117" s="18"/>
      <c r="AR117" s="306">
        <f>IF(AP117=0,0,(AQ117-AP117)/AP117*100)</f>
        <v>0</v>
      </c>
      <c r="AS117" s="18"/>
      <c r="AT117" s="18"/>
      <c r="AU117" s="306">
        <f>IF(AS117=0,0,(AT117-AS117)/AS117*100)</f>
        <v>0</v>
      </c>
      <c r="AV117" s="18"/>
      <c r="AW117" s="18"/>
      <c r="AX117" s="306">
        <f>IF(AV117=0,0,(AW117-AV117)/AV117*100)</f>
        <v>0</v>
      </c>
      <c r="AY117" s="18"/>
      <c r="AZ117" s="18"/>
      <c r="BA117" s="306">
        <f>IF(AY117=0,0,(AZ117-AY117)/AY117*100)</f>
        <v>0</v>
      </c>
      <c r="BB117" s="18"/>
      <c r="BC117" s="18"/>
      <c r="BD117" s="306">
        <f>IF(BB117=0,0,(BC117-BB117)/BB117*100)</f>
        <v>0</v>
      </c>
      <c r="BE117" s="18"/>
      <c r="BF117" s="18"/>
      <c r="BG117" s="306">
        <f>IF(BE117=0,0,(BF117-BE117)/BE117*100)</f>
        <v>0</v>
      </c>
      <c r="BH117" s="18"/>
      <c r="BI117" s="18"/>
      <c r="BJ117" s="306">
        <f>IF(BH117=0,0,(BI117-BH117)/BH117*100)</f>
        <v>0</v>
      </c>
      <c r="BK117" s="18"/>
      <c r="BL117" s="18"/>
      <c r="BM117" s="306">
        <f>IF(BK117=0,0,(BL117-BK117)/BK117*100)</f>
        <v>0</v>
      </c>
      <c r="BN117" s="18"/>
      <c r="BO117" s="18"/>
      <c r="BP117" s="306">
        <f>IF(BN117=0,0,(BO117-BN117)/BN117*100)</f>
        <v>0</v>
      </c>
      <c r="BQ117" s="18"/>
      <c r="BR117" s="18"/>
      <c r="BS117" s="306">
        <f>IF(BQ117=0,0,(BR117-BQ117)/BQ117*100)</f>
        <v>0</v>
      </c>
      <c r="BT117" s="18"/>
      <c r="BU117" s="18"/>
      <c r="BV117" s="306">
        <f>IF(BT117=0,0,(BU117-BT117)/BT117*100)</f>
        <v>0</v>
      </c>
      <c r="BW117" s="18"/>
      <c r="BX117" s="18"/>
      <c r="BY117" s="306">
        <f>IF(BW117=0,0,(BX117-BW117)/BW117*100)</f>
        <v>0</v>
      </c>
      <c r="BZ117" s="18"/>
      <c r="CA117" s="18"/>
      <c r="CB117" s="306">
        <f>IF(BZ117=0,0,(CA117-BZ117)/BZ117*100)</f>
        <v>0</v>
      </c>
      <c r="CC117" s="18"/>
      <c r="CD117" s="18"/>
      <c r="CE117" s="306">
        <f>IF(CC117=0,0,(CD117-CC117)/CC117*100)</f>
        <v>0</v>
      </c>
      <c r="CF117" s="18"/>
      <c r="CG117" s="18"/>
      <c r="CH117" s="306">
        <f>IF(CF117=0,0,(CG117-CF117)/CF117*100)</f>
        <v>0</v>
      </c>
      <c r="CI117" s="18"/>
      <c r="CJ117" s="18"/>
      <c r="CK117" s="306">
        <f>IF(CI117=0,0,(CJ117-CI117)/CI117*100)</f>
        <v>0</v>
      </c>
      <c r="CL117" s="18"/>
      <c r="CM117" s="18"/>
      <c r="CN117" s="306">
        <f>IF(CL117=0,0,(CM117-CL117)/CL117*100)</f>
        <v>0</v>
      </c>
      <c r="CO117" s="18"/>
      <c r="CP117" s="18"/>
      <c r="CQ117" s="306">
        <f>IF(CO117=0,0,(CP117-CO117)/CO117*100)</f>
        <v>0</v>
      </c>
      <c r="CR117" s="18"/>
      <c r="CS117" s="18"/>
      <c r="CT117" s="306">
        <f>IF(CR117=0,0,(CS117-CR117)/CR117*100)</f>
        <v>0</v>
      </c>
      <c r="CU117" s="18"/>
      <c r="CV117" s="18"/>
      <c r="CW117" s="306">
        <f>IF(CU117=0,0,(CV117-CU117)/CU117*100)</f>
        <v>0</v>
      </c>
      <c r="CX117" s="18"/>
      <c r="CY117" s="18"/>
      <c r="CZ117" s="306">
        <f>IF(CX117=0,0,(CY117-CX117)/CX117*100)</f>
        <v>0</v>
      </c>
      <c r="DA117" s="18"/>
      <c r="DB117" s="18"/>
      <c r="DC117" s="306">
        <f>IF(DA117=0,0,(DB117-DA117)/DA117*100)</f>
        <v>0</v>
      </c>
      <c r="DD117" s="18"/>
      <c r="DE117" s="18"/>
      <c r="DF117" s="306">
        <f>IF(DD117=0,0,(DE117-DD117)/DD117*100)</f>
        <v>0</v>
      </c>
      <c r="DG117" s="18"/>
      <c r="DH117" s="18"/>
      <c r="DI117" s="306">
        <f>IF(DG117=0,0,(DH117-DG117)/DG117*100)</f>
        <v>0</v>
      </c>
      <c r="DJ117" s="18"/>
      <c r="DK117" s="18"/>
      <c r="DL117" s="306">
        <f>IF(DJ117=0,0,(DK117-DJ117)/DJ117*100)</f>
        <v>0</v>
      </c>
      <c r="DM117" s="18"/>
      <c r="DN117" s="18"/>
      <c r="DO117" s="306">
        <f>IF(DM117=0,0,(DN117-DM117)/DM117*100)</f>
        <v>0</v>
      </c>
      <c r="DP117" s="18"/>
      <c r="DQ117" s="18"/>
      <c r="DR117" s="306">
        <f>IF(DP117=0,0,(DQ117-DP117)/DP117*100)</f>
        <v>0</v>
      </c>
      <c r="DS117" s="18"/>
      <c r="DT117" s="18"/>
      <c r="DU117" s="306">
        <f>IF(DS117=0,0,(DT117-DS117)/DS117*100)</f>
        <v>0</v>
      </c>
      <c r="DV117" s="18"/>
      <c r="DW117" s="18"/>
      <c r="DX117" s="306">
        <f>IF(DV117=0,0,(DW117-DV117)/DV117*100)</f>
        <v>0</v>
      </c>
      <c r="DY117" s="18"/>
      <c r="DZ117" s="18"/>
      <c r="EA117" s="306">
        <f>IF(DY117=0,0,(DZ117-DY117)/DY117*100)</f>
        <v>0</v>
      </c>
      <c r="EB117" s="18"/>
      <c r="EC117" s="18"/>
      <c r="ED117" s="306">
        <f>IF(EB117=0,0,(EC117-EB117)/EB117*100)</f>
        <v>0</v>
      </c>
      <c r="EE117" s="18"/>
      <c r="EF117" s="18"/>
      <c r="EG117" s="306">
        <f>IF(EE117=0,0,(EF117-EE117)/EE117*100)</f>
        <v>0</v>
      </c>
      <c r="EH117" s="18"/>
      <c r="EI117" s="18"/>
      <c r="EJ117" s="306">
        <f>IF(EH117=0,0,(EI117-EH117)/EH117*100)</f>
        <v>0</v>
      </c>
      <c r="EK117" s="18"/>
      <c r="EL117" s="18"/>
      <c r="EM117" s="306">
        <f>IF(EK117=0,0,(EL117-EK117)/EK117*100)</f>
        <v>0</v>
      </c>
      <c r="EN117" s="18"/>
      <c r="EO117" s="18"/>
      <c r="EP117" s="306">
        <f>IF(EN117=0,0,(EO117-EN117)/EN117*100)</f>
        <v>0</v>
      </c>
      <c r="EQ117" s="18"/>
      <c r="ER117" s="18"/>
      <c r="ES117" s="306">
        <f>IF(EQ117=0,0,(ER117-EQ117)/EQ117*100)</f>
        <v>0</v>
      </c>
      <c r="ET117" s="18"/>
      <c r="EU117" s="18"/>
      <c r="EV117" s="306">
        <f>IF(ET117=0,0,(EU117-ET117)/ET117*100)</f>
        <v>0</v>
      </c>
      <c r="EW117" s="18"/>
      <c r="EX117" s="18"/>
      <c r="EY117" s="306">
        <f>IF(EW117=0,0,(EX117-EW117)/EW117*100)</f>
        <v>0</v>
      </c>
      <c r="EZ117" s="18"/>
      <c r="FA117" s="18"/>
      <c r="FB117" s="306">
        <f>IF(EZ117=0,0,(FA117-EZ117)/EZ117*100)</f>
        <v>0</v>
      </c>
      <c r="FC117" s="18"/>
      <c r="FD117" s="18"/>
      <c r="FE117" s="306">
        <f>IF(FC117=0,0,(FD117-FC117)/FC117*100)</f>
        <v>0</v>
      </c>
      <c r="FF117" s="18"/>
      <c r="FG117" s="18"/>
      <c r="FH117" s="306">
        <f>IF(FF117=0,0,(FG117-FF117)/FF117*100)</f>
        <v>0</v>
      </c>
      <c r="FI117" s="18"/>
      <c r="FJ117" s="18"/>
      <c r="FK117" s="306">
        <f>IF(FI117=0,0,(FJ117-FI117)/FI117*100)</f>
        <v>0</v>
      </c>
      <c r="FL117" s="18"/>
      <c r="FM117" s="18"/>
      <c r="FN117" s="306">
        <f>IF(FL117=0,0,(FM117-FL117)/FL117*100)</f>
        <v>0</v>
      </c>
      <c r="FO117" s="18"/>
      <c r="FP117" s="18"/>
      <c r="FQ117" s="306">
        <f>IF(FO117=0,0,(FP117-FO117)/FO117*100)</f>
        <v>0</v>
      </c>
      <c r="FR117" s="18"/>
      <c r="FS117" s="18"/>
      <c r="FT117" s="306">
        <f>IF(FR117=0,0,(FS117-FR117)/FR117*100)</f>
        <v>0</v>
      </c>
      <c r="FU117" s="18"/>
      <c r="FV117" s="18"/>
      <c r="FW117" s="306">
        <f>IF(FU117=0,0,(FV117-FU117)/FU117*100)</f>
        <v>0</v>
      </c>
      <c r="FX117" s="417"/>
      <c r="FY117" s="417"/>
      <c r="FZ117" s="971" t="s">
        <v>2201</v>
      </c>
      <c r="GA117" s="971"/>
      <c r="GB117" s="971"/>
      <c r="GC117" s="971"/>
      <c r="GD117" s="971"/>
    </row>
    <row r="118" spans="1:186" s="1167" customFormat="1" ht="15" hidden="1" customHeight="1" x14ac:dyDescent="0.15">
      <c r="A118" s="1152"/>
      <c r="B118" s="803" t="b" cm="1">
        <f t="array" ref="B118">B117</f>
        <v>0</v>
      </c>
      <c r="C118" s="1108" t="s">
        <v>1773</v>
      </c>
      <c r="D118" s="1077" t="s">
        <v>1774</v>
      </c>
      <c r="E118" s="668">
        <v>15.8</v>
      </c>
      <c r="F118" s="769" t="str" cm="1">
        <f t="array" aca="1" ref="F118" ca="1">OFFSET(G118,-1,-1)</f>
        <v>1</v>
      </c>
      <c r="G118" s="417"/>
      <c r="H118" s="160" t="s">
        <v>2179</v>
      </c>
      <c r="I118" s="160" t="s">
        <v>2141</v>
      </c>
      <c r="J118" s="1098"/>
      <c r="K118" s="1098" t="str" cm="1">
        <f t="array" aca="1" ref="K118" ca="1">OFFSET(J118,-1,1)</f>
        <v>ТЭ.42.27968109.0001</v>
      </c>
      <c r="L118" s="1098"/>
      <c r="M118" s="1098" t="s">
        <v>1759</v>
      </c>
      <c r="N118" s="1098" t="s">
        <v>2137</v>
      </c>
      <c r="O118" s="1099" t="s">
        <v>2138</v>
      </c>
      <c r="P118" s="1098" t="s">
        <v>2180</v>
      </c>
      <c r="Q118" s="1098"/>
      <c r="R118" s="774"/>
      <c r="S118" s="417"/>
      <c r="T118" s="679" t="b" cm="1">
        <f t="array" aca="1" ref="T118" ca="1">T117</f>
        <v>0</v>
      </c>
      <c r="U118" s="1152"/>
      <c r="V118" s="1152"/>
      <c r="W118" s="1152"/>
      <c r="X118" s="1485"/>
      <c r="Y118" s="1152"/>
      <c r="Z118" s="1485"/>
      <c r="AA118" s="417"/>
      <c r="AB118" s="220" t="s">
        <v>2181</v>
      </c>
      <c r="AC118" s="549" t="s">
        <v>715</v>
      </c>
      <c r="AD118" s="18"/>
      <c r="AE118" s="18"/>
      <c r="AF118" s="306">
        <f>IF(AD118=0,0,(AE118-AD118)/AD118*100)</f>
        <v>0</v>
      </c>
      <c r="AG118" s="1215"/>
      <c r="AH118" s="1215"/>
      <c r="AI118" s="306">
        <f>IF(AG118=0,0,(AH118-AG118)/AG118*100)</f>
        <v>0</v>
      </c>
      <c r="AJ118" s="1215"/>
      <c r="AK118" s="1215"/>
      <c r="AL118" s="306">
        <f>IF(AJ118=0,0,(AK118-AJ118)/AJ118*100)</f>
        <v>0</v>
      </c>
      <c r="AM118" s="18"/>
      <c r="AN118" s="18"/>
      <c r="AO118" s="306">
        <f>IF(AM118=0,0,(AN118-AM118)/AM118*100)</f>
        <v>0</v>
      </c>
      <c r="AP118" s="18"/>
      <c r="AQ118" s="18"/>
      <c r="AR118" s="306">
        <f>IF(AP118=0,0,(AQ118-AP118)/AP118*100)</f>
        <v>0</v>
      </c>
      <c r="AS118" s="18"/>
      <c r="AT118" s="18"/>
      <c r="AU118" s="306">
        <f>IF(AS118=0,0,(AT118-AS118)/AS118*100)</f>
        <v>0</v>
      </c>
      <c r="AV118" s="18"/>
      <c r="AW118" s="18"/>
      <c r="AX118" s="306">
        <f>IF(AV118=0,0,(AW118-AV118)/AV118*100)</f>
        <v>0</v>
      </c>
      <c r="AY118" s="18"/>
      <c r="AZ118" s="18"/>
      <c r="BA118" s="306">
        <f>IF(AY118=0,0,(AZ118-AY118)/AY118*100)</f>
        <v>0</v>
      </c>
      <c r="BB118" s="18"/>
      <c r="BC118" s="18"/>
      <c r="BD118" s="306">
        <f>IF(BB118=0,0,(BC118-BB118)/BB118*100)</f>
        <v>0</v>
      </c>
      <c r="BE118" s="18"/>
      <c r="BF118" s="18"/>
      <c r="BG118" s="306">
        <f>IF(BE118=0,0,(BF118-BE118)/BE118*100)</f>
        <v>0</v>
      </c>
      <c r="BH118" s="18"/>
      <c r="BI118" s="18"/>
      <c r="BJ118" s="306">
        <f>IF(BH118=0,0,(BI118-BH118)/BH118*100)</f>
        <v>0</v>
      </c>
      <c r="BK118" s="18"/>
      <c r="BL118" s="18"/>
      <c r="BM118" s="306">
        <f>IF(BK118=0,0,(BL118-BK118)/BK118*100)</f>
        <v>0</v>
      </c>
      <c r="BN118" s="18"/>
      <c r="BO118" s="18"/>
      <c r="BP118" s="306">
        <f>IF(BN118=0,0,(BO118-BN118)/BN118*100)</f>
        <v>0</v>
      </c>
      <c r="BQ118" s="18"/>
      <c r="BR118" s="18"/>
      <c r="BS118" s="306">
        <f>IF(BQ118=0,0,(BR118-BQ118)/BQ118*100)</f>
        <v>0</v>
      </c>
      <c r="BT118" s="18"/>
      <c r="BU118" s="18"/>
      <c r="BV118" s="306">
        <f>IF(BT118=0,0,(BU118-BT118)/BT118*100)</f>
        <v>0</v>
      </c>
      <c r="BW118" s="18"/>
      <c r="BX118" s="18"/>
      <c r="BY118" s="306">
        <f>IF(BW118=0,0,(BX118-BW118)/BW118*100)</f>
        <v>0</v>
      </c>
      <c r="BZ118" s="18"/>
      <c r="CA118" s="18"/>
      <c r="CB118" s="306">
        <f>IF(BZ118=0,0,(CA118-BZ118)/BZ118*100)</f>
        <v>0</v>
      </c>
      <c r="CC118" s="18"/>
      <c r="CD118" s="18"/>
      <c r="CE118" s="306">
        <f>IF(CC118=0,0,(CD118-CC118)/CC118*100)</f>
        <v>0</v>
      </c>
      <c r="CF118" s="18"/>
      <c r="CG118" s="18"/>
      <c r="CH118" s="306">
        <f>IF(CF118=0,0,(CG118-CF118)/CF118*100)</f>
        <v>0</v>
      </c>
      <c r="CI118" s="18"/>
      <c r="CJ118" s="18"/>
      <c r="CK118" s="306">
        <f>IF(CI118=0,0,(CJ118-CI118)/CI118*100)</f>
        <v>0</v>
      </c>
      <c r="CL118" s="18"/>
      <c r="CM118" s="18"/>
      <c r="CN118" s="306">
        <f>IF(CL118=0,0,(CM118-CL118)/CL118*100)</f>
        <v>0</v>
      </c>
      <c r="CO118" s="18"/>
      <c r="CP118" s="18"/>
      <c r="CQ118" s="306">
        <f>IF(CO118=0,0,(CP118-CO118)/CO118*100)</f>
        <v>0</v>
      </c>
      <c r="CR118" s="18"/>
      <c r="CS118" s="18"/>
      <c r="CT118" s="306">
        <f>IF(CR118=0,0,(CS118-CR118)/CR118*100)</f>
        <v>0</v>
      </c>
      <c r="CU118" s="18"/>
      <c r="CV118" s="18"/>
      <c r="CW118" s="306">
        <f>IF(CU118=0,0,(CV118-CU118)/CU118*100)</f>
        <v>0</v>
      </c>
      <c r="CX118" s="18"/>
      <c r="CY118" s="18"/>
      <c r="CZ118" s="306">
        <f>IF(CX118=0,0,(CY118-CX118)/CX118*100)</f>
        <v>0</v>
      </c>
      <c r="DA118" s="18"/>
      <c r="DB118" s="18"/>
      <c r="DC118" s="306">
        <f>IF(DA118=0,0,(DB118-DA118)/DA118*100)</f>
        <v>0</v>
      </c>
      <c r="DD118" s="18"/>
      <c r="DE118" s="18"/>
      <c r="DF118" s="306">
        <f>IF(DD118=0,0,(DE118-DD118)/DD118*100)</f>
        <v>0</v>
      </c>
      <c r="DG118" s="18"/>
      <c r="DH118" s="18"/>
      <c r="DI118" s="306">
        <f>IF(DG118=0,0,(DH118-DG118)/DG118*100)</f>
        <v>0</v>
      </c>
      <c r="DJ118" s="18"/>
      <c r="DK118" s="18"/>
      <c r="DL118" s="306">
        <f>IF(DJ118=0,0,(DK118-DJ118)/DJ118*100)</f>
        <v>0</v>
      </c>
      <c r="DM118" s="18"/>
      <c r="DN118" s="18"/>
      <c r="DO118" s="306">
        <f>IF(DM118=0,0,(DN118-DM118)/DM118*100)</f>
        <v>0</v>
      </c>
      <c r="DP118" s="18"/>
      <c r="DQ118" s="18"/>
      <c r="DR118" s="306">
        <f>IF(DP118=0,0,(DQ118-DP118)/DP118*100)</f>
        <v>0</v>
      </c>
      <c r="DS118" s="18"/>
      <c r="DT118" s="18"/>
      <c r="DU118" s="306">
        <f>IF(DS118=0,0,(DT118-DS118)/DS118*100)</f>
        <v>0</v>
      </c>
      <c r="DV118" s="18"/>
      <c r="DW118" s="18"/>
      <c r="DX118" s="306">
        <f>IF(DV118=0,0,(DW118-DV118)/DV118*100)</f>
        <v>0</v>
      </c>
      <c r="DY118" s="18"/>
      <c r="DZ118" s="18"/>
      <c r="EA118" s="306">
        <f>IF(DY118=0,0,(DZ118-DY118)/DY118*100)</f>
        <v>0</v>
      </c>
      <c r="EB118" s="18"/>
      <c r="EC118" s="18"/>
      <c r="ED118" s="306">
        <f>IF(EB118=0,0,(EC118-EB118)/EB118*100)</f>
        <v>0</v>
      </c>
      <c r="EE118" s="18"/>
      <c r="EF118" s="18"/>
      <c r="EG118" s="306">
        <f>IF(EE118=0,0,(EF118-EE118)/EE118*100)</f>
        <v>0</v>
      </c>
      <c r="EH118" s="18"/>
      <c r="EI118" s="18"/>
      <c r="EJ118" s="306">
        <f>IF(EH118=0,0,(EI118-EH118)/EH118*100)</f>
        <v>0</v>
      </c>
      <c r="EK118" s="18"/>
      <c r="EL118" s="18"/>
      <c r="EM118" s="306">
        <f>IF(EK118=0,0,(EL118-EK118)/EK118*100)</f>
        <v>0</v>
      </c>
      <c r="EN118" s="18"/>
      <c r="EO118" s="18"/>
      <c r="EP118" s="306">
        <f>IF(EN118=0,0,(EO118-EN118)/EN118*100)</f>
        <v>0</v>
      </c>
      <c r="EQ118" s="18"/>
      <c r="ER118" s="18"/>
      <c r="ES118" s="306">
        <f>IF(EQ118=0,0,(ER118-EQ118)/EQ118*100)</f>
        <v>0</v>
      </c>
      <c r="ET118" s="18"/>
      <c r="EU118" s="18"/>
      <c r="EV118" s="306">
        <f>IF(ET118=0,0,(EU118-ET118)/ET118*100)</f>
        <v>0</v>
      </c>
      <c r="EW118" s="18"/>
      <c r="EX118" s="18"/>
      <c r="EY118" s="306">
        <f>IF(EW118=0,0,(EX118-EW118)/EW118*100)</f>
        <v>0</v>
      </c>
      <c r="EZ118" s="18"/>
      <c r="FA118" s="18"/>
      <c r="FB118" s="306">
        <f>IF(EZ118=0,0,(FA118-EZ118)/EZ118*100)</f>
        <v>0</v>
      </c>
      <c r="FC118" s="18"/>
      <c r="FD118" s="18"/>
      <c r="FE118" s="306">
        <f>IF(FC118=0,0,(FD118-FC118)/FC118*100)</f>
        <v>0</v>
      </c>
      <c r="FF118" s="18"/>
      <c r="FG118" s="18"/>
      <c r="FH118" s="306">
        <f>IF(FF118=0,0,(FG118-FF118)/FF118*100)</f>
        <v>0</v>
      </c>
      <c r="FI118" s="18"/>
      <c r="FJ118" s="18"/>
      <c r="FK118" s="306">
        <f>IF(FI118=0,0,(FJ118-FI118)/FI118*100)</f>
        <v>0</v>
      </c>
      <c r="FL118" s="18"/>
      <c r="FM118" s="18"/>
      <c r="FN118" s="306">
        <f>IF(FL118=0,0,(FM118-FL118)/FL118*100)</f>
        <v>0</v>
      </c>
      <c r="FO118" s="18"/>
      <c r="FP118" s="18"/>
      <c r="FQ118" s="306">
        <f>IF(FO118=0,0,(FP118-FO118)/FO118*100)</f>
        <v>0</v>
      </c>
      <c r="FR118" s="18"/>
      <c r="FS118" s="18"/>
      <c r="FT118" s="306">
        <f>IF(FR118=0,0,(FS118-FR118)/FR118*100)</f>
        <v>0</v>
      </c>
      <c r="FU118" s="18"/>
      <c r="FV118" s="18"/>
      <c r="FW118" s="306">
        <f>IF(FU118=0,0,(FV118-FU118)/FU118*100)</f>
        <v>0</v>
      </c>
      <c r="FX118" s="417"/>
      <c r="FY118" s="417"/>
      <c r="FZ118" s="971" t="s">
        <v>2202</v>
      </c>
      <c r="GA118" s="971"/>
      <c r="GB118" s="971"/>
      <c r="GC118" s="971"/>
      <c r="GD118" s="971"/>
    </row>
    <row r="119" spans="1:186" s="1167" customFormat="1" ht="15.75" hidden="1" customHeight="1" x14ac:dyDescent="0.15">
      <c r="A119" s="1152"/>
      <c r="B119" s="803" t="b">
        <v>0</v>
      </c>
      <c r="C119" s="1108"/>
      <c r="D119" s="1077"/>
      <c r="E119" s="668">
        <v>0</v>
      </c>
      <c r="F119" s="769" t="str" cm="1">
        <f t="array" aca="1" ref="F119" ca="1">OFFSET(G119,-1,-1)</f>
        <v>1</v>
      </c>
      <c r="G119" s="417"/>
      <c r="H119" s="160" t="str">
        <f ca="1">F119&amp;"pIns2"</f>
        <v>1pIns2</v>
      </c>
      <c r="I119" s="417"/>
      <c r="J119" s="1100"/>
      <c r="K119" s="1100"/>
      <c r="L119" s="1100"/>
      <c r="M119" s="1100"/>
      <c r="N119" s="1100"/>
      <c r="O119" s="1100"/>
      <c r="P119" s="1100"/>
      <c r="Q119" s="1082"/>
      <c r="R119" s="774"/>
      <c r="S119" s="417"/>
      <c r="T119" s="679" t="b">
        <v>0</v>
      </c>
      <c r="U119" s="1152"/>
      <c r="V119" s="1152"/>
      <c r="W119" s="1152"/>
      <c r="X119" s="1485"/>
      <c r="Y119" s="1152"/>
      <c r="Z119" s="1485"/>
      <c r="AA119" s="417"/>
      <c r="AB119" s="750" t="s">
        <v>239</v>
      </c>
      <c r="AC119" s="281"/>
      <c r="AD119" s="279"/>
      <c r="AE119" s="279"/>
      <c r="AF119" s="279"/>
      <c r="AG119" s="279"/>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c r="CD119" s="279"/>
      <c r="CE119" s="279"/>
      <c r="CF119" s="279"/>
      <c r="CG119" s="279"/>
      <c r="CH119" s="279"/>
      <c r="CI119" s="279"/>
      <c r="CJ119" s="279"/>
      <c r="CK119" s="279"/>
      <c r="CL119" s="279"/>
      <c r="CM119" s="279"/>
      <c r="CN119" s="279"/>
      <c r="CO119" s="279"/>
      <c r="CP119" s="279"/>
      <c r="CQ119" s="279"/>
      <c r="CR119" s="279"/>
      <c r="CS119" s="279"/>
      <c r="CT119" s="279"/>
      <c r="CU119" s="279"/>
      <c r="CV119" s="279"/>
      <c r="CW119" s="279"/>
      <c r="CX119" s="279"/>
      <c r="CY119" s="279"/>
      <c r="CZ119" s="279"/>
      <c r="DA119" s="279"/>
      <c r="DB119" s="279"/>
      <c r="DC119" s="279"/>
      <c r="DD119" s="279"/>
      <c r="DE119" s="279"/>
      <c r="DF119" s="279"/>
      <c r="DG119" s="279"/>
      <c r="DH119" s="279"/>
      <c r="DI119" s="279"/>
      <c r="DJ119" s="279"/>
      <c r="DK119" s="279"/>
      <c r="DL119" s="279"/>
      <c r="DM119" s="279"/>
      <c r="DN119" s="279"/>
      <c r="DO119" s="279"/>
      <c r="DP119" s="279"/>
      <c r="DQ119" s="279"/>
      <c r="DR119" s="279"/>
      <c r="DS119" s="279"/>
      <c r="DT119" s="279"/>
      <c r="DU119" s="279"/>
      <c r="DV119" s="279"/>
      <c r="DW119" s="279"/>
      <c r="DX119" s="279"/>
      <c r="DY119" s="279"/>
      <c r="DZ119" s="279"/>
      <c r="EA119" s="279"/>
      <c r="EB119" s="279"/>
      <c r="EC119" s="279"/>
      <c r="ED119" s="279"/>
      <c r="EE119" s="279"/>
      <c r="EF119" s="279"/>
      <c r="EG119" s="279"/>
      <c r="EH119" s="279"/>
      <c r="EI119" s="279"/>
      <c r="EJ119" s="279"/>
      <c r="EK119" s="279"/>
      <c r="EL119" s="279"/>
      <c r="EM119" s="279"/>
      <c r="EN119" s="279"/>
      <c r="EO119" s="279"/>
      <c r="EP119" s="279"/>
      <c r="EQ119" s="279"/>
      <c r="ER119" s="279"/>
      <c r="ES119" s="279"/>
      <c r="ET119" s="279"/>
      <c r="EU119" s="279"/>
      <c r="EV119" s="279"/>
      <c r="EW119" s="279"/>
      <c r="EX119" s="279"/>
      <c r="EY119" s="279"/>
      <c r="EZ119" s="279"/>
      <c r="FA119" s="279"/>
      <c r="FB119" s="279"/>
      <c r="FC119" s="279"/>
      <c r="FD119" s="279"/>
      <c r="FE119" s="279"/>
      <c r="FF119" s="279"/>
      <c r="FG119" s="279"/>
      <c r="FH119" s="279"/>
      <c r="FI119" s="279"/>
      <c r="FJ119" s="279"/>
      <c r="FK119" s="279"/>
      <c r="FL119" s="279"/>
      <c r="FM119" s="279"/>
      <c r="FN119" s="279"/>
      <c r="FO119" s="279"/>
      <c r="FP119" s="279"/>
      <c r="FQ119" s="279"/>
      <c r="FR119" s="279"/>
      <c r="FS119" s="279"/>
      <c r="FT119" s="279"/>
      <c r="FU119" s="279"/>
      <c r="FV119" s="279"/>
      <c r="FW119" s="280"/>
      <c r="FX119" s="417"/>
      <c r="FY119" s="417"/>
      <c r="FZ119" s="1005"/>
      <c r="GA119" s="971"/>
      <c r="GB119" s="971"/>
      <c r="GC119" s="971"/>
      <c r="GD119" s="971"/>
    </row>
    <row r="120" spans="1:186" ht="15.4" customHeight="1" x14ac:dyDescent="0.15">
      <c r="E120" s="668">
        <v>15.8</v>
      </c>
      <c r="Q120" s="1100"/>
      <c r="U120" s="126" t="s">
        <v>239</v>
      </c>
      <c r="V120" s="119" t="s">
        <v>2203</v>
      </c>
      <c r="W120" s="126"/>
      <c r="AB120" s="311"/>
      <c r="AC120" s="312"/>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c r="BW120" s="161"/>
      <c r="BX120" s="161"/>
      <c r="BY120" s="161"/>
      <c r="BZ120" s="161"/>
      <c r="CA120" s="161"/>
      <c r="CB120" s="161"/>
      <c r="CC120" s="161"/>
      <c r="CD120" s="161"/>
      <c r="CE120" s="161"/>
      <c r="CF120" s="161"/>
      <c r="CG120" s="161"/>
      <c r="CH120" s="161"/>
      <c r="CI120" s="161"/>
      <c r="CJ120" s="161"/>
      <c r="CK120" s="161"/>
      <c r="CL120" s="161"/>
      <c r="CM120" s="161"/>
      <c r="CN120" s="161"/>
      <c r="CO120" s="161"/>
      <c r="CP120" s="161"/>
      <c r="CQ120" s="161"/>
      <c r="CR120" s="161"/>
      <c r="CS120" s="161"/>
      <c r="CT120" s="161"/>
      <c r="CU120" s="161"/>
      <c r="CV120" s="161"/>
      <c r="CW120" s="161"/>
      <c r="CX120" s="161"/>
      <c r="CY120" s="161"/>
      <c r="CZ120" s="161"/>
      <c r="DA120" s="161"/>
      <c r="DB120" s="161"/>
      <c r="DC120" s="161"/>
      <c r="DD120" s="161"/>
      <c r="DE120" s="161"/>
      <c r="DF120" s="161"/>
      <c r="DG120" s="161"/>
      <c r="DH120" s="161"/>
      <c r="DI120" s="161"/>
      <c r="DJ120" s="161"/>
      <c r="DK120" s="161"/>
      <c r="DL120" s="161"/>
      <c r="DM120" s="161"/>
      <c r="DN120" s="161"/>
      <c r="DO120" s="161"/>
      <c r="DP120" s="161"/>
      <c r="DQ120" s="161"/>
      <c r="DR120" s="161"/>
      <c r="DS120" s="161"/>
      <c r="DT120" s="161"/>
      <c r="DU120" s="161"/>
      <c r="DV120" s="161"/>
      <c r="DW120" s="161"/>
      <c r="DX120" s="161"/>
      <c r="DY120" s="161"/>
      <c r="DZ120" s="161"/>
      <c r="EA120" s="161"/>
      <c r="EB120" s="161"/>
      <c r="EC120" s="161"/>
      <c r="ED120" s="161"/>
      <c r="EE120" s="161"/>
      <c r="EF120" s="161"/>
      <c r="EG120" s="161"/>
      <c r="EH120" s="161"/>
      <c r="EI120" s="161"/>
      <c r="EJ120" s="161"/>
      <c r="EK120" s="161"/>
      <c r="EL120" s="161"/>
      <c r="EM120" s="161"/>
      <c r="EN120" s="161"/>
      <c r="EO120" s="161"/>
      <c r="EP120" s="161"/>
      <c r="EQ120" s="161"/>
      <c r="ER120" s="161"/>
      <c r="ES120" s="161"/>
      <c r="ET120" s="161"/>
      <c r="EU120" s="161"/>
      <c r="EV120" s="161"/>
      <c r="EW120" s="161"/>
      <c r="EX120" s="161"/>
      <c r="EY120" s="161"/>
      <c r="EZ120" s="161"/>
      <c r="FA120" s="161"/>
      <c r="FB120" s="161"/>
      <c r="FC120" s="161"/>
      <c r="FD120" s="161"/>
      <c r="FE120" s="161"/>
      <c r="FF120" s="161"/>
      <c r="FG120" s="161"/>
      <c r="FH120" s="161"/>
      <c r="FI120" s="161"/>
      <c r="FJ120" s="161"/>
      <c r="FK120" s="161"/>
      <c r="FL120" s="161"/>
      <c r="FM120" s="161"/>
      <c r="FN120" s="161"/>
      <c r="FO120" s="161"/>
      <c r="FP120" s="161"/>
      <c r="FQ120" s="161"/>
      <c r="FR120" s="161"/>
      <c r="FS120" s="161"/>
      <c r="FT120" s="161"/>
      <c r="FU120" s="161"/>
      <c r="FV120" s="161"/>
      <c r="FW120" s="161"/>
      <c r="GA120" s="1005"/>
      <c r="GB120" s="1005"/>
      <c r="GC120" s="1005"/>
      <c r="GD120" s="1005"/>
    </row>
    <row r="121" spans="1:186" ht="15.75" hidden="1" customHeight="1" x14ac:dyDescent="0.15">
      <c r="E121" s="668">
        <v>0</v>
      </c>
      <c r="Q121" s="1100"/>
      <c r="W121" s="126"/>
      <c r="GA121" s="1005"/>
      <c r="GB121" s="1005"/>
      <c r="GC121" s="1005"/>
      <c r="GD121" s="1005"/>
    </row>
    <row r="122" spans="1:186" ht="15.4" customHeight="1" x14ac:dyDescent="0.15">
      <c r="E122" s="668">
        <v>15.8</v>
      </c>
      <c r="Q122" s="1100"/>
      <c r="AB122" s="1558" t="s">
        <v>725</v>
      </c>
      <c r="AC122" s="1558"/>
      <c r="AD122" s="1558"/>
      <c r="AE122" s="1558"/>
      <c r="AF122" s="1558"/>
      <c r="AG122" s="1558"/>
      <c r="AH122" s="1558"/>
      <c r="AI122" s="1558"/>
      <c r="AJ122" s="1558"/>
      <c r="AK122" s="1558"/>
      <c r="AL122" s="1558"/>
      <c r="AM122" s="1558"/>
      <c r="AN122" s="1558"/>
      <c r="AO122" s="1558"/>
      <c r="AP122" s="1558"/>
      <c r="AQ122" s="1558"/>
      <c r="AR122" s="1558"/>
      <c r="AS122" s="1558"/>
      <c r="AT122" s="1558"/>
      <c r="AU122" s="1558"/>
      <c r="AV122" s="1558"/>
      <c r="AW122" s="1558"/>
      <c r="AX122" s="1558"/>
      <c r="AY122" s="1558"/>
      <c r="AZ122" s="1558"/>
      <c r="BA122" s="1558"/>
      <c r="BB122" s="1558"/>
      <c r="BC122" s="1558"/>
      <c r="BD122" s="1558"/>
      <c r="BE122" s="1558"/>
      <c r="BF122" s="1558"/>
      <c r="BG122" s="1558"/>
      <c r="GA122" s="1005"/>
      <c r="GB122" s="1005"/>
      <c r="GC122" s="1005"/>
      <c r="GD122" s="1005"/>
    </row>
    <row r="123" spans="1:186" ht="13.5" customHeight="1" x14ac:dyDescent="0.15">
      <c r="E123" s="668">
        <v>13.8</v>
      </c>
      <c r="Q123" s="1100"/>
      <c r="AA123" s="768"/>
      <c r="AB123" s="1617"/>
      <c r="AC123" s="1617"/>
      <c r="AD123" s="1617"/>
      <c r="AE123" s="1617"/>
      <c r="AF123" s="1617"/>
      <c r="AG123" s="1618"/>
      <c r="AH123" s="1618"/>
      <c r="AI123" s="1618"/>
      <c r="AJ123" s="1618"/>
      <c r="AK123" s="1618"/>
      <c r="AL123" s="1618"/>
      <c r="AM123" s="1618"/>
      <c r="AN123" s="1618"/>
      <c r="AO123" s="1618"/>
      <c r="AP123" s="1618"/>
      <c r="AQ123" s="1618"/>
      <c r="AR123" s="1618"/>
      <c r="AS123" s="1618"/>
      <c r="AT123" s="1618"/>
      <c r="AU123" s="1618"/>
      <c r="AV123" s="1618"/>
      <c r="AW123" s="1618"/>
      <c r="AX123" s="1618"/>
      <c r="AY123" s="1618"/>
      <c r="AZ123" s="1618"/>
      <c r="BA123" s="1618"/>
      <c r="BB123" s="1618"/>
      <c r="BC123" s="1618"/>
      <c r="BD123" s="1618"/>
      <c r="BE123" s="1618"/>
      <c r="BF123" s="1618"/>
      <c r="BG123" s="1618"/>
      <c r="GA123" s="1005"/>
      <c r="GB123" s="1005"/>
      <c r="GC123" s="1005"/>
      <c r="GD123" s="1005"/>
    </row>
    <row r="124" spans="1:186" ht="13.5" hidden="1" customHeight="1" x14ac:dyDescent="0.15">
      <c r="E124" s="668">
        <v>13.8</v>
      </c>
      <c r="Q124" s="1100"/>
      <c r="T124" s="679" t="b">
        <f>ROW(W124)&gt;ROW(W$124)</f>
        <v>0</v>
      </c>
      <c r="W124" s="123" t="s">
        <v>237</v>
      </c>
      <c r="AA124" s="764" t="s">
        <v>218</v>
      </c>
      <c r="AB124" s="1618"/>
      <c r="AC124" s="1618"/>
      <c r="AD124" s="1618"/>
      <c r="AE124" s="1618"/>
      <c r="AF124" s="1618"/>
      <c r="AG124" s="1618"/>
      <c r="AH124" s="1618"/>
      <c r="AI124" s="1618"/>
      <c r="AJ124" s="1618"/>
      <c r="AK124" s="1618"/>
      <c r="AL124" s="1618"/>
      <c r="AM124" s="1618"/>
      <c r="AN124" s="1618"/>
      <c r="AO124" s="1618"/>
      <c r="AP124" s="1618"/>
      <c r="AQ124" s="1618"/>
      <c r="AR124" s="1618"/>
      <c r="AS124" s="1618"/>
      <c r="AT124" s="1618"/>
      <c r="AU124" s="1618"/>
      <c r="AV124" s="1618"/>
      <c r="AW124" s="1618"/>
      <c r="AX124" s="1618"/>
      <c r="AY124" s="1618"/>
      <c r="AZ124" s="1618"/>
      <c r="BA124" s="1618"/>
      <c r="BB124" s="1618"/>
      <c r="BC124" s="1618"/>
      <c r="BD124" s="1618"/>
      <c r="BE124" s="1618"/>
      <c r="BF124" s="1618"/>
      <c r="BG124" s="1618"/>
      <c r="GA124" s="1005"/>
      <c r="GB124" s="1005"/>
      <c r="GC124" s="1005"/>
      <c r="GD124" s="1005"/>
    </row>
    <row r="125" spans="1:186" ht="14.65" customHeight="1" x14ac:dyDescent="0.15">
      <c r="E125" s="668">
        <v>15</v>
      </c>
      <c r="Q125" s="1100"/>
      <c r="W125" s="119" t="s">
        <v>238</v>
      </c>
      <c r="AB125" s="1500" t="s">
        <v>726</v>
      </c>
      <c r="AC125" s="1501"/>
      <c r="AD125" s="317"/>
      <c r="AE125" s="317"/>
      <c r="AF125" s="317"/>
      <c r="AG125" s="317"/>
      <c r="AH125" s="317"/>
      <c r="AI125" s="317"/>
      <c r="AJ125" s="317"/>
      <c r="AK125" s="317"/>
      <c r="AL125" s="317"/>
      <c r="AM125" s="317"/>
      <c r="AN125" s="317"/>
      <c r="AO125" s="317"/>
      <c r="AP125" s="317"/>
      <c r="AQ125" s="317"/>
      <c r="AR125" s="317"/>
      <c r="AS125" s="317"/>
      <c r="AT125" s="317"/>
      <c r="AU125" s="317"/>
      <c r="AV125" s="317"/>
      <c r="AW125" s="317"/>
      <c r="AX125" s="317"/>
      <c r="AY125" s="317"/>
      <c r="AZ125" s="317"/>
      <c r="BA125" s="317"/>
      <c r="BB125" s="317"/>
      <c r="BC125" s="317"/>
      <c r="BD125" s="317"/>
      <c r="BE125" s="317"/>
      <c r="BF125" s="317"/>
      <c r="BG125" s="290"/>
      <c r="GA125" s="1005"/>
      <c r="GB125" s="1005"/>
      <c r="GC125" s="1005"/>
      <c r="GD125" s="1005"/>
    </row>
    <row r="126" spans="1:186" ht="11.25" customHeight="1" x14ac:dyDescent="0.15">
      <c r="Q126" s="1100"/>
      <c r="FX126" s="160"/>
      <c r="GA126" s="1005"/>
      <c r="GB126" s="1005"/>
      <c r="GC126" s="1005"/>
      <c r="GD126" s="1005"/>
    </row>
  </sheetData>
  <sheetProtection formatColumns="0" formatRows="0" insertRows="0" deleteColumns="0" deleteRows="0" sort="0" autoFilter="0"/>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20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B17C8-B2E8-D098-5858-184AE3754908}">
  <sheetPr>
    <tabColor rgb="FF002060"/>
    <outlinePr summaryBelow="0" summaryRight="0"/>
  </sheetPr>
  <dimension ref="A1:AN136"/>
  <sheetViews>
    <sheetView showGridLines="0" workbookViewId="0">
      <pane xSplit="28" ySplit="28" topLeftCell="AE80" activePane="bottomRight" state="frozen"/>
      <selection pane="topRight" activeCell="AC1" sqref="AC1"/>
      <selection pane="bottomLeft" activeCell="A29" sqref="A29"/>
      <selection pane="bottomRight" activeCell="AH83" sqref="AH83"/>
    </sheetView>
  </sheetViews>
  <sheetFormatPr defaultColWidth="9.140625" defaultRowHeight="11.25" customHeight="1" x14ac:dyDescent="0.15"/>
  <cols>
    <col min="1" max="1" width="3.5703125" style="1152" hidden="1" customWidth="1"/>
    <col min="2" max="2" width="8.5703125" style="773" hidden="1" customWidth="1"/>
    <col min="3" max="4" width="3.5703125" style="1152" hidden="1" customWidth="1"/>
    <col min="5" max="5" width="8.42578125" style="772" hidden="1" customWidth="1"/>
    <col min="6" max="6" width="6.42578125" style="1152" hidden="1" customWidth="1"/>
    <col min="7" max="7" width="3.7109375" style="417" hidden="1" customWidth="1"/>
    <col min="8" max="8" width="5.5703125" style="1152" hidden="1" customWidth="1"/>
    <col min="9" max="14" width="3.5703125" style="1152" hidden="1" customWidth="1"/>
    <col min="15" max="15" width="4.42578125" style="1152" hidden="1" customWidth="1"/>
    <col min="16" max="16" width="9.28515625" style="1152" hidden="1" customWidth="1"/>
    <col min="17" max="18" width="3.5703125" style="769" hidden="1" customWidth="1"/>
    <col min="19" max="19" width="3.5703125" style="1152" hidden="1" customWidth="1"/>
    <col min="20" max="20" width="7.85546875" style="1152" hidden="1" customWidth="1"/>
    <col min="21" max="21" width="6" style="1152" hidden="1" customWidth="1"/>
    <col min="22" max="23" width="6.28515625" style="1152" hidden="1" customWidth="1"/>
    <col min="24" max="25" width="5.7109375" style="1152" hidden="1" customWidth="1"/>
    <col min="26" max="26" width="5.42578125" style="1152" hidden="1" customWidth="1"/>
    <col min="27" max="27" width="3" style="417" customWidth="1"/>
    <col min="28" max="28" width="14.7109375" style="273" customWidth="1"/>
    <col min="29" max="31" width="20.5703125" style="417" customWidth="1"/>
    <col min="32" max="34" width="24" style="417" customWidth="1"/>
    <col min="35" max="35" width="24.5703125" style="417" customWidth="1"/>
    <col min="36" max="36" width="20.5703125" style="417" customWidth="1"/>
    <col min="37" max="37" width="21.140625" style="443" hidden="1" customWidth="1"/>
    <col min="38" max="38" width="3" style="417" customWidth="1"/>
    <col min="39" max="39" width="9.140625" style="417" hidden="1"/>
    <col min="40" max="40" width="9.140625" style="1003" hidden="1"/>
  </cols>
  <sheetData>
    <row r="1" spans="1:40" s="1152" customFormat="1" ht="12" hidden="1" customHeight="1" x14ac:dyDescent="0.15">
      <c r="B1" s="659"/>
      <c r="E1" s="659"/>
      <c r="F1" s="690" t="s">
        <v>83</v>
      </c>
      <c r="G1" s="160"/>
      <c r="Q1" s="769"/>
      <c r="R1" s="769"/>
      <c r="T1" s="679" t="s">
        <v>86</v>
      </c>
      <c r="U1" s="679" t="s">
        <v>91</v>
      </c>
      <c r="V1" s="679" t="s">
        <v>87</v>
      </c>
      <c r="W1" s="679" t="s">
        <v>88</v>
      </c>
      <c r="X1" s="679" t="s">
        <v>89</v>
      </c>
      <c r="Y1" s="690" t="s">
        <v>374</v>
      </c>
      <c r="Z1" s="679" t="s">
        <v>93</v>
      </c>
      <c r="AA1" s="690" t="s">
        <v>90</v>
      </c>
      <c r="AB1" s="690" t="s">
        <v>92</v>
      </c>
      <c r="AK1" s="793"/>
      <c r="AN1" s="949" t="s">
        <v>461</v>
      </c>
    </row>
    <row r="2" spans="1:40" s="773" customFormat="1" ht="12" hidden="1" customHeight="1" x14ac:dyDescent="0.15">
      <c r="B2" s="758" t="s">
        <v>15</v>
      </c>
      <c r="G2" s="776"/>
      <c r="AB2" s="663"/>
      <c r="AK2" s="782"/>
      <c r="AN2" s="941"/>
    </row>
    <row r="3" spans="1:40" s="1152" customFormat="1" ht="12" hidden="1" customHeight="1" x14ac:dyDescent="0.15">
      <c r="B3" s="659"/>
      <c r="E3" s="659"/>
      <c r="G3" s="160"/>
      <c r="Q3" s="769"/>
      <c r="R3" s="769"/>
      <c r="AB3" s="119"/>
      <c r="AK3" s="793"/>
      <c r="AN3" s="949"/>
    </row>
    <row r="4" spans="1:40" s="1152" customFormat="1" ht="12" hidden="1" customHeight="1" x14ac:dyDescent="0.15">
      <c r="B4" s="659"/>
      <c r="E4" s="659"/>
      <c r="G4" s="160"/>
      <c r="Q4" s="769"/>
      <c r="R4" s="769"/>
      <c r="AB4" s="119"/>
      <c r="AK4" s="793"/>
      <c r="AN4" s="949"/>
    </row>
    <row r="5" spans="1:40" s="772" customFormat="1" ht="12" hidden="1" customHeight="1" x14ac:dyDescent="0.15">
      <c r="A5" s="659"/>
      <c r="B5" s="659"/>
      <c r="C5" s="659"/>
      <c r="D5" s="659"/>
      <c r="E5" s="668" t="s">
        <v>16</v>
      </c>
      <c r="G5" s="777"/>
      <c r="AA5" s="668">
        <v>3</v>
      </c>
      <c r="AB5" s="674">
        <v>14.75</v>
      </c>
      <c r="AC5" s="668">
        <v>20.5</v>
      </c>
      <c r="AD5" s="668">
        <v>20.5</v>
      </c>
      <c r="AE5" s="668">
        <v>20.5</v>
      </c>
      <c r="AF5" s="668">
        <v>24</v>
      </c>
      <c r="AG5" s="668">
        <v>24</v>
      </c>
      <c r="AH5" s="668">
        <v>24</v>
      </c>
      <c r="AJ5" s="668">
        <v>20.5</v>
      </c>
      <c r="AK5" s="783">
        <v>0</v>
      </c>
      <c r="AL5" s="668">
        <v>3</v>
      </c>
      <c r="AN5" s="941"/>
    </row>
    <row r="6" spans="1:40" s="1152" customFormat="1" ht="12" hidden="1" customHeight="1" x14ac:dyDescent="0.15">
      <c r="B6" s="659"/>
      <c r="E6" s="668"/>
      <c r="G6" s="160"/>
      <c r="Q6" s="769"/>
      <c r="R6" s="769"/>
      <c r="AB6" s="119"/>
      <c r="AC6" s="123" t="s">
        <v>1229</v>
      </c>
      <c r="AD6" s="123" t="s">
        <v>2204</v>
      </c>
      <c r="AE6" s="123" t="s">
        <v>468</v>
      </c>
      <c r="AK6" s="793"/>
      <c r="AN6" s="949"/>
    </row>
    <row r="7" spans="1:40" ht="12" hidden="1" customHeight="1" x14ac:dyDescent="0.15">
      <c r="F7" s="160"/>
      <c r="H7" s="160"/>
      <c r="I7" s="160"/>
      <c r="J7" s="160"/>
      <c r="K7" s="160"/>
      <c r="L7" s="160"/>
      <c r="M7" s="160"/>
      <c r="N7" s="160"/>
      <c r="O7" s="160"/>
      <c r="P7" s="160"/>
      <c r="Q7" s="612"/>
      <c r="R7" s="612"/>
      <c r="S7" s="160"/>
      <c r="T7" s="160"/>
      <c r="U7" s="160"/>
      <c r="V7" s="160"/>
      <c r="W7" s="160"/>
      <c r="X7" s="160"/>
      <c r="Y7" s="160"/>
      <c r="Z7" s="160"/>
      <c r="AB7" s="162"/>
    </row>
    <row r="8" spans="1:40" ht="12" hidden="1" customHeight="1" x14ac:dyDescent="0.15">
      <c r="F8" s="160"/>
      <c r="H8" s="160"/>
      <c r="I8" s="160"/>
      <c r="J8" s="160"/>
      <c r="K8" s="160"/>
      <c r="L8" s="160"/>
      <c r="M8" s="160"/>
      <c r="N8" s="160"/>
      <c r="O8" s="160"/>
      <c r="P8" s="160"/>
      <c r="Q8" s="612"/>
      <c r="R8" s="612"/>
      <c r="S8" s="160"/>
      <c r="T8" s="160"/>
      <c r="U8" s="160"/>
      <c r="V8" s="160"/>
      <c r="W8" s="160"/>
      <c r="X8" s="160"/>
      <c r="Y8" s="160"/>
      <c r="Z8" s="160"/>
      <c r="AB8" s="162"/>
    </row>
    <row r="9" spans="1:40" s="1003" customFormat="1" ht="12" hidden="1" customHeight="1" x14ac:dyDescent="0.15">
      <c r="A9" s="948" t="s">
        <v>375</v>
      </c>
      <c r="B9" s="941"/>
      <c r="E9" s="941"/>
      <c r="Q9" s="950"/>
      <c r="R9" s="950"/>
      <c r="AC9" s="949" t="s">
        <v>2205</v>
      </c>
      <c r="AD9" s="949" t="s">
        <v>2206</v>
      </c>
      <c r="AE9" s="949" t="s">
        <v>2207</v>
      </c>
      <c r="AF9" s="949" t="s">
        <v>2208</v>
      </c>
      <c r="AG9" s="949" t="s">
        <v>2209</v>
      </c>
      <c r="AH9" s="949" t="s">
        <v>2210</v>
      </c>
      <c r="AI9" s="949" t="s">
        <v>2211</v>
      </c>
      <c r="AJ9" s="949" t="s">
        <v>2212</v>
      </c>
      <c r="AK9" s="1036"/>
    </row>
    <row r="10" spans="1:40" s="1152" customFormat="1" ht="12" hidden="1" customHeight="1" x14ac:dyDescent="0.15">
      <c r="B10" s="659"/>
      <c r="E10" s="668"/>
      <c r="G10" s="160"/>
      <c r="Q10" s="769"/>
      <c r="R10" s="769"/>
      <c r="AB10" s="119"/>
      <c r="AK10" s="793"/>
      <c r="AN10" s="949"/>
    </row>
    <row r="11" spans="1:40" s="1152" customFormat="1" ht="12" hidden="1" customHeight="1" x14ac:dyDescent="0.15">
      <c r="B11" s="659"/>
      <c r="E11" s="668"/>
      <c r="G11" s="160"/>
      <c r="Q11" s="769"/>
      <c r="R11" s="769"/>
      <c r="AB11" s="119"/>
      <c r="AK11" s="793" t="s">
        <v>201</v>
      </c>
      <c r="AN11" s="949"/>
    </row>
    <row r="12" spans="1:40" s="1152" customFormat="1" ht="12" hidden="1" customHeight="1" x14ac:dyDescent="0.15">
      <c r="B12" s="659"/>
      <c r="E12" s="668"/>
      <c r="G12" s="160"/>
      <c r="Q12" s="769"/>
      <c r="R12" s="769"/>
      <c r="AB12" s="119"/>
      <c r="AK12" s="793"/>
      <c r="AN12" s="949"/>
    </row>
    <row r="13" spans="1:40" s="1152" customFormat="1" ht="12" hidden="1" customHeight="1" x14ac:dyDescent="0.15">
      <c r="B13" s="659"/>
      <c r="E13" s="668"/>
      <c r="G13" s="160"/>
      <c r="Q13" s="769"/>
      <c r="R13" s="769"/>
      <c r="AB13" s="119"/>
      <c r="AK13" s="793"/>
      <c r="AN13" s="949"/>
    </row>
    <row r="14" spans="1:40" s="1152" customFormat="1" ht="12" hidden="1" customHeight="1" x14ac:dyDescent="0.15">
      <c r="B14" s="659"/>
      <c r="E14" s="668"/>
      <c r="G14" s="160"/>
      <c r="Q14" s="769"/>
      <c r="R14" s="769"/>
      <c r="AB14" s="119"/>
      <c r="AK14" s="793"/>
      <c r="AN14" s="949"/>
    </row>
    <row r="15" spans="1:40" s="1152" customFormat="1" ht="12" hidden="1" customHeight="1" x14ac:dyDescent="0.15">
      <c r="B15" s="659"/>
      <c r="E15" s="668"/>
      <c r="G15" s="160"/>
      <c r="Q15" s="769"/>
      <c r="R15" s="769"/>
      <c r="AB15" s="119"/>
      <c r="AK15" s="793"/>
      <c r="AN15" s="949"/>
    </row>
    <row r="16" spans="1:40" s="1152" customFormat="1" ht="12" hidden="1" customHeight="1" x14ac:dyDescent="0.15">
      <c r="B16" s="659"/>
      <c r="E16" s="668"/>
      <c r="G16" s="160"/>
      <c r="Q16" s="769"/>
      <c r="R16" s="769"/>
      <c r="AB16" s="119"/>
      <c r="AK16" s="793"/>
      <c r="AN16" s="949"/>
    </row>
    <row r="17" spans="1:40" s="1152" customFormat="1" ht="12" hidden="1" customHeight="1" x14ac:dyDescent="0.15">
      <c r="B17" s="659"/>
      <c r="E17" s="668"/>
      <c r="G17" s="160"/>
      <c r="Q17" s="769"/>
      <c r="R17" s="769"/>
      <c r="AB17" s="119"/>
      <c r="AK17" s="793"/>
      <c r="AN17" s="949"/>
    </row>
    <row r="18" spans="1:40" s="1152" customFormat="1" ht="12" hidden="1" customHeight="1" x14ac:dyDescent="0.15">
      <c r="B18" s="659"/>
      <c r="E18" s="668"/>
      <c r="G18" s="160"/>
      <c r="Q18" s="769"/>
      <c r="R18" s="769"/>
      <c r="AB18" s="119"/>
      <c r="AK18" s="793"/>
      <c r="AN18" s="949"/>
    </row>
    <row r="19" spans="1:40" s="1152" customFormat="1" ht="12" hidden="1" customHeight="1" x14ac:dyDescent="0.15">
      <c r="B19" s="659"/>
      <c r="E19" s="668"/>
      <c r="G19" s="160"/>
      <c r="Q19" s="769"/>
      <c r="R19" s="769"/>
      <c r="AB19" s="119"/>
      <c r="AK19" s="793"/>
      <c r="AN19" s="949"/>
    </row>
    <row r="20" spans="1:40" s="1152" customFormat="1" ht="12" hidden="1" customHeight="1" x14ac:dyDescent="0.15">
      <c r="B20" s="659"/>
      <c r="E20" s="668"/>
      <c r="G20" s="160"/>
      <c r="Q20" s="769"/>
      <c r="R20" s="769"/>
      <c r="AB20" s="119"/>
      <c r="AK20" s="793"/>
      <c r="AN20" s="949"/>
    </row>
    <row r="21" spans="1:40" ht="14.65" customHeight="1" x14ac:dyDescent="0.15">
      <c r="E21" s="668">
        <v>15</v>
      </c>
      <c r="AA21" s="691"/>
      <c r="AB21" s="784" t="str" cm="1">
        <f t="array" ref="AB21">tpl_title</f>
        <v>Кемеровская область / 2026 / ООО ХК "СДС - Энерго" (ИНН:4250003450, КПП:420501001) / ДПР: 2024-2028</v>
      </c>
    </row>
    <row r="22" spans="1:40" s="804" customFormat="1" ht="23.45" customHeight="1" x14ac:dyDescent="0.15">
      <c r="A22" s="107"/>
      <c r="B22" s="659"/>
      <c r="C22" s="126"/>
      <c r="D22" s="126"/>
      <c r="E22" s="668">
        <v>24</v>
      </c>
      <c r="F22" s="126"/>
      <c r="H22" s="126"/>
      <c r="I22" s="126"/>
      <c r="J22" s="126"/>
      <c r="K22" s="126"/>
      <c r="L22" s="126"/>
      <c r="M22" s="126"/>
      <c r="N22" s="126"/>
      <c r="O22" s="126"/>
      <c r="P22" s="126"/>
      <c r="Q22" s="769"/>
      <c r="R22" s="769"/>
      <c r="S22" s="126"/>
      <c r="T22" s="126"/>
      <c r="U22" s="126"/>
      <c r="V22" s="126"/>
      <c r="W22" s="126"/>
      <c r="X22" s="126"/>
      <c r="Y22" s="126"/>
      <c r="Z22" s="126"/>
      <c r="AB22" s="325" t="s">
        <v>79</v>
      </c>
      <c r="AC22" s="219"/>
      <c r="AD22" s="219"/>
      <c r="AE22" s="219"/>
      <c r="AF22" s="219"/>
      <c r="AG22" s="219"/>
      <c r="AH22" s="219"/>
      <c r="AI22" s="219"/>
      <c r="AJ22" s="219"/>
      <c r="AK22" s="444"/>
      <c r="AN22" s="959"/>
    </row>
    <row r="23" spans="1:40" ht="11.1" customHeight="1" x14ac:dyDescent="0.15">
      <c r="E23" s="668">
        <v>11.4</v>
      </c>
      <c r="AB23" s="162"/>
      <c r="AC23" s="162"/>
    </row>
    <row r="24" spans="1:40" ht="20.25" hidden="1" customHeight="1" x14ac:dyDescent="0.15">
      <c r="E24" s="668">
        <v>0</v>
      </c>
      <c r="AB24" s="1610"/>
      <c r="AC24" s="1610"/>
      <c r="AD24" s="1610"/>
      <c r="AE24" s="1610"/>
      <c r="AF24" s="162"/>
      <c r="AG24" s="162"/>
      <c r="AH24" s="162"/>
      <c r="AI24" s="162"/>
      <c r="AJ24" s="162"/>
      <c r="AK24" s="445"/>
    </row>
    <row r="25" spans="1:40" ht="11.1" customHeight="1" x14ac:dyDescent="0.15">
      <c r="E25" s="668">
        <v>11.4</v>
      </c>
      <c r="AB25" s="162"/>
      <c r="AC25" s="162"/>
    </row>
    <row r="26" spans="1:40" s="162" customFormat="1" ht="21.95" customHeight="1" x14ac:dyDescent="0.15">
      <c r="A26" s="119"/>
      <c r="B26" s="663"/>
      <c r="C26" s="119"/>
      <c r="D26" s="119"/>
      <c r="E26" s="674">
        <v>22.5</v>
      </c>
      <c r="F26" s="119"/>
      <c r="H26" s="119"/>
      <c r="I26" s="119"/>
      <c r="J26" s="119"/>
      <c r="K26" s="119"/>
      <c r="L26" s="119"/>
      <c r="M26" s="119"/>
      <c r="N26" s="119"/>
      <c r="O26" s="119"/>
      <c r="P26" s="119"/>
      <c r="Q26" s="794"/>
      <c r="R26" s="794"/>
      <c r="S26" s="119"/>
      <c r="T26" s="119"/>
      <c r="U26" s="119"/>
      <c r="V26" s="119"/>
      <c r="W26" s="119"/>
      <c r="X26" s="119"/>
      <c r="Y26" s="119"/>
      <c r="Z26" s="119"/>
      <c r="AB26" s="1497" t="s">
        <v>119</v>
      </c>
      <c r="AC26" s="1488" t="s">
        <v>2213</v>
      </c>
      <c r="AD26" s="1488" t="s">
        <v>2214</v>
      </c>
      <c r="AE26" s="1488" t="s">
        <v>2215</v>
      </c>
      <c r="AF26" s="1622" t="s">
        <v>2216</v>
      </c>
      <c r="AG26" s="1623"/>
      <c r="AH26" s="1623"/>
      <c r="AI26" s="1624"/>
      <c r="AJ26" s="1488" t="s">
        <v>2217</v>
      </c>
      <c r="AK26" s="562"/>
      <c r="AN26" s="949"/>
    </row>
    <row r="27" spans="1:40" s="162" customFormat="1" ht="81.2" customHeight="1" x14ac:dyDescent="0.15">
      <c r="A27" s="119"/>
      <c r="B27" s="663"/>
      <c r="C27" s="119"/>
      <c r="D27" s="119"/>
      <c r="E27" s="674">
        <v>83.3</v>
      </c>
      <c r="F27" s="119"/>
      <c r="H27" s="119"/>
      <c r="I27" s="119"/>
      <c r="J27" s="119"/>
      <c r="K27" s="119"/>
      <c r="L27" s="119"/>
      <c r="M27" s="119"/>
      <c r="N27" s="119"/>
      <c r="O27" s="119"/>
      <c r="P27" s="119"/>
      <c r="Q27" s="794"/>
      <c r="R27" s="794"/>
      <c r="S27" s="119"/>
      <c r="T27" s="119"/>
      <c r="U27" s="119"/>
      <c r="V27" s="119"/>
      <c r="W27" s="119"/>
      <c r="X27" s="119"/>
      <c r="Y27" s="119"/>
      <c r="Z27" s="119"/>
      <c r="AB27" s="1497"/>
      <c r="AC27" s="1488"/>
      <c r="AD27" s="1488"/>
      <c r="AE27" s="1488"/>
      <c r="AF27" s="462" t="s">
        <v>2218</v>
      </c>
      <c r="AG27" s="462" t="s">
        <v>2219</v>
      </c>
      <c r="AH27" s="462" t="s">
        <v>2220</v>
      </c>
      <c r="AI27" s="462" t="s">
        <v>2221</v>
      </c>
      <c r="AJ27" s="1488"/>
      <c r="AK27" s="561"/>
      <c r="AN27" s="949"/>
    </row>
    <row r="28" spans="1:40" s="162" customFormat="1" ht="19.5" hidden="1" customHeight="1" x14ac:dyDescent="0.15">
      <c r="A28" s="119"/>
      <c r="B28" s="663"/>
      <c r="C28" s="119"/>
      <c r="D28" s="119"/>
      <c r="E28" s="674">
        <v>0</v>
      </c>
      <c r="F28" s="119"/>
      <c r="H28" s="119"/>
      <c r="I28" s="119"/>
      <c r="J28" s="119"/>
      <c r="K28" s="119"/>
      <c r="L28" s="119"/>
      <c r="M28" s="119"/>
      <c r="N28" s="119"/>
      <c r="O28" s="119"/>
      <c r="P28" s="119"/>
      <c r="Q28" s="794"/>
      <c r="R28" s="794"/>
      <c r="S28" s="119"/>
      <c r="T28" s="119"/>
      <c r="U28" s="119"/>
      <c r="V28" s="119"/>
      <c r="W28" s="119"/>
      <c r="X28" s="119"/>
      <c r="Y28" s="119"/>
      <c r="Z28" s="119"/>
      <c r="AB28" s="593"/>
      <c r="AC28" s="435"/>
      <c r="AD28" s="435"/>
      <c r="AE28" s="435"/>
      <c r="AF28" s="512"/>
      <c r="AG28" s="512"/>
      <c r="AH28" s="512"/>
      <c r="AI28" s="512"/>
      <c r="AJ28" s="435"/>
      <c r="AK28" s="561"/>
      <c r="AN28" s="949"/>
    </row>
    <row r="29" spans="1:40" s="167" customFormat="1" ht="16.7" hidden="1" customHeight="1" x14ac:dyDescent="0.15">
      <c r="E29" s="668">
        <v>17.100000000000001</v>
      </c>
      <c r="F29" s="769" cm="1">
        <f t="array" ref="F29">X29</f>
        <v>0</v>
      </c>
      <c r="T29" s="679" t="b">
        <f>X29&gt;0</f>
        <v>0</v>
      </c>
      <c r="V29" s="123" t="s">
        <v>313</v>
      </c>
      <c r="X29" s="1485">
        <v>0</v>
      </c>
      <c r="Z29" s="1483"/>
      <c r="AB29" s="263" t="str" cm="1">
        <f t="array" ref="AB29">INDEX('Общие сведения'!$AG$169:$AG$202,MATCH($F29,'Общие сведения'!$Z$169:$Z$202,0))</f>
        <v xml:space="preserve">Тариф 0 (Теплоснабжение) - </v>
      </c>
      <c r="AC29" s="264"/>
      <c r="AD29" s="264"/>
      <c r="AE29" s="264"/>
      <c r="AF29" s="264"/>
      <c r="AG29" s="264"/>
      <c r="AH29" s="264"/>
      <c r="AI29" s="264"/>
      <c r="AJ29" s="264"/>
      <c r="AK29" s="446"/>
      <c r="AN29" s="944"/>
    </row>
    <row r="30" spans="1:40" s="177" customFormat="1" ht="16.7" hidden="1" customHeight="1" x14ac:dyDescent="0.15">
      <c r="B30" s="795" t="b">
        <f t="shared" ref="B30:B61" si="0">H30&lt;first_year+PERIOD_LENGTH</f>
        <v>1</v>
      </c>
      <c r="E30" s="668">
        <v>17.100000000000001</v>
      </c>
      <c r="F30" s="788" cm="1">
        <f t="array" ref="F30">F29</f>
        <v>0</v>
      </c>
      <c r="G30" s="140" t="s">
        <v>1317</v>
      </c>
      <c r="H30" s="175" cm="1">
        <f t="array" ref="H30">first_year</f>
        <v>2024</v>
      </c>
      <c r="T30" s="679" t="b" cm="1">
        <f t="array" ref="T30">T29</f>
        <v>0</v>
      </c>
      <c r="X30" s="1619"/>
      <c r="Z30" s="1619"/>
      <c r="AB30" s="274" t="str">
        <f t="shared" ref="AB30:AB61" si="1">H30&amp;" год"</f>
        <v>2024 год</v>
      </c>
      <c r="AC30" s="99" t="str">
        <f>IF(god=first_year,SUMIFS('Калькуляция (5.9)'!AT$26:AT$137,'Калькуляция (5.9)'!$F$26:$F$137,$F30,'Калькуляция (5.9)'!$G$26:$G$137,$G30),"")</f>
        <v/>
      </c>
      <c r="AD30" s="23"/>
      <c r="AE30" s="100"/>
      <c r="AF30" s="99"/>
      <c r="AG30" s="99"/>
      <c r="AH30" s="100"/>
      <c r="AI30" s="99"/>
      <c r="AJ30" s="99"/>
      <c r="AK30" s="101"/>
      <c r="AN30" s="1020" cm="1">
        <f t="array" ref="AN30">H30</f>
        <v>2024</v>
      </c>
    </row>
    <row r="31" spans="1:40" s="177" customFormat="1" ht="16.7" hidden="1" customHeight="1" x14ac:dyDescent="0.15">
      <c r="B31" s="795" t="b">
        <f t="shared" si="0"/>
        <v>1</v>
      </c>
      <c r="E31" s="668">
        <v>17.100000000000001</v>
      </c>
      <c r="F31" s="788" cm="1">
        <f t="array" ref="F31">F30</f>
        <v>0</v>
      </c>
      <c r="H31" s="175">
        <f>first_year+1</f>
        <v>2025</v>
      </c>
      <c r="T31" s="679" t="b" cm="1">
        <f t="array" ref="T31">T30</f>
        <v>0</v>
      </c>
      <c r="X31" s="1619"/>
      <c r="Z31" s="1619"/>
      <c r="AB31" s="274" t="str">
        <f t="shared" si="1"/>
        <v>2025 год</v>
      </c>
      <c r="AC31" s="389"/>
      <c r="AD31" s="23">
        <f>IFERROR(SUMIFS(INDEX('Операционные (5.2)'!$AT$26:$BC$45,,MATCH($H31,'Операционные (5.2)'!$AT$6:$BC$6,0)),'Операционные (5.2)'!$F$26:$F$45,$F31,'Операционные (5.2)'!$G$26:$G$45,"ИОР"),0)</f>
        <v>0</v>
      </c>
      <c r="AE31" s="100"/>
      <c r="AF31" s="99"/>
      <c r="AG31" s="99"/>
      <c r="AH31" s="100"/>
      <c r="AI31" s="99"/>
      <c r="AJ31" s="99"/>
      <c r="AK31" s="101"/>
      <c r="AN31" s="1020" cm="1">
        <f t="array" ref="AN31">H31</f>
        <v>2025</v>
      </c>
    </row>
    <row r="32" spans="1:40" s="177" customFormat="1" ht="16.7" hidden="1" customHeight="1" x14ac:dyDescent="0.15">
      <c r="B32" s="795" t="b">
        <f t="shared" si="0"/>
        <v>1</v>
      </c>
      <c r="E32" s="668">
        <v>17.100000000000001</v>
      </c>
      <c r="F32" s="788" cm="1">
        <f t="array" ref="F32">F31</f>
        <v>0</v>
      </c>
      <c r="H32" s="175">
        <f>first_year+2</f>
        <v>2026</v>
      </c>
      <c r="T32" s="679" t="b" cm="1">
        <f t="array" ref="T32">T31</f>
        <v>0</v>
      </c>
      <c r="X32" s="1619"/>
      <c r="Z32" s="1619"/>
      <c r="AB32" s="274" t="str">
        <f t="shared" si="1"/>
        <v>2026 год</v>
      </c>
      <c r="AC32" s="389"/>
      <c r="AD32" s="23">
        <f ca="1">IFERROR(SUMIFS(INDEX('Операционные (5.2)'!$AT$26:$BC$45,,MATCH($H32,'Операционные (5.2)'!$AT$6:$BC$6,0)),'Операционные (5.2)'!$F$26:$F$45,$F32,'Операционные (5.2)'!$G$26:$G$45,"ИОР"),0)</f>
        <v>1</v>
      </c>
      <c r="AE32" s="100"/>
      <c r="AF32" s="99"/>
      <c r="AG32" s="99"/>
      <c r="AH32" s="100"/>
      <c r="AI32" s="99"/>
      <c r="AJ32" s="99"/>
      <c r="AK32" s="101"/>
      <c r="AN32" s="1020" cm="1">
        <f t="array" ref="AN32">H32</f>
        <v>2026</v>
      </c>
    </row>
    <row r="33" spans="2:40" s="177" customFormat="1" ht="16.7" hidden="1" customHeight="1" x14ac:dyDescent="0.15">
      <c r="B33" s="795" t="b">
        <f t="shared" si="0"/>
        <v>1</v>
      </c>
      <c r="E33" s="668">
        <v>17.100000000000001</v>
      </c>
      <c r="F33" s="788" cm="1">
        <f t="array" ref="F33">F32</f>
        <v>0</v>
      </c>
      <c r="H33" s="175">
        <f>first_year+3</f>
        <v>2027</v>
      </c>
      <c r="T33" s="679" t="b" cm="1">
        <f t="array" ref="T33">T32</f>
        <v>0</v>
      </c>
      <c r="X33" s="1619"/>
      <c r="Z33" s="1619"/>
      <c r="AB33" s="274" t="str">
        <f t="shared" si="1"/>
        <v>2027 год</v>
      </c>
      <c r="AC33" s="389"/>
      <c r="AD33" s="23">
        <f ca="1">IFERROR(SUMIFS(INDEX('Операционные (5.2)'!$AT$26:$BC$45,,MATCH($H33,'Операционные (5.2)'!$AT$6:$BC$6,0)),'Операционные (5.2)'!$F$26:$F$45,$F33,'Операционные (5.2)'!$G$26:$G$45,"ИОР"),0)</f>
        <v>1</v>
      </c>
      <c r="AE33" s="100"/>
      <c r="AF33" s="99"/>
      <c r="AG33" s="99"/>
      <c r="AH33" s="100"/>
      <c r="AI33" s="99"/>
      <c r="AJ33" s="99"/>
      <c r="AK33" s="101"/>
      <c r="AN33" s="1020" cm="1">
        <f t="array" ref="AN33">H33</f>
        <v>2027</v>
      </c>
    </row>
    <row r="34" spans="2:40" s="177" customFormat="1" ht="16.7" hidden="1" customHeight="1" x14ac:dyDescent="0.15">
      <c r="B34" s="795" t="b">
        <f t="shared" si="0"/>
        <v>1</v>
      </c>
      <c r="E34" s="668">
        <v>17.100000000000001</v>
      </c>
      <c r="F34" s="788" cm="1">
        <f t="array" ref="F34">F33</f>
        <v>0</v>
      </c>
      <c r="H34" s="175">
        <f>first_year+4</f>
        <v>2028</v>
      </c>
      <c r="T34" s="679" t="b" cm="1">
        <f t="array" ref="T34">T33</f>
        <v>0</v>
      </c>
      <c r="X34" s="1619"/>
      <c r="Z34" s="1619"/>
      <c r="AB34" s="274" t="str">
        <f t="shared" si="1"/>
        <v>2028 год</v>
      </c>
      <c r="AC34" s="389"/>
      <c r="AD34" s="23">
        <f ca="1">IFERROR(SUMIFS(INDEX('Операционные (5.2)'!$AT$26:$BC$45,,MATCH($H34,'Операционные (5.2)'!$AT$6:$BC$6,0)),'Операционные (5.2)'!$F$26:$F$45,$F34,'Операционные (5.2)'!$G$26:$G$45,"ИОР"),0)</f>
        <v>1</v>
      </c>
      <c r="AE34" s="100"/>
      <c r="AF34" s="99"/>
      <c r="AG34" s="99"/>
      <c r="AH34" s="100"/>
      <c r="AI34" s="99"/>
      <c r="AJ34" s="99"/>
      <c r="AK34" s="101"/>
      <c r="AN34" s="1020" cm="1">
        <f t="array" ref="AN34">H34</f>
        <v>2028</v>
      </c>
    </row>
    <row r="35" spans="2:40" s="177" customFormat="1" ht="16.7" hidden="1" customHeight="1" x14ac:dyDescent="0.15">
      <c r="B35" s="795" t="b">
        <f t="shared" si="0"/>
        <v>0</v>
      </c>
      <c r="E35" s="668">
        <v>17.100000000000001</v>
      </c>
      <c r="F35" s="788" cm="1">
        <f t="array" ref="F35">F34</f>
        <v>0</v>
      </c>
      <c r="H35" s="175">
        <f>first_year+5</f>
        <v>2029</v>
      </c>
      <c r="T35" s="679" t="b" cm="1">
        <f t="array" ref="T35">T34</f>
        <v>0</v>
      </c>
      <c r="X35" s="1619"/>
      <c r="Z35" s="1619"/>
      <c r="AB35" s="274" t="str">
        <f t="shared" si="1"/>
        <v>2029 год</v>
      </c>
      <c r="AC35" s="389"/>
      <c r="AD35" s="23">
        <f ca="1">IFERROR(SUMIFS(INDEX('Операционные (5.2)'!$AT$26:$BC$45,,MATCH($H35,'Операционные (5.2)'!$AT$6:$BC$6,0)),'Операционные (5.2)'!$F$26:$F$45,$F35,'Операционные (5.2)'!$G$26:$G$45,"ИОР"),0)</f>
        <v>1</v>
      </c>
      <c r="AE35" s="100"/>
      <c r="AF35" s="99"/>
      <c r="AG35" s="99"/>
      <c r="AH35" s="100"/>
      <c r="AI35" s="99"/>
      <c r="AJ35" s="99"/>
      <c r="AK35" s="101">
        <f>IFERROR(SUMIFS(INDEX('Баланс Пр'!$AE$26:$BB$164,,MATCH($H35&amp;"Принято органом регулирования",'Баланс Пр'!$AE$8:$BB$8,0)),'Баланс Пр'!$Q$26:$Q$164,$F35,'Баланс Пр'!$AC$26:$AC$164,"Уровень потерь воды"),0)</f>
        <v>0</v>
      </c>
      <c r="AN35" s="1020" cm="1">
        <f t="array" ref="AN35">H35</f>
        <v>2029</v>
      </c>
    </row>
    <row r="36" spans="2:40" s="177" customFormat="1" ht="16.7" hidden="1" customHeight="1" x14ac:dyDescent="0.15">
      <c r="B36" s="795" t="b">
        <f t="shared" si="0"/>
        <v>0</v>
      </c>
      <c r="E36" s="668">
        <v>17.100000000000001</v>
      </c>
      <c r="F36" s="788" cm="1">
        <f t="array" ref="F36">F35</f>
        <v>0</v>
      </c>
      <c r="H36" s="175">
        <f>first_year+6</f>
        <v>2030</v>
      </c>
      <c r="T36" s="679" t="b" cm="1">
        <f t="array" ref="T36">T35</f>
        <v>0</v>
      </c>
      <c r="X36" s="1619"/>
      <c r="Z36" s="1619"/>
      <c r="AB36" s="274" t="str">
        <f t="shared" si="1"/>
        <v>2030 год</v>
      </c>
      <c r="AC36" s="389"/>
      <c r="AD36" s="23">
        <f ca="1">IFERROR(SUMIFS(INDEX('Операционные (5.2)'!$AT$26:$BC$45,,MATCH($H36,'Операционные (5.2)'!$AT$6:$BC$6,0)),'Операционные (5.2)'!$F$26:$F$45,$F36,'Операционные (5.2)'!$G$26:$G$45,"ИОР"),0)</f>
        <v>1</v>
      </c>
      <c r="AE36" s="100"/>
      <c r="AF36" s="99"/>
      <c r="AG36" s="99"/>
      <c r="AH36" s="100"/>
      <c r="AI36" s="99"/>
      <c r="AJ36" s="99"/>
      <c r="AK36" s="101">
        <f>IFERROR(SUMIFS(INDEX('Баланс Пр'!$AE$26:$BB$164,,MATCH($H36&amp;"Принято органом регулирования",'Баланс Пр'!$AE$8:$BB$8,0)),'Баланс Пр'!$Q$26:$Q$164,$F36,'Баланс Пр'!$AC$26:$AC$164,"Уровень потерь воды"),0)</f>
        <v>0</v>
      </c>
      <c r="AN36" s="1020" cm="1">
        <f t="array" ref="AN36">H36</f>
        <v>2030</v>
      </c>
    </row>
    <row r="37" spans="2:40" s="177" customFormat="1" ht="16.7" hidden="1" customHeight="1" x14ac:dyDescent="0.15">
      <c r="B37" s="795" t="b">
        <f t="shared" si="0"/>
        <v>0</v>
      </c>
      <c r="E37" s="668">
        <v>17.100000000000001</v>
      </c>
      <c r="F37" s="788" cm="1">
        <f t="array" ref="F37">F36</f>
        <v>0</v>
      </c>
      <c r="H37" s="175">
        <f>first_year+7</f>
        <v>2031</v>
      </c>
      <c r="T37" s="679" t="b" cm="1">
        <f t="array" ref="T37">T36</f>
        <v>0</v>
      </c>
      <c r="X37" s="1619"/>
      <c r="Z37" s="1619"/>
      <c r="AB37" s="274" t="str">
        <f t="shared" si="1"/>
        <v>2031 год</v>
      </c>
      <c r="AC37" s="389"/>
      <c r="AD37" s="23">
        <f ca="1">IFERROR(SUMIFS(INDEX('Операционные (5.2)'!$AT$26:$BC$45,,MATCH($H37,'Операционные (5.2)'!$AT$6:$BC$6,0)),'Операционные (5.2)'!$F$26:$F$45,$F37,'Операционные (5.2)'!$G$26:$G$45,"ИОР"),0)</f>
        <v>1</v>
      </c>
      <c r="AE37" s="100"/>
      <c r="AF37" s="99"/>
      <c r="AG37" s="99"/>
      <c r="AH37" s="100"/>
      <c r="AI37" s="99"/>
      <c r="AJ37" s="99"/>
      <c r="AK37" s="101">
        <f>IFERROR(SUMIFS(INDEX('Баланс Пр'!$AE$26:$BB$164,,MATCH($H37&amp;"Принято органом регулирования",'Баланс Пр'!$AE$8:$BB$8,0)),'Баланс Пр'!$Q$26:$Q$164,$F37,'Баланс Пр'!$AC$26:$AC$164,"Уровень потерь воды"),0)</f>
        <v>0</v>
      </c>
      <c r="AN37" s="1020" cm="1">
        <f t="array" ref="AN37">H37</f>
        <v>2031</v>
      </c>
    </row>
    <row r="38" spans="2:40" s="177" customFormat="1" ht="16.7" hidden="1" customHeight="1" x14ac:dyDescent="0.15">
      <c r="B38" s="795" t="b">
        <f t="shared" si="0"/>
        <v>0</v>
      </c>
      <c r="E38" s="668">
        <v>17.100000000000001</v>
      </c>
      <c r="F38" s="788" cm="1">
        <f t="array" ref="F38">F37</f>
        <v>0</v>
      </c>
      <c r="H38" s="175">
        <f>first_year+8</f>
        <v>2032</v>
      </c>
      <c r="T38" s="679" t="b" cm="1">
        <f t="array" ref="T38">T37</f>
        <v>0</v>
      </c>
      <c r="X38" s="1619"/>
      <c r="Z38" s="1619"/>
      <c r="AB38" s="274" t="str">
        <f t="shared" si="1"/>
        <v>2032 год</v>
      </c>
      <c r="AC38" s="389"/>
      <c r="AD38" s="23">
        <f ca="1">IFERROR(SUMIFS(INDEX('Операционные (5.2)'!$AT$26:$BC$45,,MATCH($H38,'Операционные (5.2)'!$AT$6:$BC$6,0)),'Операционные (5.2)'!$F$26:$F$45,$F38,'Операционные (5.2)'!$G$26:$G$45,"ИОР"),0)</f>
        <v>1</v>
      </c>
      <c r="AE38" s="100"/>
      <c r="AF38" s="99"/>
      <c r="AG38" s="99"/>
      <c r="AH38" s="100"/>
      <c r="AI38" s="99"/>
      <c r="AJ38" s="99"/>
      <c r="AK38" s="101">
        <f>IFERROR(SUMIFS(INDEX('Баланс Пр'!$AE$26:$BB$164,,MATCH($H38&amp;"Принято органом регулирования",'Баланс Пр'!$AE$8:$BB$8,0)),'Баланс Пр'!$Q$26:$Q$164,$F38,'Баланс Пр'!$AC$26:$AC$164,"Уровень потерь воды"),0)</f>
        <v>0</v>
      </c>
      <c r="AN38" s="1020" cm="1">
        <f t="array" ref="AN38">H38</f>
        <v>2032</v>
      </c>
    </row>
    <row r="39" spans="2:40" s="177" customFormat="1" ht="16.7" hidden="1" customHeight="1" x14ac:dyDescent="0.15">
      <c r="B39" s="795" t="b">
        <f t="shared" si="0"/>
        <v>0</v>
      </c>
      <c r="E39" s="668">
        <v>17.100000000000001</v>
      </c>
      <c r="F39" s="788" cm="1">
        <f t="array" ref="F39">F38</f>
        <v>0</v>
      </c>
      <c r="H39" s="175">
        <f>first_year+9</f>
        <v>2033</v>
      </c>
      <c r="T39" s="679" t="b" cm="1">
        <f t="array" ref="T39">T38</f>
        <v>0</v>
      </c>
      <c r="X39" s="1619"/>
      <c r="Z39" s="1619"/>
      <c r="AB39" s="274" t="str">
        <f t="shared" si="1"/>
        <v>2033 год</v>
      </c>
      <c r="AC39" s="389"/>
      <c r="AD39" s="23">
        <f ca="1">IFERROR(SUMIFS(INDEX('Операционные (5.2)'!$AT$26:$BC$45,,MATCH($H39,'Операционные (5.2)'!$AT$6:$BC$6,0)),'Операционные (5.2)'!$F$26:$F$45,$F39,'Операционные (5.2)'!$G$26:$G$45,"ИОР"),0)</f>
        <v>1</v>
      </c>
      <c r="AE39" s="100"/>
      <c r="AF39" s="99"/>
      <c r="AG39" s="99"/>
      <c r="AH39" s="100"/>
      <c r="AI39" s="99"/>
      <c r="AJ39" s="99"/>
      <c r="AK39" s="101">
        <f>IFERROR(SUMIFS(INDEX('Баланс Пр'!$AE$26:$BB$164,,MATCH($H39&amp;"Принято органом регулирования",'Баланс Пр'!$AE$8:$BB$8,0)),'Баланс Пр'!$Q$26:$Q$164,$F39,'Баланс Пр'!$AC$26:$AC$164,"Уровень потерь воды"),0)</f>
        <v>0</v>
      </c>
      <c r="AN39" s="1020" cm="1">
        <f t="array" ref="AN39">H39</f>
        <v>2033</v>
      </c>
    </row>
    <row r="40" spans="2:40" s="177" customFormat="1" ht="16.7" hidden="1" customHeight="1" x14ac:dyDescent="0.15">
      <c r="B40" s="795" t="b">
        <f t="shared" si="0"/>
        <v>0</v>
      </c>
      <c r="E40" s="668">
        <v>17.100000000000001</v>
      </c>
      <c r="F40" s="788" cm="1">
        <f t="array" ref="F40">F39</f>
        <v>0</v>
      </c>
      <c r="H40" s="175">
        <f>first_year+10</f>
        <v>2034</v>
      </c>
      <c r="T40" s="679" t="b" cm="1">
        <f t="array" ref="T40">T39</f>
        <v>0</v>
      </c>
      <c r="X40" s="1619"/>
      <c r="Z40" s="1619"/>
      <c r="AB40" s="274" t="str">
        <f t="shared" si="1"/>
        <v>2034 год</v>
      </c>
      <c r="AC40" s="389"/>
      <c r="AD40" s="100"/>
      <c r="AE40" s="100"/>
      <c r="AF40" s="99"/>
      <c r="AG40" s="99"/>
      <c r="AH40" s="100"/>
      <c r="AI40" s="99"/>
      <c r="AJ40" s="99"/>
      <c r="AK40" s="101"/>
      <c r="AN40" s="1020" cm="1">
        <f t="array" ref="AN40">H40</f>
        <v>2034</v>
      </c>
    </row>
    <row r="41" spans="2:40" s="177" customFormat="1" ht="16.7" hidden="1" customHeight="1" x14ac:dyDescent="0.15">
      <c r="B41" s="795" t="b">
        <f t="shared" si="0"/>
        <v>0</v>
      </c>
      <c r="E41" s="668">
        <v>17.100000000000001</v>
      </c>
      <c r="F41" s="788" cm="1">
        <f t="array" ref="F41">F40</f>
        <v>0</v>
      </c>
      <c r="H41" s="175">
        <f>first_year+11</f>
        <v>2035</v>
      </c>
      <c r="T41" s="679" t="b" cm="1">
        <f t="array" ref="T41">T40</f>
        <v>0</v>
      </c>
      <c r="X41" s="1619"/>
      <c r="Z41" s="1619"/>
      <c r="AB41" s="274" t="str">
        <f t="shared" si="1"/>
        <v>2035 год</v>
      </c>
      <c r="AC41" s="389"/>
      <c r="AD41" s="100"/>
      <c r="AE41" s="100"/>
      <c r="AF41" s="99"/>
      <c r="AG41" s="99"/>
      <c r="AH41" s="100"/>
      <c r="AI41" s="99"/>
      <c r="AJ41" s="99"/>
      <c r="AK41" s="101"/>
      <c r="AN41" s="1020" cm="1">
        <f t="array" ref="AN41">H41</f>
        <v>2035</v>
      </c>
    </row>
    <row r="42" spans="2:40" s="177" customFormat="1" ht="16.7" hidden="1" customHeight="1" x14ac:dyDescent="0.15">
      <c r="B42" s="795" t="b">
        <f t="shared" si="0"/>
        <v>0</v>
      </c>
      <c r="E42" s="668">
        <v>17.100000000000001</v>
      </c>
      <c r="F42" s="788" cm="1">
        <f t="array" ref="F42">F41</f>
        <v>0</v>
      </c>
      <c r="H42" s="175">
        <f>first_year+12</f>
        <v>2036</v>
      </c>
      <c r="T42" s="679" t="b" cm="1">
        <f t="array" ref="T42">T41</f>
        <v>0</v>
      </c>
      <c r="X42" s="1619"/>
      <c r="Z42" s="1619"/>
      <c r="AB42" s="274" t="str">
        <f t="shared" si="1"/>
        <v>2036 год</v>
      </c>
      <c r="AC42" s="389"/>
      <c r="AD42" s="100"/>
      <c r="AE42" s="100"/>
      <c r="AF42" s="99"/>
      <c r="AG42" s="99"/>
      <c r="AH42" s="100"/>
      <c r="AI42" s="99"/>
      <c r="AJ42" s="99"/>
      <c r="AK42" s="101"/>
      <c r="AN42" s="1020" cm="1">
        <f t="array" ref="AN42">H42</f>
        <v>2036</v>
      </c>
    </row>
    <row r="43" spans="2:40" s="177" customFormat="1" ht="16.7" hidden="1" customHeight="1" x14ac:dyDescent="0.15">
      <c r="B43" s="795" t="b">
        <f t="shared" si="0"/>
        <v>0</v>
      </c>
      <c r="E43" s="668">
        <v>17.100000000000001</v>
      </c>
      <c r="F43" s="788" cm="1">
        <f t="array" ref="F43">F42</f>
        <v>0</v>
      </c>
      <c r="H43" s="175">
        <f>first_year+13</f>
        <v>2037</v>
      </c>
      <c r="T43" s="679" t="b" cm="1">
        <f t="array" ref="T43">T42</f>
        <v>0</v>
      </c>
      <c r="X43" s="1619"/>
      <c r="Z43" s="1619"/>
      <c r="AB43" s="274" t="str">
        <f t="shared" si="1"/>
        <v>2037 год</v>
      </c>
      <c r="AC43" s="389"/>
      <c r="AD43" s="100"/>
      <c r="AE43" s="100"/>
      <c r="AF43" s="99"/>
      <c r="AG43" s="99"/>
      <c r="AH43" s="100"/>
      <c r="AI43" s="99"/>
      <c r="AJ43" s="99"/>
      <c r="AK43" s="101"/>
      <c r="AN43" s="1020" cm="1">
        <f t="array" ref="AN43">H43</f>
        <v>2037</v>
      </c>
    </row>
    <row r="44" spans="2:40" s="177" customFormat="1" ht="16.7" hidden="1" customHeight="1" x14ac:dyDescent="0.15">
      <c r="B44" s="795" t="b">
        <f t="shared" si="0"/>
        <v>0</v>
      </c>
      <c r="E44" s="668">
        <v>17.100000000000001</v>
      </c>
      <c r="F44" s="788" cm="1">
        <f t="array" ref="F44">F43</f>
        <v>0</v>
      </c>
      <c r="H44" s="175">
        <f>first_year+14</f>
        <v>2038</v>
      </c>
      <c r="T44" s="679" t="b" cm="1">
        <f t="array" ref="T44">T43</f>
        <v>0</v>
      </c>
      <c r="X44" s="1619"/>
      <c r="Z44" s="1619"/>
      <c r="AB44" s="274" t="str">
        <f t="shared" si="1"/>
        <v>2038 год</v>
      </c>
      <c r="AC44" s="389"/>
      <c r="AD44" s="100"/>
      <c r="AE44" s="100"/>
      <c r="AF44" s="99"/>
      <c r="AG44" s="99"/>
      <c r="AH44" s="100"/>
      <c r="AI44" s="99"/>
      <c r="AJ44" s="99"/>
      <c r="AK44" s="101"/>
      <c r="AN44" s="1020" cm="1">
        <f t="array" ref="AN44">H44</f>
        <v>2038</v>
      </c>
    </row>
    <row r="45" spans="2:40" s="177" customFormat="1" ht="16.7" hidden="1" customHeight="1" x14ac:dyDescent="0.15">
      <c r="B45" s="795" t="b">
        <f t="shared" si="0"/>
        <v>0</v>
      </c>
      <c r="E45" s="668">
        <v>17.100000000000001</v>
      </c>
      <c r="F45" s="788" cm="1">
        <f t="array" ref="F45">F44</f>
        <v>0</v>
      </c>
      <c r="H45" s="175">
        <f>first_year+15</f>
        <v>2039</v>
      </c>
      <c r="T45" s="679" t="b" cm="1">
        <f t="array" ref="T45">T44</f>
        <v>0</v>
      </c>
      <c r="X45" s="1619"/>
      <c r="Z45" s="1619"/>
      <c r="AB45" s="274" t="str">
        <f t="shared" si="1"/>
        <v>2039 год</v>
      </c>
      <c r="AC45" s="389"/>
      <c r="AD45" s="100"/>
      <c r="AE45" s="100"/>
      <c r="AF45" s="99"/>
      <c r="AG45" s="99"/>
      <c r="AH45" s="100"/>
      <c r="AI45" s="99"/>
      <c r="AJ45" s="99"/>
      <c r="AK45" s="101"/>
      <c r="AN45" s="1020" cm="1">
        <f t="array" ref="AN45">H45</f>
        <v>2039</v>
      </c>
    </row>
    <row r="46" spans="2:40" s="177" customFormat="1" ht="16.7" hidden="1" customHeight="1" x14ac:dyDescent="0.15">
      <c r="B46" s="795" t="b">
        <f t="shared" si="0"/>
        <v>0</v>
      </c>
      <c r="E46" s="668">
        <v>17.100000000000001</v>
      </c>
      <c r="F46" s="788" cm="1">
        <f t="array" ref="F46">F45</f>
        <v>0</v>
      </c>
      <c r="H46" s="175">
        <f>first_year+16</f>
        <v>2040</v>
      </c>
      <c r="T46" s="679" t="b" cm="1">
        <f t="array" ref="T46">T45</f>
        <v>0</v>
      </c>
      <c r="X46" s="1619"/>
      <c r="Z46" s="1619"/>
      <c r="AB46" s="274" t="str">
        <f t="shared" si="1"/>
        <v>2040 год</v>
      </c>
      <c r="AC46" s="389"/>
      <c r="AD46" s="100"/>
      <c r="AE46" s="100"/>
      <c r="AF46" s="99"/>
      <c r="AG46" s="99"/>
      <c r="AH46" s="100"/>
      <c r="AI46" s="99"/>
      <c r="AJ46" s="99"/>
      <c r="AK46" s="101"/>
      <c r="AN46" s="1020" cm="1">
        <f t="array" ref="AN46">H46</f>
        <v>2040</v>
      </c>
    </row>
    <row r="47" spans="2:40" s="177" customFormat="1" ht="16.7" hidden="1" customHeight="1" x14ac:dyDescent="0.15">
      <c r="B47" s="795" t="b">
        <f t="shared" si="0"/>
        <v>0</v>
      </c>
      <c r="E47" s="668">
        <v>17.100000000000001</v>
      </c>
      <c r="F47" s="788" cm="1">
        <f t="array" ref="F47">F46</f>
        <v>0</v>
      </c>
      <c r="H47" s="175">
        <f>first_year+17</f>
        <v>2041</v>
      </c>
      <c r="T47" s="679" t="b" cm="1">
        <f t="array" ref="T47">T46</f>
        <v>0</v>
      </c>
      <c r="X47" s="1619"/>
      <c r="Z47" s="1619"/>
      <c r="AB47" s="274" t="str">
        <f t="shared" si="1"/>
        <v>2041 год</v>
      </c>
      <c r="AC47" s="389"/>
      <c r="AD47" s="100"/>
      <c r="AE47" s="100"/>
      <c r="AF47" s="99"/>
      <c r="AG47" s="99"/>
      <c r="AH47" s="100"/>
      <c r="AI47" s="99"/>
      <c r="AJ47" s="99"/>
      <c r="AK47" s="101"/>
      <c r="AN47" s="1020" cm="1">
        <f t="array" ref="AN47">H47</f>
        <v>2041</v>
      </c>
    </row>
    <row r="48" spans="2:40" s="177" customFormat="1" ht="16.7" hidden="1" customHeight="1" x14ac:dyDescent="0.15">
      <c r="B48" s="795" t="b">
        <f t="shared" si="0"/>
        <v>0</v>
      </c>
      <c r="E48" s="668">
        <v>17.100000000000001</v>
      </c>
      <c r="F48" s="788" cm="1">
        <f t="array" ref="F48">F47</f>
        <v>0</v>
      </c>
      <c r="H48" s="175">
        <f>first_year+18</f>
        <v>2042</v>
      </c>
      <c r="T48" s="679" t="b" cm="1">
        <f t="array" ref="T48">T47</f>
        <v>0</v>
      </c>
      <c r="X48" s="1619"/>
      <c r="Z48" s="1619"/>
      <c r="AB48" s="274" t="str">
        <f t="shared" si="1"/>
        <v>2042 год</v>
      </c>
      <c r="AC48" s="389"/>
      <c r="AD48" s="100"/>
      <c r="AE48" s="100"/>
      <c r="AF48" s="99"/>
      <c r="AG48" s="99"/>
      <c r="AH48" s="100"/>
      <c r="AI48" s="99"/>
      <c r="AJ48" s="99"/>
      <c r="AK48" s="101"/>
      <c r="AN48" s="1020" cm="1">
        <f t="array" ref="AN48">H48</f>
        <v>2042</v>
      </c>
    </row>
    <row r="49" spans="2:40" s="177" customFormat="1" ht="16.7" hidden="1" customHeight="1" x14ac:dyDescent="0.15">
      <c r="B49" s="795" t="b">
        <f t="shared" si="0"/>
        <v>0</v>
      </c>
      <c r="E49" s="668">
        <v>17.100000000000001</v>
      </c>
      <c r="F49" s="788" cm="1">
        <f t="array" ref="F49">F48</f>
        <v>0</v>
      </c>
      <c r="H49" s="175">
        <f>first_year+19</f>
        <v>2043</v>
      </c>
      <c r="T49" s="679" t="b" cm="1">
        <f t="array" ref="T49">T48</f>
        <v>0</v>
      </c>
      <c r="X49" s="1619"/>
      <c r="Z49" s="1619"/>
      <c r="AB49" s="274" t="str">
        <f t="shared" si="1"/>
        <v>2043 год</v>
      </c>
      <c r="AC49" s="389"/>
      <c r="AD49" s="100"/>
      <c r="AE49" s="100"/>
      <c r="AF49" s="99"/>
      <c r="AG49" s="99"/>
      <c r="AH49" s="100"/>
      <c r="AI49" s="99"/>
      <c r="AJ49" s="99"/>
      <c r="AK49" s="101"/>
      <c r="AN49" s="1020" cm="1">
        <f t="array" ref="AN49">H49</f>
        <v>2043</v>
      </c>
    </row>
    <row r="50" spans="2:40" s="177" customFormat="1" ht="16.7" hidden="1" customHeight="1" x14ac:dyDescent="0.15">
      <c r="B50" s="795" t="b">
        <f t="shared" si="0"/>
        <v>0</v>
      </c>
      <c r="E50" s="668">
        <v>17.100000000000001</v>
      </c>
      <c r="F50" s="788" cm="1">
        <f t="array" ref="F50">F49</f>
        <v>0</v>
      </c>
      <c r="H50" s="175">
        <f>first_year+20</f>
        <v>2044</v>
      </c>
      <c r="T50" s="679" t="b" cm="1">
        <f t="array" ref="T50">T49</f>
        <v>0</v>
      </c>
      <c r="X50" s="1619"/>
      <c r="Z50" s="1619"/>
      <c r="AB50" s="274" t="str">
        <f t="shared" si="1"/>
        <v>2044 год</v>
      </c>
      <c r="AC50" s="389"/>
      <c r="AD50" s="100"/>
      <c r="AE50" s="100"/>
      <c r="AF50" s="99"/>
      <c r="AG50" s="99"/>
      <c r="AH50" s="100"/>
      <c r="AI50" s="99"/>
      <c r="AJ50" s="99"/>
      <c r="AK50" s="101"/>
      <c r="AN50" s="1020" cm="1">
        <f t="array" ref="AN50">H50</f>
        <v>2044</v>
      </c>
    </row>
    <row r="51" spans="2:40" s="177" customFormat="1" ht="16.7" hidden="1" customHeight="1" x14ac:dyDescent="0.15">
      <c r="B51" s="795" t="b">
        <f t="shared" si="0"/>
        <v>0</v>
      </c>
      <c r="E51" s="668">
        <v>17.100000000000001</v>
      </c>
      <c r="F51" s="788" cm="1">
        <f t="array" ref="F51">F50</f>
        <v>0</v>
      </c>
      <c r="H51" s="175">
        <f>first_year+21</f>
        <v>2045</v>
      </c>
      <c r="T51" s="679" t="b" cm="1">
        <f t="array" ref="T51">T50</f>
        <v>0</v>
      </c>
      <c r="X51" s="1619"/>
      <c r="Z51" s="1619"/>
      <c r="AB51" s="274" t="str">
        <f t="shared" si="1"/>
        <v>2045 год</v>
      </c>
      <c r="AC51" s="389"/>
      <c r="AD51" s="100"/>
      <c r="AE51" s="100"/>
      <c r="AF51" s="99"/>
      <c r="AG51" s="99"/>
      <c r="AH51" s="100"/>
      <c r="AI51" s="99"/>
      <c r="AJ51" s="99"/>
      <c r="AK51" s="101"/>
      <c r="AN51" s="1020" cm="1">
        <f t="array" ref="AN51">H51</f>
        <v>2045</v>
      </c>
    </row>
    <row r="52" spans="2:40" s="177" customFormat="1" ht="16.7" hidden="1" customHeight="1" x14ac:dyDescent="0.15">
      <c r="B52" s="795" t="b">
        <f t="shared" si="0"/>
        <v>0</v>
      </c>
      <c r="E52" s="668">
        <v>17.100000000000001</v>
      </c>
      <c r="F52" s="788" cm="1">
        <f t="array" ref="F52">F51</f>
        <v>0</v>
      </c>
      <c r="H52" s="175">
        <f>first_year+22</f>
        <v>2046</v>
      </c>
      <c r="T52" s="679" t="b" cm="1">
        <f t="array" ref="T52">T51</f>
        <v>0</v>
      </c>
      <c r="X52" s="1619"/>
      <c r="Z52" s="1619"/>
      <c r="AB52" s="274" t="str">
        <f t="shared" si="1"/>
        <v>2046 год</v>
      </c>
      <c r="AC52" s="389"/>
      <c r="AD52" s="100"/>
      <c r="AE52" s="100"/>
      <c r="AF52" s="99"/>
      <c r="AG52" s="99"/>
      <c r="AH52" s="100"/>
      <c r="AI52" s="99"/>
      <c r="AJ52" s="99"/>
      <c r="AK52" s="101"/>
      <c r="AN52" s="1020" cm="1">
        <f t="array" ref="AN52">H52</f>
        <v>2046</v>
      </c>
    </row>
    <row r="53" spans="2:40" s="177" customFormat="1" ht="16.7" hidden="1" customHeight="1" x14ac:dyDescent="0.15">
      <c r="B53" s="795" t="b">
        <f t="shared" si="0"/>
        <v>0</v>
      </c>
      <c r="E53" s="668">
        <v>17.100000000000001</v>
      </c>
      <c r="F53" s="788" cm="1">
        <f t="array" ref="F53">F52</f>
        <v>0</v>
      </c>
      <c r="H53" s="175">
        <f>first_year+23</f>
        <v>2047</v>
      </c>
      <c r="T53" s="679" t="b" cm="1">
        <f t="array" ref="T53">T52</f>
        <v>0</v>
      </c>
      <c r="X53" s="1619"/>
      <c r="Z53" s="1619"/>
      <c r="AB53" s="274" t="str">
        <f t="shared" si="1"/>
        <v>2047 год</v>
      </c>
      <c r="AC53" s="389"/>
      <c r="AD53" s="100"/>
      <c r="AE53" s="100"/>
      <c r="AF53" s="99"/>
      <c r="AG53" s="99"/>
      <c r="AH53" s="100"/>
      <c r="AI53" s="99"/>
      <c r="AJ53" s="99"/>
      <c r="AK53" s="101"/>
      <c r="AN53" s="1020" cm="1">
        <f t="array" ref="AN53">H53</f>
        <v>2047</v>
      </c>
    </row>
    <row r="54" spans="2:40" s="177" customFormat="1" ht="16.7" hidden="1" customHeight="1" x14ac:dyDescent="0.15">
      <c r="B54" s="795" t="b">
        <f t="shared" si="0"/>
        <v>0</v>
      </c>
      <c r="E54" s="668">
        <v>17.100000000000001</v>
      </c>
      <c r="F54" s="788" cm="1">
        <f t="array" ref="F54">F53</f>
        <v>0</v>
      </c>
      <c r="H54" s="175">
        <f>first_year+24</f>
        <v>2048</v>
      </c>
      <c r="T54" s="679" t="b" cm="1">
        <f t="array" ref="T54">T53</f>
        <v>0</v>
      </c>
      <c r="X54" s="1619"/>
      <c r="Z54" s="1619"/>
      <c r="AB54" s="274" t="str">
        <f t="shared" si="1"/>
        <v>2048 год</v>
      </c>
      <c r="AC54" s="389"/>
      <c r="AD54" s="100"/>
      <c r="AE54" s="100"/>
      <c r="AF54" s="99"/>
      <c r="AG54" s="99"/>
      <c r="AH54" s="100"/>
      <c r="AI54" s="99"/>
      <c r="AJ54" s="99"/>
      <c r="AK54" s="101"/>
      <c r="AN54" s="1020" cm="1">
        <f t="array" ref="AN54">H54</f>
        <v>2048</v>
      </c>
    </row>
    <row r="55" spans="2:40" s="177" customFormat="1" ht="16.7" hidden="1" customHeight="1" x14ac:dyDescent="0.15">
      <c r="B55" s="795" t="b">
        <f t="shared" si="0"/>
        <v>0</v>
      </c>
      <c r="E55" s="668">
        <v>17.100000000000001</v>
      </c>
      <c r="F55" s="788" cm="1">
        <f t="array" ref="F55">F54</f>
        <v>0</v>
      </c>
      <c r="H55" s="175">
        <f>first_year+25</f>
        <v>2049</v>
      </c>
      <c r="T55" s="679" t="b" cm="1">
        <f t="array" ref="T55">T54</f>
        <v>0</v>
      </c>
      <c r="X55" s="1619"/>
      <c r="Z55" s="1619"/>
      <c r="AB55" s="274" t="str">
        <f t="shared" si="1"/>
        <v>2049 год</v>
      </c>
      <c r="AC55" s="389"/>
      <c r="AD55" s="100"/>
      <c r="AE55" s="100"/>
      <c r="AF55" s="99"/>
      <c r="AG55" s="99"/>
      <c r="AH55" s="100"/>
      <c r="AI55" s="99"/>
      <c r="AJ55" s="99"/>
      <c r="AK55" s="101"/>
      <c r="AN55" s="1020" cm="1">
        <f t="array" ref="AN55">H55</f>
        <v>2049</v>
      </c>
    </row>
    <row r="56" spans="2:40" s="177" customFormat="1" ht="16.7" hidden="1" customHeight="1" x14ac:dyDescent="0.15">
      <c r="B56" s="795" t="b">
        <f t="shared" si="0"/>
        <v>0</v>
      </c>
      <c r="E56" s="668">
        <v>17.100000000000001</v>
      </c>
      <c r="F56" s="788" cm="1">
        <f t="array" ref="F56">F55</f>
        <v>0</v>
      </c>
      <c r="H56" s="175">
        <f>first_year+26</f>
        <v>2050</v>
      </c>
      <c r="T56" s="679" t="b" cm="1">
        <f t="array" ref="T56">T55</f>
        <v>0</v>
      </c>
      <c r="X56" s="1619"/>
      <c r="Z56" s="1619"/>
      <c r="AB56" s="274" t="str">
        <f t="shared" si="1"/>
        <v>2050 год</v>
      </c>
      <c r="AC56" s="389"/>
      <c r="AD56" s="100"/>
      <c r="AE56" s="100"/>
      <c r="AF56" s="99"/>
      <c r="AG56" s="99"/>
      <c r="AH56" s="100"/>
      <c r="AI56" s="99"/>
      <c r="AJ56" s="99"/>
      <c r="AK56" s="101"/>
      <c r="AN56" s="1020" cm="1">
        <f t="array" ref="AN56">H56</f>
        <v>2050</v>
      </c>
    </row>
    <row r="57" spans="2:40" s="177" customFormat="1" ht="16.7" hidden="1" customHeight="1" x14ac:dyDescent="0.15">
      <c r="B57" s="795" t="b">
        <f t="shared" si="0"/>
        <v>0</v>
      </c>
      <c r="E57" s="668">
        <v>17.100000000000001</v>
      </c>
      <c r="F57" s="788" cm="1">
        <f t="array" ref="F57">F56</f>
        <v>0</v>
      </c>
      <c r="H57" s="175">
        <f>first_year+27</f>
        <v>2051</v>
      </c>
      <c r="T57" s="679" t="b" cm="1">
        <f t="array" ref="T57">T56</f>
        <v>0</v>
      </c>
      <c r="X57" s="1619"/>
      <c r="Z57" s="1619"/>
      <c r="AB57" s="274" t="str">
        <f t="shared" si="1"/>
        <v>2051 год</v>
      </c>
      <c r="AC57" s="389"/>
      <c r="AD57" s="100"/>
      <c r="AE57" s="100"/>
      <c r="AF57" s="99"/>
      <c r="AG57" s="99"/>
      <c r="AH57" s="100"/>
      <c r="AI57" s="99"/>
      <c r="AJ57" s="99"/>
      <c r="AK57" s="101"/>
      <c r="AN57" s="1020" cm="1">
        <f t="array" ref="AN57">H57</f>
        <v>2051</v>
      </c>
    </row>
    <row r="58" spans="2:40" s="177" customFormat="1" ht="16.7" hidden="1" customHeight="1" x14ac:dyDescent="0.15">
      <c r="B58" s="795" t="b">
        <f t="shared" si="0"/>
        <v>0</v>
      </c>
      <c r="E58" s="668">
        <v>17.100000000000001</v>
      </c>
      <c r="F58" s="788" cm="1">
        <f t="array" ref="F58">F57</f>
        <v>0</v>
      </c>
      <c r="H58" s="175">
        <f>first_year+28</f>
        <v>2052</v>
      </c>
      <c r="T58" s="679" t="b" cm="1">
        <f t="array" ref="T58">T57</f>
        <v>0</v>
      </c>
      <c r="X58" s="1619"/>
      <c r="Z58" s="1619"/>
      <c r="AB58" s="274" t="str">
        <f t="shared" si="1"/>
        <v>2052 год</v>
      </c>
      <c r="AC58" s="389"/>
      <c r="AD58" s="100"/>
      <c r="AE58" s="100"/>
      <c r="AF58" s="99"/>
      <c r="AG58" s="99"/>
      <c r="AH58" s="100"/>
      <c r="AI58" s="99"/>
      <c r="AJ58" s="99"/>
      <c r="AK58" s="101"/>
      <c r="AN58" s="1020" cm="1">
        <f t="array" ref="AN58">H58</f>
        <v>2052</v>
      </c>
    </row>
    <row r="59" spans="2:40" s="177" customFormat="1" ht="16.7" hidden="1" customHeight="1" x14ac:dyDescent="0.15">
      <c r="B59" s="795" t="b">
        <f t="shared" si="0"/>
        <v>0</v>
      </c>
      <c r="E59" s="668">
        <v>17.100000000000001</v>
      </c>
      <c r="F59" s="788" cm="1">
        <f t="array" ref="F59">F58</f>
        <v>0</v>
      </c>
      <c r="H59" s="175">
        <f>first_year+29</f>
        <v>2053</v>
      </c>
      <c r="T59" s="679" t="b" cm="1">
        <f t="array" ref="T59">T58</f>
        <v>0</v>
      </c>
      <c r="X59" s="1619"/>
      <c r="Z59" s="1619"/>
      <c r="AB59" s="274" t="str">
        <f t="shared" si="1"/>
        <v>2053 год</v>
      </c>
      <c r="AC59" s="389"/>
      <c r="AD59" s="100"/>
      <c r="AE59" s="100"/>
      <c r="AF59" s="99"/>
      <c r="AG59" s="99"/>
      <c r="AH59" s="100"/>
      <c r="AI59" s="99"/>
      <c r="AJ59" s="99"/>
      <c r="AK59" s="101"/>
      <c r="AN59" s="1020" cm="1">
        <f t="array" ref="AN59">H59</f>
        <v>2053</v>
      </c>
    </row>
    <row r="60" spans="2:40" s="177" customFormat="1" ht="16.7" hidden="1" customHeight="1" x14ac:dyDescent="0.15">
      <c r="B60" s="795" t="b">
        <f t="shared" si="0"/>
        <v>0</v>
      </c>
      <c r="E60" s="668">
        <v>17.100000000000001</v>
      </c>
      <c r="F60" s="788" cm="1">
        <f t="array" ref="F60">F59</f>
        <v>0</v>
      </c>
      <c r="H60" s="175">
        <f>first_year+30</f>
        <v>2054</v>
      </c>
      <c r="T60" s="679" t="b" cm="1">
        <f t="array" ref="T60">T59</f>
        <v>0</v>
      </c>
      <c r="X60" s="1619"/>
      <c r="Z60" s="1619"/>
      <c r="AB60" s="274" t="str">
        <f t="shared" si="1"/>
        <v>2054 год</v>
      </c>
      <c r="AC60" s="389"/>
      <c r="AD60" s="100"/>
      <c r="AE60" s="100"/>
      <c r="AF60" s="99"/>
      <c r="AG60" s="99"/>
      <c r="AH60" s="100"/>
      <c r="AI60" s="99"/>
      <c r="AJ60" s="99"/>
      <c r="AK60" s="101"/>
      <c r="AN60" s="1020" cm="1">
        <f t="array" ref="AN60">H60</f>
        <v>2054</v>
      </c>
    </row>
    <row r="61" spans="2:40" s="177" customFormat="1" ht="16.7" hidden="1" customHeight="1" x14ac:dyDescent="0.15">
      <c r="B61" s="795" t="b">
        <f t="shared" si="0"/>
        <v>0</v>
      </c>
      <c r="E61" s="668">
        <v>17.100000000000001</v>
      </c>
      <c r="F61" s="788" cm="1">
        <f t="array" ref="F61">F60</f>
        <v>0</v>
      </c>
      <c r="H61" s="175">
        <f>first_year+31</f>
        <v>2055</v>
      </c>
      <c r="T61" s="679" t="b" cm="1">
        <f t="array" ref="T61">T60</f>
        <v>0</v>
      </c>
      <c r="X61" s="1619"/>
      <c r="Z61" s="1619"/>
      <c r="AB61" s="274" t="str">
        <f t="shared" si="1"/>
        <v>2055 год</v>
      </c>
      <c r="AC61" s="389"/>
      <c r="AD61" s="100"/>
      <c r="AE61" s="100"/>
      <c r="AF61" s="99"/>
      <c r="AG61" s="99"/>
      <c r="AH61" s="100"/>
      <c r="AI61" s="99"/>
      <c r="AJ61" s="99"/>
      <c r="AK61" s="101"/>
      <c r="AN61" s="1020" cm="1">
        <f t="array" ref="AN61">H61</f>
        <v>2055</v>
      </c>
    </row>
    <row r="62" spans="2:40" s="177" customFormat="1" ht="16.7" hidden="1" customHeight="1" x14ac:dyDescent="0.15">
      <c r="B62" s="795" t="b">
        <f t="shared" ref="B62:B79" si="2">H62&lt;first_year+PERIOD_LENGTH</f>
        <v>0</v>
      </c>
      <c r="E62" s="668">
        <v>17.100000000000001</v>
      </c>
      <c r="F62" s="788" cm="1">
        <f t="array" ref="F62">F61</f>
        <v>0</v>
      </c>
      <c r="H62" s="175">
        <f>first_year+32</f>
        <v>2056</v>
      </c>
      <c r="T62" s="679" t="b" cm="1">
        <f t="array" ref="T62">T61</f>
        <v>0</v>
      </c>
      <c r="X62" s="1619"/>
      <c r="Z62" s="1619"/>
      <c r="AB62" s="274" t="str">
        <f t="shared" ref="AB62:AB79" si="3">H62&amp;" год"</f>
        <v>2056 год</v>
      </c>
      <c r="AC62" s="389"/>
      <c r="AD62" s="100"/>
      <c r="AE62" s="100"/>
      <c r="AF62" s="99"/>
      <c r="AG62" s="99"/>
      <c r="AH62" s="100"/>
      <c r="AI62" s="99"/>
      <c r="AJ62" s="99"/>
      <c r="AK62" s="101"/>
      <c r="AN62" s="1020" cm="1">
        <f t="array" ref="AN62">H62</f>
        <v>2056</v>
      </c>
    </row>
    <row r="63" spans="2:40" s="177" customFormat="1" ht="16.7" hidden="1" customHeight="1" x14ac:dyDescent="0.15">
      <c r="B63" s="795" t="b">
        <f t="shared" si="2"/>
        <v>0</v>
      </c>
      <c r="E63" s="668">
        <v>17.100000000000001</v>
      </c>
      <c r="F63" s="788" cm="1">
        <f t="array" ref="F63">F62</f>
        <v>0</v>
      </c>
      <c r="H63" s="175">
        <f>first_year+33</f>
        <v>2057</v>
      </c>
      <c r="T63" s="679" t="b" cm="1">
        <f t="array" ref="T63">T62</f>
        <v>0</v>
      </c>
      <c r="X63" s="1619"/>
      <c r="Z63" s="1619"/>
      <c r="AB63" s="274" t="str">
        <f t="shared" si="3"/>
        <v>2057 год</v>
      </c>
      <c r="AC63" s="389"/>
      <c r="AD63" s="100"/>
      <c r="AE63" s="100"/>
      <c r="AF63" s="99"/>
      <c r="AG63" s="99"/>
      <c r="AH63" s="100"/>
      <c r="AI63" s="99"/>
      <c r="AJ63" s="99"/>
      <c r="AK63" s="101"/>
      <c r="AN63" s="1020" cm="1">
        <f t="array" ref="AN63">H63</f>
        <v>2057</v>
      </c>
    </row>
    <row r="64" spans="2:40" s="177" customFormat="1" ht="16.7" hidden="1" customHeight="1" x14ac:dyDescent="0.15">
      <c r="B64" s="795" t="b">
        <f t="shared" si="2"/>
        <v>0</v>
      </c>
      <c r="E64" s="668">
        <v>17.100000000000001</v>
      </c>
      <c r="F64" s="788" cm="1">
        <f t="array" ref="F64">F63</f>
        <v>0</v>
      </c>
      <c r="H64" s="175">
        <f>first_year+34</f>
        <v>2058</v>
      </c>
      <c r="T64" s="679" t="b" cm="1">
        <f t="array" ref="T64">T63</f>
        <v>0</v>
      </c>
      <c r="X64" s="1619"/>
      <c r="Z64" s="1619"/>
      <c r="AB64" s="274" t="str">
        <f t="shared" si="3"/>
        <v>2058 год</v>
      </c>
      <c r="AC64" s="389"/>
      <c r="AD64" s="100"/>
      <c r="AE64" s="100"/>
      <c r="AF64" s="99"/>
      <c r="AG64" s="99"/>
      <c r="AH64" s="100"/>
      <c r="AI64" s="99"/>
      <c r="AJ64" s="99"/>
      <c r="AK64" s="101"/>
      <c r="AN64" s="1020" cm="1">
        <f t="array" ref="AN64">H64</f>
        <v>2058</v>
      </c>
    </row>
    <row r="65" spans="1:40" s="177" customFormat="1" ht="16.7" hidden="1" customHeight="1" x14ac:dyDescent="0.15">
      <c r="B65" s="795" t="b">
        <f t="shared" si="2"/>
        <v>0</v>
      </c>
      <c r="E65" s="668">
        <v>17.100000000000001</v>
      </c>
      <c r="F65" s="788" cm="1">
        <f t="array" ref="F65">F64</f>
        <v>0</v>
      </c>
      <c r="H65" s="175">
        <f>first_year+35</f>
        <v>2059</v>
      </c>
      <c r="T65" s="679" t="b" cm="1">
        <f t="array" ref="T65">T64</f>
        <v>0</v>
      </c>
      <c r="X65" s="1619"/>
      <c r="Z65" s="1619"/>
      <c r="AB65" s="274" t="str">
        <f t="shared" si="3"/>
        <v>2059 год</v>
      </c>
      <c r="AC65" s="389"/>
      <c r="AD65" s="100"/>
      <c r="AE65" s="100"/>
      <c r="AF65" s="99"/>
      <c r="AG65" s="99"/>
      <c r="AH65" s="100"/>
      <c r="AI65" s="99"/>
      <c r="AJ65" s="99"/>
      <c r="AK65" s="101"/>
      <c r="AN65" s="1020" cm="1">
        <f t="array" ref="AN65">H65</f>
        <v>2059</v>
      </c>
    </row>
    <row r="66" spans="1:40" s="177" customFormat="1" ht="16.7" hidden="1" customHeight="1" x14ac:dyDescent="0.15">
      <c r="B66" s="795" t="b">
        <f t="shared" si="2"/>
        <v>0</v>
      </c>
      <c r="E66" s="668">
        <v>17.100000000000001</v>
      </c>
      <c r="F66" s="788" cm="1">
        <f t="array" ref="F66">F65</f>
        <v>0</v>
      </c>
      <c r="H66" s="175">
        <f>first_year+36</f>
        <v>2060</v>
      </c>
      <c r="T66" s="679" t="b" cm="1">
        <f t="array" ref="T66">T65</f>
        <v>0</v>
      </c>
      <c r="X66" s="1619"/>
      <c r="Z66" s="1619"/>
      <c r="AB66" s="274" t="str">
        <f t="shared" si="3"/>
        <v>2060 год</v>
      </c>
      <c r="AC66" s="389"/>
      <c r="AD66" s="100"/>
      <c r="AE66" s="100"/>
      <c r="AF66" s="99"/>
      <c r="AG66" s="99"/>
      <c r="AH66" s="100"/>
      <c r="AI66" s="99"/>
      <c r="AJ66" s="99"/>
      <c r="AK66" s="101"/>
      <c r="AN66" s="1020" cm="1">
        <f t="array" ref="AN66">H66</f>
        <v>2060</v>
      </c>
    </row>
    <row r="67" spans="1:40" s="177" customFormat="1" ht="16.7" hidden="1" customHeight="1" x14ac:dyDescent="0.15">
      <c r="B67" s="795" t="b">
        <f t="shared" si="2"/>
        <v>0</v>
      </c>
      <c r="E67" s="668">
        <v>17.100000000000001</v>
      </c>
      <c r="F67" s="788" cm="1">
        <f t="array" ref="F67">F66</f>
        <v>0</v>
      </c>
      <c r="H67" s="175">
        <f>first_year+37</f>
        <v>2061</v>
      </c>
      <c r="T67" s="679" t="b" cm="1">
        <f t="array" ref="T67">T66</f>
        <v>0</v>
      </c>
      <c r="X67" s="1619"/>
      <c r="Z67" s="1619"/>
      <c r="AB67" s="274" t="str">
        <f t="shared" si="3"/>
        <v>2061 год</v>
      </c>
      <c r="AC67" s="389"/>
      <c r="AD67" s="100"/>
      <c r="AE67" s="100"/>
      <c r="AF67" s="99"/>
      <c r="AG67" s="99"/>
      <c r="AH67" s="100"/>
      <c r="AI67" s="99"/>
      <c r="AJ67" s="99"/>
      <c r="AK67" s="101"/>
      <c r="AN67" s="1020" cm="1">
        <f t="array" ref="AN67">H67</f>
        <v>2061</v>
      </c>
    </row>
    <row r="68" spans="1:40" s="177" customFormat="1" ht="16.7" hidden="1" customHeight="1" x14ac:dyDescent="0.15">
      <c r="B68" s="795" t="b">
        <f t="shared" si="2"/>
        <v>0</v>
      </c>
      <c r="E68" s="668">
        <v>17.100000000000001</v>
      </c>
      <c r="F68" s="788" cm="1">
        <f t="array" ref="F68">F67</f>
        <v>0</v>
      </c>
      <c r="H68" s="175">
        <f>first_year+38</f>
        <v>2062</v>
      </c>
      <c r="T68" s="679" t="b" cm="1">
        <f t="array" ref="T68">T67</f>
        <v>0</v>
      </c>
      <c r="X68" s="1619"/>
      <c r="Z68" s="1619"/>
      <c r="AB68" s="274" t="str">
        <f t="shared" si="3"/>
        <v>2062 год</v>
      </c>
      <c r="AC68" s="389"/>
      <c r="AD68" s="100"/>
      <c r="AE68" s="100"/>
      <c r="AF68" s="99"/>
      <c r="AG68" s="99"/>
      <c r="AH68" s="100"/>
      <c r="AI68" s="99"/>
      <c r="AJ68" s="99"/>
      <c r="AK68" s="101"/>
      <c r="AN68" s="1020" cm="1">
        <f t="array" ref="AN68">H68</f>
        <v>2062</v>
      </c>
    </row>
    <row r="69" spans="1:40" s="177" customFormat="1" ht="16.7" hidden="1" customHeight="1" x14ac:dyDescent="0.15">
      <c r="B69" s="795" t="b">
        <f t="shared" si="2"/>
        <v>0</v>
      </c>
      <c r="E69" s="668">
        <v>17.100000000000001</v>
      </c>
      <c r="F69" s="788" cm="1">
        <f t="array" ref="F69">F68</f>
        <v>0</v>
      </c>
      <c r="H69" s="175">
        <f>first_year+39</f>
        <v>2063</v>
      </c>
      <c r="T69" s="679" t="b" cm="1">
        <f t="array" ref="T69">T68</f>
        <v>0</v>
      </c>
      <c r="X69" s="1619"/>
      <c r="Z69" s="1619"/>
      <c r="AB69" s="274" t="str">
        <f t="shared" si="3"/>
        <v>2063 год</v>
      </c>
      <c r="AC69" s="389"/>
      <c r="AD69" s="100"/>
      <c r="AE69" s="100"/>
      <c r="AF69" s="99"/>
      <c r="AG69" s="99"/>
      <c r="AH69" s="100"/>
      <c r="AI69" s="99"/>
      <c r="AJ69" s="99"/>
      <c r="AK69" s="101"/>
      <c r="AN69" s="1020" cm="1">
        <f t="array" ref="AN69">H69</f>
        <v>2063</v>
      </c>
    </row>
    <row r="70" spans="1:40" s="177" customFormat="1" ht="16.7" hidden="1" customHeight="1" x14ac:dyDescent="0.15">
      <c r="B70" s="795" t="b">
        <f t="shared" si="2"/>
        <v>0</v>
      </c>
      <c r="E70" s="668">
        <v>17.100000000000001</v>
      </c>
      <c r="F70" s="788" cm="1">
        <f t="array" ref="F70">F69</f>
        <v>0</v>
      </c>
      <c r="H70" s="175">
        <f>first_year+40</f>
        <v>2064</v>
      </c>
      <c r="T70" s="679" t="b" cm="1">
        <f t="array" ref="T70">T69</f>
        <v>0</v>
      </c>
      <c r="X70" s="1619"/>
      <c r="Z70" s="1619"/>
      <c r="AB70" s="274" t="str">
        <f t="shared" si="3"/>
        <v>2064 год</v>
      </c>
      <c r="AC70" s="389"/>
      <c r="AD70" s="100"/>
      <c r="AE70" s="100"/>
      <c r="AF70" s="99"/>
      <c r="AG70" s="99"/>
      <c r="AH70" s="100"/>
      <c r="AI70" s="99"/>
      <c r="AJ70" s="99"/>
      <c r="AK70" s="101"/>
      <c r="AN70" s="1020" cm="1">
        <f t="array" ref="AN70">H70</f>
        <v>2064</v>
      </c>
    </row>
    <row r="71" spans="1:40" s="177" customFormat="1" ht="16.7" hidden="1" customHeight="1" x14ac:dyDescent="0.15">
      <c r="B71" s="795" t="b">
        <f t="shared" si="2"/>
        <v>0</v>
      </c>
      <c r="E71" s="668">
        <v>17.100000000000001</v>
      </c>
      <c r="F71" s="788" cm="1">
        <f t="array" ref="F71">F70</f>
        <v>0</v>
      </c>
      <c r="H71" s="175">
        <f>first_year+41</f>
        <v>2065</v>
      </c>
      <c r="T71" s="679" t="b" cm="1">
        <f t="array" ref="T71">T70</f>
        <v>0</v>
      </c>
      <c r="X71" s="1619"/>
      <c r="Z71" s="1619"/>
      <c r="AB71" s="274" t="str">
        <f t="shared" si="3"/>
        <v>2065 год</v>
      </c>
      <c r="AC71" s="389"/>
      <c r="AD71" s="100"/>
      <c r="AE71" s="100"/>
      <c r="AF71" s="99"/>
      <c r="AG71" s="99"/>
      <c r="AH71" s="100"/>
      <c r="AI71" s="99"/>
      <c r="AJ71" s="99"/>
      <c r="AK71" s="101"/>
      <c r="AN71" s="1020" cm="1">
        <f t="array" ref="AN71">H71</f>
        <v>2065</v>
      </c>
    </row>
    <row r="72" spans="1:40" s="177" customFormat="1" ht="16.7" hidden="1" customHeight="1" x14ac:dyDescent="0.15">
      <c r="B72" s="795" t="b">
        <f t="shared" si="2"/>
        <v>0</v>
      </c>
      <c r="E72" s="668">
        <v>17.100000000000001</v>
      </c>
      <c r="F72" s="788" cm="1">
        <f t="array" ref="F72">F71</f>
        <v>0</v>
      </c>
      <c r="H72" s="175">
        <f>first_year+42</f>
        <v>2066</v>
      </c>
      <c r="T72" s="679" t="b" cm="1">
        <f t="array" ref="T72">T71</f>
        <v>0</v>
      </c>
      <c r="X72" s="1619"/>
      <c r="Z72" s="1619"/>
      <c r="AB72" s="274" t="str">
        <f t="shared" si="3"/>
        <v>2066 год</v>
      </c>
      <c r="AC72" s="389"/>
      <c r="AD72" s="100"/>
      <c r="AE72" s="100"/>
      <c r="AF72" s="99"/>
      <c r="AG72" s="99"/>
      <c r="AH72" s="100"/>
      <c r="AI72" s="99"/>
      <c r="AJ72" s="99"/>
      <c r="AK72" s="101"/>
      <c r="AN72" s="1020" cm="1">
        <f t="array" ref="AN72">H72</f>
        <v>2066</v>
      </c>
    </row>
    <row r="73" spans="1:40" s="177" customFormat="1" ht="16.7" hidden="1" customHeight="1" x14ac:dyDescent="0.15">
      <c r="B73" s="795" t="b">
        <f t="shared" si="2"/>
        <v>0</v>
      </c>
      <c r="E73" s="668">
        <v>17.100000000000001</v>
      </c>
      <c r="F73" s="788" cm="1">
        <f t="array" ref="F73">F72</f>
        <v>0</v>
      </c>
      <c r="H73" s="175">
        <f>first_year+43</f>
        <v>2067</v>
      </c>
      <c r="T73" s="679" t="b" cm="1">
        <f t="array" ref="T73">T72</f>
        <v>0</v>
      </c>
      <c r="X73" s="1619"/>
      <c r="Z73" s="1619"/>
      <c r="AB73" s="274" t="str">
        <f t="shared" si="3"/>
        <v>2067 год</v>
      </c>
      <c r="AC73" s="389"/>
      <c r="AD73" s="100"/>
      <c r="AE73" s="100"/>
      <c r="AF73" s="99"/>
      <c r="AG73" s="99"/>
      <c r="AH73" s="100"/>
      <c r="AI73" s="99"/>
      <c r="AJ73" s="99"/>
      <c r="AK73" s="101"/>
      <c r="AN73" s="1020" cm="1">
        <f t="array" ref="AN73">H73</f>
        <v>2067</v>
      </c>
    </row>
    <row r="74" spans="1:40" s="177" customFormat="1" ht="16.7" hidden="1" customHeight="1" x14ac:dyDescent="0.15">
      <c r="B74" s="795" t="b">
        <f t="shared" si="2"/>
        <v>0</v>
      </c>
      <c r="E74" s="668">
        <v>17.100000000000001</v>
      </c>
      <c r="F74" s="788" cm="1">
        <f t="array" ref="F74">F73</f>
        <v>0</v>
      </c>
      <c r="H74" s="175">
        <f>first_year+44</f>
        <v>2068</v>
      </c>
      <c r="T74" s="679" t="b" cm="1">
        <f t="array" ref="T74">T73</f>
        <v>0</v>
      </c>
      <c r="X74" s="1619"/>
      <c r="Z74" s="1619"/>
      <c r="AB74" s="274" t="str">
        <f t="shared" si="3"/>
        <v>2068 год</v>
      </c>
      <c r="AC74" s="389"/>
      <c r="AD74" s="100"/>
      <c r="AE74" s="100"/>
      <c r="AF74" s="99"/>
      <c r="AG74" s="99"/>
      <c r="AH74" s="100"/>
      <c r="AI74" s="99"/>
      <c r="AJ74" s="99"/>
      <c r="AK74" s="101"/>
      <c r="AN74" s="1020" cm="1">
        <f t="array" ref="AN74">H74</f>
        <v>2068</v>
      </c>
    </row>
    <row r="75" spans="1:40" s="177" customFormat="1" ht="16.7" hidden="1" customHeight="1" x14ac:dyDescent="0.15">
      <c r="B75" s="795" t="b">
        <f t="shared" si="2"/>
        <v>0</v>
      </c>
      <c r="E75" s="668">
        <v>17.100000000000001</v>
      </c>
      <c r="F75" s="788" cm="1">
        <f t="array" ref="F75">F74</f>
        <v>0</v>
      </c>
      <c r="H75" s="175">
        <f>first_year+45</f>
        <v>2069</v>
      </c>
      <c r="T75" s="679" t="b" cm="1">
        <f t="array" ref="T75">T74</f>
        <v>0</v>
      </c>
      <c r="X75" s="1619"/>
      <c r="Z75" s="1619"/>
      <c r="AB75" s="274" t="str">
        <f t="shared" si="3"/>
        <v>2069 год</v>
      </c>
      <c r="AC75" s="389"/>
      <c r="AD75" s="100"/>
      <c r="AE75" s="100"/>
      <c r="AF75" s="99"/>
      <c r="AG75" s="99"/>
      <c r="AH75" s="100"/>
      <c r="AI75" s="99"/>
      <c r="AJ75" s="99"/>
      <c r="AK75" s="101"/>
      <c r="AN75" s="1020" cm="1">
        <f t="array" ref="AN75">H75</f>
        <v>2069</v>
      </c>
    </row>
    <row r="76" spans="1:40" s="177" customFormat="1" ht="16.7" hidden="1" customHeight="1" x14ac:dyDescent="0.15">
      <c r="B76" s="795" t="b">
        <f t="shared" si="2"/>
        <v>0</v>
      </c>
      <c r="E76" s="668">
        <v>17.100000000000001</v>
      </c>
      <c r="F76" s="788" cm="1">
        <f t="array" ref="F76">F75</f>
        <v>0</v>
      </c>
      <c r="H76" s="175">
        <f>first_year+46</f>
        <v>2070</v>
      </c>
      <c r="T76" s="679" t="b" cm="1">
        <f t="array" ref="T76">T75</f>
        <v>0</v>
      </c>
      <c r="X76" s="1619"/>
      <c r="Z76" s="1619"/>
      <c r="AB76" s="274" t="str">
        <f t="shared" si="3"/>
        <v>2070 год</v>
      </c>
      <c r="AC76" s="389"/>
      <c r="AD76" s="100"/>
      <c r="AE76" s="100"/>
      <c r="AF76" s="99"/>
      <c r="AG76" s="99"/>
      <c r="AH76" s="100"/>
      <c r="AI76" s="99"/>
      <c r="AJ76" s="99"/>
      <c r="AK76" s="101"/>
      <c r="AN76" s="1020" cm="1">
        <f t="array" ref="AN76">H76</f>
        <v>2070</v>
      </c>
    </row>
    <row r="77" spans="1:40" s="177" customFormat="1" ht="16.7" hidden="1" customHeight="1" x14ac:dyDescent="0.15">
      <c r="B77" s="795" t="b">
        <f t="shared" si="2"/>
        <v>0</v>
      </c>
      <c r="E77" s="668">
        <v>17.100000000000001</v>
      </c>
      <c r="F77" s="788" cm="1">
        <f t="array" ref="F77">F76</f>
        <v>0</v>
      </c>
      <c r="H77" s="175">
        <f>first_year+47</f>
        <v>2071</v>
      </c>
      <c r="T77" s="679" t="b" cm="1">
        <f t="array" ref="T77">T76</f>
        <v>0</v>
      </c>
      <c r="X77" s="1619"/>
      <c r="Z77" s="1619"/>
      <c r="AB77" s="274" t="str">
        <f t="shared" si="3"/>
        <v>2071 год</v>
      </c>
      <c r="AC77" s="389"/>
      <c r="AD77" s="100"/>
      <c r="AE77" s="100"/>
      <c r="AF77" s="99"/>
      <c r="AG77" s="99"/>
      <c r="AH77" s="100"/>
      <c r="AI77" s="99"/>
      <c r="AJ77" s="99"/>
      <c r="AK77" s="101"/>
      <c r="AN77" s="1020" cm="1">
        <f t="array" ref="AN77">H77</f>
        <v>2071</v>
      </c>
    </row>
    <row r="78" spans="1:40" s="177" customFormat="1" ht="16.7" hidden="1" customHeight="1" x14ac:dyDescent="0.15">
      <c r="B78" s="795" t="b">
        <f t="shared" si="2"/>
        <v>0</v>
      </c>
      <c r="E78" s="668">
        <v>17.100000000000001</v>
      </c>
      <c r="F78" s="788" cm="1">
        <f t="array" ref="F78">F77</f>
        <v>0</v>
      </c>
      <c r="H78" s="175">
        <f>first_year+48</f>
        <v>2072</v>
      </c>
      <c r="T78" s="679" t="b" cm="1">
        <f t="array" ref="T78">T77</f>
        <v>0</v>
      </c>
      <c r="X78" s="1619"/>
      <c r="Z78" s="1619"/>
      <c r="AB78" s="274" t="str">
        <f t="shared" si="3"/>
        <v>2072 год</v>
      </c>
      <c r="AC78" s="389"/>
      <c r="AD78" s="100"/>
      <c r="AE78" s="100"/>
      <c r="AF78" s="99"/>
      <c r="AG78" s="99"/>
      <c r="AH78" s="100"/>
      <c r="AI78" s="99"/>
      <c r="AJ78" s="99"/>
      <c r="AK78" s="101"/>
      <c r="AN78" s="1020" cm="1">
        <f t="array" ref="AN78">H78</f>
        <v>2072</v>
      </c>
    </row>
    <row r="79" spans="1:40" s="177" customFormat="1" ht="16.7" hidden="1" customHeight="1" x14ac:dyDescent="0.15">
      <c r="B79" s="795" t="b">
        <f t="shared" si="2"/>
        <v>0</v>
      </c>
      <c r="E79" s="668">
        <v>17.100000000000001</v>
      </c>
      <c r="F79" s="788" cm="1">
        <f t="array" ref="F79">F78</f>
        <v>0</v>
      </c>
      <c r="H79" s="175">
        <f>first_year+49</f>
        <v>2073</v>
      </c>
      <c r="T79" s="679" t="b" cm="1">
        <f t="array" ref="T79">T78</f>
        <v>0</v>
      </c>
      <c r="X79" s="1619"/>
      <c r="Z79" s="1619"/>
      <c r="AB79" s="274" t="str">
        <f t="shared" si="3"/>
        <v>2073 год</v>
      </c>
      <c r="AC79" s="389"/>
      <c r="AD79" s="100"/>
      <c r="AE79" s="100"/>
      <c r="AF79" s="99"/>
      <c r="AG79" s="99"/>
      <c r="AH79" s="100"/>
      <c r="AI79" s="99"/>
      <c r="AJ79" s="99"/>
      <c r="AK79" s="101"/>
      <c r="AN79" s="1020" cm="1">
        <f t="array" ref="AN79">H79</f>
        <v>2073</v>
      </c>
    </row>
    <row r="80" spans="1:40" s="1291" customFormat="1" ht="16.5" customHeight="1" x14ac:dyDescent="0.15">
      <c r="A80" s="167"/>
      <c r="B80" s="167"/>
      <c r="C80" s="167"/>
      <c r="D80" s="167"/>
      <c r="E80" s="668">
        <v>17.100000000000001</v>
      </c>
      <c r="F80" s="769" t="str" cm="1">
        <f t="array" ref="F80">X80</f>
        <v>1</v>
      </c>
      <c r="G80" s="167"/>
      <c r="H80" s="167"/>
      <c r="I80" s="167"/>
      <c r="J80" s="167"/>
      <c r="K80" s="167"/>
      <c r="L80" s="167"/>
      <c r="M80" s="167"/>
      <c r="N80" s="167"/>
      <c r="O80" s="167"/>
      <c r="P80" s="167"/>
      <c r="Q80" s="167"/>
      <c r="R80" s="167"/>
      <c r="S80" s="167"/>
      <c r="T80" s="679" t="b">
        <f>X80&gt;0</f>
        <v>1</v>
      </c>
      <c r="U80" s="167"/>
      <c r="V80" s="123" t="str" cm="1">
        <f t="array" ref="V80">ТМ!$AB$74</f>
        <v>Тариф 1 (Теплоснабжение) - Тариф на тепловую энергию (мощность), поставляемую потребителям (Не определено)</v>
      </c>
      <c r="W80" s="167"/>
      <c r="X80" s="1485" t="s">
        <v>339</v>
      </c>
      <c r="Y80" s="167"/>
      <c r="Z80" s="1483"/>
      <c r="AA80" s="167"/>
      <c r="AB80" s="263" t="str" cm="1">
        <f t="array" ref="AB80">IF(ISBLANK(ТМ!$AB$74),"",ТМ!$AB$74)</f>
        <v>Тариф 1 (Теплоснабжение) - Тариф на тепловую энергию (мощность), поставляемую потребителям (Не определено)</v>
      </c>
      <c r="AC80" s="264"/>
      <c r="AD80" s="264"/>
      <c r="AE80" s="264"/>
      <c r="AF80" s="264"/>
      <c r="AG80" s="264"/>
      <c r="AH80" s="264"/>
      <c r="AI80" s="264"/>
      <c r="AJ80" s="264"/>
      <c r="AK80" s="446"/>
      <c r="AL80" s="167"/>
      <c r="AM80" s="167"/>
      <c r="AN80" s="944"/>
    </row>
    <row r="81" spans="1:40" s="1358" customFormat="1" ht="16.5" customHeight="1" x14ac:dyDescent="0.15">
      <c r="A81" s="177"/>
      <c r="B81" s="795" t="b">
        <f t="shared" ref="B81:B112" si="4">H81&lt;first_year+PERIOD_LENGTH</f>
        <v>1</v>
      </c>
      <c r="C81" s="177"/>
      <c r="D81" s="177"/>
      <c r="E81" s="668">
        <v>17.100000000000001</v>
      </c>
      <c r="F81" s="788" t="str" cm="1">
        <f t="array" ref="F81">F80</f>
        <v>1</v>
      </c>
      <c r="G81" s="140" t="s">
        <v>1317</v>
      </c>
      <c r="H81" s="175" cm="1">
        <f t="array" ref="H81">first_year</f>
        <v>2024</v>
      </c>
      <c r="I81" s="177"/>
      <c r="J81" s="177"/>
      <c r="K81" s="177"/>
      <c r="L81" s="177"/>
      <c r="M81" s="177"/>
      <c r="N81" s="177"/>
      <c r="O81" s="177"/>
      <c r="P81" s="177"/>
      <c r="Q81" s="177"/>
      <c r="R81" s="177"/>
      <c r="S81" s="177"/>
      <c r="T81" s="679" t="b" cm="1">
        <f t="array" ref="T81">T80</f>
        <v>1</v>
      </c>
      <c r="U81" s="177"/>
      <c r="V81" s="177"/>
      <c r="W81" s="177"/>
      <c r="X81" s="1619"/>
      <c r="Y81" s="177"/>
      <c r="Z81" s="1619"/>
      <c r="AA81" s="177"/>
      <c r="AB81" s="274" t="str">
        <f t="shared" ref="AB81:AB112" si="5">H81&amp;" год"</f>
        <v>2024 год</v>
      </c>
      <c r="AC81" s="1359">
        <v>160906.01999999999</v>
      </c>
      <c r="AD81" s="1222"/>
      <c r="AE81" s="1360"/>
      <c r="AF81" s="1359"/>
      <c r="AG81" s="1359"/>
      <c r="AH81" s="1360"/>
      <c r="AI81" s="1359">
        <v>11094</v>
      </c>
      <c r="AJ81" s="1359"/>
      <c r="AK81" s="101"/>
      <c r="AL81" s="177"/>
      <c r="AM81" s="177"/>
      <c r="AN81" s="1020" cm="1">
        <f t="array" ref="AN81">H81</f>
        <v>2024</v>
      </c>
    </row>
    <row r="82" spans="1:40" s="1361" customFormat="1" ht="16.5" customHeight="1" x14ac:dyDescent="0.15">
      <c r="A82" s="177"/>
      <c r="B82" s="795" t="b">
        <f t="shared" si="4"/>
        <v>1</v>
      </c>
      <c r="C82" s="177"/>
      <c r="D82" s="177"/>
      <c r="E82" s="668">
        <v>17.100000000000001</v>
      </c>
      <c r="F82" s="788" t="str" cm="1">
        <f t="array" ref="F82">F81</f>
        <v>1</v>
      </c>
      <c r="G82" s="177"/>
      <c r="H82" s="175">
        <f>first_year+1</f>
        <v>2025</v>
      </c>
      <c r="I82" s="177"/>
      <c r="J82" s="177"/>
      <c r="K82" s="177"/>
      <c r="L82" s="177"/>
      <c r="M82" s="177"/>
      <c r="N82" s="177"/>
      <c r="O82" s="177"/>
      <c r="P82" s="177"/>
      <c r="Q82" s="177"/>
      <c r="R82" s="177"/>
      <c r="S82" s="177"/>
      <c r="T82" s="679" t="b" cm="1">
        <f t="array" ref="T82">T81</f>
        <v>1</v>
      </c>
      <c r="U82" s="177"/>
      <c r="V82" s="177"/>
      <c r="W82" s="177"/>
      <c r="X82" s="1619"/>
      <c r="Y82" s="177"/>
      <c r="Z82" s="1619"/>
      <c r="AA82" s="177"/>
      <c r="AB82" s="274" t="str">
        <f t="shared" si="5"/>
        <v>2025 год</v>
      </c>
      <c r="AC82" s="389"/>
      <c r="AD82" s="1222">
        <v>1</v>
      </c>
      <c r="AE82" s="1360"/>
      <c r="AF82" s="1359"/>
      <c r="AG82" s="1359"/>
      <c r="AH82" s="1360"/>
      <c r="AI82" s="1359">
        <v>11094</v>
      </c>
      <c r="AJ82" s="1359"/>
      <c r="AK82" s="101"/>
      <c r="AL82" s="177"/>
      <c r="AM82" s="177"/>
      <c r="AN82" s="1020" cm="1">
        <f t="array" ref="AN82">H82</f>
        <v>2025</v>
      </c>
    </row>
    <row r="83" spans="1:40" s="1362" customFormat="1" ht="16.5" customHeight="1" x14ac:dyDescent="0.15">
      <c r="A83" s="177"/>
      <c r="B83" s="795" t="b">
        <f t="shared" si="4"/>
        <v>1</v>
      </c>
      <c r="C83" s="177"/>
      <c r="D83" s="177"/>
      <c r="E83" s="668">
        <v>17.100000000000001</v>
      </c>
      <c r="F83" s="788" t="str" cm="1">
        <f t="array" ref="F83">F82</f>
        <v>1</v>
      </c>
      <c r="G83" s="177"/>
      <c r="H83" s="175">
        <f>first_year+2</f>
        <v>2026</v>
      </c>
      <c r="I83" s="177"/>
      <c r="J83" s="177"/>
      <c r="K83" s="177"/>
      <c r="L83" s="177"/>
      <c r="M83" s="177"/>
      <c r="N83" s="177"/>
      <c r="O83" s="177"/>
      <c r="P83" s="177"/>
      <c r="Q83" s="177"/>
      <c r="R83" s="177"/>
      <c r="S83" s="177"/>
      <c r="T83" s="679" t="b" cm="1">
        <f t="array" ref="T83">T82</f>
        <v>1</v>
      </c>
      <c r="U83" s="177"/>
      <c r="V83" s="177"/>
      <c r="W83" s="177"/>
      <c r="X83" s="1619"/>
      <c r="Y83" s="177"/>
      <c r="Z83" s="1619"/>
      <c r="AA83" s="177"/>
      <c r="AB83" s="274" t="str">
        <f t="shared" si="5"/>
        <v>2026 год</v>
      </c>
      <c r="AC83" s="389"/>
      <c r="AD83" s="1222">
        <f ca="1">IFERROR(SUMIFS(INDEX('Операционные (5.2)'!$AT$26:$BC$45,,MATCH($H83,'Операционные (5.2)'!$AT$6:$BC$6,0)),'Операционные (5.2)'!$F$26:$F$45,$F83,'Операционные (5.2)'!$G$26:$G$45,"ИОР"),0)</f>
        <v>1</v>
      </c>
      <c r="AE83" s="1360"/>
      <c r="AF83" s="1359"/>
      <c r="AG83" s="1359"/>
      <c r="AH83" s="1360"/>
      <c r="AI83" s="1359">
        <v>11094</v>
      </c>
      <c r="AJ83" s="1359"/>
      <c r="AK83" s="101"/>
      <c r="AL83" s="177"/>
      <c r="AM83" s="177"/>
      <c r="AN83" s="1020" cm="1">
        <f t="array" ref="AN83">H83</f>
        <v>2026</v>
      </c>
    </row>
    <row r="84" spans="1:40" s="1363" customFormat="1" ht="16.5" customHeight="1" x14ac:dyDescent="0.15">
      <c r="A84" s="177"/>
      <c r="B84" s="795" t="b">
        <f t="shared" si="4"/>
        <v>1</v>
      </c>
      <c r="C84" s="177"/>
      <c r="D84" s="177"/>
      <c r="E84" s="668">
        <v>17.100000000000001</v>
      </c>
      <c r="F84" s="788" t="str" cm="1">
        <f t="array" ref="F84">F83</f>
        <v>1</v>
      </c>
      <c r="G84" s="177"/>
      <c r="H84" s="175">
        <f>first_year+3</f>
        <v>2027</v>
      </c>
      <c r="I84" s="177"/>
      <c r="J84" s="177"/>
      <c r="K84" s="177"/>
      <c r="L84" s="177"/>
      <c r="M84" s="177"/>
      <c r="N84" s="177"/>
      <c r="O84" s="177"/>
      <c r="P84" s="177"/>
      <c r="Q84" s="177"/>
      <c r="R84" s="177"/>
      <c r="S84" s="177"/>
      <c r="T84" s="679" t="b" cm="1">
        <f t="array" ref="T84">T83</f>
        <v>1</v>
      </c>
      <c r="U84" s="177"/>
      <c r="V84" s="177"/>
      <c r="W84" s="177"/>
      <c r="X84" s="1619"/>
      <c r="Y84" s="177"/>
      <c r="Z84" s="1619"/>
      <c r="AA84" s="177"/>
      <c r="AB84" s="274" t="str">
        <f t="shared" si="5"/>
        <v>2027 год</v>
      </c>
      <c r="AC84" s="389"/>
      <c r="AD84" s="1222">
        <f ca="1">IFERROR(SUMIFS(INDEX('Операционные (5.2)'!$AT$26:$BC$45,,MATCH($H84,'Операционные (5.2)'!$AT$6:$BC$6,0)),'Операционные (5.2)'!$F$26:$F$45,$F84,'Операционные (5.2)'!$G$26:$G$45,"ИОР"),0)</f>
        <v>1</v>
      </c>
      <c r="AE84" s="1360"/>
      <c r="AF84" s="1359"/>
      <c r="AG84" s="1359"/>
      <c r="AH84" s="1360"/>
      <c r="AI84" s="1359">
        <v>11094</v>
      </c>
      <c r="AJ84" s="1359"/>
      <c r="AK84" s="101"/>
      <c r="AL84" s="177"/>
      <c r="AM84" s="177"/>
      <c r="AN84" s="1020" cm="1">
        <f t="array" ref="AN84">H84</f>
        <v>2027</v>
      </c>
    </row>
    <row r="85" spans="1:40" s="1364" customFormat="1" ht="16.5" customHeight="1" x14ac:dyDescent="0.15">
      <c r="A85" s="177"/>
      <c r="B85" s="795" t="b">
        <f t="shared" si="4"/>
        <v>1</v>
      </c>
      <c r="C85" s="177"/>
      <c r="D85" s="177"/>
      <c r="E85" s="668">
        <v>17.100000000000001</v>
      </c>
      <c r="F85" s="788" t="str" cm="1">
        <f t="array" ref="F85">F84</f>
        <v>1</v>
      </c>
      <c r="G85" s="177"/>
      <c r="H85" s="175">
        <f>first_year+4</f>
        <v>2028</v>
      </c>
      <c r="I85" s="177"/>
      <c r="J85" s="177"/>
      <c r="K85" s="177"/>
      <c r="L85" s="177"/>
      <c r="M85" s="177"/>
      <c r="N85" s="177"/>
      <c r="O85" s="177"/>
      <c r="P85" s="177"/>
      <c r="Q85" s="177"/>
      <c r="R85" s="177"/>
      <c r="S85" s="177"/>
      <c r="T85" s="679" t="b" cm="1">
        <f t="array" ref="T85">T84</f>
        <v>1</v>
      </c>
      <c r="U85" s="177"/>
      <c r="V85" s="177"/>
      <c r="W85" s="177"/>
      <c r="X85" s="1619"/>
      <c r="Y85" s="177"/>
      <c r="Z85" s="1619"/>
      <c r="AA85" s="177"/>
      <c r="AB85" s="274" t="str">
        <f t="shared" si="5"/>
        <v>2028 год</v>
      </c>
      <c r="AC85" s="389"/>
      <c r="AD85" s="1222">
        <f ca="1">IFERROR(SUMIFS(INDEX('Операционные (5.2)'!$AT$26:$BC$45,,MATCH($H85,'Операционные (5.2)'!$AT$6:$BC$6,0)),'Операционные (5.2)'!$F$26:$F$45,$F85,'Операционные (5.2)'!$G$26:$G$45,"ИОР"),0)</f>
        <v>1</v>
      </c>
      <c r="AE85" s="1360"/>
      <c r="AF85" s="1359"/>
      <c r="AG85" s="1359"/>
      <c r="AH85" s="1360"/>
      <c r="AI85" s="1359">
        <v>11094</v>
      </c>
      <c r="AJ85" s="1359"/>
      <c r="AK85" s="101"/>
      <c r="AL85" s="177"/>
      <c r="AM85" s="177"/>
      <c r="AN85" s="1020" cm="1">
        <f t="array" ref="AN85">H85</f>
        <v>2028</v>
      </c>
    </row>
    <row r="86" spans="1:40" s="1365" customFormat="1" ht="16.5" hidden="1" customHeight="1" x14ac:dyDescent="0.15">
      <c r="A86" s="177"/>
      <c r="B86" s="795" t="b">
        <f t="shared" si="4"/>
        <v>0</v>
      </c>
      <c r="C86" s="177"/>
      <c r="D86" s="177"/>
      <c r="E86" s="668">
        <v>17.100000000000001</v>
      </c>
      <c r="F86" s="788" t="str" cm="1">
        <f t="array" ref="F86">F85</f>
        <v>1</v>
      </c>
      <c r="G86" s="177"/>
      <c r="H86" s="175">
        <f>first_year+5</f>
        <v>2029</v>
      </c>
      <c r="I86" s="177"/>
      <c r="J86" s="177"/>
      <c r="K86" s="177"/>
      <c r="L86" s="177"/>
      <c r="M86" s="177"/>
      <c r="N86" s="177"/>
      <c r="O86" s="177"/>
      <c r="P86" s="177"/>
      <c r="Q86" s="177"/>
      <c r="R86" s="177"/>
      <c r="S86" s="177"/>
      <c r="T86" s="679" t="b" cm="1">
        <f t="array" ref="T86">T85</f>
        <v>1</v>
      </c>
      <c r="U86" s="177"/>
      <c r="V86" s="177"/>
      <c r="W86" s="177"/>
      <c r="X86" s="1619"/>
      <c r="Y86" s="177"/>
      <c r="Z86" s="1619"/>
      <c r="AA86" s="177"/>
      <c r="AB86" s="274" t="str">
        <f t="shared" si="5"/>
        <v>2029 год</v>
      </c>
      <c r="AC86" s="389"/>
      <c r="AD86" s="23">
        <f ca="1">IFERROR(SUMIFS(INDEX('Операционные (5.2)'!$AT$26:$BC$45,,MATCH($H86,'Операционные (5.2)'!$AT$6:$BC$6,0)),'Операционные (5.2)'!$F$26:$F$45,$F86,'Операционные (5.2)'!$G$26:$G$45,"ИОР"),0)</f>
        <v>1</v>
      </c>
      <c r="AE86" s="100"/>
      <c r="AF86" s="99"/>
      <c r="AG86" s="99"/>
      <c r="AH86" s="100"/>
      <c r="AI86" s="99"/>
      <c r="AJ86" s="99"/>
      <c r="AK86" s="101">
        <f>IFERROR(SUMIFS(INDEX('Баланс Пр'!$AE$26:$BB$164,,MATCH($H86&amp;"Принято органом регулирования",'Баланс Пр'!$AE$8:$BB$8,0)),'Баланс Пр'!$Q$26:$Q$164,$F86,'Баланс Пр'!$AC$26:$AC$164,"Уровень потерь воды"),0)</f>
        <v>0</v>
      </c>
      <c r="AL86" s="177"/>
      <c r="AM86" s="177"/>
      <c r="AN86" s="1020" cm="1">
        <f t="array" ref="AN86">H86</f>
        <v>2029</v>
      </c>
    </row>
    <row r="87" spans="1:40" s="1366" customFormat="1" ht="16.5" hidden="1" customHeight="1" x14ac:dyDescent="0.15">
      <c r="A87" s="177"/>
      <c r="B87" s="795" t="b">
        <f t="shared" si="4"/>
        <v>0</v>
      </c>
      <c r="C87" s="177"/>
      <c r="D87" s="177"/>
      <c r="E87" s="668">
        <v>17.100000000000001</v>
      </c>
      <c r="F87" s="788" t="str" cm="1">
        <f t="array" ref="F87">F86</f>
        <v>1</v>
      </c>
      <c r="G87" s="177"/>
      <c r="H87" s="175">
        <f>first_year+6</f>
        <v>2030</v>
      </c>
      <c r="I87" s="177"/>
      <c r="J87" s="177"/>
      <c r="K87" s="177"/>
      <c r="L87" s="177"/>
      <c r="M87" s="177"/>
      <c r="N87" s="177"/>
      <c r="O87" s="177"/>
      <c r="P87" s="177"/>
      <c r="Q87" s="177"/>
      <c r="R87" s="177"/>
      <c r="S87" s="177"/>
      <c r="T87" s="679" t="b" cm="1">
        <f t="array" ref="T87">T86</f>
        <v>1</v>
      </c>
      <c r="U87" s="177"/>
      <c r="V87" s="177"/>
      <c r="W87" s="177"/>
      <c r="X87" s="1619"/>
      <c r="Y87" s="177"/>
      <c r="Z87" s="1619"/>
      <c r="AA87" s="177"/>
      <c r="AB87" s="274" t="str">
        <f t="shared" si="5"/>
        <v>2030 год</v>
      </c>
      <c r="AC87" s="389"/>
      <c r="AD87" s="23">
        <f ca="1">IFERROR(SUMIFS(INDEX('Операционные (5.2)'!$AT$26:$BC$45,,MATCH($H87,'Операционные (5.2)'!$AT$6:$BC$6,0)),'Операционные (5.2)'!$F$26:$F$45,$F87,'Операционные (5.2)'!$G$26:$G$45,"ИОР"),0)</f>
        <v>1</v>
      </c>
      <c r="AE87" s="100"/>
      <c r="AF87" s="99"/>
      <c r="AG87" s="99"/>
      <c r="AH87" s="100"/>
      <c r="AI87" s="99"/>
      <c r="AJ87" s="99"/>
      <c r="AK87" s="101">
        <f>IFERROR(SUMIFS(INDEX('Баланс Пр'!$AE$26:$BB$164,,MATCH($H87&amp;"Принято органом регулирования",'Баланс Пр'!$AE$8:$BB$8,0)),'Баланс Пр'!$Q$26:$Q$164,$F87,'Баланс Пр'!$AC$26:$AC$164,"Уровень потерь воды"),0)</f>
        <v>0</v>
      </c>
      <c r="AL87" s="177"/>
      <c r="AM87" s="177"/>
      <c r="AN87" s="1020" cm="1">
        <f t="array" ref="AN87">H87</f>
        <v>2030</v>
      </c>
    </row>
    <row r="88" spans="1:40" s="1367" customFormat="1" ht="16.5" hidden="1" customHeight="1" x14ac:dyDescent="0.15">
      <c r="A88" s="177"/>
      <c r="B88" s="795" t="b">
        <f t="shared" si="4"/>
        <v>0</v>
      </c>
      <c r="C88" s="177"/>
      <c r="D88" s="177"/>
      <c r="E88" s="668">
        <v>17.100000000000001</v>
      </c>
      <c r="F88" s="788" t="str" cm="1">
        <f t="array" ref="F88">F87</f>
        <v>1</v>
      </c>
      <c r="G88" s="177"/>
      <c r="H88" s="175">
        <f>first_year+7</f>
        <v>2031</v>
      </c>
      <c r="I88" s="177"/>
      <c r="J88" s="177"/>
      <c r="K88" s="177"/>
      <c r="L88" s="177"/>
      <c r="M88" s="177"/>
      <c r="N88" s="177"/>
      <c r="O88" s="177"/>
      <c r="P88" s="177"/>
      <c r="Q88" s="177"/>
      <c r="R88" s="177"/>
      <c r="S88" s="177"/>
      <c r="T88" s="679" t="b" cm="1">
        <f t="array" ref="T88">T87</f>
        <v>1</v>
      </c>
      <c r="U88" s="177"/>
      <c r="V88" s="177"/>
      <c r="W88" s="177"/>
      <c r="X88" s="1619"/>
      <c r="Y88" s="177"/>
      <c r="Z88" s="1619"/>
      <c r="AA88" s="177"/>
      <c r="AB88" s="274" t="str">
        <f t="shared" si="5"/>
        <v>2031 год</v>
      </c>
      <c r="AC88" s="389"/>
      <c r="AD88" s="23">
        <f ca="1">IFERROR(SUMIFS(INDEX('Операционные (5.2)'!$AT$26:$BC$45,,MATCH($H88,'Операционные (5.2)'!$AT$6:$BC$6,0)),'Операционные (5.2)'!$F$26:$F$45,$F88,'Операционные (5.2)'!$G$26:$G$45,"ИОР"),0)</f>
        <v>1</v>
      </c>
      <c r="AE88" s="100"/>
      <c r="AF88" s="99"/>
      <c r="AG88" s="99"/>
      <c r="AH88" s="100"/>
      <c r="AI88" s="99"/>
      <c r="AJ88" s="99"/>
      <c r="AK88" s="101">
        <f>IFERROR(SUMIFS(INDEX('Баланс Пр'!$AE$26:$BB$164,,MATCH($H88&amp;"Принято органом регулирования",'Баланс Пр'!$AE$8:$BB$8,0)),'Баланс Пр'!$Q$26:$Q$164,$F88,'Баланс Пр'!$AC$26:$AC$164,"Уровень потерь воды"),0)</f>
        <v>0</v>
      </c>
      <c r="AL88" s="177"/>
      <c r="AM88" s="177"/>
      <c r="AN88" s="1020" cm="1">
        <f t="array" ref="AN88">H88</f>
        <v>2031</v>
      </c>
    </row>
    <row r="89" spans="1:40" s="1368" customFormat="1" ht="16.5" hidden="1" customHeight="1" x14ac:dyDescent="0.15">
      <c r="A89" s="177"/>
      <c r="B89" s="795" t="b">
        <f t="shared" si="4"/>
        <v>0</v>
      </c>
      <c r="C89" s="177"/>
      <c r="D89" s="177"/>
      <c r="E89" s="668">
        <v>17.100000000000001</v>
      </c>
      <c r="F89" s="788" t="str" cm="1">
        <f t="array" ref="F89">F88</f>
        <v>1</v>
      </c>
      <c r="G89" s="177"/>
      <c r="H89" s="175">
        <f>first_year+8</f>
        <v>2032</v>
      </c>
      <c r="I89" s="177"/>
      <c r="J89" s="177"/>
      <c r="K89" s="177"/>
      <c r="L89" s="177"/>
      <c r="M89" s="177"/>
      <c r="N89" s="177"/>
      <c r="O89" s="177"/>
      <c r="P89" s="177"/>
      <c r="Q89" s="177"/>
      <c r="R89" s="177"/>
      <c r="S89" s="177"/>
      <c r="T89" s="679" t="b" cm="1">
        <f t="array" ref="T89">T88</f>
        <v>1</v>
      </c>
      <c r="U89" s="177"/>
      <c r="V89" s="177"/>
      <c r="W89" s="177"/>
      <c r="X89" s="1619"/>
      <c r="Y89" s="177"/>
      <c r="Z89" s="1619"/>
      <c r="AA89" s="177"/>
      <c r="AB89" s="274" t="str">
        <f t="shared" si="5"/>
        <v>2032 год</v>
      </c>
      <c r="AC89" s="389"/>
      <c r="AD89" s="23">
        <f ca="1">IFERROR(SUMIFS(INDEX('Операционные (5.2)'!$AT$26:$BC$45,,MATCH($H89,'Операционные (5.2)'!$AT$6:$BC$6,0)),'Операционные (5.2)'!$F$26:$F$45,$F89,'Операционные (5.2)'!$G$26:$G$45,"ИОР"),0)</f>
        <v>1</v>
      </c>
      <c r="AE89" s="100"/>
      <c r="AF89" s="99"/>
      <c r="AG89" s="99"/>
      <c r="AH89" s="100"/>
      <c r="AI89" s="99"/>
      <c r="AJ89" s="99"/>
      <c r="AK89" s="101">
        <f>IFERROR(SUMIFS(INDEX('Баланс Пр'!$AE$26:$BB$164,,MATCH($H89&amp;"Принято органом регулирования",'Баланс Пр'!$AE$8:$BB$8,0)),'Баланс Пр'!$Q$26:$Q$164,$F89,'Баланс Пр'!$AC$26:$AC$164,"Уровень потерь воды"),0)</f>
        <v>0</v>
      </c>
      <c r="AL89" s="177"/>
      <c r="AM89" s="177"/>
      <c r="AN89" s="1020" cm="1">
        <f t="array" ref="AN89">H89</f>
        <v>2032</v>
      </c>
    </row>
    <row r="90" spans="1:40" s="1369" customFormat="1" ht="16.5" hidden="1" customHeight="1" x14ac:dyDescent="0.15">
      <c r="A90" s="177"/>
      <c r="B90" s="795" t="b">
        <f t="shared" si="4"/>
        <v>0</v>
      </c>
      <c r="C90" s="177"/>
      <c r="D90" s="177"/>
      <c r="E90" s="668">
        <v>17.100000000000001</v>
      </c>
      <c r="F90" s="788" t="str" cm="1">
        <f t="array" ref="F90">F89</f>
        <v>1</v>
      </c>
      <c r="G90" s="177"/>
      <c r="H90" s="175">
        <f>first_year+9</f>
        <v>2033</v>
      </c>
      <c r="I90" s="177"/>
      <c r="J90" s="177"/>
      <c r="K90" s="177"/>
      <c r="L90" s="177"/>
      <c r="M90" s="177"/>
      <c r="N90" s="177"/>
      <c r="O90" s="177"/>
      <c r="P90" s="177"/>
      <c r="Q90" s="177"/>
      <c r="R90" s="177"/>
      <c r="S90" s="177"/>
      <c r="T90" s="679" t="b" cm="1">
        <f t="array" ref="T90">T89</f>
        <v>1</v>
      </c>
      <c r="U90" s="177"/>
      <c r="V90" s="177"/>
      <c r="W90" s="177"/>
      <c r="X90" s="1619"/>
      <c r="Y90" s="177"/>
      <c r="Z90" s="1619"/>
      <c r="AA90" s="177"/>
      <c r="AB90" s="274" t="str">
        <f t="shared" si="5"/>
        <v>2033 год</v>
      </c>
      <c r="AC90" s="389"/>
      <c r="AD90" s="23">
        <f ca="1">IFERROR(SUMIFS(INDEX('Операционные (5.2)'!$AT$26:$BC$45,,MATCH($H90,'Операционные (5.2)'!$AT$6:$BC$6,0)),'Операционные (5.2)'!$F$26:$F$45,$F90,'Операционные (5.2)'!$G$26:$G$45,"ИОР"),0)</f>
        <v>1</v>
      </c>
      <c r="AE90" s="100"/>
      <c r="AF90" s="99"/>
      <c r="AG90" s="99"/>
      <c r="AH90" s="100"/>
      <c r="AI90" s="99"/>
      <c r="AJ90" s="99"/>
      <c r="AK90" s="101">
        <f>IFERROR(SUMIFS(INDEX('Баланс Пр'!$AE$26:$BB$164,,MATCH($H90&amp;"Принято органом регулирования",'Баланс Пр'!$AE$8:$BB$8,0)),'Баланс Пр'!$Q$26:$Q$164,$F90,'Баланс Пр'!$AC$26:$AC$164,"Уровень потерь воды"),0)</f>
        <v>0</v>
      </c>
      <c r="AL90" s="177"/>
      <c r="AM90" s="177"/>
      <c r="AN90" s="1020" cm="1">
        <f t="array" ref="AN90">H90</f>
        <v>2033</v>
      </c>
    </row>
    <row r="91" spans="1:40" s="1370" customFormat="1" ht="16.5" hidden="1" customHeight="1" x14ac:dyDescent="0.15">
      <c r="A91" s="177"/>
      <c r="B91" s="795" t="b">
        <f t="shared" si="4"/>
        <v>0</v>
      </c>
      <c r="C91" s="177"/>
      <c r="D91" s="177"/>
      <c r="E91" s="668">
        <v>17.100000000000001</v>
      </c>
      <c r="F91" s="788" t="str" cm="1">
        <f t="array" ref="F91">F90</f>
        <v>1</v>
      </c>
      <c r="G91" s="177"/>
      <c r="H91" s="175">
        <f>first_year+10</f>
        <v>2034</v>
      </c>
      <c r="I91" s="177"/>
      <c r="J91" s="177"/>
      <c r="K91" s="177"/>
      <c r="L91" s="177"/>
      <c r="M91" s="177"/>
      <c r="N91" s="177"/>
      <c r="O91" s="177"/>
      <c r="P91" s="177"/>
      <c r="Q91" s="177"/>
      <c r="R91" s="177"/>
      <c r="S91" s="177"/>
      <c r="T91" s="679" t="b" cm="1">
        <f t="array" ref="T91">T90</f>
        <v>1</v>
      </c>
      <c r="U91" s="177"/>
      <c r="V91" s="177"/>
      <c r="W91" s="177"/>
      <c r="X91" s="1619"/>
      <c r="Y91" s="177"/>
      <c r="Z91" s="1619"/>
      <c r="AA91" s="177"/>
      <c r="AB91" s="274" t="str">
        <f t="shared" si="5"/>
        <v>2034 год</v>
      </c>
      <c r="AC91" s="389"/>
      <c r="AD91" s="100"/>
      <c r="AE91" s="100"/>
      <c r="AF91" s="99"/>
      <c r="AG91" s="99"/>
      <c r="AH91" s="100"/>
      <c r="AI91" s="99"/>
      <c r="AJ91" s="99"/>
      <c r="AK91" s="101"/>
      <c r="AL91" s="177"/>
      <c r="AM91" s="177"/>
      <c r="AN91" s="1020" cm="1">
        <f t="array" ref="AN91">H91</f>
        <v>2034</v>
      </c>
    </row>
    <row r="92" spans="1:40" s="1371" customFormat="1" ht="16.5" hidden="1" customHeight="1" x14ac:dyDescent="0.15">
      <c r="A92" s="177"/>
      <c r="B92" s="795" t="b">
        <f t="shared" si="4"/>
        <v>0</v>
      </c>
      <c r="C92" s="177"/>
      <c r="D92" s="177"/>
      <c r="E92" s="668">
        <v>17.100000000000001</v>
      </c>
      <c r="F92" s="788" t="str" cm="1">
        <f t="array" ref="F92">F91</f>
        <v>1</v>
      </c>
      <c r="G92" s="177"/>
      <c r="H92" s="175">
        <f>first_year+11</f>
        <v>2035</v>
      </c>
      <c r="I92" s="177"/>
      <c r="J92" s="177"/>
      <c r="K92" s="177"/>
      <c r="L92" s="177"/>
      <c r="M92" s="177"/>
      <c r="N92" s="177"/>
      <c r="O92" s="177"/>
      <c r="P92" s="177"/>
      <c r="Q92" s="177"/>
      <c r="R92" s="177"/>
      <c r="S92" s="177"/>
      <c r="T92" s="679" t="b" cm="1">
        <f t="array" ref="T92">T91</f>
        <v>1</v>
      </c>
      <c r="U92" s="177"/>
      <c r="V92" s="177"/>
      <c r="W92" s="177"/>
      <c r="X92" s="1619"/>
      <c r="Y92" s="177"/>
      <c r="Z92" s="1619"/>
      <c r="AA92" s="177"/>
      <c r="AB92" s="274" t="str">
        <f t="shared" si="5"/>
        <v>2035 год</v>
      </c>
      <c r="AC92" s="389"/>
      <c r="AD92" s="100"/>
      <c r="AE92" s="100"/>
      <c r="AF92" s="99"/>
      <c r="AG92" s="99"/>
      <c r="AH92" s="100"/>
      <c r="AI92" s="99"/>
      <c r="AJ92" s="99"/>
      <c r="AK92" s="101"/>
      <c r="AL92" s="177"/>
      <c r="AM92" s="177"/>
      <c r="AN92" s="1020" cm="1">
        <f t="array" ref="AN92">H92</f>
        <v>2035</v>
      </c>
    </row>
    <row r="93" spans="1:40" s="1372" customFormat="1" ht="16.5" hidden="1" customHeight="1" x14ac:dyDescent="0.15">
      <c r="A93" s="177"/>
      <c r="B93" s="795" t="b">
        <f t="shared" si="4"/>
        <v>0</v>
      </c>
      <c r="C93" s="177"/>
      <c r="D93" s="177"/>
      <c r="E93" s="668">
        <v>17.100000000000001</v>
      </c>
      <c r="F93" s="788" t="str" cm="1">
        <f t="array" ref="F93">F92</f>
        <v>1</v>
      </c>
      <c r="G93" s="177"/>
      <c r="H93" s="175">
        <f>first_year+12</f>
        <v>2036</v>
      </c>
      <c r="I93" s="177"/>
      <c r="J93" s="177"/>
      <c r="K93" s="177"/>
      <c r="L93" s="177"/>
      <c r="M93" s="177"/>
      <c r="N93" s="177"/>
      <c r="O93" s="177"/>
      <c r="P93" s="177"/>
      <c r="Q93" s="177"/>
      <c r="R93" s="177"/>
      <c r="S93" s="177"/>
      <c r="T93" s="679" t="b" cm="1">
        <f t="array" ref="T93">T92</f>
        <v>1</v>
      </c>
      <c r="U93" s="177"/>
      <c r="V93" s="177"/>
      <c r="W93" s="177"/>
      <c r="X93" s="1619"/>
      <c r="Y93" s="177"/>
      <c r="Z93" s="1619"/>
      <c r="AA93" s="177"/>
      <c r="AB93" s="274" t="str">
        <f t="shared" si="5"/>
        <v>2036 год</v>
      </c>
      <c r="AC93" s="389"/>
      <c r="AD93" s="100"/>
      <c r="AE93" s="100"/>
      <c r="AF93" s="99"/>
      <c r="AG93" s="99"/>
      <c r="AH93" s="100"/>
      <c r="AI93" s="99"/>
      <c r="AJ93" s="99"/>
      <c r="AK93" s="101"/>
      <c r="AL93" s="177"/>
      <c r="AM93" s="177"/>
      <c r="AN93" s="1020" cm="1">
        <f t="array" ref="AN93">H93</f>
        <v>2036</v>
      </c>
    </row>
    <row r="94" spans="1:40" s="1373" customFormat="1" ht="16.5" hidden="1" customHeight="1" x14ac:dyDescent="0.15">
      <c r="A94" s="177"/>
      <c r="B94" s="795" t="b">
        <f t="shared" si="4"/>
        <v>0</v>
      </c>
      <c r="C94" s="177"/>
      <c r="D94" s="177"/>
      <c r="E94" s="668">
        <v>17.100000000000001</v>
      </c>
      <c r="F94" s="788" t="str" cm="1">
        <f t="array" ref="F94">F93</f>
        <v>1</v>
      </c>
      <c r="G94" s="177"/>
      <c r="H94" s="175">
        <f>first_year+13</f>
        <v>2037</v>
      </c>
      <c r="I94" s="177"/>
      <c r="J94" s="177"/>
      <c r="K94" s="177"/>
      <c r="L94" s="177"/>
      <c r="M94" s="177"/>
      <c r="N94" s="177"/>
      <c r="O94" s="177"/>
      <c r="P94" s="177"/>
      <c r="Q94" s="177"/>
      <c r="R94" s="177"/>
      <c r="S94" s="177"/>
      <c r="T94" s="679" t="b" cm="1">
        <f t="array" ref="T94">T93</f>
        <v>1</v>
      </c>
      <c r="U94" s="177"/>
      <c r="V94" s="177"/>
      <c r="W94" s="177"/>
      <c r="X94" s="1619"/>
      <c r="Y94" s="177"/>
      <c r="Z94" s="1619"/>
      <c r="AA94" s="177"/>
      <c r="AB94" s="274" t="str">
        <f t="shared" si="5"/>
        <v>2037 год</v>
      </c>
      <c r="AC94" s="389"/>
      <c r="AD94" s="100"/>
      <c r="AE94" s="100"/>
      <c r="AF94" s="99"/>
      <c r="AG94" s="99"/>
      <c r="AH94" s="100"/>
      <c r="AI94" s="99"/>
      <c r="AJ94" s="99"/>
      <c r="AK94" s="101"/>
      <c r="AL94" s="177"/>
      <c r="AM94" s="177"/>
      <c r="AN94" s="1020" cm="1">
        <f t="array" ref="AN94">H94</f>
        <v>2037</v>
      </c>
    </row>
    <row r="95" spans="1:40" s="1374" customFormat="1" ht="16.5" hidden="1" customHeight="1" x14ac:dyDescent="0.15">
      <c r="A95" s="177"/>
      <c r="B95" s="795" t="b">
        <f t="shared" si="4"/>
        <v>0</v>
      </c>
      <c r="C95" s="177"/>
      <c r="D95" s="177"/>
      <c r="E95" s="668">
        <v>17.100000000000001</v>
      </c>
      <c r="F95" s="788" t="str" cm="1">
        <f t="array" ref="F95">F94</f>
        <v>1</v>
      </c>
      <c r="G95" s="177"/>
      <c r="H95" s="175">
        <f>first_year+14</f>
        <v>2038</v>
      </c>
      <c r="I95" s="177"/>
      <c r="J95" s="177"/>
      <c r="K95" s="177"/>
      <c r="L95" s="177"/>
      <c r="M95" s="177"/>
      <c r="N95" s="177"/>
      <c r="O95" s="177"/>
      <c r="P95" s="177"/>
      <c r="Q95" s="177"/>
      <c r="R95" s="177"/>
      <c r="S95" s="177"/>
      <c r="T95" s="679" t="b" cm="1">
        <f t="array" ref="T95">T94</f>
        <v>1</v>
      </c>
      <c r="U95" s="177"/>
      <c r="V95" s="177"/>
      <c r="W95" s="177"/>
      <c r="X95" s="1619"/>
      <c r="Y95" s="177"/>
      <c r="Z95" s="1619"/>
      <c r="AA95" s="177"/>
      <c r="AB95" s="274" t="str">
        <f t="shared" si="5"/>
        <v>2038 год</v>
      </c>
      <c r="AC95" s="389"/>
      <c r="AD95" s="100"/>
      <c r="AE95" s="100"/>
      <c r="AF95" s="99"/>
      <c r="AG95" s="99"/>
      <c r="AH95" s="100"/>
      <c r="AI95" s="99"/>
      <c r="AJ95" s="99"/>
      <c r="AK95" s="101"/>
      <c r="AL95" s="177"/>
      <c r="AM95" s="177"/>
      <c r="AN95" s="1020" cm="1">
        <f t="array" ref="AN95">H95</f>
        <v>2038</v>
      </c>
    </row>
    <row r="96" spans="1:40" s="1375" customFormat="1" ht="16.5" hidden="1" customHeight="1" x14ac:dyDescent="0.15">
      <c r="A96" s="177"/>
      <c r="B96" s="795" t="b">
        <f t="shared" si="4"/>
        <v>0</v>
      </c>
      <c r="C96" s="177"/>
      <c r="D96" s="177"/>
      <c r="E96" s="668">
        <v>17.100000000000001</v>
      </c>
      <c r="F96" s="788" t="str" cm="1">
        <f t="array" ref="F96">F95</f>
        <v>1</v>
      </c>
      <c r="G96" s="177"/>
      <c r="H96" s="175">
        <f>first_year+15</f>
        <v>2039</v>
      </c>
      <c r="I96" s="177"/>
      <c r="J96" s="177"/>
      <c r="K96" s="177"/>
      <c r="L96" s="177"/>
      <c r="M96" s="177"/>
      <c r="N96" s="177"/>
      <c r="O96" s="177"/>
      <c r="P96" s="177"/>
      <c r="Q96" s="177"/>
      <c r="R96" s="177"/>
      <c r="S96" s="177"/>
      <c r="T96" s="679" t="b" cm="1">
        <f t="array" ref="T96">T95</f>
        <v>1</v>
      </c>
      <c r="U96" s="177"/>
      <c r="V96" s="177"/>
      <c r="W96" s="177"/>
      <c r="X96" s="1619"/>
      <c r="Y96" s="177"/>
      <c r="Z96" s="1619"/>
      <c r="AA96" s="177"/>
      <c r="AB96" s="274" t="str">
        <f t="shared" si="5"/>
        <v>2039 год</v>
      </c>
      <c r="AC96" s="389"/>
      <c r="AD96" s="100"/>
      <c r="AE96" s="100"/>
      <c r="AF96" s="99"/>
      <c r="AG96" s="99"/>
      <c r="AH96" s="100"/>
      <c r="AI96" s="99"/>
      <c r="AJ96" s="99"/>
      <c r="AK96" s="101"/>
      <c r="AL96" s="177"/>
      <c r="AM96" s="177"/>
      <c r="AN96" s="1020" cm="1">
        <f t="array" ref="AN96">H96</f>
        <v>2039</v>
      </c>
    </row>
    <row r="97" spans="1:40" s="1376" customFormat="1" ht="16.5" hidden="1" customHeight="1" x14ac:dyDescent="0.15">
      <c r="A97" s="177"/>
      <c r="B97" s="795" t="b">
        <f t="shared" si="4"/>
        <v>0</v>
      </c>
      <c r="C97" s="177"/>
      <c r="D97" s="177"/>
      <c r="E97" s="668">
        <v>17.100000000000001</v>
      </c>
      <c r="F97" s="788" t="str" cm="1">
        <f t="array" ref="F97">F96</f>
        <v>1</v>
      </c>
      <c r="G97" s="177"/>
      <c r="H97" s="175">
        <f>first_year+16</f>
        <v>2040</v>
      </c>
      <c r="I97" s="177"/>
      <c r="J97" s="177"/>
      <c r="K97" s="177"/>
      <c r="L97" s="177"/>
      <c r="M97" s="177"/>
      <c r="N97" s="177"/>
      <c r="O97" s="177"/>
      <c r="P97" s="177"/>
      <c r="Q97" s="177"/>
      <c r="R97" s="177"/>
      <c r="S97" s="177"/>
      <c r="T97" s="679" t="b" cm="1">
        <f t="array" ref="T97">T96</f>
        <v>1</v>
      </c>
      <c r="U97" s="177"/>
      <c r="V97" s="177"/>
      <c r="W97" s="177"/>
      <c r="X97" s="1619"/>
      <c r="Y97" s="177"/>
      <c r="Z97" s="1619"/>
      <c r="AA97" s="177"/>
      <c r="AB97" s="274" t="str">
        <f t="shared" si="5"/>
        <v>2040 год</v>
      </c>
      <c r="AC97" s="389"/>
      <c r="AD97" s="100"/>
      <c r="AE97" s="100"/>
      <c r="AF97" s="99"/>
      <c r="AG97" s="99"/>
      <c r="AH97" s="100"/>
      <c r="AI97" s="99"/>
      <c r="AJ97" s="99"/>
      <c r="AK97" s="101"/>
      <c r="AL97" s="177"/>
      <c r="AM97" s="177"/>
      <c r="AN97" s="1020" cm="1">
        <f t="array" ref="AN97">H97</f>
        <v>2040</v>
      </c>
    </row>
    <row r="98" spans="1:40" s="1377" customFormat="1" ht="16.5" hidden="1" customHeight="1" x14ac:dyDescent="0.15">
      <c r="A98" s="177"/>
      <c r="B98" s="795" t="b">
        <f t="shared" si="4"/>
        <v>0</v>
      </c>
      <c r="C98" s="177"/>
      <c r="D98" s="177"/>
      <c r="E98" s="668">
        <v>17.100000000000001</v>
      </c>
      <c r="F98" s="788" t="str" cm="1">
        <f t="array" ref="F98">F97</f>
        <v>1</v>
      </c>
      <c r="G98" s="177"/>
      <c r="H98" s="175">
        <f>first_year+17</f>
        <v>2041</v>
      </c>
      <c r="I98" s="177"/>
      <c r="J98" s="177"/>
      <c r="K98" s="177"/>
      <c r="L98" s="177"/>
      <c r="M98" s="177"/>
      <c r="N98" s="177"/>
      <c r="O98" s="177"/>
      <c r="P98" s="177"/>
      <c r="Q98" s="177"/>
      <c r="R98" s="177"/>
      <c r="S98" s="177"/>
      <c r="T98" s="679" t="b" cm="1">
        <f t="array" ref="T98">T97</f>
        <v>1</v>
      </c>
      <c r="U98" s="177"/>
      <c r="V98" s="177"/>
      <c r="W98" s="177"/>
      <c r="X98" s="1619"/>
      <c r="Y98" s="177"/>
      <c r="Z98" s="1619"/>
      <c r="AA98" s="177"/>
      <c r="AB98" s="274" t="str">
        <f t="shared" si="5"/>
        <v>2041 год</v>
      </c>
      <c r="AC98" s="389"/>
      <c r="AD98" s="100"/>
      <c r="AE98" s="100"/>
      <c r="AF98" s="99"/>
      <c r="AG98" s="99"/>
      <c r="AH98" s="100"/>
      <c r="AI98" s="99"/>
      <c r="AJ98" s="99"/>
      <c r="AK98" s="101"/>
      <c r="AL98" s="177"/>
      <c r="AM98" s="177"/>
      <c r="AN98" s="1020" cm="1">
        <f t="array" ref="AN98">H98</f>
        <v>2041</v>
      </c>
    </row>
    <row r="99" spans="1:40" s="1378" customFormat="1" ht="16.5" hidden="1" customHeight="1" x14ac:dyDescent="0.15">
      <c r="A99" s="177"/>
      <c r="B99" s="795" t="b">
        <f t="shared" si="4"/>
        <v>0</v>
      </c>
      <c r="C99" s="177"/>
      <c r="D99" s="177"/>
      <c r="E99" s="668">
        <v>17.100000000000001</v>
      </c>
      <c r="F99" s="788" t="str" cm="1">
        <f t="array" ref="F99">F98</f>
        <v>1</v>
      </c>
      <c r="G99" s="177"/>
      <c r="H99" s="175">
        <f>first_year+18</f>
        <v>2042</v>
      </c>
      <c r="I99" s="177"/>
      <c r="J99" s="177"/>
      <c r="K99" s="177"/>
      <c r="L99" s="177"/>
      <c r="M99" s="177"/>
      <c r="N99" s="177"/>
      <c r="O99" s="177"/>
      <c r="P99" s="177"/>
      <c r="Q99" s="177"/>
      <c r="R99" s="177"/>
      <c r="S99" s="177"/>
      <c r="T99" s="679" t="b" cm="1">
        <f t="array" ref="T99">T98</f>
        <v>1</v>
      </c>
      <c r="U99" s="177"/>
      <c r="V99" s="177"/>
      <c r="W99" s="177"/>
      <c r="X99" s="1619"/>
      <c r="Y99" s="177"/>
      <c r="Z99" s="1619"/>
      <c r="AA99" s="177"/>
      <c r="AB99" s="274" t="str">
        <f t="shared" si="5"/>
        <v>2042 год</v>
      </c>
      <c r="AC99" s="389"/>
      <c r="AD99" s="100"/>
      <c r="AE99" s="100"/>
      <c r="AF99" s="99"/>
      <c r="AG99" s="99"/>
      <c r="AH99" s="100"/>
      <c r="AI99" s="99"/>
      <c r="AJ99" s="99"/>
      <c r="AK99" s="101"/>
      <c r="AL99" s="177"/>
      <c r="AM99" s="177"/>
      <c r="AN99" s="1020" cm="1">
        <f t="array" ref="AN99">H99</f>
        <v>2042</v>
      </c>
    </row>
    <row r="100" spans="1:40" s="1379" customFormat="1" ht="16.5" hidden="1" customHeight="1" x14ac:dyDescent="0.15">
      <c r="A100" s="177"/>
      <c r="B100" s="795" t="b">
        <f t="shared" si="4"/>
        <v>0</v>
      </c>
      <c r="C100" s="177"/>
      <c r="D100" s="177"/>
      <c r="E100" s="668">
        <v>17.100000000000001</v>
      </c>
      <c r="F100" s="788" t="str" cm="1">
        <f t="array" ref="F100">F99</f>
        <v>1</v>
      </c>
      <c r="G100" s="177"/>
      <c r="H100" s="175">
        <f>first_year+19</f>
        <v>2043</v>
      </c>
      <c r="I100" s="177"/>
      <c r="J100" s="177"/>
      <c r="K100" s="177"/>
      <c r="L100" s="177"/>
      <c r="M100" s="177"/>
      <c r="N100" s="177"/>
      <c r="O100" s="177"/>
      <c r="P100" s="177"/>
      <c r="Q100" s="177"/>
      <c r="R100" s="177"/>
      <c r="S100" s="177"/>
      <c r="T100" s="679" t="b" cm="1">
        <f t="array" ref="T100">T99</f>
        <v>1</v>
      </c>
      <c r="U100" s="177"/>
      <c r="V100" s="177"/>
      <c r="W100" s="177"/>
      <c r="X100" s="1619"/>
      <c r="Y100" s="177"/>
      <c r="Z100" s="1619"/>
      <c r="AA100" s="177"/>
      <c r="AB100" s="274" t="str">
        <f t="shared" si="5"/>
        <v>2043 год</v>
      </c>
      <c r="AC100" s="389"/>
      <c r="AD100" s="100"/>
      <c r="AE100" s="100"/>
      <c r="AF100" s="99"/>
      <c r="AG100" s="99"/>
      <c r="AH100" s="100"/>
      <c r="AI100" s="99"/>
      <c r="AJ100" s="99"/>
      <c r="AK100" s="101"/>
      <c r="AL100" s="177"/>
      <c r="AM100" s="177"/>
      <c r="AN100" s="1020" cm="1">
        <f t="array" ref="AN100">H100</f>
        <v>2043</v>
      </c>
    </row>
    <row r="101" spans="1:40" s="1380" customFormat="1" ht="16.5" hidden="1" customHeight="1" x14ac:dyDescent="0.15">
      <c r="A101" s="177"/>
      <c r="B101" s="795" t="b">
        <f t="shared" si="4"/>
        <v>0</v>
      </c>
      <c r="C101" s="177"/>
      <c r="D101" s="177"/>
      <c r="E101" s="668">
        <v>17.100000000000001</v>
      </c>
      <c r="F101" s="788" t="str" cm="1">
        <f t="array" ref="F101">F100</f>
        <v>1</v>
      </c>
      <c r="G101" s="177"/>
      <c r="H101" s="175">
        <f>first_year+20</f>
        <v>2044</v>
      </c>
      <c r="I101" s="177"/>
      <c r="J101" s="177"/>
      <c r="K101" s="177"/>
      <c r="L101" s="177"/>
      <c r="M101" s="177"/>
      <c r="N101" s="177"/>
      <c r="O101" s="177"/>
      <c r="P101" s="177"/>
      <c r="Q101" s="177"/>
      <c r="R101" s="177"/>
      <c r="S101" s="177"/>
      <c r="T101" s="679" t="b" cm="1">
        <f t="array" ref="T101">T100</f>
        <v>1</v>
      </c>
      <c r="U101" s="177"/>
      <c r="V101" s="177"/>
      <c r="W101" s="177"/>
      <c r="X101" s="1619"/>
      <c r="Y101" s="177"/>
      <c r="Z101" s="1619"/>
      <c r="AA101" s="177"/>
      <c r="AB101" s="274" t="str">
        <f t="shared" si="5"/>
        <v>2044 год</v>
      </c>
      <c r="AC101" s="389"/>
      <c r="AD101" s="100"/>
      <c r="AE101" s="100"/>
      <c r="AF101" s="99"/>
      <c r="AG101" s="99"/>
      <c r="AH101" s="100"/>
      <c r="AI101" s="99"/>
      <c r="AJ101" s="99"/>
      <c r="AK101" s="101"/>
      <c r="AL101" s="177"/>
      <c r="AM101" s="177"/>
      <c r="AN101" s="1020" cm="1">
        <f t="array" ref="AN101">H101</f>
        <v>2044</v>
      </c>
    </row>
    <row r="102" spans="1:40" s="1381" customFormat="1" ht="16.5" hidden="1" customHeight="1" x14ac:dyDescent="0.15">
      <c r="A102" s="177"/>
      <c r="B102" s="795" t="b">
        <f t="shared" si="4"/>
        <v>0</v>
      </c>
      <c r="C102" s="177"/>
      <c r="D102" s="177"/>
      <c r="E102" s="668">
        <v>17.100000000000001</v>
      </c>
      <c r="F102" s="788" t="str" cm="1">
        <f t="array" ref="F102">F101</f>
        <v>1</v>
      </c>
      <c r="G102" s="177"/>
      <c r="H102" s="175">
        <f>first_year+21</f>
        <v>2045</v>
      </c>
      <c r="I102" s="177"/>
      <c r="J102" s="177"/>
      <c r="K102" s="177"/>
      <c r="L102" s="177"/>
      <c r="M102" s="177"/>
      <c r="N102" s="177"/>
      <c r="O102" s="177"/>
      <c r="P102" s="177"/>
      <c r="Q102" s="177"/>
      <c r="R102" s="177"/>
      <c r="S102" s="177"/>
      <c r="T102" s="679" t="b" cm="1">
        <f t="array" ref="T102">T101</f>
        <v>1</v>
      </c>
      <c r="U102" s="177"/>
      <c r="V102" s="177"/>
      <c r="W102" s="177"/>
      <c r="X102" s="1619"/>
      <c r="Y102" s="177"/>
      <c r="Z102" s="1619"/>
      <c r="AA102" s="177"/>
      <c r="AB102" s="274" t="str">
        <f t="shared" si="5"/>
        <v>2045 год</v>
      </c>
      <c r="AC102" s="389"/>
      <c r="AD102" s="100"/>
      <c r="AE102" s="100"/>
      <c r="AF102" s="99"/>
      <c r="AG102" s="99"/>
      <c r="AH102" s="100"/>
      <c r="AI102" s="99"/>
      <c r="AJ102" s="99"/>
      <c r="AK102" s="101"/>
      <c r="AL102" s="177"/>
      <c r="AM102" s="177"/>
      <c r="AN102" s="1020" cm="1">
        <f t="array" ref="AN102">H102</f>
        <v>2045</v>
      </c>
    </row>
    <row r="103" spans="1:40" s="1382" customFormat="1" ht="16.5" hidden="1" customHeight="1" x14ac:dyDescent="0.15">
      <c r="A103" s="177"/>
      <c r="B103" s="795" t="b">
        <f t="shared" si="4"/>
        <v>0</v>
      </c>
      <c r="C103" s="177"/>
      <c r="D103" s="177"/>
      <c r="E103" s="668">
        <v>17.100000000000001</v>
      </c>
      <c r="F103" s="788" t="str" cm="1">
        <f t="array" ref="F103">F102</f>
        <v>1</v>
      </c>
      <c r="G103" s="177"/>
      <c r="H103" s="175">
        <f>first_year+22</f>
        <v>2046</v>
      </c>
      <c r="I103" s="177"/>
      <c r="J103" s="177"/>
      <c r="K103" s="177"/>
      <c r="L103" s="177"/>
      <c r="M103" s="177"/>
      <c r="N103" s="177"/>
      <c r="O103" s="177"/>
      <c r="P103" s="177"/>
      <c r="Q103" s="177"/>
      <c r="R103" s="177"/>
      <c r="S103" s="177"/>
      <c r="T103" s="679" t="b" cm="1">
        <f t="array" ref="T103">T102</f>
        <v>1</v>
      </c>
      <c r="U103" s="177"/>
      <c r="V103" s="177"/>
      <c r="W103" s="177"/>
      <c r="X103" s="1619"/>
      <c r="Y103" s="177"/>
      <c r="Z103" s="1619"/>
      <c r="AA103" s="177"/>
      <c r="AB103" s="274" t="str">
        <f t="shared" si="5"/>
        <v>2046 год</v>
      </c>
      <c r="AC103" s="389"/>
      <c r="AD103" s="100"/>
      <c r="AE103" s="100"/>
      <c r="AF103" s="99"/>
      <c r="AG103" s="99"/>
      <c r="AH103" s="100"/>
      <c r="AI103" s="99"/>
      <c r="AJ103" s="99"/>
      <c r="AK103" s="101"/>
      <c r="AL103" s="177"/>
      <c r="AM103" s="177"/>
      <c r="AN103" s="1020" cm="1">
        <f t="array" ref="AN103">H103</f>
        <v>2046</v>
      </c>
    </row>
    <row r="104" spans="1:40" s="1383" customFormat="1" ht="16.5" hidden="1" customHeight="1" x14ac:dyDescent="0.15">
      <c r="A104" s="177"/>
      <c r="B104" s="795" t="b">
        <f t="shared" si="4"/>
        <v>0</v>
      </c>
      <c r="C104" s="177"/>
      <c r="D104" s="177"/>
      <c r="E104" s="668">
        <v>17.100000000000001</v>
      </c>
      <c r="F104" s="788" t="str" cm="1">
        <f t="array" ref="F104">F103</f>
        <v>1</v>
      </c>
      <c r="G104" s="177"/>
      <c r="H104" s="175">
        <f>first_year+23</f>
        <v>2047</v>
      </c>
      <c r="I104" s="177"/>
      <c r="J104" s="177"/>
      <c r="K104" s="177"/>
      <c r="L104" s="177"/>
      <c r="M104" s="177"/>
      <c r="N104" s="177"/>
      <c r="O104" s="177"/>
      <c r="P104" s="177"/>
      <c r="Q104" s="177"/>
      <c r="R104" s="177"/>
      <c r="S104" s="177"/>
      <c r="T104" s="679" t="b" cm="1">
        <f t="array" ref="T104">T103</f>
        <v>1</v>
      </c>
      <c r="U104" s="177"/>
      <c r="V104" s="177"/>
      <c r="W104" s="177"/>
      <c r="X104" s="1619"/>
      <c r="Y104" s="177"/>
      <c r="Z104" s="1619"/>
      <c r="AA104" s="177"/>
      <c r="AB104" s="274" t="str">
        <f t="shared" si="5"/>
        <v>2047 год</v>
      </c>
      <c r="AC104" s="389"/>
      <c r="AD104" s="100"/>
      <c r="AE104" s="100"/>
      <c r="AF104" s="99"/>
      <c r="AG104" s="99"/>
      <c r="AH104" s="100"/>
      <c r="AI104" s="99"/>
      <c r="AJ104" s="99"/>
      <c r="AK104" s="101"/>
      <c r="AL104" s="177"/>
      <c r="AM104" s="177"/>
      <c r="AN104" s="1020" cm="1">
        <f t="array" ref="AN104">H104</f>
        <v>2047</v>
      </c>
    </row>
    <row r="105" spans="1:40" s="1384" customFormat="1" ht="16.5" hidden="1" customHeight="1" x14ac:dyDescent="0.15">
      <c r="A105" s="177"/>
      <c r="B105" s="795" t="b">
        <f t="shared" si="4"/>
        <v>0</v>
      </c>
      <c r="C105" s="177"/>
      <c r="D105" s="177"/>
      <c r="E105" s="668">
        <v>17.100000000000001</v>
      </c>
      <c r="F105" s="788" t="str" cm="1">
        <f t="array" ref="F105">F104</f>
        <v>1</v>
      </c>
      <c r="G105" s="177"/>
      <c r="H105" s="175">
        <f>first_year+24</f>
        <v>2048</v>
      </c>
      <c r="I105" s="177"/>
      <c r="J105" s="177"/>
      <c r="K105" s="177"/>
      <c r="L105" s="177"/>
      <c r="M105" s="177"/>
      <c r="N105" s="177"/>
      <c r="O105" s="177"/>
      <c r="P105" s="177"/>
      <c r="Q105" s="177"/>
      <c r="R105" s="177"/>
      <c r="S105" s="177"/>
      <c r="T105" s="679" t="b" cm="1">
        <f t="array" ref="T105">T104</f>
        <v>1</v>
      </c>
      <c r="U105" s="177"/>
      <c r="V105" s="177"/>
      <c r="W105" s="177"/>
      <c r="X105" s="1619"/>
      <c r="Y105" s="177"/>
      <c r="Z105" s="1619"/>
      <c r="AA105" s="177"/>
      <c r="AB105" s="274" t="str">
        <f t="shared" si="5"/>
        <v>2048 год</v>
      </c>
      <c r="AC105" s="389"/>
      <c r="AD105" s="100"/>
      <c r="AE105" s="100"/>
      <c r="AF105" s="99"/>
      <c r="AG105" s="99"/>
      <c r="AH105" s="100"/>
      <c r="AI105" s="99"/>
      <c r="AJ105" s="99"/>
      <c r="AK105" s="101"/>
      <c r="AL105" s="177"/>
      <c r="AM105" s="177"/>
      <c r="AN105" s="1020" cm="1">
        <f t="array" ref="AN105">H105</f>
        <v>2048</v>
      </c>
    </row>
    <row r="106" spans="1:40" s="1385" customFormat="1" ht="16.5" hidden="1" customHeight="1" x14ac:dyDescent="0.15">
      <c r="A106" s="177"/>
      <c r="B106" s="795" t="b">
        <f t="shared" si="4"/>
        <v>0</v>
      </c>
      <c r="C106" s="177"/>
      <c r="D106" s="177"/>
      <c r="E106" s="668">
        <v>17.100000000000001</v>
      </c>
      <c r="F106" s="788" t="str" cm="1">
        <f t="array" ref="F106">F105</f>
        <v>1</v>
      </c>
      <c r="G106" s="177"/>
      <c r="H106" s="175">
        <f>first_year+25</f>
        <v>2049</v>
      </c>
      <c r="I106" s="177"/>
      <c r="J106" s="177"/>
      <c r="K106" s="177"/>
      <c r="L106" s="177"/>
      <c r="M106" s="177"/>
      <c r="N106" s="177"/>
      <c r="O106" s="177"/>
      <c r="P106" s="177"/>
      <c r="Q106" s="177"/>
      <c r="R106" s="177"/>
      <c r="S106" s="177"/>
      <c r="T106" s="679" t="b" cm="1">
        <f t="array" ref="T106">T105</f>
        <v>1</v>
      </c>
      <c r="U106" s="177"/>
      <c r="V106" s="177"/>
      <c r="W106" s="177"/>
      <c r="X106" s="1619"/>
      <c r="Y106" s="177"/>
      <c r="Z106" s="1619"/>
      <c r="AA106" s="177"/>
      <c r="AB106" s="274" t="str">
        <f t="shared" si="5"/>
        <v>2049 год</v>
      </c>
      <c r="AC106" s="389"/>
      <c r="AD106" s="100"/>
      <c r="AE106" s="100"/>
      <c r="AF106" s="99"/>
      <c r="AG106" s="99"/>
      <c r="AH106" s="100"/>
      <c r="AI106" s="99"/>
      <c r="AJ106" s="99"/>
      <c r="AK106" s="101"/>
      <c r="AL106" s="177"/>
      <c r="AM106" s="177"/>
      <c r="AN106" s="1020" cm="1">
        <f t="array" ref="AN106">H106</f>
        <v>2049</v>
      </c>
    </row>
    <row r="107" spans="1:40" s="1386" customFormat="1" ht="16.5" hidden="1" customHeight="1" x14ac:dyDescent="0.15">
      <c r="A107" s="177"/>
      <c r="B107" s="795" t="b">
        <f t="shared" si="4"/>
        <v>0</v>
      </c>
      <c r="C107" s="177"/>
      <c r="D107" s="177"/>
      <c r="E107" s="668">
        <v>17.100000000000001</v>
      </c>
      <c r="F107" s="788" t="str" cm="1">
        <f t="array" ref="F107">F106</f>
        <v>1</v>
      </c>
      <c r="G107" s="177"/>
      <c r="H107" s="175">
        <f>first_year+26</f>
        <v>2050</v>
      </c>
      <c r="I107" s="177"/>
      <c r="J107" s="177"/>
      <c r="K107" s="177"/>
      <c r="L107" s="177"/>
      <c r="M107" s="177"/>
      <c r="N107" s="177"/>
      <c r="O107" s="177"/>
      <c r="P107" s="177"/>
      <c r="Q107" s="177"/>
      <c r="R107" s="177"/>
      <c r="S107" s="177"/>
      <c r="T107" s="679" t="b" cm="1">
        <f t="array" ref="T107">T106</f>
        <v>1</v>
      </c>
      <c r="U107" s="177"/>
      <c r="V107" s="177"/>
      <c r="W107" s="177"/>
      <c r="X107" s="1619"/>
      <c r="Y107" s="177"/>
      <c r="Z107" s="1619"/>
      <c r="AA107" s="177"/>
      <c r="AB107" s="274" t="str">
        <f t="shared" si="5"/>
        <v>2050 год</v>
      </c>
      <c r="AC107" s="389"/>
      <c r="AD107" s="100"/>
      <c r="AE107" s="100"/>
      <c r="AF107" s="99"/>
      <c r="AG107" s="99"/>
      <c r="AH107" s="100"/>
      <c r="AI107" s="99"/>
      <c r="AJ107" s="99"/>
      <c r="AK107" s="101"/>
      <c r="AL107" s="177"/>
      <c r="AM107" s="177"/>
      <c r="AN107" s="1020" cm="1">
        <f t="array" ref="AN107">H107</f>
        <v>2050</v>
      </c>
    </row>
    <row r="108" spans="1:40" s="1387" customFormat="1" ht="16.5" hidden="1" customHeight="1" x14ac:dyDescent="0.15">
      <c r="A108" s="177"/>
      <c r="B108" s="795" t="b">
        <f t="shared" si="4"/>
        <v>0</v>
      </c>
      <c r="C108" s="177"/>
      <c r="D108" s="177"/>
      <c r="E108" s="668">
        <v>17.100000000000001</v>
      </c>
      <c r="F108" s="788" t="str" cm="1">
        <f t="array" ref="F108">F107</f>
        <v>1</v>
      </c>
      <c r="G108" s="177"/>
      <c r="H108" s="175">
        <f>first_year+27</f>
        <v>2051</v>
      </c>
      <c r="I108" s="177"/>
      <c r="J108" s="177"/>
      <c r="K108" s="177"/>
      <c r="L108" s="177"/>
      <c r="M108" s="177"/>
      <c r="N108" s="177"/>
      <c r="O108" s="177"/>
      <c r="P108" s="177"/>
      <c r="Q108" s="177"/>
      <c r="R108" s="177"/>
      <c r="S108" s="177"/>
      <c r="T108" s="679" t="b" cm="1">
        <f t="array" ref="T108">T107</f>
        <v>1</v>
      </c>
      <c r="U108" s="177"/>
      <c r="V108" s="177"/>
      <c r="W108" s="177"/>
      <c r="X108" s="1619"/>
      <c r="Y108" s="177"/>
      <c r="Z108" s="1619"/>
      <c r="AA108" s="177"/>
      <c r="AB108" s="274" t="str">
        <f t="shared" si="5"/>
        <v>2051 год</v>
      </c>
      <c r="AC108" s="389"/>
      <c r="AD108" s="100"/>
      <c r="AE108" s="100"/>
      <c r="AF108" s="99"/>
      <c r="AG108" s="99"/>
      <c r="AH108" s="100"/>
      <c r="AI108" s="99"/>
      <c r="AJ108" s="99"/>
      <c r="AK108" s="101"/>
      <c r="AL108" s="177"/>
      <c r="AM108" s="177"/>
      <c r="AN108" s="1020" cm="1">
        <f t="array" ref="AN108">H108</f>
        <v>2051</v>
      </c>
    </row>
    <row r="109" spans="1:40" s="1388" customFormat="1" ht="16.5" hidden="1" customHeight="1" x14ac:dyDescent="0.15">
      <c r="A109" s="177"/>
      <c r="B109" s="795" t="b">
        <f t="shared" si="4"/>
        <v>0</v>
      </c>
      <c r="C109" s="177"/>
      <c r="D109" s="177"/>
      <c r="E109" s="668">
        <v>17.100000000000001</v>
      </c>
      <c r="F109" s="788" t="str" cm="1">
        <f t="array" ref="F109">F108</f>
        <v>1</v>
      </c>
      <c r="G109" s="177"/>
      <c r="H109" s="175">
        <f>first_year+28</f>
        <v>2052</v>
      </c>
      <c r="I109" s="177"/>
      <c r="J109" s="177"/>
      <c r="K109" s="177"/>
      <c r="L109" s="177"/>
      <c r="M109" s="177"/>
      <c r="N109" s="177"/>
      <c r="O109" s="177"/>
      <c r="P109" s="177"/>
      <c r="Q109" s="177"/>
      <c r="R109" s="177"/>
      <c r="S109" s="177"/>
      <c r="T109" s="679" t="b" cm="1">
        <f t="array" ref="T109">T108</f>
        <v>1</v>
      </c>
      <c r="U109" s="177"/>
      <c r="V109" s="177"/>
      <c r="W109" s="177"/>
      <c r="X109" s="1619"/>
      <c r="Y109" s="177"/>
      <c r="Z109" s="1619"/>
      <c r="AA109" s="177"/>
      <c r="AB109" s="274" t="str">
        <f t="shared" si="5"/>
        <v>2052 год</v>
      </c>
      <c r="AC109" s="389"/>
      <c r="AD109" s="100"/>
      <c r="AE109" s="100"/>
      <c r="AF109" s="99"/>
      <c r="AG109" s="99"/>
      <c r="AH109" s="100"/>
      <c r="AI109" s="99"/>
      <c r="AJ109" s="99"/>
      <c r="AK109" s="101"/>
      <c r="AL109" s="177"/>
      <c r="AM109" s="177"/>
      <c r="AN109" s="1020" cm="1">
        <f t="array" ref="AN109">H109</f>
        <v>2052</v>
      </c>
    </row>
    <row r="110" spans="1:40" s="1389" customFormat="1" ht="16.5" hidden="1" customHeight="1" x14ac:dyDescent="0.15">
      <c r="A110" s="177"/>
      <c r="B110" s="795" t="b">
        <f t="shared" si="4"/>
        <v>0</v>
      </c>
      <c r="C110" s="177"/>
      <c r="D110" s="177"/>
      <c r="E110" s="668">
        <v>17.100000000000001</v>
      </c>
      <c r="F110" s="788" t="str" cm="1">
        <f t="array" ref="F110">F109</f>
        <v>1</v>
      </c>
      <c r="G110" s="177"/>
      <c r="H110" s="175">
        <f>first_year+29</f>
        <v>2053</v>
      </c>
      <c r="I110" s="177"/>
      <c r="J110" s="177"/>
      <c r="K110" s="177"/>
      <c r="L110" s="177"/>
      <c r="M110" s="177"/>
      <c r="N110" s="177"/>
      <c r="O110" s="177"/>
      <c r="P110" s="177"/>
      <c r="Q110" s="177"/>
      <c r="R110" s="177"/>
      <c r="S110" s="177"/>
      <c r="T110" s="679" t="b" cm="1">
        <f t="array" ref="T110">T109</f>
        <v>1</v>
      </c>
      <c r="U110" s="177"/>
      <c r="V110" s="177"/>
      <c r="W110" s="177"/>
      <c r="X110" s="1619"/>
      <c r="Y110" s="177"/>
      <c r="Z110" s="1619"/>
      <c r="AA110" s="177"/>
      <c r="AB110" s="274" t="str">
        <f t="shared" si="5"/>
        <v>2053 год</v>
      </c>
      <c r="AC110" s="389"/>
      <c r="AD110" s="100"/>
      <c r="AE110" s="100"/>
      <c r="AF110" s="99"/>
      <c r="AG110" s="99"/>
      <c r="AH110" s="100"/>
      <c r="AI110" s="99"/>
      <c r="AJ110" s="99"/>
      <c r="AK110" s="101"/>
      <c r="AL110" s="177"/>
      <c r="AM110" s="177"/>
      <c r="AN110" s="1020" cm="1">
        <f t="array" ref="AN110">H110</f>
        <v>2053</v>
      </c>
    </row>
    <row r="111" spans="1:40" s="1390" customFormat="1" ht="16.5" hidden="1" customHeight="1" x14ac:dyDescent="0.15">
      <c r="A111" s="177"/>
      <c r="B111" s="795" t="b">
        <f t="shared" si="4"/>
        <v>0</v>
      </c>
      <c r="C111" s="177"/>
      <c r="D111" s="177"/>
      <c r="E111" s="668">
        <v>17.100000000000001</v>
      </c>
      <c r="F111" s="788" t="str" cm="1">
        <f t="array" ref="F111">F110</f>
        <v>1</v>
      </c>
      <c r="G111" s="177"/>
      <c r="H111" s="175">
        <f>first_year+30</f>
        <v>2054</v>
      </c>
      <c r="I111" s="177"/>
      <c r="J111" s="177"/>
      <c r="K111" s="177"/>
      <c r="L111" s="177"/>
      <c r="M111" s="177"/>
      <c r="N111" s="177"/>
      <c r="O111" s="177"/>
      <c r="P111" s="177"/>
      <c r="Q111" s="177"/>
      <c r="R111" s="177"/>
      <c r="S111" s="177"/>
      <c r="T111" s="679" t="b" cm="1">
        <f t="array" ref="T111">T110</f>
        <v>1</v>
      </c>
      <c r="U111" s="177"/>
      <c r="V111" s="177"/>
      <c r="W111" s="177"/>
      <c r="X111" s="1619"/>
      <c r="Y111" s="177"/>
      <c r="Z111" s="1619"/>
      <c r="AA111" s="177"/>
      <c r="AB111" s="274" t="str">
        <f t="shared" si="5"/>
        <v>2054 год</v>
      </c>
      <c r="AC111" s="389"/>
      <c r="AD111" s="100"/>
      <c r="AE111" s="100"/>
      <c r="AF111" s="99"/>
      <c r="AG111" s="99"/>
      <c r="AH111" s="100"/>
      <c r="AI111" s="99"/>
      <c r="AJ111" s="99"/>
      <c r="AK111" s="101"/>
      <c r="AL111" s="177"/>
      <c r="AM111" s="177"/>
      <c r="AN111" s="1020" cm="1">
        <f t="array" ref="AN111">H111</f>
        <v>2054</v>
      </c>
    </row>
    <row r="112" spans="1:40" s="1391" customFormat="1" ht="16.5" hidden="1" customHeight="1" x14ac:dyDescent="0.15">
      <c r="A112" s="177"/>
      <c r="B112" s="795" t="b">
        <f t="shared" si="4"/>
        <v>0</v>
      </c>
      <c r="C112" s="177"/>
      <c r="D112" s="177"/>
      <c r="E112" s="668">
        <v>17.100000000000001</v>
      </c>
      <c r="F112" s="788" t="str" cm="1">
        <f t="array" ref="F112">F111</f>
        <v>1</v>
      </c>
      <c r="G112" s="177"/>
      <c r="H112" s="175">
        <f>first_year+31</f>
        <v>2055</v>
      </c>
      <c r="I112" s="177"/>
      <c r="J112" s="177"/>
      <c r="K112" s="177"/>
      <c r="L112" s="177"/>
      <c r="M112" s="177"/>
      <c r="N112" s="177"/>
      <c r="O112" s="177"/>
      <c r="P112" s="177"/>
      <c r="Q112" s="177"/>
      <c r="R112" s="177"/>
      <c r="S112" s="177"/>
      <c r="T112" s="679" t="b" cm="1">
        <f t="array" ref="T112">T111</f>
        <v>1</v>
      </c>
      <c r="U112" s="177"/>
      <c r="V112" s="177"/>
      <c r="W112" s="177"/>
      <c r="X112" s="1619"/>
      <c r="Y112" s="177"/>
      <c r="Z112" s="1619"/>
      <c r="AA112" s="177"/>
      <c r="AB112" s="274" t="str">
        <f t="shared" si="5"/>
        <v>2055 год</v>
      </c>
      <c r="AC112" s="389"/>
      <c r="AD112" s="100"/>
      <c r="AE112" s="100"/>
      <c r="AF112" s="99"/>
      <c r="AG112" s="99"/>
      <c r="AH112" s="100"/>
      <c r="AI112" s="99"/>
      <c r="AJ112" s="99"/>
      <c r="AK112" s="101"/>
      <c r="AL112" s="177"/>
      <c r="AM112" s="177"/>
      <c r="AN112" s="1020" cm="1">
        <f t="array" ref="AN112">H112</f>
        <v>2055</v>
      </c>
    </row>
    <row r="113" spans="1:40" s="1392" customFormat="1" ht="16.5" hidden="1" customHeight="1" x14ac:dyDescent="0.15">
      <c r="A113" s="177"/>
      <c r="B113" s="795" t="b">
        <f t="shared" ref="B113:B130" si="6">H113&lt;first_year+PERIOD_LENGTH</f>
        <v>0</v>
      </c>
      <c r="C113" s="177"/>
      <c r="D113" s="177"/>
      <c r="E113" s="668">
        <v>17.100000000000001</v>
      </c>
      <c r="F113" s="788" t="str" cm="1">
        <f t="array" ref="F113">F112</f>
        <v>1</v>
      </c>
      <c r="G113" s="177"/>
      <c r="H113" s="175">
        <f>first_year+32</f>
        <v>2056</v>
      </c>
      <c r="I113" s="177"/>
      <c r="J113" s="177"/>
      <c r="K113" s="177"/>
      <c r="L113" s="177"/>
      <c r="M113" s="177"/>
      <c r="N113" s="177"/>
      <c r="O113" s="177"/>
      <c r="P113" s="177"/>
      <c r="Q113" s="177"/>
      <c r="R113" s="177"/>
      <c r="S113" s="177"/>
      <c r="T113" s="679" t="b" cm="1">
        <f t="array" ref="T113">T112</f>
        <v>1</v>
      </c>
      <c r="U113" s="177"/>
      <c r="V113" s="177"/>
      <c r="W113" s="177"/>
      <c r="X113" s="1619"/>
      <c r="Y113" s="177"/>
      <c r="Z113" s="1619"/>
      <c r="AA113" s="177"/>
      <c r="AB113" s="274" t="str">
        <f t="shared" ref="AB113:AB130" si="7">H113&amp;" год"</f>
        <v>2056 год</v>
      </c>
      <c r="AC113" s="389"/>
      <c r="AD113" s="100"/>
      <c r="AE113" s="100"/>
      <c r="AF113" s="99"/>
      <c r="AG113" s="99"/>
      <c r="AH113" s="100"/>
      <c r="AI113" s="99"/>
      <c r="AJ113" s="99"/>
      <c r="AK113" s="101"/>
      <c r="AL113" s="177"/>
      <c r="AM113" s="177"/>
      <c r="AN113" s="1020" cm="1">
        <f t="array" ref="AN113">H113</f>
        <v>2056</v>
      </c>
    </row>
    <row r="114" spans="1:40" s="1393" customFormat="1" ht="16.5" hidden="1" customHeight="1" x14ac:dyDescent="0.15">
      <c r="A114" s="177"/>
      <c r="B114" s="795" t="b">
        <f t="shared" si="6"/>
        <v>0</v>
      </c>
      <c r="C114" s="177"/>
      <c r="D114" s="177"/>
      <c r="E114" s="668">
        <v>17.100000000000001</v>
      </c>
      <c r="F114" s="788" t="str" cm="1">
        <f t="array" ref="F114">F113</f>
        <v>1</v>
      </c>
      <c r="G114" s="177"/>
      <c r="H114" s="175">
        <f>first_year+33</f>
        <v>2057</v>
      </c>
      <c r="I114" s="177"/>
      <c r="J114" s="177"/>
      <c r="K114" s="177"/>
      <c r="L114" s="177"/>
      <c r="M114" s="177"/>
      <c r="N114" s="177"/>
      <c r="O114" s="177"/>
      <c r="P114" s="177"/>
      <c r="Q114" s="177"/>
      <c r="R114" s="177"/>
      <c r="S114" s="177"/>
      <c r="T114" s="679" t="b" cm="1">
        <f t="array" ref="T114">T113</f>
        <v>1</v>
      </c>
      <c r="U114" s="177"/>
      <c r="V114" s="177"/>
      <c r="W114" s="177"/>
      <c r="X114" s="1619"/>
      <c r="Y114" s="177"/>
      <c r="Z114" s="1619"/>
      <c r="AA114" s="177"/>
      <c r="AB114" s="274" t="str">
        <f t="shared" si="7"/>
        <v>2057 год</v>
      </c>
      <c r="AC114" s="389"/>
      <c r="AD114" s="100"/>
      <c r="AE114" s="100"/>
      <c r="AF114" s="99"/>
      <c r="AG114" s="99"/>
      <c r="AH114" s="100"/>
      <c r="AI114" s="99"/>
      <c r="AJ114" s="99"/>
      <c r="AK114" s="101"/>
      <c r="AL114" s="177"/>
      <c r="AM114" s="177"/>
      <c r="AN114" s="1020" cm="1">
        <f t="array" ref="AN114">H114</f>
        <v>2057</v>
      </c>
    </row>
    <row r="115" spans="1:40" s="1394" customFormat="1" ht="16.5" hidden="1" customHeight="1" x14ac:dyDescent="0.15">
      <c r="A115" s="177"/>
      <c r="B115" s="795" t="b">
        <f t="shared" si="6"/>
        <v>0</v>
      </c>
      <c r="C115" s="177"/>
      <c r="D115" s="177"/>
      <c r="E115" s="668">
        <v>17.100000000000001</v>
      </c>
      <c r="F115" s="788" t="str" cm="1">
        <f t="array" ref="F115">F114</f>
        <v>1</v>
      </c>
      <c r="G115" s="177"/>
      <c r="H115" s="175">
        <f>first_year+34</f>
        <v>2058</v>
      </c>
      <c r="I115" s="177"/>
      <c r="J115" s="177"/>
      <c r="K115" s="177"/>
      <c r="L115" s="177"/>
      <c r="M115" s="177"/>
      <c r="N115" s="177"/>
      <c r="O115" s="177"/>
      <c r="P115" s="177"/>
      <c r="Q115" s="177"/>
      <c r="R115" s="177"/>
      <c r="S115" s="177"/>
      <c r="T115" s="679" t="b" cm="1">
        <f t="array" ref="T115">T114</f>
        <v>1</v>
      </c>
      <c r="U115" s="177"/>
      <c r="V115" s="177"/>
      <c r="W115" s="177"/>
      <c r="X115" s="1619"/>
      <c r="Y115" s="177"/>
      <c r="Z115" s="1619"/>
      <c r="AA115" s="177"/>
      <c r="AB115" s="274" t="str">
        <f t="shared" si="7"/>
        <v>2058 год</v>
      </c>
      <c r="AC115" s="389"/>
      <c r="AD115" s="100"/>
      <c r="AE115" s="100"/>
      <c r="AF115" s="99"/>
      <c r="AG115" s="99"/>
      <c r="AH115" s="100"/>
      <c r="AI115" s="99"/>
      <c r="AJ115" s="99"/>
      <c r="AK115" s="101"/>
      <c r="AL115" s="177"/>
      <c r="AM115" s="177"/>
      <c r="AN115" s="1020" cm="1">
        <f t="array" ref="AN115">H115</f>
        <v>2058</v>
      </c>
    </row>
    <row r="116" spans="1:40" s="1395" customFormat="1" ht="16.5" hidden="1" customHeight="1" x14ac:dyDescent="0.15">
      <c r="A116" s="177"/>
      <c r="B116" s="795" t="b">
        <f t="shared" si="6"/>
        <v>0</v>
      </c>
      <c r="C116" s="177"/>
      <c r="D116" s="177"/>
      <c r="E116" s="668">
        <v>17.100000000000001</v>
      </c>
      <c r="F116" s="788" t="str" cm="1">
        <f t="array" ref="F116">F115</f>
        <v>1</v>
      </c>
      <c r="G116" s="177"/>
      <c r="H116" s="175">
        <f>first_year+35</f>
        <v>2059</v>
      </c>
      <c r="I116" s="177"/>
      <c r="J116" s="177"/>
      <c r="K116" s="177"/>
      <c r="L116" s="177"/>
      <c r="M116" s="177"/>
      <c r="N116" s="177"/>
      <c r="O116" s="177"/>
      <c r="P116" s="177"/>
      <c r="Q116" s="177"/>
      <c r="R116" s="177"/>
      <c r="S116" s="177"/>
      <c r="T116" s="679" t="b" cm="1">
        <f t="array" ref="T116">T115</f>
        <v>1</v>
      </c>
      <c r="U116" s="177"/>
      <c r="V116" s="177"/>
      <c r="W116" s="177"/>
      <c r="X116" s="1619"/>
      <c r="Y116" s="177"/>
      <c r="Z116" s="1619"/>
      <c r="AA116" s="177"/>
      <c r="AB116" s="274" t="str">
        <f t="shared" si="7"/>
        <v>2059 год</v>
      </c>
      <c r="AC116" s="389"/>
      <c r="AD116" s="100"/>
      <c r="AE116" s="100"/>
      <c r="AF116" s="99"/>
      <c r="AG116" s="99"/>
      <c r="AH116" s="100"/>
      <c r="AI116" s="99"/>
      <c r="AJ116" s="99"/>
      <c r="AK116" s="101"/>
      <c r="AL116" s="177"/>
      <c r="AM116" s="177"/>
      <c r="AN116" s="1020" cm="1">
        <f t="array" ref="AN116">H116</f>
        <v>2059</v>
      </c>
    </row>
    <row r="117" spans="1:40" s="1396" customFormat="1" ht="16.5" hidden="1" customHeight="1" x14ac:dyDescent="0.15">
      <c r="A117" s="177"/>
      <c r="B117" s="795" t="b">
        <f t="shared" si="6"/>
        <v>0</v>
      </c>
      <c r="C117" s="177"/>
      <c r="D117" s="177"/>
      <c r="E117" s="668">
        <v>17.100000000000001</v>
      </c>
      <c r="F117" s="788" t="str" cm="1">
        <f t="array" ref="F117">F116</f>
        <v>1</v>
      </c>
      <c r="G117" s="177"/>
      <c r="H117" s="175">
        <f>first_year+36</f>
        <v>2060</v>
      </c>
      <c r="I117" s="177"/>
      <c r="J117" s="177"/>
      <c r="K117" s="177"/>
      <c r="L117" s="177"/>
      <c r="M117" s="177"/>
      <c r="N117" s="177"/>
      <c r="O117" s="177"/>
      <c r="P117" s="177"/>
      <c r="Q117" s="177"/>
      <c r="R117" s="177"/>
      <c r="S117" s="177"/>
      <c r="T117" s="679" t="b" cm="1">
        <f t="array" ref="T117">T116</f>
        <v>1</v>
      </c>
      <c r="U117" s="177"/>
      <c r="V117" s="177"/>
      <c r="W117" s="177"/>
      <c r="X117" s="1619"/>
      <c r="Y117" s="177"/>
      <c r="Z117" s="1619"/>
      <c r="AA117" s="177"/>
      <c r="AB117" s="274" t="str">
        <f t="shared" si="7"/>
        <v>2060 год</v>
      </c>
      <c r="AC117" s="389"/>
      <c r="AD117" s="100"/>
      <c r="AE117" s="100"/>
      <c r="AF117" s="99"/>
      <c r="AG117" s="99"/>
      <c r="AH117" s="100"/>
      <c r="AI117" s="99"/>
      <c r="AJ117" s="99"/>
      <c r="AK117" s="101"/>
      <c r="AL117" s="177"/>
      <c r="AM117" s="177"/>
      <c r="AN117" s="1020" cm="1">
        <f t="array" ref="AN117">H117</f>
        <v>2060</v>
      </c>
    </row>
    <row r="118" spans="1:40" s="1397" customFormat="1" ht="16.5" hidden="1" customHeight="1" x14ac:dyDescent="0.15">
      <c r="A118" s="177"/>
      <c r="B118" s="795" t="b">
        <f t="shared" si="6"/>
        <v>0</v>
      </c>
      <c r="C118" s="177"/>
      <c r="D118" s="177"/>
      <c r="E118" s="668">
        <v>17.100000000000001</v>
      </c>
      <c r="F118" s="788" t="str" cm="1">
        <f t="array" ref="F118">F117</f>
        <v>1</v>
      </c>
      <c r="G118" s="177"/>
      <c r="H118" s="175">
        <f>first_year+37</f>
        <v>2061</v>
      </c>
      <c r="I118" s="177"/>
      <c r="J118" s="177"/>
      <c r="K118" s="177"/>
      <c r="L118" s="177"/>
      <c r="M118" s="177"/>
      <c r="N118" s="177"/>
      <c r="O118" s="177"/>
      <c r="P118" s="177"/>
      <c r="Q118" s="177"/>
      <c r="R118" s="177"/>
      <c r="S118" s="177"/>
      <c r="T118" s="679" t="b" cm="1">
        <f t="array" ref="T118">T117</f>
        <v>1</v>
      </c>
      <c r="U118" s="177"/>
      <c r="V118" s="177"/>
      <c r="W118" s="177"/>
      <c r="X118" s="1619"/>
      <c r="Y118" s="177"/>
      <c r="Z118" s="1619"/>
      <c r="AA118" s="177"/>
      <c r="AB118" s="274" t="str">
        <f t="shared" si="7"/>
        <v>2061 год</v>
      </c>
      <c r="AC118" s="389"/>
      <c r="AD118" s="100"/>
      <c r="AE118" s="100"/>
      <c r="AF118" s="99"/>
      <c r="AG118" s="99"/>
      <c r="AH118" s="100"/>
      <c r="AI118" s="99"/>
      <c r="AJ118" s="99"/>
      <c r="AK118" s="101"/>
      <c r="AL118" s="177"/>
      <c r="AM118" s="177"/>
      <c r="AN118" s="1020" cm="1">
        <f t="array" ref="AN118">H118</f>
        <v>2061</v>
      </c>
    </row>
    <row r="119" spans="1:40" s="1398" customFormat="1" ht="16.5" hidden="1" customHeight="1" x14ac:dyDescent="0.15">
      <c r="A119" s="177"/>
      <c r="B119" s="795" t="b">
        <f t="shared" si="6"/>
        <v>0</v>
      </c>
      <c r="C119" s="177"/>
      <c r="D119" s="177"/>
      <c r="E119" s="668">
        <v>17.100000000000001</v>
      </c>
      <c r="F119" s="788" t="str" cm="1">
        <f t="array" ref="F119">F118</f>
        <v>1</v>
      </c>
      <c r="G119" s="177"/>
      <c r="H119" s="175">
        <f>first_year+38</f>
        <v>2062</v>
      </c>
      <c r="I119" s="177"/>
      <c r="J119" s="177"/>
      <c r="K119" s="177"/>
      <c r="L119" s="177"/>
      <c r="M119" s="177"/>
      <c r="N119" s="177"/>
      <c r="O119" s="177"/>
      <c r="P119" s="177"/>
      <c r="Q119" s="177"/>
      <c r="R119" s="177"/>
      <c r="S119" s="177"/>
      <c r="T119" s="679" t="b" cm="1">
        <f t="array" ref="T119">T118</f>
        <v>1</v>
      </c>
      <c r="U119" s="177"/>
      <c r="V119" s="177"/>
      <c r="W119" s="177"/>
      <c r="X119" s="1619"/>
      <c r="Y119" s="177"/>
      <c r="Z119" s="1619"/>
      <c r="AA119" s="177"/>
      <c r="AB119" s="274" t="str">
        <f t="shared" si="7"/>
        <v>2062 год</v>
      </c>
      <c r="AC119" s="389"/>
      <c r="AD119" s="100"/>
      <c r="AE119" s="100"/>
      <c r="AF119" s="99"/>
      <c r="AG119" s="99"/>
      <c r="AH119" s="100"/>
      <c r="AI119" s="99"/>
      <c r="AJ119" s="99"/>
      <c r="AK119" s="101"/>
      <c r="AL119" s="177"/>
      <c r="AM119" s="177"/>
      <c r="AN119" s="1020" cm="1">
        <f t="array" ref="AN119">H119</f>
        <v>2062</v>
      </c>
    </row>
    <row r="120" spans="1:40" s="1399" customFormat="1" ht="16.5" hidden="1" customHeight="1" x14ac:dyDescent="0.15">
      <c r="A120" s="177"/>
      <c r="B120" s="795" t="b">
        <f t="shared" si="6"/>
        <v>0</v>
      </c>
      <c r="C120" s="177"/>
      <c r="D120" s="177"/>
      <c r="E120" s="668">
        <v>17.100000000000001</v>
      </c>
      <c r="F120" s="788" t="str" cm="1">
        <f t="array" ref="F120">F119</f>
        <v>1</v>
      </c>
      <c r="G120" s="177"/>
      <c r="H120" s="175">
        <f>first_year+39</f>
        <v>2063</v>
      </c>
      <c r="I120" s="177"/>
      <c r="J120" s="177"/>
      <c r="K120" s="177"/>
      <c r="L120" s="177"/>
      <c r="M120" s="177"/>
      <c r="N120" s="177"/>
      <c r="O120" s="177"/>
      <c r="P120" s="177"/>
      <c r="Q120" s="177"/>
      <c r="R120" s="177"/>
      <c r="S120" s="177"/>
      <c r="T120" s="679" t="b" cm="1">
        <f t="array" ref="T120">T119</f>
        <v>1</v>
      </c>
      <c r="U120" s="177"/>
      <c r="V120" s="177"/>
      <c r="W120" s="177"/>
      <c r="X120" s="1619"/>
      <c r="Y120" s="177"/>
      <c r="Z120" s="1619"/>
      <c r="AA120" s="177"/>
      <c r="AB120" s="274" t="str">
        <f t="shared" si="7"/>
        <v>2063 год</v>
      </c>
      <c r="AC120" s="389"/>
      <c r="AD120" s="100"/>
      <c r="AE120" s="100"/>
      <c r="AF120" s="99"/>
      <c r="AG120" s="99"/>
      <c r="AH120" s="100"/>
      <c r="AI120" s="99"/>
      <c r="AJ120" s="99"/>
      <c r="AK120" s="101"/>
      <c r="AL120" s="177"/>
      <c r="AM120" s="177"/>
      <c r="AN120" s="1020" cm="1">
        <f t="array" ref="AN120">H120</f>
        <v>2063</v>
      </c>
    </row>
    <row r="121" spans="1:40" s="1400" customFormat="1" ht="16.5" hidden="1" customHeight="1" x14ac:dyDescent="0.15">
      <c r="A121" s="177"/>
      <c r="B121" s="795" t="b">
        <f t="shared" si="6"/>
        <v>0</v>
      </c>
      <c r="C121" s="177"/>
      <c r="D121" s="177"/>
      <c r="E121" s="668">
        <v>17.100000000000001</v>
      </c>
      <c r="F121" s="788" t="str" cm="1">
        <f t="array" ref="F121">F120</f>
        <v>1</v>
      </c>
      <c r="G121" s="177"/>
      <c r="H121" s="175">
        <f>first_year+40</f>
        <v>2064</v>
      </c>
      <c r="I121" s="177"/>
      <c r="J121" s="177"/>
      <c r="K121" s="177"/>
      <c r="L121" s="177"/>
      <c r="M121" s="177"/>
      <c r="N121" s="177"/>
      <c r="O121" s="177"/>
      <c r="P121" s="177"/>
      <c r="Q121" s="177"/>
      <c r="R121" s="177"/>
      <c r="S121" s="177"/>
      <c r="T121" s="679" t="b" cm="1">
        <f t="array" ref="T121">T120</f>
        <v>1</v>
      </c>
      <c r="U121" s="177"/>
      <c r="V121" s="177"/>
      <c r="W121" s="177"/>
      <c r="X121" s="1619"/>
      <c r="Y121" s="177"/>
      <c r="Z121" s="1619"/>
      <c r="AA121" s="177"/>
      <c r="AB121" s="274" t="str">
        <f t="shared" si="7"/>
        <v>2064 год</v>
      </c>
      <c r="AC121" s="389"/>
      <c r="AD121" s="100"/>
      <c r="AE121" s="100"/>
      <c r="AF121" s="99"/>
      <c r="AG121" s="99"/>
      <c r="AH121" s="100"/>
      <c r="AI121" s="99"/>
      <c r="AJ121" s="99"/>
      <c r="AK121" s="101"/>
      <c r="AL121" s="177"/>
      <c r="AM121" s="177"/>
      <c r="AN121" s="1020" cm="1">
        <f t="array" ref="AN121">H121</f>
        <v>2064</v>
      </c>
    </row>
    <row r="122" spans="1:40" s="1401" customFormat="1" ht="16.5" hidden="1" customHeight="1" x14ac:dyDescent="0.15">
      <c r="A122" s="177"/>
      <c r="B122" s="795" t="b">
        <f t="shared" si="6"/>
        <v>0</v>
      </c>
      <c r="C122" s="177"/>
      <c r="D122" s="177"/>
      <c r="E122" s="668">
        <v>17.100000000000001</v>
      </c>
      <c r="F122" s="788" t="str" cm="1">
        <f t="array" ref="F122">F121</f>
        <v>1</v>
      </c>
      <c r="G122" s="177"/>
      <c r="H122" s="175">
        <f>first_year+41</f>
        <v>2065</v>
      </c>
      <c r="I122" s="177"/>
      <c r="J122" s="177"/>
      <c r="K122" s="177"/>
      <c r="L122" s="177"/>
      <c r="M122" s="177"/>
      <c r="N122" s="177"/>
      <c r="O122" s="177"/>
      <c r="P122" s="177"/>
      <c r="Q122" s="177"/>
      <c r="R122" s="177"/>
      <c r="S122" s="177"/>
      <c r="T122" s="679" t="b" cm="1">
        <f t="array" ref="T122">T121</f>
        <v>1</v>
      </c>
      <c r="U122" s="177"/>
      <c r="V122" s="177"/>
      <c r="W122" s="177"/>
      <c r="X122" s="1619"/>
      <c r="Y122" s="177"/>
      <c r="Z122" s="1619"/>
      <c r="AA122" s="177"/>
      <c r="AB122" s="274" t="str">
        <f t="shared" si="7"/>
        <v>2065 год</v>
      </c>
      <c r="AC122" s="389"/>
      <c r="AD122" s="100"/>
      <c r="AE122" s="100"/>
      <c r="AF122" s="99"/>
      <c r="AG122" s="99"/>
      <c r="AH122" s="100"/>
      <c r="AI122" s="99"/>
      <c r="AJ122" s="99"/>
      <c r="AK122" s="101"/>
      <c r="AL122" s="177"/>
      <c r="AM122" s="177"/>
      <c r="AN122" s="1020" cm="1">
        <f t="array" ref="AN122">H122</f>
        <v>2065</v>
      </c>
    </row>
    <row r="123" spans="1:40" s="1402" customFormat="1" ht="16.5" hidden="1" customHeight="1" x14ac:dyDescent="0.15">
      <c r="A123" s="177"/>
      <c r="B123" s="795" t="b">
        <f t="shared" si="6"/>
        <v>0</v>
      </c>
      <c r="C123" s="177"/>
      <c r="D123" s="177"/>
      <c r="E123" s="668">
        <v>17.100000000000001</v>
      </c>
      <c r="F123" s="788" t="str" cm="1">
        <f t="array" ref="F123">F122</f>
        <v>1</v>
      </c>
      <c r="G123" s="177"/>
      <c r="H123" s="175">
        <f>first_year+42</f>
        <v>2066</v>
      </c>
      <c r="I123" s="177"/>
      <c r="J123" s="177"/>
      <c r="K123" s="177"/>
      <c r="L123" s="177"/>
      <c r="M123" s="177"/>
      <c r="N123" s="177"/>
      <c r="O123" s="177"/>
      <c r="P123" s="177"/>
      <c r="Q123" s="177"/>
      <c r="R123" s="177"/>
      <c r="S123" s="177"/>
      <c r="T123" s="679" t="b" cm="1">
        <f t="array" ref="T123">T122</f>
        <v>1</v>
      </c>
      <c r="U123" s="177"/>
      <c r="V123" s="177"/>
      <c r="W123" s="177"/>
      <c r="X123" s="1619"/>
      <c r="Y123" s="177"/>
      <c r="Z123" s="1619"/>
      <c r="AA123" s="177"/>
      <c r="AB123" s="274" t="str">
        <f t="shared" si="7"/>
        <v>2066 год</v>
      </c>
      <c r="AC123" s="389"/>
      <c r="AD123" s="100"/>
      <c r="AE123" s="100"/>
      <c r="AF123" s="99"/>
      <c r="AG123" s="99"/>
      <c r="AH123" s="100"/>
      <c r="AI123" s="99"/>
      <c r="AJ123" s="99"/>
      <c r="AK123" s="101"/>
      <c r="AL123" s="177"/>
      <c r="AM123" s="177"/>
      <c r="AN123" s="1020" cm="1">
        <f t="array" ref="AN123">H123</f>
        <v>2066</v>
      </c>
    </row>
    <row r="124" spans="1:40" s="1403" customFormat="1" ht="16.5" hidden="1" customHeight="1" x14ac:dyDescent="0.15">
      <c r="A124" s="177"/>
      <c r="B124" s="795" t="b">
        <f t="shared" si="6"/>
        <v>0</v>
      </c>
      <c r="C124" s="177"/>
      <c r="D124" s="177"/>
      <c r="E124" s="668">
        <v>17.100000000000001</v>
      </c>
      <c r="F124" s="788" t="str" cm="1">
        <f t="array" ref="F124">F123</f>
        <v>1</v>
      </c>
      <c r="G124" s="177"/>
      <c r="H124" s="175">
        <f>first_year+43</f>
        <v>2067</v>
      </c>
      <c r="I124" s="177"/>
      <c r="J124" s="177"/>
      <c r="K124" s="177"/>
      <c r="L124" s="177"/>
      <c r="M124" s="177"/>
      <c r="N124" s="177"/>
      <c r="O124" s="177"/>
      <c r="P124" s="177"/>
      <c r="Q124" s="177"/>
      <c r="R124" s="177"/>
      <c r="S124" s="177"/>
      <c r="T124" s="679" t="b" cm="1">
        <f t="array" ref="T124">T123</f>
        <v>1</v>
      </c>
      <c r="U124" s="177"/>
      <c r="V124" s="177"/>
      <c r="W124" s="177"/>
      <c r="X124" s="1619"/>
      <c r="Y124" s="177"/>
      <c r="Z124" s="1619"/>
      <c r="AA124" s="177"/>
      <c r="AB124" s="274" t="str">
        <f t="shared" si="7"/>
        <v>2067 год</v>
      </c>
      <c r="AC124" s="389"/>
      <c r="AD124" s="100"/>
      <c r="AE124" s="100"/>
      <c r="AF124" s="99"/>
      <c r="AG124" s="99"/>
      <c r="AH124" s="100"/>
      <c r="AI124" s="99"/>
      <c r="AJ124" s="99"/>
      <c r="AK124" s="101"/>
      <c r="AL124" s="177"/>
      <c r="AM124" s="177"/>
      <c r="AN124" s="1020" cm="1">
        <f t="array" ref="AN124">H124</f>
        <v>2067</v>
      </c>
    </row>
    <row r="125" spans="1:40" s="1404" customFormat="1" ht="16.5" hidden="1" customHeight="1" x14ac:dyDescent="0.15">
      <c r="A125" s="177"/>
      <c r="B125" s="795" t="b">
        <f t="shared" si="6"/>
        <v>0</v>
      </c>
      <c r="C125" s="177"/>
      <c r="D125" s="177"/>
      <c r="E125" s="668">
        <v>17.100000000000001</v>
      </c>
      <c r="F125" s="788" t="str" cm="1">
        <f t="array" ref="F125">F124</f>
        <v>1</v>
      </c>
      <c r="G125" s="177"/>
      <c r="H125" s="175">
        <f>first_year+44</f>
        <v>2068</v>
      </c>
      <c r="I125" s="177"/>
      <c r="J125" s="177"/>
      <c r="K125" s="177"/>
      <c r="L125" s="177"/>
      <c r="M125" s="177"/>
      <c r="N125" s="177"/>
      <c r="O125" s="177"/>
      <c r="P125" s="177"/>
      <c r="Q125" s="177"/>
      <c r="R125" s="177"/>
      <c r="S125" s="177"/>
      <c r="T125" s="679" t="b" cm="1">
        <f t="array" ref="T125">T124</f>
        <v>1</v>
      </c>
      <c r="U125" s="177"/>
      <c r="V125" s="177"/>
      <c r="W125" s="177"/>
      <c r="X125" s="1619"/>
      <c r="Y125" s="177"/>
      <c r="Z125" s="1619"/>
      <c r="AA125" s="177"/>
      <c r="AB125" s="274" t="str">
        <f t="shared" si="7"/>
        <v>2068 год</v>
      </c>
      <c r="AC125" s="389"/>
      <c r="AD125" s="100"/>
      <c r="AE125" s="100"/>
      <c r="AF125" s="99"/>
      <c r="AG125" s="99"/>
      <c r="AH125" s="100"/>
      <c r="AI125" s="99"/>
      <c r="AJ125" s="99"/>
      <c r="AK125" s="101"/>
      <c r="AL125" s="177"/>
      <c r="AM125" s="177"/>
      <c r="AN125" s="1020" cm="1">
        <f t="array" ref="AN125">H125</f>
        <v>2068</v>
      </c>
    </row>
    <row r="126" spans="1:40" s="1405" customFormat="1" ht="16.5" hidden="1" customHeight="1" x14ac:dyDescent="0.15">
      <c r="A126" s="177"/>
      <c r="B126" s="795" t="b">
        <f t="shared" si="6"/>
        <v>0</v>
      </c>
      <c r="C126" s="177"/>
      <c r="D126" s="177"/>
      <c r="E126" s="668">
        <v>17.100000000000001</v>
      </c>
      <c r="F126" s="788" t="str" cm="1">
        <f t="array" ref="F126">F125</f>
        <v>1</v>
      </c>
      <c r="G126" s="177"/>
      <c r="H126" s="175">
        <f>first_year+45</f>
        <v>2069</v>
      </c>
      <c r="I126" s="177"/>
      <c r="J126" s="177"/>
      <c r="K126" s="177"/>
      <c r="L126" s="177"/>
      <c r="M126" s="177"/>
      <c r="N126" s="177"/>
      <c r="O126" s="177"/>
      <c r="P126" s="177"/>
      <c r="Q126" s="177"/>
      <c r="R126" s="177"/>
      <c r="S126" s="177"/>
      <c r="T126" s="679" t="b" cm="1">
        <f t="array" ref="T126">T125</f>
        <v>1</v>
      </c>
      <c r="U126" s="177"/>
      <c r="V126" s="177"/>
      <c r="W126" s="177"/>
      <c r="X126" s="1619"/>
      <c r="Y126" s="177"/>
      <c r="Z126" s="1619"/>
      <c r="AA126" s="177"/>
      <c r="AB126" s="274" t="str">
        <f t="shared" si="7"/>
        <v>2069 год</v>
      </c>
      <c r="AC126" s="389"/>
      <c r="AD126" s="100"/>
      <c r="AE126" s="100"/>
      <c r="AF126" s="99"/>
      <c r="AG126" s="99"/>
      <c r="AH126" s="100"/>
      <c r="AI126" s="99"/>
      <c r="AJ126" s="99"/>
      <c r="AK126" s="101"/>
      <c r="AL126" s="177"/>
      <c r="AM126" s="177"/>
      <c r="AN126" s="1020" cm="1">
        <f t="array" ref="AN126">H126</f>
        <v>2069</v>
      </c>
    </row>
    <row r="127" spans="1:40" s="1406" customFormat="1" ht="16.5" hidden="1" customHeight="1" x14ac:dyDescent="0.15">
      <c r="A127" s="177"/>
      <c r="B127" s="795" t="b">
        <f t="shared" si="6"/>
        <v>0</v>
      </c>
      <c r="C127" s="177"/>
      <c r="D127" s="177"/>
      <c r="E127" s="668">
        <v>17.100000000000001</v>
      </c>
      <c r="F127" s="788" t="str" cm="1">
        <f t="array" ref="F127">F126</f>
        <v>1</v>
      </c>
      <c r="G127" s="177"/>
      <c r="H127" s="175">
        <f>first_year+46</f>
        <v>2070</v>
      </c>
      <c r="I127" s="177"/>
      <c r="J127" s="177"/>
      <c r="K127" s="177"/>
      <c r="L127" s="177"/>
      <c r="M127" s="177"/>
      <c r="N127" s="177"/>
      <c r="O127" s="177"/>
      <c r="P127" s="177"/>
      <c r="Q127" s="177"/>
      <c r="R127" s="177"/>
      <c r="S127" s="177"/>
      <c r="T127" s="679" t="b" cm="1">
        <f t="array" ref="T127">T126</f>
        <v>1</v>
      </c>
      <c r="U127" s="177"/>
      <c r="V127" s="177"/>
      <c r="W127" s="177"/>
      <c r="X127" s="1619"/>
      <c r="Y127" s="177"/>
      <c r="Z127" s="1619"/>
      <c r="AA127" s="177"/>
      <c r="AB127" s="274" t="str">
        <f t="shared" si="7"/>
        <v>2070 год</v>
      </c>
      <c r="AC127" s="389"/>
      <c r="AD127" s="100"/>
      <c r="AE127" s="100"/>
      <c r="AF127" s="99"/>
      <c r="AG127" s="99"/>
      <c r="AH127" s="100"/>
      <c r="AI127" s="99"/>
      <c r="AJ127" s="99"/>
      <c r="AK127" s="101"/>
      <c r="AL127" s="177"/>
      <c r="AM127" s="177"/>
      <c r="AN127" s="1020" cm="1">
        <f t="array" ref="AN127">H127</f>
        <v>2070</v>
      </c>
    </row>
    <row r="128" spans="1:40" s="1407" customFormat="1" ht="16.5" hidden="1" customHeight="1" x14ac:dyDescent="0.15">
      <c r="A128" s="177"/>
      <c r="B128" s="795" t="b">
        <f t="shared" si="6"/>
        <v>0</v>
      </c>
      <c r="C128" s="177"/>
      <c r="D128" s="177"/>
      <c r="E128" s="668">
        <v>17.100000000000001</v>
      </c>
      <c r="F128" s="788" t="str" cm="1">
        <f t="array" ref="F128">F127</f>
        <v>1</v>
      </c>
      <c r="G128" s="177"/>
      <c r="H128" s="175">
        <f>first_year+47</f>
        <v>2071</v>
      </c>
      <c r="I128" s="177"/>
      <c r="J128" s="177"/>
      <c r="K128" s="177"/>
      <c r="L128" s="177"/>
      <c r="M128" s="177"/>
      <c r="N128" s="177"/>
      <c r="O128" s="177"/>
      <c r="P128" s="177"/>
      <c r="Q128" s="177"/>
      <c r="R128" s="177"/>
      <c r="S128" s="177"/>
      <c r="T128" s="679" t="b" cm="1">
        <f t="array" ref="T128">T127</f>
        <v>1</v>
      </c>
      <c r="U128" s="177"/>
      <c r="V128" s="177"/>
      <c r="W128" s="177"/>
      <c r="X128" s="1619"/>
      <c r="Y128" s="177"/>
      <c r="Z128" s="1619"/>
      <c r="AA128" s="177"/>
      <c r="AB128" s="274" t="str">
        <f t="shared" si="7"/>
        <v>2071 год</v>
      </c>
      <c r="AC128" s="389"/>
      <c r="AD128" s="100"/>
      <c r="AE128" s="100"/>
      <c r="AF128" s="99"/>
      <c r="AG128" s="99"/>
      <c r="AH128" s="100"/>
      <c r="AI128" s="99"/>
      <c r="AJ128" s="99"/>
      <c r="AK128" s="101"/>
      <c r="AL128" s="177"/>
      <c r="AM128" s="177"/>
      <c r="AN128" s="1020" cm="1">
        <f t="array" ref="AN128">H128</f>
        <v>2071</v>
      </c>
    </row>
    <row r="129" spans="1:40" s="1408" customFormat="1" ht="16.5" hidden="1" customHeight="1" x14ac:dyDescent="0.15">
      <c r="A129" s="177"/>
      <c r="B129" s="795" t="b">
        <f t="shared" si="6"/>
        <v>0</v>
      </c>
      <c r="C129" s="177"/>
      <c r="D129" s="177"/>
      <c r="E129" s="668">
        <v>17.100000000000001</v>
      </c>
      <c r="F129" s="788" t="str" cm="1">
        <f t="array" ref="F129">F128</f>
        <v>1</v>
      </c>
      <c r="G129" s="177"/>
      <c r="H129" s="175">
        <f>first_year+48</f>
        <v>2072</v>
      </c>
      <c r="I129" s="177"/>
      <c r="J129" s="177"/>
      <c r="K129" s="177"/>
      <c r="L129" s="177"/>
      <c r="M129" s="177"/>
      <c r="N129" s="177"/>
      <c r="O129" s="177"/>
      <c r="P129" s="177"/>
      <c r="Q129" s="177"/>
      <c r="R129" s="177"/>
      <c r="S129" s="177"/>
      <c r="T129" s="679" t="b" cm="1">
        <f t="array" ref="T129">T128</f>
        <v>1</v>
      </c>
      <c r="U129" s="177"/>
      <c r="V129" s="177"/>
      <c r="W129" s="177"/>
      <c r="X129" s="1619"/>
      <c r="Y129" s="177"/>
      <c r="Z129" s="1619"/>
      <c r="AA129" s="177"/>
      <c r="AB129" s="274" t="str">
        <f t="shared" si="7"/>
        <v>2072 год</v>
      </c>
      <c r="AC129" s="389"/>
      <c r="AD129" s="100"/>
      <c r="AE129" s="100"/>
      <c r="AF129" s="99"/>
      <c r="AG129" s="99"/>
      <c r="AH129" s="100"/>
      <c r="AI129" s="99"/>
      <c r="AJ129" s="99"/>
      <c r="AK129" s="101"/>
      <c r="AL129" s="177"/>
      <c r="AM129" s="177"/>
      <c r="AN129" s="1020" cm="1">
        <f t="array" ref="AN129">H129</f>
        <v>2072</v>
      </c>
    </row>
    <row r="130" spans="1:40" s="1409" customFormat="1" ht="16.5" hidden="1" customHeight="1" x14ac:dyDescent="0.15">
      <c r="A130" s="177"/>
      <c r="B130" s="795" t="b">
        <f t="shared" si="6"/>
        <v>0</v>
      </c>
      <c r="C130" s="177"/>
      <c r="D130" s="177"/>
      <c r="E130" s="668">
        <v>17.100000000000001</v>
      </c>
      <c r="F130" s="788" t="str" cm="1">
        <f t="array" ref="F130">F129</f>
        <v>1</v>
      </c>
      <c r="G130" s="177"/>
      <c r="H130" s="175">
        <f>first_year+49</f>
        <v>2073</v>
      </c>
      <c r="I130" s="177"/>
      <c r="J130" s="177"/>
      <c r="K130" s="177"/>
      <c r="L130" s="177"/>
      <c r="M130" s="177"/>
      <c r="N130" s="177"/>
      <c r="O130" s="177"/>
      <c r="P130" s="177"/>
      <c r="Q130" s="177"/>
      <c r="R130" s="177"/>
      <c r="S130" s="177"/>
      <c r="T130" s="679" t="b" cm="1">
        <f t="array" ref="T130">T129</f>
        <v>1</v>
      </c>
      <c r="U130" s="177"/>
      <c r="V130" s="177"/>
      <c r="W130" s="177"/>
      <c r="X130" s="1619"/>
      <c r="Y130" s="177"/>
      <c r="Z130" s="1619"/>
      <c r="AA130" s="177"/>
      <c r="AB130" s="274" t="str">
        <f t="shared" si="7"/>
        <v>2073 год</v>
      </c>
      <c r="AC130" s="389"/>
      <c r="AD130" s="100"/>
      <c r="AE130" s="100"/>
      <c r="AF130" s="99"/>
      <c r="AG130" s="99"/>
      <c r="AH130" s="100"/>
      <c r="AI130" s="99"/>
      <c r="AJ130" s="99"/>
      <c r="AK130" s="101"/>
      <c r="AL130" s="177"/>
      <c r="AM130" s="177"/>
      <c r="AN130" s="1020" cm="1">
        <f t="array" ref="AN130">H130</f>
        <v>2073</v>
      </c>
    </row>
    <row r="131" spans="1:40" ht="11.65" customHeight="1" x14ac:dyDescent="0.15">
      <c r="E131" s="668">
        <v>12</v>
      </c>
      <c r="U131" s="126" t="s">
        <v>239</v>
      </c>
      <c r="V131" s="119" t="s">
        <v>2222</v>
      </c>
    </row>
    <row r="132" spans="1:40" ht="14.65" customHeight="1" x14ac:dyDescent="0.15">
      <c r="E132" s="668">
        <v>15</v>
      </c>
      <c r="AB132" s="1502" t="s">
        <v>725</v>
      </c>
      <c r="AC132" s="1502"/>
      <c r="AD132" s="1502"/>
      <c r="AE132" s="1502"/>
      <c r="AF132" s="1502"/>
      <c r="AG132" s="1502"/>
      <c r="AH132" s="1502"/>
      <c r="AI132" s="1502"/>
      <c r="AJ132" s="1502"/>
      <c r="AK132" s="1502"/>
    </row>
    <row r="133" spans="1:40" ht="14.65" customHeight="1" x14ac:dyDescent="0.15">
      <c r="E133" s="668">
        <v>15</v>
      </c>
      <c r="AA133" s="768"/>
      <c r="AB133" s="1621"/>
      <c r="AC133" s="1621"/>
      <c r="AD133" s="1621"/>
      <c r="AE133" s="1621"/>
      <c r="AF133" s="1621"/>
      <c r="AG133" s="1621"/>
      <c r="AH133" s="1621"/>
      <c r="AI133" s="1621"/>
      <c r="AJ133" s="1621"/>
      <c r="AK133" s="1621"/>
    </row>
    <row r="134" spans="1:40" ht="14.65" hidden="1" customHeight="1" x14ac:dyDescent="0.15">
      <c r="E134" s="668">
        <v>15</v>
      </c>
      <c r="T134" s="679" t="b">
        <f>ROW(W134)&gt;ROW(W$134)</f>
        <v>0</v>
      </c>
      <c r="W134" s="123" t="s">
        <v>237</v>
      </c>
      <c r="AA134" s="764" t="s">
        <v>218</v>
      </c>
      <c r="AB134" s="1620"/>
      <c r="AC134" s="1620"/>
      <c r="AD134" s="1620"/>
      <c r="AE134" s="1620"/>
      <c r="AF134" s="1620"/>
      <c r="AG134" s="1620"/>
      <c r="AH134" s="1620"/>
      <c r="AI134" s="1620"/>
      <c r="AJ134" s="1620"/>
      <c r="AK134" s="1620"/>
    </row>
    <row r="135" spans="1:40" ht="14.65" customHeight="1" x14ac:dyDescent="0.15">
      <c r="E135" s="668">
        <v>15</v>
      </c>
      <c r="W135" s="119" t="s">
        <v>238</v>
      </c>
      <c r="AB135" s="1500" t="s">
        <v>726</v>
      </c>
      <c r="AC135" s="1501"/>
      <c r="AD135" s="320"/>
      <c r="AE135" s="320"/>
      <c r="AF135" s="320"/>
      <c r="AG135" s="320"/>
      <c r="AH135" s="320"/>
      <c r="AI135" s="320"/>
      <c r="AJ135" s="320"/>
      <c r="AK135" s="447"/>
    </row>
    <row r="136" spans="1:40" ht="11.25" customHeight="1" x14ac:dyDescent="0.15">
      <c r="AL136" s="160"/>
    </row>
  </sheetData>
  <sheetProtection formatColumns="0" formatRows="0" insertRows="0" deleteColumns="0" deleteRows="0" sort="0" autoFilter="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xr:uid="{00000000-0002-0000-21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0AB62-17B8-5E63-D218-64C709CEA6E8}">
  <sheetPr>
    <tabColor rgb="FFD3DBDB"/>
    <pageSetUpPr fitToPage="1"/>
  </sheetPr>
  <dimension ref="A1:AC36"/>
  <sheetViews>
    <sheetView showGridLines="0" topLeftCell="AA21" workbookViewId="0">
      <selection activeCell="AA21" sqref="AA21"/>
    </sheetView>
  </sheetViews>
  <sheetFormatPr defaultColWidth="9.140625" defaultRowHeight="11.25" customHeight="1" x14ac:dyDescent="0.15"/>
  <cols>
    <col min="1" max="1" width="3.5703125" style="1150" hidden="1" customWidth="1"/>
    <col min="2" max="2" width="8.5703125" style="773" hidden="1" customWidth="1"/>
    <col min="3" max="4" width="3.5703125" style="1150" hidden="1" customWidth="1"/>
    <col min="5" max="5" width="8.42578125" style="772" hidden="1" customWidth="1"/>
    <col min="6" max="21" width="3.5703125" style="1150" hidden="1" customWidth="1"/>
    <col min="22" max="22" width="6" style="1150" hidden="1" customWidth="1"/>
    <col min="23" max="23" width="3.5703125" style="1150" hidden="1" customWidth="1"/>
    <col min="24" max="25" width="6.28515625" style="1150" hidden="1" customWidth="1"/>
    <col min="26" max="26" width="5.7109375" style="1150" hidden="1" customWidth="1"/>
    <col min="27" max="27" width="3" style="781" customWidth="1"/>
    <col min="28" max="28" width="94.28515625" style="781" customWidth="1"/>
    <col min="29" max="29" width="3" style="781" customWidth="1"/>
  </cols>
  <sheetData>
    <row r="1" spans="1:29" s="1150" customFormat="1" ht="12" hidden="1" customHeight="1" x14ac:dyDescent="0.15">
      <c r="B1" s="659"/>
      <c r="E1" s="659"/>
      <c r="W1" s="659"/>
      <c r="X1" s="679" t="s">
        <v>86</v>
      </c>
      <c r="Y1" s="679" t="s">
        <v>87</v>
      </c>
      <c r="Z1" s="679" t="s">
        <v>89</v>
      </c>
      <c r="AA1" s="679" t="s">
        <v>93</v>
      </c>
      <c r="AB1" s="679" t="s">
        <v>91</v>
      </c>
    </row>
    <row r="2" spans="1:29" s="773" customFormat="1" ht="12" hidden="1" customHeight="1" x14ac:dyDescent="0.15">
      <c r="B2" s="758" t="s">
        <v>15</v>
      </c>
    </row>
    <row r="3" spans="1:29" s="1150" customFormat="1" ht="12" hidden="1" customHeight="1" x14ac:dyDescent="0.15">
      <c r="B3" s="659"/>
      <c r="E3" s="659"/>
    </row>
    <row r="4" spans="1:29" s="1150" customFormat="1" ht="12" hidden="1" customHeight="1" x14ac:dyDescent="0.15">
      <c r="B4" s="659"/>
      <c r="E4" s="659"/>
    </row>
    <row r="5" spans="1:29" s="772" customFormat="1" ht="12" hidden="1" customHeight="1" x14ac:dyDescent="0.15">
      <c r="A5" s="659"/>
      <c r="B5" s="659"/>
      <c r="C5" s="659"/>
      <c r="D5" s="659"/>
      <c r="E5" s="668" t="s">
        <v>16</v>
      </c>
      <c r="AA5" s="668">
        <v>3</v>
      </c>
      <c r="AB5" s="668">
        <v>94.25</v>
      </c>
      <c r="AC5" s="668">
        <v>3</v>
      </c>
    </row>
    <row r="6" spans="1:29" s="1150" customFormat="1" ht="12" hidden="1" customHeight="1" x14ac:dyDescent="0.15">
      <c r="B6" s="659"/>
      <c r="E6" s="668"/>
    </row>
    <row r="7" spans="1:29" s="804" customFormat="1" ht="12" hidden="1" customHeight="1" x14ac:dyDescent="0.15">
      <c r="A7" s="126"/>
      <c r="B7" s="659"/>
      <c r="C7" s="126"/>
      <c r="D7" s="126"/>
      <c r="E7" s="668"/>
    </row>
    <row r="8" spans="1:29" s="804" customFormat="1" ht="12" hidden="1" customHeight="1" x14ac:dyDescent="0.15">
      <c r="A8" s="126"/>
      <c r="B8" s="659"/>
      <c r="C8" s="126"/>
      <c r="D8" s="126"/>
      <c r="E8" s="668"/>
    </row>
    <row r="9" spans="1:29" s="1150" customFormat="1" ht="12" hidden="1" customHeight="1" x14ac:dyDescent="0.15">
      <c r="B9" s="659"/>
      <c r="E9" s="668"/>
    </row>
    <row r="10" spans="1:29" s="1150" customFormat="1" ht="12" hidden="1" customHeight="1" x14ac:dyDescent="0.15">
      <c r="B10" s="659"/>
      <c r="E10" s="668"/>
    </row>
    <row r="11" spans="1:29" s="1150" customFormat="1" ht="12" hidden="1" customHeight="1" x14ac:dyDescent="0.15">
      <c r="B11" s="659"/>
      <c r="E11" s="668"/>
    </row>
    <row r="12" spans="1:29" s="1150" customFormat="1" ht="12" hidden="1" customHeight="1" x14ac:dyDescent="0.15">
      <c r="B12" s="659"/>
      <c r="E12" s="668"/>
    </row>
    <row r="13" spans="1:29" s="1150" customFormat="1" ht="12" hidden="1" customHeight="1" x14ac:dyDescent="0.15">
      <c r="B13" s="659"/>
      <c r="E13" s="668"/>
    </row>
    <row r="14" spans="1:29" s="1150" customFormat="1" ht="12" hidden="1" customHeight="1" x14ac:dyDescent="0.15">
      <c r="B14" s="659"/>
      <c r="E14" s="668"/>
    </row>
    <row r="15" spans="1:29" s="1150" customFormat="1" ht="12" hidden="1" customHeight="1" x14ac:dyDescent="0.15">
      <c r="B15" s="659"/>
      <c r="E15" s="668"/>
    </row>
    <row r="16" spans="1:29" s="1150" customFormat="1" ht="12" hidden="1" customHeight="1" x14ac:dyDescent="0.15">
      <c r="B16" s="659"/>
      <c r="E16" s="668"/>
    </row>
    <row r="17" spans="2:28" s="1150" customFormat="1" ht="12" hidden="1" customHeight="1" x14ac:dyDescent="0.15">
      <c r="B17" s="659"/>
      <c r="E17" s="668"/>
    </row>
    <row r="18" spans="2:28" s="1150" customFormat="1" ht="12" hidden="1" customHeight="1" x14ac:dyDescent="0.15">
      <c r="B18" s="659"/>
      <c r="E18" s="668"/>
    </row>
    <row r="19" spans="2:28" s="1150" customFormat="1" ht="12" hidden="1" customHeight="1" x14ac:dyDescent="0.15">
      <c r="B19" s="659"/>
      <c r="E19" s="668"/>
    </row>
    <row r="20" spans="2:28" s="1150" customFormat="1" ht="12" hidden="1" customHeight="1" x14ac:dyDescent="0.15">
      <c r="B20" s="659"/>
      <c r="E20" s="668"/>
    </row>
    <row r="21" spans="2:28" ht="11.1" customHeight="1" x14ac:dyDescent="0.15">
      <c r="E21" s="668">
        <v>11.4</v>
      </c>
      <c r="AA21" s="691"/>
      <c r="AB21" s="135"/>
    </row>
    <row r="22" spans="2:28" ht="19.5" customHeight="1" x14ac:dyDescent="0.15">
      <c r="E22" s="668">
        <v>20.100000000000001</v>
      </c>
      <c r="AA22" s="135"/>
      <c r="AB22" s="133" t="s">
        <v>466</v>
      </c>
    </row>
    <row r="23" spans="2:28" ht="11.1" customHeight="1" x14ac:dyDescent="0.15">
      <c r="E23" s="668">
        <v>11.4</v>
      </c>
      <c r="AA23" s="135"/>
      <c r="AB23" s="135"/>
    </row>
    <row r="24" spans="2:28" ht="19.5" customHeight="1" x14ac:dyDescent="0.15">
      <c r="E24" s="668">
        <v>20.100000000000001</v>
      </c>
      <c r="AA24" s="135"/>
      <c r="AB24" s="136"/>
    </row>
    <row r="25" spans="2:28" ht="19.5" customHeight="1" x14ac:dyDescent="0.15">
      <c r="E25" s="668">
        <v>20.100000000000001</v>
      </c>
      <c r="V25" s="119"/>
      <c r="W25" s="119"/>
      <c r="X25" s="119"/>
      <c r="Z25" s="119"/>
      <c r="AA25" s="135"/>
      <c r="AB25" s="136"/>
    </row>
    <row r="26" spans="2:28" ht="19.5" customHeight="1" x14ac:dyDescent="0.15">
      <c r="E26" s="668">
        <v>20.100000000000001</v>
      </c>
      <c r="V26" s="123"/>
      <c r="W26" s="123"/>
      <c r="X26" s="123"/>
      <c r="Y26" s="123"/>
      <c r="Z26" s="119"/>
      <c r="AA26" s="135"/>
      <c r="AB26" s="136"/>
    </row>
    <row r="27" spans="2:28" ht="19.5" customHeight="1" x14ac:dyDescent="0.15">
      <c r="E27" s="668">
        <v>20.100000000000001</v>
      </c>
      <c r="V27" s="123"/>
      <c r="W27" s="123"/>
      <c r="X27" s="123"/>
      <c r="Y27" s="123"/>
      <c r="Z27" s="119"/>
      <c r="AA27" s="135"/>
      <c r="AB27" s="136"/>
    </row>
    <row r="28" spans="2:28" ht="19.5" customHeight="1" x14ac:dyDescent="0.15">
      <c r="E28" s="668">
        <v>20.100000000000001</v>
      </c>
      <c r="V28" s="123"/>
      <c r="W28" s="123"/>
      <c r="X28" s="123"/>
      <c r="Y28" s="123"/>
      <c r="Z28" s="119"/>
      <c r="AA28" s="135"/>
      <c r="AB28" s="136"/>
    </row>
    <row r="29" spans="2:28" ht="19.5" customHeight="1" x14ac:dyDescent="0.15">
      <c r="E29" s="668">
        <v>20.100000000000001</v>
      </c>
      <c r="V29" s="123"/>
      <c r="W29" s="123"/>
      <c r="X29" s="123"/>
      <c r="Y29" s="123"/>
      <c r="Z29" s="119"/>
      <c r="AA29" s="135"/>
      <c r="AB29" s="136"/>
    </row>
    <row r="30" spans="2:28" ht="19.5" customHeight="1" x14ac:dyDescent="0.15">
      <c r="E30" s="668">
        <v>20.100000000000001</v>
      </c>
      <c r="V30" s="123"/>
      <c r="W30" s="123"/>
      <c r="X30" s="123"/>
      <c r="Y30" s="123"/>
      <c r="Z30" s="119"/>
      <c r="AA30" s="135"/>
      <c r="AB30" s="136"/>
    </row>
    <row r="31" spans="2:28" ht="19.5" customHeight="1" x14ac:dyDescent="0.15">
      <c r="E31" s="668">
        <v>20.100000000000001</v>
      </c>
      <c r="V31" s="123"/>
      <c r="W31" s="123"/>
      <c r="X31" s="123"/>
      <c r="Y31" s="123"/>
      <c r="Z31" s="119"/>
      <c r="AA31" s="135"/>
      <c r="AB31" s="136"/>
    </row>
    <row r="32" spans="2:28" ht="19.5" customHeight="1" x14ac:dyDescent="0.15">
      <c r="E32" s="668">
        <v>20.100000000000001</v>
      </c>
      <c r="V32" s="123"/>
      <c r="W32" s="123"/>
      <c r="X32" s="123"/>
      <c r="Y32" s="123"/>
      <c r="Z32" s="119"/>
      <c r="AA32" s="135"/>
      <c r="AB32" s="136"/>
    </row>
    <row r="33" spans="5:29" ht="19.5" customHeight="1" x14ac:dyDescent="0.15">
      <c r="E33" s="668">
        <v>20.100000000000001</v>
      </c>
      <c r="V33" s="123"/>
      <c r="W33" s="123"/>
      <c r="X33" s="123"/>
      <c r="Y33" s="119"/>
      <c r="Z33" s="119"/>
      <c r="AA33" s="135"/>
      <c r="AB33" s="136"/>
    </row>
    <row r="34" spans="5:29" ht="19.5" hidden="1" customHeight="1" x14ac:dyDescent="0.15">
      <c r="E34" s="668">
        <v>20.100000000000001</v>
      </c>
      <c r="V34" s="123"/>
      <c r="W34" s="123"/>
      <c r="X34" s="679" t="b">
        <f>Z34&gt;0</f>
        <v>0</v>
      </c>
      <c r="Y34" s="126" t="s">
        <v>313</v>
      </c>
      <c r="Z34" s="123">
        <v>0</v>
      </c>
      <c r="AA34" s="764" t="s">
        <v>218</v>
      </c>
      <c r="AB34" s="1410"/>
    </row>
    <row r="35" spans="5:29" ht="11.1" customHeight="1" x14ac:dyDescent="0.15">
      <c r="E35" s="668">
        <v>11.4</v>
      </c>
      <c r="Y35" s="119" t="s">
        <v>238</v>
      </c>
      <c r="AB35" s="751" t="s">
        <v>239</v>
      </c>
    </row>
    <row r="36" spans="5:29" ht="11.25" customHeight="1" x14ac:dyDescent="0.15">
      <c r="AC36" s="134"/>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38148-F648-BE98-ADD8-46D3B9B016C8}">
  <sheetPr>
    <tabColor rgb="FFFFCC99"/>
  </sheetPr>
  <dimension ref="A1:AC175"/>
  <sheetViews>
    <sheetView showGridLines="0" workbookViewId="0"/>
  </sheetViews>
  <sheetFormatPr defaultColWidth="9.140625" defaultRowHeight="12" customHeight="1" x14ac:dyDescent="0.15"/>
  <cols>
    <col min="1" max="1" width="42.7109375" style="186" customWidth="1"/>
    <col min="2" max="2" width="6.7109375" style="186" customWidth="1"/>
    <col min="3" max="3" width="40.7109375" style="186" customWidth="1"/>
    <col min="4" max="6" width="3.7109375" style="186" customWidth="1"/>
    <col min="7" max="7" width="23.7109375" style="186" customWidth="1"/>
    <col min="8" max="9" width="3.7109375" style="186" customWidth="1"/>
    <col min="10" max="10" width="4.7109375" style="186" customWidth="1"/>
    <col min="11" max="11" width="40.7109375" style="186" customWidth="1"/>
    <col min="12" max="12" width="4.7109375" style="186" customWidth="1"/>
    <col min="13" max="13" width="18.5703125" style="186" customWidth="1"/>
    <col min="14" max="15" width="4.7109375" style="186" customWidth="1"/>
    <col min="16" max="16" width="16.5703125" style="186" customWidth="1"/>
    <col min="17" max="18" width="12.5703125" style="186" customWidth="1"/>
    <col min="19" max="19" width="14.5703125" style="186" customWidth="1"/>
    <col min="20" max="20" width="18.85546875" style="186" customWidth="1"/>
    <col min="21" max="21" width="19.28515625" style="186" customWidth="1"/>
    <col min="22" max="22" width="39.140625" style="186" customWidth="1"/>
    <col min="23" max="23" width="41.7109375" style="186" customWidth="1"/>
    <col min="24" max="24" width="54.85546875" style="186" customWidth="1"/>
    <col min="25" max="26" width="22.85546875" style="186" customWidth="1"/>
    <col min="27" max="27" width="9.140625" style="186"/>
    <col min="28" max="28" width="29.7109375" style="186" customWidth="1"/>
    <col min="29" max="29" width="15.5703125" style="186" customWidth="1"/>
  </cols>
  <sheetData>
    <row r="1" spans="1:29" ht="12" customHeight="1" x14ac:dyDescent="0.15">
      <c r="A1" s="183" t="s">
        <v>2223</v>
      </c>
      <c r="B1" s="184" t="s">
        <v>2224</v>
      </c>
      <c r="C1" s="183" t="s">
        <v>2223</v>
      </c>
      <c r="D1" s="651" t="s">
        <v>2225</v>
      </c>
      <c r="E1" s="183"/>
      <c r="F1" s="183"/>
      <c r="G1" s="185" t="s">
        <v>2226</v>
      </c>
      <c r="H1" s="183"/>
      <c r="I1" s="183"/>
      <c r="J1" s="183"/>
      <c r="K1" s="185" t="s">
        <v>2227</v>
      </c>
      <c r="L1" s="137"/>
      <c r="M1" s="185" t="s">
        <v>2228</v>
      </c>
      <c r="N1" s="183"/>
      <c r="O1" s="137"/>
      <c r="P1" s="185" t="s">
        <v>2229</v>
      </c>
      <c r="Q1" s="185" t="s">
        <v>2230</v>
      </c>
      <c r="R1" s="185" t="s">
        <v>2231</v>
      </c>
      <c r="S1" s="185" t="s">
        <v>2232</v>
      </c>
      <c r="T1" s="185" t="s">
        <v>2233</v>
      </c>
      <c r="U1" s="185" t="s">
        <v>2234</v>
      </c>
      <c r="V1" s="200" t="s">
        <v>2235</v>
      </c>
      <c r="W1" s="200" t="s">
        <v>2236</v>
      </c>
      <c r="X1" s="200" t="s">
        <v>2237</v>
      </c>
      <c r="Y1" s="200" t="s">
        <v>2238</v>
      </c>
      <c r="Z1" s="200" t="s">
        <v>2239</v>
      </c>
      <c r="AB1" s="200" t="s">
        <v>2240</v>
      </c>
      <c r="AC1" s="200" t="s">
        <v>2241</v>
      </c>
    </row>
    <row r="2" spans="1:29" ht="12" customHeight="1" x14ac:dyDescent="0.15">
      <c r="A2" s="183" t="s">
        <v>2242</v>
      </c>
      <c r="B2" s="184" t="s">
        <v>2243</v>
      </c>
      <c r="C2" s="183" t="s">
        <v>2242</v>
      </c>
      <c r="D2" s="650" t="s">
        <v>2244</v>
      </c>
      <c r="E2" s="183"/>
      <c r="F2" s="183"/>
      <c r="G2" s="187" t="s">
        <v>200</v>
      </c>
      <c r="H2" s="183"/>
      <c r="I2" s="183"/>
      <c r="J2" s="183"/>
      <c r="K2" s="695" t="s">
        <v>117</v>
      </c>
      <c r="L2" s="183"/>
      <c r="M2" s="188" t="s">
        <v>2245</v>
      </c>
      <c r="N2" s="183"/>
      <c r="O2" s="183"/>
      <c r="P2" s="187">
        <v>2025</v>
      </c>
      <c r="Q2" s="187">
        <v>2012</v>
      </c>
      <c r="R2" s="187" t="s">
        <v>2246</v>
      </c>
      <c r="S2" s="187">
        <v>3</v>
      </c>
      <c r="T2" s="199" t="s">
        <v>2247</v>
      </c>
      <c r="U2" s="199" t="s">
        <v>342</v>
      </c>
      <c r="V2" s="209" t="s">
        <v>2248</v>
      </c>
      <c r="W2" s="209" t="s">
        <v>2249</v>
      </c>
      <c r="X2" s="209" t="s">
        <v>2250</v>
      </c>
      <c r="Y2" s="209" t="s">
        <v>1012</v>
      </c>
      <c r="Z2" s="209" t="s">
        <v>1012</v>
      </c>
      <c r="AB2" s="733" t="s">
        <v>2251</v>
      </c>
      <c r="AC2" s="734" t="s">
        <v>2252</v>
      </c>
    </row>
    <row r="3" spans="1:29" ht="12" customHeight="1" x14ac:dyDescent="0.15">
      <c r="A3" s="183" t="s">
        <v>2253</v>
      </c>
      <c r="B3" s="184" t="s">
        <v>2254</v>
      </c>
      <c r="C3" s="183" t="s">
        <v>2253</v>
      </c>
      <c r="D3" s="183"/>
      <c r="E3" s="183"/>
      <c r="F3" s="183"/>
      <c r="G3" s="187" t="s">
        <v>190</v>
      </c>
      <c r="H3" s="183"/>
      <c r="I3" s="183"/>
      <c r="J3" s="183"/>
      <c r="K3" s="695" t="s">
        <v>2255</v>
      </c>
      <c r="L3" s="183"/>
      <c r="M3" s="183"/>
      <c r="N3" s="183"/>
      <c r="O3" s="183"/>
      <c r="P3" s="187">
        <v>2026</v>
      </c>
      <c r="Q3" s="187">
        <v>2013</v>
      </c>
      <c r="R3" s="187" t="s">
        <v>2256</v>
      </c>
      <c r="S3" s="187">
        <v>4</v>
      </c>
      <c r="T3" s="199" t="s">
        <v>2257</v>
      </c>
      <c r="U3" s="199" t="s">
        <v>987</v>
      </c>
      <c r="V3" s="209" t="s">
        <v>2258</v>
      </c>
      <c r="W3" s="209" t="s">
        <v>2259</v>
      </c>
      <c r="X3" s="209" t="s">
        <v>2260</v>
      </c>
      <c r="Y3" s="209" t="s">
        <v>2261</v>
      </c>
      <c r="Z3" s="209" t="s">
        <v>2262</v>
      </c>
      <c r="AB3" s="733" t="s">
        <v>2263</v>
      </c>
      <c r="AC3" s="734" t="s">
        <v>2252</v>
      </c>
    </row>
    <row r="4" spans="1:29" ht="12" customHeight="1" x14ac:dyDescent="0.15">
      <c r="A4" s="183" t="s">
        <v>2264</v>
      </c>
      <c r="B4" s="184" t="s">
        <v>2265</v>
      </c>
      <c r="C4" s="183" t="s">
        <v>2264</v>
      </c>
      <c r="D4" s="183"/>
      <c r="E4" s="183"/>
      <c r="F4" s="183"/>
      <c r="G4" s="183"/>
      <c r="H4" s="183"/>
      <c r="I4" s="183"/>
      <c r="J4" s="183"/>
      <c r="K4" s="695" t="s">
        <v>2266</v>
      </c>
      <c r="L4" s="183"/>
      <c r="M4" s="185" t="s">
        <v>2267</v>
      </c>
      <c r="N4" s="183"/>
      <c r="O4" s="183"/>
      <c r="P4" s="183"/>
      <c r="Q4" s="187">
        <v>2014</v>
      </c>
      <c r="R4" s="187" t="s">
        <v>2268</v>
      </c>
      <c r="S4" s="187">
        <v>5</v>
      </c>
      <c r="V4" s="209" t="s">
        <v>2269</v>
      </c>
      <c r="X4" s="209" t="s">
        <v>2270</v>
      </c>
      <c r="Y4" s="494" t="s">
        <v>2262</v>
      </c>
      <c r="Z4" s="209" t="s">
        <v>2271</v>
      </c>
      <c r="AB4" s="733" t="s">
        <v>2272</v>
      </c>
      <c r="AC4" s="734" t="s">
        <v>2252</v>
      </c>
    </row>
    <row r="5" spans="1:29" ht="12" customHeight="1" x14ac:dyDescent="0.15">
      <c r="A5" s="183" t="s">
        <v>2273</v>
      </c>
      <c r="B5" s="184" t="s">
        <v>2274</v>
      </c>
      <c r="C5" s="183" t="s">
        <v>2273</v>
      </c>
      <c r="D5" s="183"/>
      <c r="E5" s="183"/>
      <c r="F5" s="183"/>
      <c r="G5" s="185" t="s">
        <v>2275</v>
      </c>
      <c r="H5" s="183"/>
      <c r="I5" s="183"/>
      <c r="J5" s="183"/>
      <c r="K5" s="695" t="s">
        <v>2276</v>
      </c>
      <c r="L5" s="183"/>
      <c r="M5" s="188">
        <v>1.2</v>
      </c>
      <c r="N5" s="183"/>
      <c r="O5" s="183"/>
      <c r="P5" s="183"/>
      <c r="Q5" s="187">
        <v>2015</v>
      </c>
      <c r="R5" s="187" t="s">
        <v>2277</v>
      </c>
      <c r="S5" s="187">
        <v>6</v>
      </c>
      <c r="V5" s="200" t="s">
        <v>2278</v>
      </c>
      <c r="W5" s="200" t="s">
        <v>2279</v>
      </c>
      <c r="X5" s="209" t="s">
        <v>2280</v>
      </c>
      <c r="Y5" s="209" t="s">
        <v>2271</v>
      </c>
      <c r="Z5" s="209" t="s">
        <v>2281</v>
      </c>
      <c r="AB5" s="733" t="s">
        <v>2282</v>
      </c>
      <c r="AC5" s="734" t="s">
        <v>2252</v>
      </c>
    </row>
    <row r="6" spans="1:29" ht="12" customHeight="1" x14ac:dyDescent="0.15">
      <c r="A6" s="183" t="s">
        <v>2283</v>
      </c>
      <c r="B6" s="184" t="s">
        <v>2284</v>
      </c>
      <c r="C6" s="183" t="s">
        <v>2283</v>
      </c>
      <c r="D6" s="183"/>
      <c r="E6" s="183"/>
      <c r="F6" s="183"/>
      <c r="G6" s="185" t="s">
        <v>2285</v>
      </c>
      <c r="H6" s="183"/>
      <c r="I6" s="183"/>
      <c r="J6" s="183"/>
      <c r="K6" s="183"/>
      <c r="L6" s="183"/>
      <c r="M6" s="183"/>
      <c r="N6" s="183"/>
      <c r="O6" s="183"/>
      <c r="P6" s="183"/>
      <c r="Q6" s="187">
        <v>2016</v>
      </c>
      <c r="R6" s="187" t="s">
        <v>2286</v>
      </c>
      <c r="S6" s="187">
        <v>7</v>
      </c>
      <c r="V6" s="209" t="s">
        <v>2287</v>
      </c>
      <c r="W6" s="278" t="s">
        <v>2288</v>
      </c>
      <c r="X6" s="209" t="s">
        <v>456</v>
      </c>
      <c r="Y6" s="209" t="s">
        <v>2281</v>
      </c>
      <c r="Z6" s="209" t="s">
        <v>2289</v>
      </c>
      <c r="AB6" s="733" t="s">
        <v>2290</v>
      </c>
      <c r="AC6" s="734" t="s">
        <v>2252</v>
      </c>
    </row>
    <row r="7" spans="1:29" ht="12" customHeight="1" x14ac:dyDescent="0.15">
      <c r="A7" s="183" t="s">
        <v>2291</v>
      </c>
      <c r="B7" s="184" t="s">
        <v>2292</v>
      </c>
      <c r="C7" s="183" t="s">
        <v>2291</v>
      </c>
      <c r="D7" s="183"/>
      <c r="E7" s="183"/>
      <c r="F7" s="183"/>
      <c r="G7" s="189" t="s">
        <v>2293</v>
      </c>
      <c r="H7" s="183"/>
      <c r="I7" s="183"/>
      <c r="J7" s="183"/>
      <c r="K7" s="185" t="s">
        <v>2294</v>
      </c>
      <c r="L7" s="183"/>
      <c r="M7" s="185" t="s">
        <v>2295</v>
      </c>
      <c r="N7" s="183"/>
      <c r="O7" s="183"/>
      <c r="P7" s="183"/>
      <c r="Q7" s="187">
        <v>2017</v>
      </c>
      <c r="R7" s="187" t="s">
        <v>2296</v>
      </c>
      <c r="S7" s="187">
        <v>8</v>
      </c>
      <c r="V7" s="209" t="s">
        <v>2297</v>
      </c>
      <c r="X7" s="209" t="s">
        <v>2298</v>
      </c>
      <c r="Y7" s="209" t="s">
        <v>2289</v>
      </c>
      <c r="Z7" s="209" t="s">
        <v>2299</v>
      </c>
      <c r="AB7" s="733" t="s">
        <v>2300</v>
      </c>
      <c r="AC7" s="734" t="s">
        <v>2252</v>
      </c>
    </row>
    <row r="8" spans="1:29" ht="12" customHeight="1" x14ac:dyDescent="0.15">
      <c r="A8" s="183" t="s">
        <v>2301</v>
      </c>
      <c r="B8" s="184" t="s">
        <v>2302</v>
      </c>
      <c r="C8" s="183" t="s">
        <v>2301</v>
      </c>
      <c r="D8" s="183"/>
      <c r="E8" s="183"/>
      <c r="F8" s="183"/>
      <c r="G8" s="189" t="s">
        <v>2303</v>
      </c>
      <c r="H8" s="183"/>
      <c r="I8" s="183"/>
      <c r="J8" s="183"/>
      <c r="K8" s="694" t="s">
        <v>204</v>
      </c>
      <c r="L8" s="183"/>
      <c r="M8" s="188">
        <v>2021</v>
      </c>
      <c r="N8" s="183"/>
      <c r="O8" s="183"/>
      <c r="P8" s="183"/>
      <c r="Q8" s="187">
        <v>2018</v>
      </c>
      <c r="R8" s="187" t="s">
        <v>2304</v>
      </c>
      <c r="S8" s="187">
        <v>9</v>
      </c>
      <c r="V8" s="209" t="s">
        <v>2305</v>
      </c>
      <c r="X8" s="209" t="s">
        <v>2306</v>
      </c>
      <c r="Y8" s="209" t="s">
        <v>2299</v>
      </c>
      <c r="Z8" s="209" t="s">
        <v>2307</v>
      </c>
      <c r="AB8" s="733" t="s">
        <v>2308</v>
      </c>
      <c r="AC8" s="734" t="s">
        <v>2252</v>
      </c>
    </row>
    <row r="9" spans="1:29" ht="12" customHeight="1" x14ac:dyDescent="0.15">
      <c r="A9" s="183" t="s">
        <v>2309</v>
      </c>
      <c r="B9" s="184" t="s">
        <v>2310</v>
      </c>
      <c r="C9" s="183" t="s">
        <v>2309</v>
      </c>
      <c r="D9" s="183"/>
      <c r="E9" s="183"/>
      <c r="F9" s="183"/>
      <c r="G9" s="189" t="s">
        <v>2311</v>
      </c>
      <c r="H9" s="183"/>
      <c r="I9" s="183"/>
      <c r="J9" s="183"/>
      <c r="K9" s="694" t="s">
        <v>2312</v>
      </c>
      <c r="L9" s="183"/>
      <c r="M9" s="183"/>
      <c r="N9" s="183"/>
      <c r="O9" s="183"/>
      <c r="P9" s="183"/>
      <c r="Q9" s="187">
        <v>2019</v>
      </c>
      <c r="R9" s="187" t="s">
        <v>2313</v>
      </c>
      <c r="S9" s="187">
        <v>10</v>
      </c>
      <c r="V9" s="209" t="s">
        <v>2314</v>
      </c>
      <c r="X9" s="209" t="s">
        <v>432</v>
      </c>
      <c r="AB9" s="733" t="s">
        <v>2315</v>
      </c>
      <c r="AC9" s="734" t="s">
        <v>2252</v>
      </c>
    </row>
    <row r="10" spans="1:29" ht="12" customHeight="1" x14ac:dyDescent="0.15">
      <c r="A10" s="183" t="s">
        <v>2316</v>
      </c>
      <c r="B10" s="184" t="s">
        <v>2317</v>
      </c>
      <c r="C10" s="183" t="s">
        <v>2316</v>
      </c>
      <c r="D10" s="183"/>
      <c r="E10" s="183"/>
      <c r="F10" s="183"/>
      <c r="G10" s="191"/>
      <c r="H10" s="183"/>
      <c r="I10" s="183"/>
      <c r="J10" s="183"/>
      <c r="K10" s="183"/>
      <c r="L10" s="183"/>
      <c r="M10" s="185" t="s">
        <v>2318</v>
      </c>
      <c r="N10" s="183"/>
      <c r="O10" s="183"/>
      <c r="P10" s="183"/>
      <c r="Q10" s="187">
        <v>2020</v>
      </c>
      <c r="R10" s="187" t="s">
        <v>2319</v>
      </c>
      <c r="S10" s="187">
        <v>11</v>
      </c>
      <c r="V10" s="209" t="s">
        <v>2320</v>
      </c>
      <c r="X10" s="209" t="s">
        <v>2321</v>
      </c>
      <c r="AB10" s="733" t="s">
        <v>2322</v>
      </c>
      <c r="AC10" s="734" t="s">
        <v>2252</v>
      </c>
    </row>
    <row r="11" spans="1:29" ht="12" customHeight="1" x14ac:dyDescent="0.15">
      <c r="A11" s="276" t="s">
        <v>2323</v>
      </c>
      <c r="B11" s="184" t="s">
        <v>2324</v>
      </c>
      <c r="C11" s="190" t="s">
        <v>2325</v>
      </c>
      <c r="D11" s="183"/>
      <c r="E11" s="183"/>
      <c r="F11" s="183"/>
      <c r="G11" s="185" t="s">
        <v>2326</v>
      </c>
      <c r="H11" s="183"/>
      <c r="I11" s="183"/>
      <c r="J11" s="183"/>
      <c r="K11" s="185" t="s">
        <v>2327</v>
      </c>
      <c r="L11" s="183"/>
      <c r="M11" s="188" t="str">
        <f>"01.01."&amp;PERIOD</f>
        <v>01.01.2021</v>
      </c>
      <c r="N11" s="183"/>
      <c r="O11" s="183"/>
      <c r="P11" s="183"/>
      <c r="Q11" s="187">
        <v>2021</v>
      </c>
      <c r="R11" s="187" t="s">
        <v>2328</v>
      </c>
      <c r="S11" s="187">
        <v>12</v>
      </c>
      <c r="V11" s="209" t="s">
        <v>2329</v>
      </c>
      <c r="X11" s="209" t="s">
        <v>422</v>
      </c>
      <c r="AB11" s="733" t="s">
        <v>2330</v>
      </c>
      <c r="AC11" s="734" t="s">
        <v>2252</v>
      </c>
    </row>
    <row r="12" spans="1:29" ht="12" customHeight="1" x14ac:dyDescent="0.15">
      <c r="A12" s="276" t="s">
        <v>2331</v>
      </c>
      <c r="B12" s="184" t="s">
        <v>2332</v>
      </c>
      <c r="C12" s="190"/>
      <c r="D12" s="183"/>
      <c r="E12" s="183"/>
      <c r="F12" s="183"/>
      <c r="G12" s="185" t="s">
        <v>2333</v>
      </c>
      <c r="H12" s="183"/>
      <c r="I12" s="183"/>
      <c r="J12" s="183"/>
      <c r="K12" s="703" t="s">
        <v>340</v>
      </c>
      <c r="L12" s="183"/>
      <c r="M12" s="188" t="str">
        <f>"31.12."&amp;PERIOD</f>
        <v>31.12.2021</v>
      </c>
      <c r="N12" s="183"/>
      <c r="O12" s="183"/>
      <c r="P12" s="183"/>
      <c r="Q12" s="187">
        <v>2022</v>
      </c>
      <c r="R12" s="187" t="s">
        <v>2334</v>
      </c>
      <c r="S12" s="187">
        <v>13</v>
      </c>
      <c r="X12" s="209" t="s">
        <v>2335</v>
      </c>
      <c r="AB12" s="733" t="s">
        <v>2336</v>
      </c>
      <c r="AC12" s="734" t="s">
        <v>2252</v>
      </c>
    </row>
    <row r="13" spans="1:29" ht="12" customHeight="1" x14ac:dyDescent="0.15">
      <c r="A13" s="276" t="s">
        <v>2337</v>
      </c>
      <c r="B13" s="184" t="s">
        <v>2338</v>
      </c>
      <c r="C13" s="190" t="s">
        <v>2339</v>
      </c>
      <c r="D13" s="183"/>
      <c r="E13" s="183"/>
      <c r="F13" s="183"/>
      <c r="G13" s="189" t="s">
        <v>2340</v>
      </c>
      <c r="H13" s="183"/>
      <c r="I13" s="183"/>
      <c r="J13" s="183"/>
      <c r="K13" s="703" t="s">
        <v>2341</v>
      </c>
      <c r="L13" s="183"/>
      <c r="M13" s="183"/>
      <c r="N13" s="183"/>
      <c r="O13" s="183"/>
      <c r="P13" s="183"/>
      <c r="Q13" s="187">
        <v>2023</v>
      </c>
      <c r="R13" s="187" t="s">
        <v>2342</v>
      </c>
      <c r="S13" s="187">
        <v>14</v>
      </c>
      <c r="X13" s="209" t="s">
        <v>2343</v>
      </c>
      <c r="AB13" s="733" t="s">
        <v>2344</v>
      </c>
      <c r="AC13" s="734" t="s">
        <v>2252</v>
      </c>
    </row>
    <row r="14" spans="1:29" ht="12" customHeight="1" x14ac:dyDescent="0.15">
      <c r="A14" s="276" t="s">
        <v>2345</v>
      </c>
      <c r="B14" s="192" t="s">
        <v>2346</v>
      </c>
      <c r="C14" s="193" t="s">
        <v>2347</v>
      </c>
      <c r="D14" s="183"/>
      <c r="E14" s="183"/>
      <c r="F14" s="183"/>
      <c r="G14" s="189" t="s">
        <v>2348</v>
      </c>
      <c r="H14" s="183"/>
      <c r="I14" s="183"/>
      <c r="J14" s="183"/>
      <c r="K14" s="703" t="s">
        <v>2349</v>
      </c>
      <c r="L14" s="183"/>
      <c r="M14" s="185" t="s">
        <v>2350</v>
      </c>
      <c r="N14" s="183"/>
      <c r="O14" s="183"/>
      <c r="P14" s="183"/>
      <c r="Q14" s="187">
        <v>2024</v>
      </c>
      <c r="R14" s="183"/>
      <c r="S14" s="187">
        <v>15</v>
      </c>
      <c r="X14" s="209" t="s">
        <v>2351</v>
      </c>
      <c r="AB14" s="733" t="s">
        <v>2352</v>
      </c>
      <c r="AC14" s="734" t="s">
        <v>2252</v>
      </c>
    </row>
    <row r="15" spans="1:29" ht="12" customHeight="1" x14ac:dyDescent="0.15">
      <c r="A15" s="183" t="s">
        <v>2353</v>
      </c>
      <c r="B15" s="184" t="s">
        <v>2354</v>
      </c>
      <c r="C15" s="183" t="s">
        <v>2353</v>
      </c>
      <c r="D15" s="183"/>
      <c r="E15" s="183"/>
      <c r="F15" s="183"/>
      <c r="G15" s="189" t="s">
        <v>2355</v>
      </c>
      <c r="H15" s="183"/>
      <c r="I15" s="183"/>
      <c r="J15" s="183"/>
      <c r="K15" s="703" t="s">
        <v>2356</v>
      </c>
      <c r="L15" s="183"/>
      <c r="M15" s="188" t="str">
        <f>"01.01."&amp;PERIOD</f>
        <v>01.01.2021</v>
      </c>
      <c r="N15" s="183"/>
      <c r="O15" s="183"/>
      <c r="P15" s="183"/>
      <c r="Q15" s="187">
        <v>2025</v>
      </c>
      <c r="R15" s="183"/>
      <c r="S15" s="187">
        <v>16</v>
      </c>
      <c r="AB15" s="733" t="s">
        <v>2357</v>
      </c>
      <c r="AC15" s="734" t="s">
        <v>2252</v>
      </c>
    </row>
    <row r="16" spans="1:29" ht="12" customHeight="1" x14ac:dyDescent="0.15">
      <c r="A16" s="183" t="s">
        <v>2358</v>
      </c>
      <c r="B16" s="184" t="s">
        <v>2359</v>
      </c>
      <c r="C16" s="183" t="s">
        <v>2358</v>
      </c>
      <c r="D16" s="183"/>
      <c r="E16" s="183"/>
      <c r="F16" s="183"/>
      <c r="G16" s="189" t="s">
        <v>2360</v>
      </c>
      <c r="H16" s="183"/>
      <c r="I16" s="183"/>
      <c r="J16" s="183"/>
      <c r="K16" s="703" t="s">
        <v>2361</v>
      </c>
      <c r="L16" s="183"/>
      <c r="M16" s="188" t="str">
        <f>"31.12."&amp;PERIOD</f>
        <v>31.12.2021</v>
      </c>
      <c r="N16" s="183"/>
      <c r="O16" s="183"/>
      <c r="P16" s="183"/>
      <c r="Q16" s="187">
        <v>2026</v>
      </c>
      <c r="R16" s="183"/>
      <c r="S16" s="187">
        <v>17</v>
      </c>
      <c r="X16" s="200" t="s">
        <v>2362</v>
      </c>
      <c r="AB16" s="733" t="s">
        <v>2363</v>
      </c>
      <c r="AC16" s="734" t="s">
        <v>2252</v>
      </c>
    </row>
    <row r="17" spans="1:29" ht="12" customHeight="1" x14ac:dyDescent="0.15">
      <c r="A17" s="183" t="s">
        <v>2364</v>
      </c>
      <c r="B17" s="184" t="s">
        <v>2365</v>
      </c>
      <c r="C17" s="183" t="s">
        <v>2364</v>
      </c>
      <c r="D17" s="183"/>
      <c r="E17" s="183"/>
      <c r="F17" s="183"/>
      <c r="G17" s="183"/>
      <c r="H17" s="183"/>
      <c r="I17" s="183"/>
      <c r="J17" s="183"/>
      <c r="K17" s="183"/>
      <c r="L17" s="183"/>
      <c r="M17" s="170"/>
      <c r="N17" s="183"/>
      <c r="O17" s="183"/>
      <c r="P17" s="183"/>
      <c r="Q17" s="187">
        <v>2027</v>
      </c>
      <c r="R17" s="183"/>
      <c r="S17" s="187">
        <v>18</v>
      </c>
      <c r="X17" s="209" t="s">
        <v>433</v>
      </c>
      <c r="AB17" s="734" t="s">
        <v>2366</v>
      </c>
      <c r="AC17" s="734" t="s">
        <v>2252</v>
      </c>
    </row>
    <row r="18" spans="1:29" ht="12" customHeight="1" x14ac:dyDescent="0.15">
      <c r="A18" s="183" t="s">
        <v>2367</v>
      </c>
      <c r="B18" s="184" t="s">
        <v>2368</v>
      </c>
      <c r="C18" s="183" t="s">
        <v>2367</v>
      </c>
      <c r="D18" s="183"/>
      <c r="E18" s="183"/>
      <c r="F18" s="183"/>
      <c r="G18" s="183"/>
      <c r="H18" s="183"/>
      <c r="I18" s="183"/>
      <c r="J18" s="183"/>
      <c r="K18" s="185" t="s">
        <v>2369</v>
      </c>
      <c r="L18" s="183"/>
      <c r="M18" s="185" t="s">
        <v>2370</v>
      </c>
      <c r="N18" s="183"/>
      <c r="O18" s="183"/>
      <c r="P18" s="183"/>
      <c r="Q18" s="187">
        <v>2028</v>
      </c>
      <c r="R18" s="183"/>
      <c r="S18" s="187">
        <v>19</v>
      </c>
      <c r="X18" s="209" t="s">
        <v>457</v>
      </c>
      <c r="AB18" s="734" t="s">
        <v>2371</v>
      </c>
      <c r="AC18" s="734" t="s">
        <v>2252</v>
      </c>
    </row>
    <row r="19" spans="1:29" ht="12" customHeight="1" x14ac:dyDescent="0.15">
      <c r="A19" s="183" t="s">
        <v>2372</v>
      </c>
      <c r="B19" s="184" t="s">
        <v>2373</v>
      </c>
      <c r="C19" s="190" t="s">
        <v>2374</v>
      </c>
      <c r="D19" s="183"/>
      <c r="E19" s="183"/>
      <c r="F19" s="183"/>
      <c r="G19" s="183"/>
      <c r="H19" s="183"/>
      <c r="I19" s="183"/>
      <c r="J19" s="183"/>
      <c r="K19" s="694" t="s">
        <v>341</v>
      </c>
      <c r="L19" s="183"/>
      <c r="M19" s="188" t="str">
        <f>"01.01."&amp;PERIOD</f>
        <v>01.01.2021</v>
      </c>
      <c r="N19" s="183"/>
      <c r="O19" s="183"/>
      <c r="P19" s="183"/>
      <c r="Q19" s="187">
        <v>2029</v>
      </c>
      <c r="R19" s="183"/>
      <c r="S19" s="187">
        <v>20</v>
      </c>
      <c r="X19" s="209" t="s">
        <v>2375</v>
      </c>
      <c r="AB19" s="734" t="s">
        <v>2376</v>
      </c>
      <c r="AC19" s="734" t="s">
        <v>2252</v>
      </c>
    </row>
    <row r="20" spans="1:29" ht="12" customHeight="1" x14ac:dyDescent="0.15">
      <c r="A20" s="183" t="s">
        <v>2377</v>
      </c>
      <c r="B20" s="184" t="s">
        <v>2378</v>
      </c>
      <c r="C20" s="183" t="s">
        <v>2377</v>
      </c>
      <c r="D20" s="183"/>
      <c r="E20" s="183"/>
      <c r="F20" s="183"/>
      <c r="G20" s="183"/>
      <c r="H20" s="183"/>
      <c r="I20" s="183"/>
      <c r="J20" s="183"/>
      <c r="K20" s="694" t="s">
        <v>2379</v>
      </c>
      <c r="L20" s="183"/>
      <c r="M20" s="188" t="str">
        <f>"31.12."&amp;PERIOD</f>
        <v>31.12.2021</v>
      </c>
      <c r="N20" s="183"/>
      <c r="O20" s="183"/>
      <c r="P20" s="183"/>
      <c r="Q20" s="187">
        <v>2030</v>
      </c>
      <c r="R20" s="183"/>
      <c r="S20" s="187">
        <v>21</v>
      </c>
      <c r="X20" s="209" t="s">
        <v>253</v>
      </c>
      <c r="AB20" s="734" t="s">
        <v>2380</v>
      </c>
      <c r="AC20" s="734" t="s">
        <v>2252</v>
      </c>
    </row>
    <row r="21" spans="1:29" ht="12" customHeight="1" x14ac:dyDescent="0.15">
      <c r="A21" s="183" t="s">
        <v>2381</v>
      </c>
      <c r="B21" s="184" t="s">
        <v>2382</v>
      </c>
      <c r="C21" s="183" t="s">
        <v>2381</v>
      </c>
      <c r="D21" s="183"/>
      <c r="E21" s="183"/>
      <c r="F21" s="183"/>
      <c r="G21" s="183"/>
      <c r="H21" s="183"/>
      <c r="I21" s="183"/>
      <c r="J21" s="183"/>
      <c r="K21" s="694" t="s">
        <v>2383</v>
      </c>
      <c r="L21" s="183"/>
      <c r="M21" s="183"/>
      <c r="N21" s="183"/>
      <c r="O21" s="183"/>
      <c r="P21" s="183"/>
      <c r="Q21" s="183"/>
      <c r="R21" s="183"/>
      <c r="S21" s="187">
        <v>22</v>
      </c>
      <c r="X21" s="209" t="s">
        <v>2384</v>
      </c>
      <c r="AB21" s="734" t="s">
        <v>2385</v>
      </c>
      <c r="AC21" s="734" t="s">
        <v>2386</v>
      </c>
    </row>
    <row r="22" spans="1:29" ht="12" customHeight="1" x14ac:dyDescent="0.15">
      <c r="A22" s="183" t="s">
        <v>2387</v>
      </c>
      <c r="B22" s="184" t="s">
        <v>2388</v>
      </c>
      <c r="C22" s="183" t="s">
        <v>2387</v>
      </c>
      <c r="D22" s="183"/>
      <c r="E22" s="183"/>
      <c r="F22" s="183"/>
      <c r="G22" s="183"/>
      <c r="H22" s="183"/>
      <c r="I22" s="183"/>
      <c r="J22" s="183"/>
      <c r="K22" s="183"/>
      <c r="L22" s="183"/>
      <c r="M22" s="183"/>
      <c r="N22" s="183"/>
      <c r="O22" s="183"/>
      <c r="P22" s="183"/>
      <c r="Q22" s="183"/>
      <c r="R22" s="183"/>
      <c r="S22" s="187">
        <v>23</v>
      </c>
      <c r="X22" s="209" t="s">
        <v>229</v>
      </c>
      <c r="AB22" s="734" t="s">
        <v>2389</v>
      </c>
      <c r="AC22" s="734" t="s">
        <v>2386</v>
      </c>
    </row>
    <row r="23" spans="1:29" ht="12" customHeight="1" x14ac:dyDescent="0.15">
      <c r="A23" s="183" t="s">
        <v>2390</v>
      </c>
      <c r="B23" s="184" t="s">
        <v>2391</v>
      </c>
      <c r="C23" s="190" t="s">
        <v>2392</v>
      </c>
      <c r="D23" s="183"/>
      <c r="E23" s="183"/>
      <c r="F23" s="183"/>
      <c r="G23" s="183"/>
      <c r="H23" s="183"/>
      <c r="I23" s="183"/>
      <c r="J23" s="183"/>
      <c r="K23" s="185" t="s">
        <v>2393</v>
      </c>
      <c r="L23" s="183"/>
      <c r="M23" s="183"/>
      <c r="N23" s="183"/>
      <c r="O23" s="183"/>
      <c r="P23" s="183"/>
      <c r="Q23" s="183"/>
      <c r="R23" s="183"/>
      <c r="S23" s="187">
        <v>24</v>
      </c>
      <c r="X23" s="209" t="s">
        <v>2394</v>
      </c>
      <c r="AB23" s="733" t="s">
        <v>2395</v>
      </c>
      <c r="AC23" s="734" t="s">
        <v>2386</v>
      </c>
    </row>
    <row r="24" spans="1:29" ht="12" customHeight="1" x14ac:dyDescent="0.15">
      <c r="A24" s="183" t="s">
        <v>114</v>
      </c>
      <c r="B24" s="184" t="s">
        <v>2396</v>
      </c>
      <c r="C24" s="183" t="s">
        <v>114</v>
      </c>
      <c r="D24" s="183"/>
      <c r="E24" s="183"/>
      <c r="F24" s="183"/>
      <c r="G24" s="183"/>
      <c r="H24" s="183"/>
      <c r="I24" s="183"/>
      <c r="J24" s="183"/>
      <c r="K24" s="695" t="s">
        <v>2397</v>
      </c>
      <c r="L24" s="183"/>
      <c r="M24" s="183"/>
      <c r="N24" s="183"/>
      <c r="O24" s="183"/>
      <c r="P24" s="183"/>
      <c r="Q24" s="183"/>
      <c r="R24" s="183"/>
      <c r="S24" s="187">
        <v>25</v>
      </c>
      <c r="X24" s="209" t="s">
        <v>2398</v>
      </c>
      <c r="AB24" s="733" t="s">
        <v>2399</v>
      </c>
      <c r="AC24" s="734" t="s">
        <v>2386</v>
      </c>
    </row>
    <row r="25" spans="1:29" ht="12" customHeight="1" x14ac:dyDescent="0.15">
      <c r="A25" s="183" t="s">
        <v>2400</v>
      </c>
      <c r="B25" s="184" t="s">
        <v>2401</v>
      </c>
      <c r="C25" s="183" t="s">
        <v>2400</v>
      </c>
      <c r="D25" s="183"/>
      <c r="E25" s="183"/>
      <c r="F25" s="183"/>
      <c r="G25" s="183"/>
      <c r="H25" s="183"/>
      <c r="I25" s="183"/>
      <c r="J25" s="183"/>
      <c r="K25" s="695" t="s">
        <v>2402</v>
      </c>
      <c r="L25" s="183"/>
      <c r="M25" s="183"/>
      <c r="N25" s="183"/>
      <c r="O25" s="183"/>
      <c r="P25" s="183"/>
      <c r="Q25" s="183"/>
      <c r="R25" s="183"/>
      <c r="S25" s="187">
        <v>26</v>
      </c>
      <c r="X25" s="209" t="s">
        <v>450</v>
      </c>
      <c r="AB25" s="733" t="s">
        <v>2403</v>
      </c>
      <c r="AC25" s="734" t="s">
        <v>2386</v>
      </c>
    </row>
    <row r="26" spans="1:29" ht="12" customHeight="1" x14ac:dyDescent="0.15">
      <c r="A26" s="183" t="s">
        <v>2404</v>
      </c>
      <c r="B26" s="184" t="s">
        <v>2405</v>
      </c>
      <c r="C26" s="183" t="s">
        <v>2404</v>
      </c>
      <c r="D26" s="183"/>
      <c r="E26" s="183"/>
      <c r="F26" s="183"/>
      <c r="G26" s="183"/>
      <c r="H26" s="183"/>
      <c r="I26" s="183"/>
      <c r="J26" s="183"/>
      <c r="K26" s="695" t="s">
        <v>2406</v>
      </c>
      <c r="L26" s="183"/>
      <c r="M26" s="183"/>
      <c r="N26" s="183"/>
      <c r="O26" s="183"/>
      <c r="P26" s="183"/>
      <c r="Q26" s="183"/>
      <c r="R26" s="183"/>
      <c r="S26" s="187">
        <v>27</v>
      </c>
      <c r="X26" s="209" t="s">
        <v>2407</v>
      </c>
      <c r="AB26" s="733" t="s">
        <v>2408</v>
      </c>
      <c r="AC26" s="734" t="s">
        <v>2386</v>
      </c>
    </row>
    <row r="27" spans="1:29" ht="12" customHeight="1" x14ac:dyDescent="0.15">
      <c r="A27" s="183" t="s">
        <v>2409</v>
      </c>
      <c r="B27" s="184" t="s">
        <v>2410</v>
      </c>
      <c r="C27" s="183" t="s">
        <v>2409</v>
      </c>
      <c r="D27" s="183"/>
      <c r="E27" s="183"/>
      <c r="F27" s="183"/>
      <c r="G27" s="183"/>
      <c r="H27" s="183"/>
      <c r="I27" s="183"/>
      <c r="J27" s="183"/>
      <c r="K27" s="695" t="s">
        <v>2411</v>
      </c>
      <c r="L27" s="183"/>
      <c r="M27" s="183"/>
      <c r="N27" s="183"/>
      <c r="O27" s="183"/>
      <c r="P27" s="183"/>
      <c r="Q27" s="183"/>
      <c r="R27" s="183"/>
      <c r="S27" s="187">
        <v>28</v>
      </c>
      <c r="X27" s="209" t="s">
        <v>2412</v>
      </c>
      <c r="AB27" s="733" t="s">
        <v>2413</v>
      </c>
      <c r="AC27" s="734" t="s">
        <v>2386</v>
      </c>
    </row>
    <row r="28" spans="1:29" ht="12" customHeight="1" x14ac:dyDescent="0.15">
      <c r="A28" s="183" t="s">
        <v>2414</v>
      </c>
      <c r="B28" s="184" t="s">
        <v>2415</v>
      </c>
      <c r="C28" s="183" t="s">
        <v>2414</v>
      </c>
      <c r="D28" s="183"/>
      <c r="E28" s="183"/>
      <c r="F28" s="183"/>
      <c r="G28" s="183"/>
      <c r="H28" s="183"/>
      <c r="I28" s="183"/>
      <c r="J28" s="183"/>
      <c r="K28" s="695" t="s">
        <v>2416</v>
      </c>
      <c r="L28" s="183"/>
      <c r="M28" s="183"/>
      <c r="N28" s="183"/>
      <c r="O28" s="183"/>
      <c r="P28" s="183"/>
      <c r="Q28" s="183"/>
      <c r="R28" s="183"/>
      <c r="S28" s="187">
        <v>29</v>
      </c>
      <c r="X28" s="209" t="s">
        <v>2417</v>
      </c>
      <c r="AB28" s="733" t="s">
        <v>2418</v>
      </c>
      <c r="AC28" s="734" t="s">
        <v>2386</v>
      </c>
    </row>
    <row r="29" spans="1:29" ht="12" customHeight="1" x14ac:dyDescent="0.15">
      <c r="A29" s="183" t="s">
        <v>2419</v>
      </c>
      <c r="B29" s="184" t="s">
        <v>2420</v>
      </c>
      <c r="C29" s="183" t="s">
        <v>2419</v>
      </c>
      <c r="D29" s="183"/>
      <c r="E29" s="183"/>
      <c r="F29" s="183"/>
      <c r="G29" s="183"/>
      <c r="H29" s="183"/>
      <c r="I29" s="183"/>
      <c r="J29" s="183"/>
      <c r="K29" s="183"/>
      <c r="L29" s="183"/>
      <c r="M29" s="183"/>
      <c r="N29" s="183"/>
      <c r="O29" s="183"/>
      <c r="P29" s="183"/>
      <c r="Q29" s="183"/>
      <c r="R29" s="183"/>
      <c r="S29" s="187">
        <v>30</v>
      </c>
      <c r="X29" s="209" t="s">
        <v>2421</v>
      </c>
      <c r="AB29" s="733" t="s">
        <v>2422</v>
      </c>
      <c r="AC29" s="734" t="s">
        <v>2386</v>
      </c>
    </row>
    <row r="30" spans="1:29" ht="12" customHeight="1" x14ac:dyDescent="0.15">
      <c r="A30" s="183" t="s">
        <v>2423</v>
      </c>
      <c r="B30" s="184" t="s">
        <v>2424</v>
      </c>
      <c r="C30" s="183" t="s">
        <v>2423</v>
      </c>
      <c r="D30" s="183"/>
      <c r="E30" s="183"/>
      <c r="F30" s="183"/>
      <c r="G30" s="183"/>
      <c r="H30" s="183"/>
      <c r="I30" s="183"/>
      <c r="J30" s="183"/>
      <c r="K30" s="185" t="s">
        <v>2425</v>
      </c>
      <c r="L30" s="183"/>
      <c r="M30" s="183"/>
      <c r="N30" s="183"/>
      <c r="O30" s="183"/>
      <c r="P30" s="183"/>
      <c r="Q30" s="183"/>
      <c r="R30" s="183"/>
      <c r="S30" s="187">
        <v>31</v>
      </c>
      <c r="X30" s="209" t="s">
        <v>2426</v>
      </c>
      <c r="AB30" s="733" t="s">
        <v>2427</v>
      </c>
      <c r="AC30" s="734" t="s">
        <v>2386</v>
      </c>
    </row>
    <row r="31" spans="1:29" ht="12" customHeight="1" x14ac:dyDescent="0.15">
      <c r="A31" s="183" t="s">
        <v>2428</v>
      </c>
      <c r="B31" s="184" t="s">
        <v>2429</v>
      </c>
      <c r="C31" s="183" t="s">
        <v>2428</v>
      </c>
      <c r="D31" s="183"/>
      <c r="E31" s="183"/>
      <c r="F31" s="183"/>
      <c r="G31" s="183"/>
      <c r="H31" s="183"/>
      <c r="I31" s="183"/>
      <c r="J31" s="183"/>
      <c r="K31" s="695" t="s">
        <v>2430</v>
      </c>
      <c r="L31" s="183"/>
      <c r="M31" s="183"/>
      <c r="N31" s="183"/>
      <c r="O31" s="183"/>
      <c r="P31" s="183"/>
      <c r="Q31" s="183"/>
      <c r="R31" s="183"/>
      <c r="S31" s="187">
        <v>32</v>
      </c>
      <c r="X31" s="209" t="s">
        <v>2431</v>
      </c>
      <c r="AB31" s="733" t="s">
        <v>2432</v>
      </c>
      <c r="AC31" s="734" t="s">
        <v>2386</v>
      </c>
    </row>
    <row r="32" spans="1:29" ht="12" customHeight="1" x14ac:dyDescent="0.15">
      <c r="A32" s="183" t="s">
        <v>2433</v>
      </c>
      <c r="B32" s="184" t="s">
        <v>2434</v>
      </c>
      <c r="C32" s="183" t="s">
        <v>2433</v>
      </c>
      <c r="D32" s="183"/>
      <c r="E32" s="183"/>
      <c r="F32" s="183"/>
      <c r="G32" s="183"/>
      <c r="H32" s="183"/>
      <c r="I32" s="183"/>
      <c r="J32" s="183"/>
      <c r="K32" s="695" t="s">
        <v>2435</v>
      </c>
      <c r="L32" s="183"/>
      <c r="M32" s="183"/>
      <c r="N32" s="183"/>
      <c r="O32" s="183"/>
      <c r="P32" s="183"/>
      <c r="Q32" s="183"/>
      <c r="R32" s="183"/>
      <c r="S32" s="187">
        <v>33</v>
      </c>
      <c r="X32" s="209" t="s">
        <v>2436</v>
      </c>
      <c r="AB32" s="733" t="s">
        <v>2437</v>
      </c>
      <c r="AC32" s="734" t="s">
        <v>2386</v>
      </c>
    </row>
    <row r="33" spans="1:29" ht="12" customHeight="1" x14ac:dyDescent="0.15">
      <c r="A33" s="183" t="s">
        <v>2438</v>
      </c>
      <c r="B33" s="184" t="s">
        <v>2439</v>
      </c>
      <c r="C33" s="183" t="s">
        <v>2438</v>
      </c>
      <c r="D33" s="183"/>
      <c r="E33" s="183"/>
      <c r="F33" s="183"/>
      <c r="G33" s="183"/>
      <c r="H33" s="183"/>
      <c r="I33" s="183"/>
      <c r="J33" s="183"/>
      <c r="K33" s="695" t="s">
        <v>2440</v>
      </c>
      <c r="L33" s="183"/>
      <c r="M33" s="183"/>
      <c r="N33" s="183"/>
      <c r="O33" s="183"/>
      <c r="P33" s="183"/>
      <c r="Q33" s="183"/>
      <c r="R33" s="183"/>
      <c r="S33" s="187">
        <v>34</v>
      </c>
      <c r="X33" s="209" t="s">
        <v>2441</v>
      </c>
      <c r="AB33" s="734" t="s">
        <v>2442</v>
      </c>
      <c r="AC33" s="734" t="s">
        <v>2386</v>
      </c>
    </row>
    <row r="34" spans="1:29" ht="12" customHeight="1" x14ac:dyDescent="0.15">
      <c r="A34" s="183" t="s">
        <v>2443</v>
      </c>
      <c r="B34" s="184" t="s">
        <v>2444</v>
      </c>
      <c r="C34" s="183" t="s">
        <v>2443</v>
      </c>
      <c r="D34" s="183"/>
      <c r="E34" s="183"/>
      <c r="F34" s="183"/>
      <c r="G34" s="183"/>
      <c r="H34" s="183"/>
      <c r="I34" s="183"/>
      <c r="J34" s="183"/>
      <c r="K34" s="183"/>
      <c r="L34" s="183"/>
      <c r="M34" s="183"/>
      <c r="N34" s="183"/>
      <c r="O34" s="183"/>
      <c r="P34" s="183"/>
      <c r="Q34" s="183"/>
      <c r="R34" s="183"/>
      <c r="S34" s="187">
        <v>35</v>
      </c>
      <c r="X34" s="209" t="s">
        <v>2445</v>
      </c>
      <c r="AB34" s="734" t="s">
        <v>2446</v>
      </c>
      <c r="AC34" s="734" t="s">
        <v>2386</v>
      </c>
    </row>
    <row r="35" spans="1:29" ht="12" customHeight="1" x14ac:dyDescent="0.15">
      <c r="A35" s="183" t="s">
        <v>2447</v>
      </c>
      <c r="B35" s="184" t="s">
        <v>2448</v>
      </c>
      <c r="C35" s="183" t="s">
        <v>2447</v>
      </c>
      <c r="D35" s="183"/>
      <c r="E35" s="183"/>
      <c r="F35" s="183"/>
      <c r="G35" s="183"/>
      <c r="H35" s="183"/>
      <c r="I35" s="183"/>
      <c r="J35" s="183"/>
      <c r="K35" s="183"/>
      <c r="L35" s="183"/>
      <c r="M35" s="183"/>
      <c r="N35" s="183"/>
      <c r="O35" s="183"/>
      <c r="P35" s="183"/>
      <c r="Q35" s="183"/>
      <c r="R35" s="183"/>
      <c r="S35" s="187">
        <v>36</v>
      </c>
      <c r="X35" s="209" t="s">
        <v>2449</v>
      </c>
      <c r="AB35" s="734" t="s">
        <v>2450</v>
      </c>
      <c r="AC35" s="734" t="s">
        <v>2386</v>
      </c>
    </row>
    <row r="36" spans="1:29" ht="12" customHeight="1" x14ac:dyDescent="0.15">
      <c r="A36" s="183" t="s">
        <v>2451</v>
      </c>
      <c r="B36" s="184" t="s">
        <v>2452</v>
      </c>
      <c r="C36" s="183" t="s">
        <v>2451</v>
      </c>
      <c r="D36" s="183"/>
      <c r="E36" s="183"/>
      <c r="F36" s="183"/>
      <c r="G36" s="183"/>
      <c r="H36" s="183"/>
      <c r="I36" s="183"/>
      <c r="J36" s="183"/>
      <c r="K36" s="183"/>
      <c r="L36" s="183"/>
      <c r="M36" s="183"/>
      <c r="N36" s="183"/>
      <c r="O36" s="183"/>
      <c r="P36" s="183"/>
      <c r="Q36" s="183"/>
      <c r="R36" s="183"/>
      <c r="S36" s="187">
        <v>37</v>
      </c>
      <c r="X36" s="209" t="s">
        <v>2453</v>
      </c>
      <c r="AB36" s="734" t="s">
        <v>2454</v>
      </c>
      <c r="AC36" s="734" t="s">
        <v>2386</v>
      </c>
    </row>
    <row r="37" spans="1:29" ht="12" customHeight="1" x14ac:dyDescent="0.15">
      <c r="A37" s="183" t="s">
        <v>2455</v>
      </c>
      <c r="B37" s="184" t="s">
        <v>2456</v>
      </c>
      <c r="C37" s="183" t="s">
        <v>2455</v>
      </c>
      <c r="D37" s="183"/>
      <c r="E37" s="183"/>
      <c r="F37" s="183"/>
      <c r="G37" s="183"/>
      <c r="H37" s="183"/>
      <c r="I37" s="183"/>
      <c r="J37" s="183"/>
      <c r="K37" s="183"/>
      <c r="L37" s="183"/>
      <c r="M37" s="183"/>
      <c r="N37" s="183"/>
      <c r="O37" s="183"/>
      <c r="P37" s="183"/>
      <c r="Q37" s="183"/>
      <c r="R37" s="183"/>
      <c r="S37" s="187">
        <v>38</v>
      </c>
      <c r="AB37" s="734" t="s">
        <v>922</v>
      </c>
      <c r="AC37" s="734" t="s">
        <v>2386</v>
      </c>
    </row>
    <row r="38" spans="1:29" ht="12" customHeight="1" x14ac:dyDescent="0.15">
      <c r="A38" s="183" t="s">
        <v>2457</v>
      </c>
      <c r="B38" s="184" t="s">
        <v>2458</v>
      </c>
      <c r="C38" s="183" t="s">
        <v>2457</v>
      </c>
      <c r="D38" s="183"/>
      <c r="E38" s="183"/>
      <c r="F38" s="183"/>
      <c r="G38" s="183"/>
      <c r="H38" s="183"/>
      <c r="I38" s="183"/>
      <c r="J38" s="183"/>
      <c r="K38" s="185" t="s">
        <v>2459</v>
      </c>
      <c r="L38" s="183"/>
      <c r="M38" s="183"/>
      <c r="N38" s="183"/>
      <c r="O38" s="183"/>
      <c r="P38" s="183"/>
      <c r="Q38" s="183"/>
      <c r="R38" s="183"/>
      <c r="S38" s="187">
        <v>39</v>
      </c>
      <c r="AB38" s="734" t="s">
        <v>2460</v>
      </c>
      <c r="AC38" s="734" t="s">
        <v>2386</v>
      </c>
    </row>
    <row r="39" spans="1:29" ht="12" customHeight="1" x14ac:dyDescent="0.15">
      <c r="A39" s="183" t="s">
        <v>2461</v>
      </c>
      <c r="B39" s="184" t="s">
        <v>2462</v>
      </c>
      <c r="C39" s="183" t="s">
        <v>2461</v>
      </c>
      <c r="D39" s="183"/>
      <c r="E39" s="183"/>
      <c r="F39" s="183"/>
      <c r="G39" s="183"/>
      <c r="H39" s="183"/>
      <c r="I39" s="183"/>
      <c r="J39" s="183"/>
      <c r="K39" s="189" t="s">
        <v>2463</v>
      </c>
      <c r="L39" s="183"/>
      <c r="M39" s="183"/>
      <c r="N39" s="183"/>
      <c r="O39" s="183"/>
      <c r="P39" s="183"/>
      <c r="Q39" s="183"/>
      <c r="R39" s="183"/>
      <c r="S39" s="187">
        <v>40</v>
      </c>
      <c r="AB39" s="734" t="s">
        <v>2464</v>
      </c>
      <c r="AC39" s="734" t="s">
        <v>2386</v>
      </c>
    </row>
    <row r="40" spans="1:29" ht="12" customHeight="1" x14ac:dyDescent="0.15">
      <c r="A40" s="183" t="s">
        <v>2465</v>
      </c>
      <c r="B40" s="184" t="s">
        <v>2466</v>
      </c>
      <c r="C40" s="183" t="s">
        <v>2465</v>
      </c>
      <c r="D40" s="183"/>
      <c r="E40" s="183"/>
      <c r="F40" s="183"/>
      <c r="G40" s="183"/>
      <c r="H40" s="183"/>
      <c r="I40" s="183"/>
      <c r="J40" s="183"/>
      <c r="K40" s="189" t="s">
        <v>2467</v>
      </c>
      <c r="L40" s="183"/>
      <c r="M40" s="183"/>
      <c r="N40" s="183"/>
      <c r="O40" s="183"/>
      <c r="P40" s="183"/>
      <c r="Q40" s="183"/>
      <c r="R40" s="183"/>
      <c r="S40" s="187">
        <v>41</v>
      </c>
      <c r="AB40" s="734" t="s">
        <v>2468</v>
      </c>
      <c r="AC40" s="734" t="s">
        <v>2386</v>
      </c>
    </row>
    <row r="41" spans="1:29" ht="12" customHeight="1" x14ac:dyDescent="0.15">
      <c r="A41" s="183" t="s">
        <v>2469</v>
      </c>
      <c r="B41" s="184" t="s">
        <v>2470</v>
      </c>
      <c r="C41" s="183" t="s">
        <v>2469</v>
      </c>
      <c r="D41" s="183"/>
      <c r="E41" s="183"/>
      <c r="F41" s="183"/>
      <c r="G41" s="183"/>
      <c r="H41" s="183"/>
      <c r="I41" s="183"/>
      <c r="J41" s="183"/>
      <c r="K41" s="189" t="s">
        <v>2471</v>
      </c>
      <c r="L41" s="183"/>
      <c r="M41" s="183"/>
      <c r="N41" s="183"/>
      <c r="O41" s="183"/>
      <c r="P41" s="183"/>
      <c r="Q41" s="183"/>
      <c r="R41" s="183"/>
      <c r="S41" s="187">
        <v>42</v>
      </c>
      <c r="AB41" s="734" t="s">
        <v>2472</v>
      </c>
      <c r="AC41" s="734" t="s">
        <v>2386</v>
      </c>
    </row>
    <row r="42" spans="1:29" ht="12" customHeight="1" x14ac:dyDescent="0.15">
      <c r="A42" s="183" t="s">
        <v>2473</v>
      </c>
      <c r="B42" s="184" t="s">
        <v>2474</v>
      </c>
      <c r="C42" s="183" t="s">
        <v>2473</v>
      </c>
      <c r="D42" s="183"/>
      <c r="E42" s="183"/>
      <c r="F42" s="183"/>
      <c r="G42" s="183"/>
      <c r="H42" s="183"/>
      <c r="I42" s="183"/>
      <c r="J42" s="183"/>
      <c r="K42" s="189" t="s">
        <v>2475</v>
      </c>
      <c r="L42" s="183"/>
      <c r="M42" s="183"/>
      <c r="N42" s="183"/>
      <c r="O42" s="183"/>
      <c r="P42" s="183"/>
      <c r="Q42" s="183"/>
      <c r="R42" s="183"/>
      <c r="S42" s="187">
        <v>43</v>
      </c>
      <c r="AB42" s="734" t="s">
        <v>2476</v>
      </c>
      <c r="AC42" s="734" t="s">
        <v>2386</v>
      </c>
    </row>
    <row r="43" spans="1:29" ht="12" customHeight="1" x14ac:dyDescent="0.15">
      <c r="A43" s="183" t="s">
        <v>2477</v>
      </c>
      <c r="B43" s="184" t="s">
        <v>2478</v>
      </c>
      <c r="C43" s="183" t="s">
        <v>2477</v>
      </c>
      <c r="D43" s="183"/>
      <c r="E43" s="183"/>
      <c r="F43" s="183"/>
      <c r="G43" s="183"/>
      <c r="H43" s="183"/>
      <c r="I43" s="183"/>
      <c r="J43" s="183"/>
      <c r="K43" s="183"/>
      <c r="L43" s="183"/>
      <c r="M43" s="183"/>
      <c r="N43" s="183"/>
      <c r="O43" s="183"/>
      <c r="P43" s="183"/>
      <c r="Q43" s="183"/>
      <c r="R43" s="183"/>
      <c r="S43" s="187">
        <v>44</v>
      </c>
      <c r="AB43" s="734" t="s">
        <v>2479</v>
      </c>
      <c r="AC43" s="734" t="s">
        <v>2480</v>
      </c>
    </row>
    <row r="44" spans="1:29" ht="12" customHeight="1" x14ac:dyDescent="0.15">
      <c r="A44" s="183" t="s">
        <v>2481</v>
      </c>
      <c r="B44" s="184" t="s">
        <v>2482</v>
      </c>
      <c r="C44" s="183" t="s">
        <v>2481</v>
      </c>
      <c r="D44" s="183"/>
      <c r="E44" s="183"/>
      <c r="F44" s="183"/>
      <c r="G44" s="183"/>
      <c r="H44" s="183"/>
      <c r="I44" s="183"/>
      <c r="J44" s="183"/>
      <c r="K44" s="183"/>
      <c r="L44" s="183"/>
      <c r="M44" s="183"/>
      <c r="N44" s="183"/>
      <c r="O44" s="183"/>
      <c r="P44" s="183"/>
      <c r="Q44" s="183"/>
      <c r="R44" s="183"/>
      <c r="S44" s="187">
        <v>45</v>
      </c>
      <c r="AB44" s="734" t="s">
        <v>2483</v>
      </c>
      <c r="AC44" s="734" t="s">
        <v>2484</v>
      </c>
    </row>
    <row r="45" spans="1:29" ht="12" customHeight="1" x14ac:dyDescent="0.15">
      <c r="A45" s="183" t="s">
        <v>2485</v>
      </c>
      <c r="B45" s="184" t="s">
        <v>2486</v>
      </c>
      <c r="C45" s="183" t="s">
        <v>2485</v>
      </c>
      <c r="D45" s="183"/>
      <c r="E45" s="183"/>
      <c r="F45" s="183"/>
      <c r="G45" s="183"/>
      <c r="H45" s="183"/>
      <c r="I45" s="183"/>
      <c r="J45" s="183"/>
      <c r="K45" s="185" t="s">
        <v>2487</v>
      </c>
      <c r="L45" s="183"/>
      <c r="M45" s="183"/>
      <c r="N45" s="183"/>
      <c r="O45" s="183"/>
      <c r="P45" s="183"/>
      <c r="Q45" s="183"/>
      <c r="R45" s="183"/>
      <c r="S45" s="187">
        <v>46</v>
      </c>
      <c r="AB45" s="734" t="s">
        <v>2488</v>
      </c>
      <c r="AC45" s="734" t="s">
        <v>2386</v>
      </c>
    </row>
    <row r="46" spans="1:29" ht="12" customHeight="1" x14ac:dyDescent="0.15">
      <c r="A46" s="183" t="s">
        <v>2489</v>
      </c>
      <c r="B46" s="184" t="s">
        <v>2490</v>
      </c>
      <c r="C46" s="183" t="s">
        <v>2489</v>
      </c>
      <c r="D46" s="183"/>
      <c r="E46" s="183"/>
      <c r="F46" s="183"/>
      <c r="G46" s="183"/>
      <c r="H46" s="183"/>
      <c r="I46" s="183"/>
      <c r="J46" s="183"/>
      <c r="K46" s="189" t="s">
        <v>253</v>
      </c>
      <c r="L46" s="183"/>
      <c r="M46" s="183"/>
      <c r="N46" s="183"/>
      <c r="O46" s="183"/>
      <c r="P46" s="183"/>
      <c r="Q46" s="183"/>
      <c r="R46" s="183"/>
      <c r="S46" s="187">
        <v>47</v>
      </c>
      <c r="AB46" s="734" t="s">
        <v>2491</v>
      </c>
      <c r="AC46" s="734" t="s">
        <v>2386</v>
      </c>
    </row>
    <row r="47" spans="1:29" ht="12" customHeight="1" x14ac:dyDescent="0.15">
      <c r="A47" s="183" t="s">
        <v>2492</v>
      </c>
      <c r="B47" s="184" t="s">
        <v>2493</v>
      </c>
      <c r="C47" s="183" t="s">
        <v>2492</v>
      </c>
      <c r="D47" s="183"/>
      <c r="E47" s="183"/>
      <c r="F47" s="183"/>
      <c r="G47" s="183"/>
      <c r="H47" s="183"/>
      <c r="I47" s="183"/>
      <c r="J47" s="183"/>
      <c r="K47" s="189" t="s">
        <v>2384</v>
      </c>
      <c r="L47" s="183"/>
      <c r="M47" s="183"/>
      <c r="N47" s="183"/>
      <c r="O47" s="183"/>
      <c r="P47" s="183"/>
      <c r="Q47" s="183"/>
      <c r="R47" s="183"/>
      <c r="S47" s="187">
        <v>48</v>
      </c>
      <c r="AB47" s="734" t="s">
        <v>2494</v>
      </c>
      <c r="AC47" s="734" t="s">
        <v>2386</v>
      </c>
    </row>
    <row r="48" spans="1:29" ht="12" customHeight="1" x14ac:dyDescent="0.15">
      <c r="A48" s="183" t="s">
        <v>2495</v>
      </c>
      <c r="B48" s="184" t="s">
        <v>2496</v>
      </c>
      <c r="C48" s="183" t="s">
        <v>2495</v>
      </c>
      <c r="D48" s="183"/>
      <c r="E48" s="183"/>
      <c r="F48" s="183"/>
      <c r="G48" s="183"/>
      <c r="H48" s="183"/>
      <c r="I48" s="183"/>
      <c r="J48" s="183"/>
      <c r="K48" s="189" t="s">
        <v>229</v>
      </c>
      <c r="L48" s="183"/>
      <c r="M48" s="183"/>
      <c r="N48" s="183"/>
      <c r="O48" s="183"/>
      <c r="P48" s="183"/>
      <c r="Q48" s="183"/>
      <c r="R48" s="183"/>
      <c r="S48" s="187">
        <v>49</v>
      </c>
      <c r="AB48" s="734" t="s">
        <v>2497</v>
      </c>
      <c r="AC48" s="734" t="s">
        <v>2386</v>
      </c>
    </row>
    <row r="49" spans="1:29" ht="12" customHeight="1" x14ac:dyDescent="0.15">
      <c r="A49" s="183" t="s">
        <v>2498</v>
      </c>
      <c r="B49" s="184" t="s">
        <v>2499</v>
      </c>
      <c r="C49" s="183" t="s">
        <v>2498</v>
      </c>
      <c r="D49" s="183"/>
      <c r="E49" s="183"/>
      <c r="F49" s="183"/>
      <c r="G49" s="183"/>
      <c r="H49" s="183"/>
      <c r="I49" s="183"/>
      <c r="J49" s="183"/>
      <c r="K49" s="189" t="s">
        <v>2394</v>
      </c>
      <c r="L49" s="183"/>
      <c r="M49" s="183"/>
      <c r="N49" s="183"/>
      <c r="O49" s="183"/>
      <c r="P49" s="183"/>
      <c r="Q49" s="183"/>
      <c r="R49" s="183"/>
      <c r="S49" s="187">
        <v>50</v>
      </c>
      <c r="AB49" s="734" t="s">
        <v>2500</v>
      </c>
      <c r="AC49" s="734" t="s">
        <v>2386</v>
      </c>
    </row>
    <row r="50" spans="1:29" ht="12" customHeight="1" x14ac:dyDescent="0.15">
      <c r="A50" s="183" t="s">
        <v>2501</v>
      </c>
      <c r="B50" s="184" t="s">
        <v>2502</v>
      </c>
      <c r="C50" s="183" t="s">
        <v>2501</v>
      </c>
      <c r="D50" s="183"/>
      <c r="E50" s="183"/>
      <c r="F50" s="183"/>
      <c r="G50" s="183"/>
      <c r="H50" s="183"/>
      <c r="I50" s="183"/>
      <c r="J50" s="183"/>
      <c r="K50" s="189" t="s">
        <v>245</v>
      </c>
      <c r="L50" s="183"/>
      <c r="M50" s="183"/>
      <c r="N50" s="183"/>
      <c r="O50" s="183"/>
      <c r="P50" s="183"/>
      <c r="Q50" s="183"/>
      <c r="R50" s="183"/>
      <c r="AB50" s="734" t="s">
        <v>2503</v>
      </c>
      <c r="AC50" s="734" t="s">
        <v>2386</v>
      </c>
    </row>
    <row r="51" spans="1:29" ht="12" customHeight="1" x14ac:dyDescent="0.15">
      <c r="A51" s="183" t="s">
        <v>2504</v>
      </c>
      <c r="B51" s="184" t="s">
        <v>2505</v>
      </c>
      <c r="C51" s="183" t="s">
        <v>2504</v>
      </c>
      <c r="D51" s="183"/>
      <c r="E51" s="183"/>
      <c r="F51" s="183"/>
      <c r="G51" s="183"/>
      <c r="H51" s="183"/>
      <c r="I51" s="183"/>
      <c r="J51" s="183"/>
      <c r="K51" s="189" t="s">
        <v>2375</v>
      </c>
      <c r="L51" s="183"/>
      <c r="M51" s="183"/>
      <c r="N51" s="183"/>
      <c r="O51" s="183"/>
      <c r="P51" s="183"/>
      <c r="Q51" s="183"/>
      <c r="R51" s="183"/>
      <c r="AB51" s="734" t="s">
        <v>2506</v>
      </c>
      <c r="AC51" s="734" t="s">
        <v>2386</v>
      </c>
    </row>
    <row r="52" spans="1:29" ht="12" customHeight="1" x14ac:dyDescent="0.15">
      <c r="A52" s="183" t="s">
        <v>2507</v>
      </c>
      <c r="B52" s="184" t="s">
        <v>2508</v>
      </c>
      <c r="C52" s="183" t="s">
        <v>2507</v>
      </c>
      <c r="D52" s="183"/>
      <c r="E52" s="183"/>
      <c r="F52" s="183"/>
      <c r="G52" s="183"/>
      <c r="H52" s="183"/>
      <c r="I52" s="183"/>
      <c r="J52" s="183"/>
      <c r="K52" s="189" t="s">
        <v>2509</v>
      </c>
      <c r="L52" s="183"/>
      <c r="M52" s="183"/>
      <c r="N52" s="183"/>
      <c r="O52" s="183"/>
      <c r="P52" s="183"/>
      <c r="Q52" s="183"/>
      <c r="R52" s="183"/>
      <c r="AB52" s="734" t="s">
        <v>2510</v>
      </c>
      <c r="AC52" s="853" t="s">
        <v>2386</v>
      </c>
    </row>
    <row r="53" spans="1:29" ht="12" customHeight="1" x14ac:dyDescent="0.15">
      <c r="A53" s="183" t="s">
        <v>2511</v>
      </c>
      <c r="B53" s="184" t="s">
        <v>2512</v>
      </c>
      <c r="C53" s="183" t="s">
        <v>2511</v>
      </c>
      <c r="D53" s="183"/>
      <c r="E53" s="183"/>
      <c r="F53" s="183"/>
      <c r="G53" s="183"/>
      <c r="H53" s="183"/>
      <c r="I53" s="183"/>
      <c r="J53" s="183"/>
      <c r="K53" s="183"/>
      <c r="L53" s="183"/>
      <c r="M53" s="183"/>
      <c r="N53" s="183"/>
      <c r="O53" s="183"/>
      <c r="P53" s="183"/>
      <c r="Q53" s="183"/>
      <c r="R53" s="183"/>
      <c r="AB53" s="734" t="s">
        <v>2513</v>
      </c>
      <c r="AC53" s="734" t="s">
        <v>2252</v>
      </c>
    </row>
    <row r="54" spans="1:29" ht="12" customHeight="1" x14ac:dyDescent="0.15">
      <c r="A54" s="183" t="s">
        <v>2514</v>
      </c>
      <c r="B54" s="184" t="s">
        <v>2515</v>
      </c>
      <c r="C54" s="183" t="s">
        <v>2514</v>
      </c>
      <c r="D54" s="183"/>
      <c r="E54" s="183"/>
      <c r="F54" s="183"/>
      <c r="G54" s="183"/>
      <c r="H54" s="183"/>
      <c r="I54" s="183"/>
      <c r="J54" s="183"/>
      <c r="K54" s="183"/>
      <c r="L54" s="183"/>
      <c r="M54" s="183"/>
      <c r="N54" s="183"/>
      <c r="O54" s="183"/>
      <c r="P54" s="183"/>
      <c r="Q54" s="183"/>
      <c r="R54" s="183"/>
      <c r="AB54" s="733" t="s">
        <v>2516</v>
      </c>
      <c r="AC54" s="734" t="s">
        <v>2252</v>
      </c>
    </row>
    <row r="55" spans="1:29" ht="12" customHeight="1" x14ac:dyDescent="0.15">
      <c r="A55" s="183" t="s">
        <v>2517</v>
      </c>
      <c r="B55" s="184" t="s">
        <v>2518</v>
      </c>
      <c r="C55" s="183" t="s">
        <v>2517</v>
      </c>
      <c r="D55" s="183"/>
      <c r="E55" s="183"/>
      <c r="F55" s="183"/>
      <c r="G55" s="183"/>
      <c r="H55" s="183"/>
      <c r="I55" s="183"/>
      <c r="J55" s="183"/>
      <c r="K55" s="183"/>
      <c r="L55" s="183"/>
      <c r="M55" s="183"/>
      <c r="N55" s="183"/>
      <c r="O55" s="183"/>
      <c r="P55" s="183"/>
      <c r="Q55" s="183"/>
      <c r="R55" s="183"/>
      <c r="AB55" s="733" t="s">
        <v>2519</v>
      </c>
      <c r="AC55" s="734" t="s">
        <v>2386</v>
      </c>
    </row>
    <row r="56" spans="1:29" ht="12" customHeight="1" x14ac:dyDescent="0.15">
      <c r="A56" s="183" t="s">
        <v>2520</v>
      </c>
      <c r="B56" s="192" t="s">
        <v>2521</v>
      </c>
      <c r="C56" s="194" t="s">
        <v>2522</v>
      </c>
      <c r="D56" s="183"/>
      <c r="E56" s="183"/>
      <c r="F56" s="183"/>
      <c r="G56" s="183"/>
      <c r="H56" s="183"/>
      <c r="I56" s="183"/>
      <c r="J56" s="183"/>
      <c r="K56" s="183"/>
      <c r="L56" s="183"/>
      <c r="M56" s="183"/>
      <c r="N56" s="183"/>
      <c r="O56" s="183"/>
      <c r="P56" s="183"/>
      <c r="Q56" s="183"/>
      <c r="R56" s="183"/>
      <c r="AB56" s="733" t="s">
        <v>2523</v>
      </c>
      <c r="AC56" s="734" t="s">
        <v>2386</v>
      </c>
    </row>
    <row r="57" spans="1:29" ht="12" customHeight="1" x14ac:dyDescent="0.15">
      <c r="A57" s="183" t="s">
        <v>2524</v>
      </c>
      <c r="B57" s="184" t="s">
        <v>2525</v>
      </c>
      <c r="C57" s="183" t="s">
        <v>2524</v>
      </c>
      <c r="D57" s="183"/>
      <c r="E57" s="183"/>
      <c r="F57" s="183"/>
      <c r="G57" s="183"/>
      <c r="H57" s="183"/>
      <c r="I57" s="183"/>
      <c r="J57" s="183"/>
      <c r="K57" s="183"/>
      <c r="L57" s="183"/>
      <c r="M57" s="183"/>
      <c r="N57" s="183"/>
      <c r="O57" s="183"/>
      <c r="P57" s="183"/>
      <c r="Q57" s="183"/>
      <c r="R57" s="183"/>
      <c r="AB57" s="733" t="s">
        <v>2526</v>
      </c>
      <c r="AC57" s="734" t="s">
        <v>2252</v>
      </c>
    </row>
    <row r="58" spans="1:29" ht="12" customHeight="1" x14ac:dyDescent="0.15">
      <c r="A58" s="183" t="s">
        <v>2527</v>
      </c>
      <c r="B58" s="184" t="s">
        <v>2528</v>
      </c>
      <c r="C58" s="183" t="s">
        <v>2527</v>
      </c>
      <c r="D58" s="183"/>
      <c r="E58" s="183"/>
      <c r="F58" s="183"/>
      <c r="G58" s="183"/>
      <c r="H58" s="183"/>
      <c r="I58" s="183"/>
      <c r="J58" s="183"/>
      <c r="K58" s="183"/>
      <c r="L58" s="183"/>
      <c r="M58" s="183"/>
      <c r="N58" s="183"/>
      <c r="O58" s="183"/>
      <c r="P58" s="183"/>
      <c r="Q58" s="183"/>
      <c r="R58" s="183"/>
    </row>
    <row r="59" spans="1:29" ht="12" customHeight="1" x14ac:dyDescent="0.15">
      <c r="A59" s="183" t="s">
        <v>2529</v>
      </c>
      <c r="B59" s="184" t="s">
        <v>2530</v>
      </c>
      <c r="C59" s="183" t="s">
        <v>2529</v>
      </c>
      <c r="D59" s="183"/>
      <c r="E59" s="183"/>
      <c r="F59" s="183"/>
      <c r="G59" s="183"/>
      <c r="H59" s="183"/>
      <c r="I59" s="183"/>
      <c r="J59" s="183"/>
      <c r="K59" s="183"/>
      <c r="L59" s="183"/>
      <c r="M59" s="183"/>
      <c r="N59" s="183"/>
      <c r="O59" s="183"/>
      <c r="P59" s="183"/>
      <c r="Q59" s="183"/>
      <c r="R59" s="183"/>
    </row>
    <row r="60" spans="1:29" ht="12" customHeight="1" x14ac:dyDescent="0.15">
      <c r="A60" s="183" t="s">
        <v>2531</v>
      </c>
      <c r="B60" s="184" t="s">
        <v>2532</v>
      </c>
      <c r="C60" s="190" t="s">
        <v>2533</v>
      </c>
      <c r="D60" s="183"/>
      <c r="E60" s="183"/>
      <c r="F60" s="183"/>
      <c r="G60" s="183"/>
      <c r="H60" s="183"/>
      <c r="I60" s="183"/>
      <c r="J60" s="183"/>
      <c r="K60" s="183"/>
      <c r="L60" s="183"/>
      <c r="M60" s="183"/>
      <c r="N60" s="183"/>
      <c r="O60" s="183"/>
      <c r="P60" s="183"/>
      <c r="Q60" s="183"/>
      <c r="R60" s="183"/>
    </row>
    <row r="61" spans="1:29" ht="12" customHeight="1" x14ac:dyDescent="0.15">
      <c r="A61" s="183" t="s">
        <v>2534</v>
      </c>
      <c r="B61" s="184" t="s">
        <v>2535</v>
      </c>
      <c r="C61" s="183" t="s">
        <v>2534</v>
      </c>
      <c r="D61" s="183"/>
      <c r="E61" s="183"/>
      <c r="F61" s="183"/>
      <c r="G61" s="183"/>
      <c r="H61" s="183"/>
      <c r="I61" s="183"/>
      <c r="J61" s="183"/>
      <c r="K61" s="183"/>
      <c r="L61" s="183"/>
      <c r="M61" s="183"/>
      <c r="N61" s="183"/>
      <c r="O61" s="183"/>
      <c r="P61" s="183"/>
      <c r="Q61" s="183"/>
      <c r="R61" s="183"/>
    </row>
    <row r="62" spans="1:29" ht="12" customHeight="1" x14ac:dyDescent="0.15">
      <c r="A62" s="183" t="s">
        <v>2536</v>
      </c>
      <c r="B62" s="184" t="s">
        <v>2537</v>
      </c>
      <c r="C62" s="190" t="s">
        <v>2538</v>
      </c>
      <c r="D62" s="183"/>
      <c r="E62" s="183"/>
      <c r="F62" s="183"/>
      <c r="G62" s="183"/>
      <c r="H62" s="183"/>
      <c r="I62" s="183"/>
      <c r="J62" s="183"/>
      <c r="K62" s="183"/>
      <c r="L62" s="183"/>
      <c r="M62" s="183"/>
      <c r="N62" s="183"/>
      <c r="O62" s="183"/>
      <c r="P62" s="183"/>
      <c r="Q62" s="183"/>
      <c r="R62" s="183"/>
    </row>
    <row r="63" spans="1:29" ht="12" customHeight="1" x14ac:dyDescent="0.15">
      <c r="A63" s="183" t="s">
        <v>2539</v>
      </c>
      <c r="B63" s="184" t="s">
        <v>2540</v>
      </c>
      <c r="C63" s="183" t="s">
        <v>2539</v>
      </c>
      <c r="D63" s="183"/>
      <c r="E63" s="183"/>
      <c r="F63" s="183"/>
      <c r="G63" s="183"/>
      <c r="H63" s="183"/>
      <c r="I63" s="183"/>
      <c r="J63" s="183"/>
      <c r="K63" s="183"/>
      <c r="L63" s="183"/>
      <c r="M63" s="183"/>
      <c r="N63" s="183"/>
      <c r="O63" s="183"/>
      <c r="P63" s="183"/>
      <c r="Q63" s="183"/>
      <c r="R63" s="183"/>
    </row>
    <row r="64" spans="1:29" ht="12" customHeight="1" x14ac:dyDescent="0.15">
      <c r="A64" s="183" t="s">
        <v>2541</v>
      </c>
      <c r="B64" s="184" t="s">
        <v>2542</v>
      </c>
      <c r="C64" s="183" t="s">
        <v>2541</v>
      </c>
      <c r="D64" s="183"/>
      <c r="E64" s="183"/>
      <c r="F64" s="183"/>
      <c r="G64" s="183"/>
      <c r="H64" s="183"/>
      <c r="I64" s="183"/>
      <c r="J64" s="183"/>
      <c r="K64" s="183"/>
      <c r="L64" s="183"/>
      <c r="M64" s="183"/>
      <c r="N64" s="183"/>
      <c r="O64" s="183"/>
      <c r="P64" s="183"/>
      <c r="Q64" s="183"/>
      <c r="R64" s="183"/>
    </row>
    <row r="65" spans="1:18" ht="12" customHeight="1" x14ac:dyDescent="0.15">
      <c r="A65" s="183" t="s">
        <v>2543</v>
      </c>
      <c r="B65" s="184" t="s">
        <v>2544</v>
      </c>
      <c r="C65" s="183" t="s">
        <v>2543</v>
      </c>
      <c r="D65" s="183"/>
      <c r="E65" s="183"/>
      <c r="F65" s="183"/>
      <c r="G65" s="183"/>
      <c r="H65" s="183"/>
      <c r="I65" s="183"/>
      <c r="J65" s="183"/>
      <c r="K65" s="183"/>
      <c r="L65" s="183"/>
      <c r="M65" s="183"/>
      <c r="N65" s="183"/>
      <c r="O65" s="183"/>
      <c r="P65" s="183"/>
      <c r="Q65" s="183"/>
      <c r="R65" s="183"/>
    </row>
    <row r="66" spans="1:18" ht="12" customHeight="1" x14ac:dyDescent="0.15">
      <c r="A66" s="183" t="s">
        <v>2545</v>
      </c>
      <c r="B66" s="184" t="s">
        <v>2546</v>
      </c>
      <c r="C66" s="183" t="s">
        <v>2545</v>
      </c>
      <c r="D66" s="183"/>
      <c r="E66" s="183"/>
      <c r="F66" s="183"/>
      <c r="G66" s="183"/>
      <c r="H66" s="183"/>
      <c r="I66" s="183"/>
      <c r="J66" s="183"/>
      <c r="K66" s="183"/>
      <c r="L66" s="183"/>
      <c r="M66" s="183"/>
      <c r="N66" s="183"/>
      <c r="O66" s="183"/>
      <c r="P66" s="183"/>
      <c r="Q66" s="183"/>
      <c r="R66" s="183"/>
    </row>
    <row r="67" spans="1:18" ht="12" customHeight="1" x14ac:dyDescent="0.15">
      <c r="A67" s="183" t="s">
        <v>2547</v>
      </c>
      <c r="B67" s="184" t="s">
        <v>2548</v>
      </c>
      <c r="C67" s="183" t="s">
        <v>2547</v>
      </c>
      <c r="D67" s="183"/>
      <c r="E67" s="183"/>
      <c r="F67" s="183"/>
      <c r="G67" s="183"/>
      <c r="H67" s="183"/>
      <c r="I67" s="183"/>
      <c r="J67" s="183"/>
      <c r="K67" s="183"/>
      <c r="L67" s="183"/>
      <c r="M67" s="183"/>
      <c r="N67" s="183"/>
      <c r="O67" s="183"/>
      <c r="P67" s="183"/>
      <c r="Q67" s="183"/>
      <c r="R67" s="183"/>
    </row>
    <row r="68" spans="1:18" ht="12" customHeight="1" x14ac:dyDescent="0.15">
      <c r="A68" s="183" t="s">
        <v>2549</v>
      </c>
      <c r="B68" s="184" t="s">
        <v>2550</v>
      </c>
      <c r="C68" s="183" t="s">
        <v>2549</v>
      </c>
      <c r="D68" s="183"/>
      <c r="E68" s="183"/>
      <c r="F68" s="183"/>
      <c r="G68" s="183"/>
      <c r="H68" s="183"/>
      <c r="I68" s="183"/>
      <c r="J68" s="183"/>
      <c r="K68" s="183"/>
      <c r="L68" s="183"/>
      <c r="M68" s="183"/>
      <c r="N68" s="183"/>
      <c r="O68" s="183"/>
      <c r="P68" s="183"/>
      <c r="Q68" s="183"/>
      <c r="R68" s="183"/>
    </row>
    <row r="69" spans="1:18" ht="12" customHeight="1" x14ac:dyDescent="0.15">
      <c r="A69" s="183" t="s">
        <v>2551</v>
      </c>
      <c r="B69" s="184" t="s">
        <v>2552</v>
      </c>
      <c r="C69" s="183" t="s">
        <v>2551</v>
      </c>
      <c r="D69" s="183"/>
      <c r="E69" s="183"/>
      <c r="F69" s="183"/>
      <c r="G69" s="183"/>
      <c r="H69" s="183"/>
      <c r="I69" s="183"/>
      <c r="J69" s="183"/>
      <c r="K69" s="183"/>
      <c r="L69" s="183"/>
      <c r="M69" s="183"/>
      <c r="N69" s="183"/>
      <c r="O69" s="183"/>
      <c r="P69" s="183"/>
      <c r="Q69" s="183"/>
      <c r="R69" s="183"/>
    </row>
    <row r="70" spans="1:18" ht="12" customHeight="1" x14ac:dyDescent="0.15">
      <c r="A70" s="183" t="s">
        <v>2553</v>
      </c>
      <c r="B70" s="184" t="s">
        <v>2554</v>
      </c>
      <c r="C70" s="183" t="s">
        <v>2553</v>
      </c>
      <c r="D70" s="183"/>
      <c r="E70" s="183"/>
      <c r="F70" s="183"/>
      <c r="G70" s="183"/>
      <c r="H70" s="183"/>
      <c r="I70" s="183"/>
      <c r="J70" s="183"/>
      <c r="K70" s="183"/>
      <c r="L70" s="183"/>
      <c r="M70" s="183"/>
      <c r="N70" s="183"/>
      <c r="O70" s="183"/>
      <c r="P70" s="183"/>
      <c r="Q70" s="183"/>
      <c r="R70" s="183"/>
    </row>
    <row r="71" spans="1:18" ht="12" customHeight="1" x14ac:dyDescent="0.15">
      <c r="A71" s="183" t="s">
        <v>2555</v>
      </c>
      <c r="B71" s="184" t="s">
        <v>2556</v>
      </c>
      <c r="C71" s="183" t="s">
        <v>2555</v>
      </c>
      <c r="D71" s="183"/>
      <c r="E71" s="183"/>
      <c r="F71" s="183"/>
      <c r="G71" s="183"/>
      <c r="H71" s="183"/>
      <c r="I71" s="183"/>
      <c r="J71" s="183"/>
      <c r="K71" s="183"/>
      <c r="L71" s="183"/>
      <c r="M71" s="183"/>
      <c r="N71" s="183"/>
      <c r="O71" s="183"/>
      <c r="P71" s="183"/>
      <c r="Q71" s="183"/>
      <c r="R71" s="183"/>
    </row>
    <row r="72" spans="1:18" ht="12" customHeight="1" x14ac:dyDescent="0.15">
      <c r="A72" s="183" t="s">
        <v>2557</v>
      </c>
      <c r="B72" s="184" t="s">
        <v>2558</v>
      </c>
      <c r="C72" s="183" t="s">
        <v>2557</v>
      </c>
      <c r="D72" s="183"/>
      <c r="E72" s="183"/>
      <c r="F72" s="183"/>
      <c r="G72" s="183"/>
      <c r="H72" s="183"/>
      <c r="I72" s="183"/>
      <c r="J72" s="183"/>
      <c r="K72" s="183"/>
      <c r="L72" s="183"/>
      <c r="M72" s="183"/>
      <c r="N72" s="183"/>
      <c r="O72" s="183"/>
      <c r="P72" s="183"/>
      <c r="Q72" s="183"/>
      <c r="R72" s="183"/>
    </row>
    <row r="73" spans="1:18" ht="12" customHeight="1" x14ac:dyDescent="0.15">
      <c r="A73" s="183" t="s">
        <v>2559</v>
      </c>
      <c r="B73" s="184" t="s">
        <v>2560</v>
      </c>
      <c r="C73" s="183" t="s">
        <v>2559</v>
      </c>
      <c r="D73" s="183"/>
      <c r="E73" s="183"/>
      <c r="F73" s="183"/>
      <c r="G73" s="183"/>
      <c r="H73" s="183"/>
      <c r="I73" s="183"/>
      <c r="J73" s="183"/>
      <c r="K73" s="183"/>
      <c r="L73" s="183"/>
      <c r="M73" s="183"/>
      <c r="N73" s="183"/>
      <c r="O73" s="183"/>
      <c r="P73" s="183"/>
      <c r="Q73" s="183"/>
      <c r="R73" s="183"/>
    </row>
    <row r="74" spans="1:18" ht="12" customHeight="1" x14ac:dyDescent="0.15">
      <c r="A74" s="183" t="s">
        <v>2561</v>
      </c>
      <c r="B74" s="184" t="s">
        <v>2562</v>
      </c>
      <c r="C74" s="183" t="s">
        <v>2561</v>
      </c>
      <c r="D74" s="183"/>
      <c r="E74" s="183"/>
      <c r="F74" s="183"/>
      <c r="G74" s="183"/>
      <c r="H74" s="183"/>
      <c r="I74" s="183"/>
      <c r="J74" s="183"/>
      <c r="K74" s="183"/>
      <c r="L74" s="183"/>
      <c r="M74" s="183"/>
      <c r="N74" s="183"/>
      <c r="O74" s="183"/>
      <c r="P74" s="183"/>
      <c r="Q74" s="183"/>
      <c r="R74" s="183"/>
    </row>
    <row r="75" spans="1:18" ht="12" customHeight="1" x14ac:dyDescent="0.15">
      <c r="A75" s="183" t="s">
        <v>2563</v>
      </c>
      <c r="B75" s="184" t="s">
        <v>2564</v>
      </c>
      <c r="C75" s="183" t="s">
        <v>2563</v>
      </c>
      <c r="D75" s="183"/>
      <c r="E75" s="183"/>
      <c r="F75" s="183"/>
      <c r="G75" s="183"/>
      <c r="H75" s="183"/>
      <c r="I75" s="183"/>
      <c r="J75" s="183"/>
      <c r="K75" s="183"/>
      <c r="L75" s="183"/>
      <c r="M75" s="183"/>
      <c r="N75" s="183"/>
      <c r="O75" s="183"/>
      <c r="P75" s="183"/>
      <c r="Q75" s="183"/>
      <c r="R75" s="183"/>
    </row>
    <row r="76" spans="1:18" ht="12" customHeight="1" x14ac:dyDescent="0.15">
      <c r="A76" s="183" t="s">
        <v>2565</v>
      </c>
      <c r="B76" s="184" t="s">
        <v>2566</v>
      </c>
      <c r="C76" s="183" t="s">
        <v>2565</v>
      </c>
      <c r="D76" s="183"/>
      <c r="E76" s="183"/>
      <c r="F76" s="183"/>
      <c r="G76" s="183"/>
      <c r="H76" s="183"/>
      <c r="I76" s="183"/>
      <c r="J76" s="183"/>
      <c r="K76" s="183"/>
      <c r="L76" s="183"/>
      <c r="M76" s="183"/>
      <c r="N76" s="183"/>
      <c r="O76" s="183"/>
      <c r="P76" s="183"/>
      <c r="Q76" s="183"/>
      <c r="R76" s="183"/>
    </row>
    <row r="77" spans="1:18" ht="12" customHeight="1" x14ac:dyDescent="0.15">
      <c r="A77" s="183" t="s">
        <v>2567</v>
      </c>
      <c r="B77" s="184" t="s">
        <v>2568</v>
      </c>
      <c r="C77" s="190" t="s">
        <v>2569</v>
      </c>
      <c r="D77" s="183"/>
      <c r="E77" s="183"/>
      <c r="F77" s="183"/>
      <c r="G77" s="183"/>
      <c r="H77" s="183"/>
      <c r="I77" s="183"/>
      <c r="J77" s="183"/>
      <c r="K77" s="183"/>
      <c r="L77" s="183"/>
      <c r="M77" s="183"/>
      <c r="N77" s="183"/>
      <c r="O77" s="183"/>
      <c r="P77" s="183"/>
      <c r="Q77" s="183"/>
      <c r="R77" s="183"/>
    </row>
    <row r="78" spans="1:18" ht="12" customHeight="1" x14ac:dyDescent="0.15">
      <c r="A78" s="183" t="s">
        <v>2570</v>
      </c>
      <c r="B78" s="184" t="s">
        <v>2571</v>
      </c>
      <c r="C78" s="183" t="s">
        <v>2570</v>
      </c>
      <c r="D78" s="183"/>
      <c r="E78" s="183"/>
      <c r="F78" s="183"/>
      <c r="G78" s="183"/>
      <c r="H78" s="183"/>
      <c r="I78" s="183"/>
      <c r="J78" s="183"/>
      <c r="K78" s="183"/>
      <c r="L78" s="183"/>
      <c r="M78" s="183"/>
      <c r="N78" s="183"/>
      <c r="O78" s="183"/>
      <c r="P78" s="183"/>
      <c r="Q78" s="183"/>
      <c r="R78" s="183"/>
    </row>
    <row r="79" spans="1:18" ht="12" customHeight="1" x14ac:dyDescent="0.15">
      <c r="A79" s="183" t="s">
        <v>2572</v>
      </c>
      <c r="B79" s="184" t="s">
        <v>2573</v>
      </c>
      <c r="C79" s="183" t="s">
        <v>2572</v>
      </c>
      <c r="D79" s="183"/>
      <c r="E79" s="183"/>
      <c r="F79" s="183"/>
      <c r="G79" s="183"/>
      <c r="H79" s="183"/>
      <c r="I79" s="183"/>
      <c r="J79" s="183"/>
      <c r="K79" s="183"/>
      <c r="L79" s="183"/>
      <c r="M79" s="183"/>
      <c r="N79" s="183"/>
      <c r="O79" s="183"/>
      <c r="P79" s="183"/>
      <c r="Q79" s="183"/>
      <c r="R79" s="183"/>
    </row>
    <row r="80" spans="1:18" ht="12" customHeight="1" x14ac:dyDescent="0.15">
      <c r="A80" s="183" t="s">
        <v>2574</v>
      </c>
      <c r="B80" s="184" t="s">
        <v>2575</v>
      </c>
      <c r="C80" s="183" t="s">
        <v>2574</v>
      </c>
      <c r="D80" s="183"/>
      <c r="E80" s="183"/>
      <c r="F80" s="183"/>
      <c r="G80" s="183"/>
      <c r="H80" s="183"/>
      <c r="I80" s="183"/>
      <c r="J80" s="183"/>
      <c r="K80" s="183"/>
      <c r="L80" s="183"/>
      <c r="M80" s="183"/>
      <c r="N80" s="183"/>
      <c r="O80" s="183"/>
      <c r="P80" s="183"/>
      <c r="Q80" s="183"/>
      <c r="R80" s="183"/>
    </row>
    <row r="81" spans="1:18" ht="12" customHeight="1" x14ac:dyDescent="0.15">
      <c r="A81" s="183" t="s">
        <v>2576</v>
      </c>
      <c r="B81" s="184" t="s">
        <v>2577</v>
      </c>
      <c r="C81" s="183" t="s">
        <v>2576</v>
      </c>
      <c r="D81" s="183"/>
      <c r="E81" s="183"/>
      <c r="F81" s="183"/>
      <c r="G81" s="183"/>
      <c r="H81" s="183"/>
      <c r="I81" s="183"/>
      <c r="J81" s="183"/>
      <c r="K81" s="183"/>
      <c r="L81" s="183"/>
      <c r="M81" s="183"/>
      <c r="N81" s="183"/>
      <c r="O81" s="183"/>
      <c r="P81" s="183"/>
      <c r="Q81" s="183"/>
      <c r="R81" s="183"/>
    </row>
    <row r="82" spans="1:18" ht="12" customHeight="1" x14ac:dyDescent="0.15">
      <c r="A82" s="183" t="s">
        <v>2578</v>
      </c>
      <c r="B82" s="184" t="s">
        <v>2579</v>
      </c>
      <c r="C82" s="190" t="s">
        <v>2580</v>
      </c>
      <c r="D82" s="183"/>
      <c r="E82" s="183"/>
      <c r="F82" s="183"/>
      <c r="G82" s="183"/>
      <c r="H82" s="183"/>
      <c r="I82" s="183"/>
      <c r="J82" s="183"/>
      <c r="K82" s="183"/>
      <c r="L82" s="183"/>
      <c r="M82" s="183"/>
      <c r="N82" s="183"/>
      <c r="O82" s="183"/>
      <c r="P82" s="183"/>
      <c r="Q82" s="183"/>
      <c r="R82" s="183"/>
    </row>
    <row r="83" spans="1:18" ht="12" customHeight="1" x14ac:dyDescent="0.15">
      <c r="A83" s="183" t="s">
        <v>2581</v>
      </c>
      <c r="B83" s="184" t="s">
        <v>2582</v>
      </c>
      <c r="C83" s="190" t="s">
        <v>2583</v>
      </c>
      <c r="D83" s="183"/>
      <c r="E83" s="183"/>
      <c r="F83" s="183"/>
      <c r="G83" s="183"/>
      <c r="H83" s="183"/>
      <c r="I83" s="183"/>
      <c r="J83" s="183"/>
      <c r="K83" s="183"/>
      <c r="L83" s="183"/>
      <c r="M83" s="183"/>
      <c r="N83" s="183"/>
      <c r="O83" s="183"/>
      <c r="P83" s="183"/>
      <c r="Q83" s="183"/>
      <c r="R83" s="183"/>
    </row>
    <row r="84" spans="1:18" ht="12" customHeight="1" x14ac:dyDescent="0.15">
      <c r="A84" s="183" t="s">
        <v>2584</v>
      </c>
      <c r="B84" s="184" t="s">
        <v>2585</v>
      </c>
      <c r="C84" s="183" t="s">
        <v>2584</v>
      </c>
      <c r="D84" s="183"/>
      <c r="E84" s="183"/>
      <c r="F84" s="183"/>
      <c r="G84" s="183"/>
      <c r="H84" s="183"/>
      <c r="I84" s="183"/>
      <c r="J84" s="183"/>
      <c r="K84" s="183"/>
      <c r="L84" s="183"/>
      <c r="M84" s="183"/>
      <c r="N84" s="183"/>
      <c r="O84" s="183"/>
      <c r="P84" s="183"/>
      <c r="Q84" s="183"/>
      <c r="R84" s="183"/>
    </row>
    <row r="85" spans="1:18" ht="12" customHeight="1" x14ac:dyDescent="0.15">
      <c r="A85" s="183" t="s">
        <v>2586</v>
      </c>
      <c r="B85" s="184" t="s">
        <v>2587</v>
      </c>
      <c r="C85" s="183" t="s">
        <v>2586</v>
      </c>
      <c r="D85" s="183"/>
      <c r="E85" s="183"/>
      <c r="F85" s="183"/>
      <c r="G85" s="183"/>
      <c r="H85" s="183"/>
      <c r="I85" s="183"/>
      <c r="J85" s="183"/>
      <c r="K85" s="183"/>
      <c r="L85" s="183"/>
      <c r="M85" s="183"/>
      <c r="N85" s="183"/>
      <c r="O85" s="183"/>
      <c r="P85" s="183"/>
      <c r="Q85" s="183"/>
      <c r="R85" s="183"/>
    </row>
    <row r="86" spans="1:18" ht="12" customHeight="1" x14ac:dyDescent="0.15">
      <c r="A86" s="183" t="s">
        <v>2588</v>
      </c>
      <c r="B86" s="184" t="s">
        <v>2589</v>
      </c>
      <c r="C86" s="183" t="s">
        <v>2588</v>
      </c>
      <c r="D86" s="183"/>
      <c r="E86" s="183"/>
      <c r="F86" s="183"/>
      <c r="G86" s="183"/>
      <c r="H86" s="183"/>
      <c r="I86" s="183"/>
      <c r="J86" s="183"/>
      <c r="K86" s="183"/>
      <c r="L86" s="183"/>
      <c r="M86" s="183"/>
      <c r="N86" s="183"/>
      <c r="O86" s="183"/>
      <c r="P86" s="183"/>
      <c r="Q86" s="183"/>
      <c r="R86" s="183"/>
    </row>
    <row r="87" spans="1:18" ht="12" customHeight="1" x14ac:dyDescent="0.15">
      <c r="A87" s="184"/>
      <c r="B87" s="195"/>
      <c r="C87" s="196" t="s">
        <v>2455</v>
      </c>
      <c r="D87" s="183"/>
      <c r="E87" s="183"/>
      <c r="F87" s="183"/>
      <c r="G87" s="183"/>
      <c r="H87" s="183"/>
      <c r="I87" s="183"/>
      <c r="J87" s="183"/>
      <c r="K87" s="183"/>
      <c r="L87" s="183"/>
      <c r="M87" s="183"/>
      <c r="N87" s="183"/>
      <c r="O87" s="183"/>
      <c r="P87" s="183"/>
      <c r="Q87" s="183"/>
      <c r="R87" s="183"/>
    </row>
    <row r="88" spans="1:18" ht="12" customHeight="1" x14ac:dyDescent="0.15">
      <c r="A88" s="183"/>
      <c r="B88" s="183"/>
      <c r="C88" s="183"/>
      <c r="D88" s="183"/>
      <c r="E88" s="183"/>
      <c r="F88" s="183"/>
      <c r="G88" s="183"/>
      <c r="H88" s="183"/>
      <c r="I88" s="183"/>
      <c r="J88" s="183"/>
      <c r="K88" s="183"/>
      <c r="L88" s="183"/>
      <c r="M88" s="183"/>
      <c r="N88" s="183"/>
      <c r="O88" s="183"/>
      <c r="P88" s="183"/>
      <c r="Q88" s="183"/>
      <c r="R88" s="183"/>
    </row>
    <row r="89" spans="1:18" ht="12" customHeight="1" x14ac:dyDescent="0.15">
      <c r="A89" s="183"/>
      <c r="B89" s="183"/>
      <c r="C89" s="183"/>
      <c r="D89" s="183"/>
      <c r="E89" s="183"/>
      <c r="F89" s="183"/>
      <c r="G89" s="183"/>
      <c r="H89" s="183"/>
      <c r="I89" s="183"/>
      <c r="J89" s="183"/>
      <c r="K89" s="183"/>
      <c r="L89" s="183"/>
      <c r="M89" s="183"/>
      <c r="N89" s="183"/>
      <c r="O89" s="183"/>
      <c r="P89" s="183"/>
      <c r="Q89" s="183"/>
      <c r="R89" s="183"/>
    </row>
    <row r="90" spans="1:18" ht="12" customHeight="1" x14ac:dyDescent="0.15">
      <c r="A90" s="183" t="s">
        <v>2223</v>
      </c>
      <c r="B90" s="184" t="s">
        <v>2590</v>
      </c>
      <c r="C90" s="183"/>
      <c r="D90" s="183"/>
      <c r="E90" s="183"/>
      <c r="F90" s="183"/>
      <c r="G90" s="183"/>
      <c r="H90" s="183"/>
      <c r="I90" s="183"/>
      <c r="J90" s="183"/>
      <c r="K90" s="183"/>
      <c r="L90" s="183"/>
      <c r="M90" s="183"/>
      <c r="N90" s="183"/>
      <c r="O90" s="183"/>
      <c r="P90" s="183"/>
      <c r="Q90" s="183"/>
      <c r="R90" s="183"/>
    </row>
    <row r="91" spans="1:18" ht="12" customHeight="1" x14ac:dyDescent="0.15">
      <c r="A91" s="183" t="s">
        <v>2242</v>
      </c>
      <c r="B91" s="184" t="s">
        <v>2591</v>
      </c>
      <c r="C91" s="183"/>
      <c r="D91" s="183"/>
      <c r="E91" s="183"/>
      <c r="F91" s="183"/>
      <c r="G91" s="183"/>
      <c r="H91" s="183"/>
      <c r="I91" s="183"/>
      <c r="J91" s="183"/>
      <c r="K91" s="183"/>
      <c r="L91" s="183"/>
      <c r="M91" s="183"/>
      <c r="N91" s="183"/>
      <c r="O91" s="183"/>
      <c r="P91" s="183"/>
      <c r="Q91" s="183"/>
      <c r="R91" s="183"/>
    </row>
    <row r="92" spans="1:18" ht="12" customHeight="1" x14ac:dyDescent="0.15">
      <c r="A92" s="183" t="s">
        <v>2253</v>
      </c>
      <c r="B92" s="184" t="s">
        <v>2592</v>
      </c>
      <c r="C92" s="183"/>
      <c r="D92" s="183"/>
      <c r="E92" s="183"/>
      <c r="F92" s="183"/>
      <c r="G92" s="183"/>
      <c r="H92" s="183"/>
      <c r="I92" s="183"/>
      <c r="J92" s="183"/>
      <c r="K92" s="183"/>
      <c r="L92" s="183"/>
      <c r="M92" s="183"/>
      <c r="N92" s="183"/>
      <c r="O92" s="183"/>
      <c r="P92" s="183"/>
      <c r="Q92" s="183"/>
      <c r="R92" s="183"/>
    </row>
    <row r="93" spans="1:18" ht="12" customHeight="1" x14ac:dyDescent="0.15">
      <c r="A93" s="183" t="s">
        <v>2264</v>
      </c>
      <c r="B93" s="184" t="s">
        <v>2593</v>
      </c>
      <c r="C93" s="183"/>
      <c r="D93" s="183"/>
      <c r="E93" s="183"/>
      <c r="F93" s="183"/>
      <c r="G93" s="183"/>
      <c r="H93" s="183"/>
      <c r="I93" s="183"/>
      <c r="J93" s="183"/>
      <c r="K93" s="183"/>
      <c r="L93" s="183"/>
      <c r="M93" s="183"/>
      <c r="N93" s="183"/>
      <c r="O93" s="183"/>
      <c r="P93" s="183"/>
      <c r="Q93" s="183"/>
      <c r="R93" s="183"/>
    </row>
    <row r="94" spans="1:18" ht="12" customHeight="1" x14ac:dyDescent="0.15">
      <c r="A94" s="183" t="s">
        <v>2273</v>
      </c>
      <c r="B94" s="184" t="s">
        <v>2594</v>
      </c>
      <c r="C94" s="183"/>
      <c r="D94" s="183"/>
      <c r="E94" s="183"/>
      <c r="F94" s="183"/>
      <c r="G94" s="183"/>
      <c r="H94" s="183"/>
      <c r="I94" s="183"/>
      <c r="J94" s="183"/>
      <c r="K94" s="183"/>
      <c r="L94" s="183"/>
      <c r="M94" s="183"/>
      <c r="N94" s="183"/>
      <c r="O94" s="183"/>
      <c r="P94" s="183"/>
      <c r="Q94" s="183"/>
      <c r="R94" s="183"/>
    </row>
    <row r="95" spans="1:18" ht="12" customHeight="1" x14ac:dyDescent="0.15">
      <c r="A95" s="183" t="s">
        <v>2283</v>
      </c>
      <c r="B95" s="184" t="s">
        <v>2595</v>
      </c>
      <c r="C95" s="183"/>
      <c r="D95" s="183"/>
      <c r="E95" s="183"/>
      <c r="F95" s="183"/>
      <c r="G95" s="183"/>
      <c r="H95" s="183"/>
      <c r="I95" s="183"/>
      <c r="J95" s="183"/>
      <c r="K95" s="183"/>
      <c r="L95" s="183"/>
      <c r="M95" s="183"/>
      <c r="N95" s="183"/>
      <c r="O95" s="183"/>
      <c r="P95" s="183"/>
      <c r="Q95" s="183"/>
      <c r="R95" s="183"/>
    </row>
    <row r="96" spans="1:18" ht="12" customHeight="1" x14ac:dyDescent="0.15">
      <c r="A96" s="183" t="s">
        <v>2291</v>
      </c>
      <c r="B96" s="184" t="s">
        <v>2596</v>
      </c>
      <c r="C96" s="183"/>
      <c r="D96" s="183"/>
      <c r="E96" s="183"/>
      <c r="F96" s="183"/>
      <c r="G96" s="183"/>
      <c r="H96" s="183"/>
      <c r="I96" s="183"/>
      <c r="J96" s="183"/>
      <c r="K96" s="183"/>
      <c r="L96" s="183"/>
      <c r="M96" s="183"/>
      <c r="N96" s="183"/>
      <c r="O96" s="183"/>
      <c r="P96" s="183"/>
      <c r="Q96" s="183"/>
      <c r="R96" s="183"/>
    </row>
    <row r="97" spans="1:18" ht="12" customHeight="1" x14ac:dyDescent="0.15">
      <c r="A97" s="183" t="s">
        <v>2301</v>
      </c>
      <c r="B97" s="184" t="s">
        <v>2597</v>
      </c>
      <c r="C97" s="183"/>
      <c r="D97" s="183"/>
      <c r="E97" s="183"/>
      <c r="F97" s="183"/>
      <c r="G97" s="183"/>
      <c r="H97" s="183"/>
      <c r="I97" s="183"/>
      <c r="J97" s="183"/>
      <c r="K97" s="183"/>
      <c r="L97" s="183"/>
      <c r="M97" s="183"/>
      <c r="N97" s="183"/>
      <c r="O97" s="183"/>
      <c r="P97" s="183"/>
      <c r="Q97" s="183"/>
      <c r="R97" s="183"/>
    </row>
    <row r="98" spans="1:18" ht="12" customHeight="1" x14ac:dyDescent="0.15">
      <c r="A98" s="183" t="s">
        <v>2309</v>
      </c>
      <c r="B98" s="184" t="s">
        <v>2598</v>
      </c>
      <c r="C98" s="183"/>
      <c r="D98" s="183"/>
      <c r="E98" s="183"/>
      <c r="F98" s="183"/>
      <c r="G98" s="183"/>
      <c r="H98" s="183"/>
      <c r="I98" s="183"/>
      <c r="J98" s="183"/>
      <c r="K98" s="183"/>
      <c r="L98" s="183"/>
      <c r="M98" s="183"/>
      <c r="N98" s="183"/>
      <c r="O98" s="183"/>
      <c r="P98" s="183"/>
      <c r="Q98" s="183"/>
      <c r="R98" s="183"/>
    </row>
    <row r="99" spans="1:18" ht="12" customHeight="1" x14ac:dyDescent="0.15">
      <c r="A99" s="183" t="s">
        <v>2316</v>
      </c>
      <c r="B99" s="184" t="s">
        <v>2599</v>
      </c>
      <c r="C99" s="183"/>
      <c r="D99" s="183"/>
      <c r="E99" s="183"/>
      <c r="F99" s="183"/>
      <c r="G99" s="183"/>
      <c r="H99" s="183"/>
      <c r="I99" s="183"/>
      <c r="J99" s="183"/>
      <c r="K99" s="183"/>
      <c r="L99" s="183"/>
      <c r="M99" s="183"/>
      <c r="N99" s="183"/>
      <c r="O99" s="183"/>
      <c r="P99" s="183"/>
      <c r="Q99" s="183"/>
      <c r="R99" s="183"/>
    </row>
    <row r="100" spans="1:18" ht="12" customHeight="1" x14ac:dyDescent="0.15">
      <c r="A100" s="276" t="s">
        <v>2323</v>
      </c>
      <c r="B100" s="184" t="s">
        <v>2600</v>
      </c>
      <c r="C100" s="183"/>
      <c r="D100" s="183"/>
      <c r="E100" s="183"/>
      <c r="F100" s="183"/>
      <c r="G100" s="183"/>
      <c r="H100" s="183"/>
      <c r="I100" s="183"/>
      <c r="J100" s="183"/>
      <c r="K100" s="183"/>
      <c r="L100" s="183"/>
      <c r="M100" s="183"/>
      <c r="N100" s="183"/>
      <c r="O100" s="197"/>
      <c r="P100" s="183"/>
      <c r="Q100" s="183"/>
      <c r="R100" s="183"/>
    </row>
    <row r="101" spans="1:18" ht="12" customHeight="1" x14ac:dyDescent="0.15">
      <c r="A101" s="276" t="s">
        <v>2331</v>
      </c>
      <c r="B101" s="184" t="s">
        <v>2601</v>
      </c>
      <c r="C101" s="183"/>
      <c r="D101" s="183"/>
      <c r="E101" s="183"/>
      <c r="F101" s="183"/>
      <c r="G101" s="183"/>
      <c r="H101" s="183"/>
      <c r="I101" s="183"/>
      <c r="J101" s="183"/>
      <c r="K101" s="183"/>
      <c r="L101" s="183"/>
      <c r="M101" s="183"/>
      <c r="N101" s="183"/>
      <c r="O101" s="197"/>
      <c r="P101" s="183"/>
      <c r="Q101" s="183"/>
      <c r="R101" s="183"/>
    </row>
    <row r="102" spans="1:18" ht="12" customHeight="1" x14ac:dyDescent="0.15">
      <c r="A102" s="276" t="s">
        <v>2337</v>
      </c>
      <c r="B102" s="184" t="s">
        <v>2602</v>
      </c>
      <c r="C102" s="183"/>
      <c r="D102" s="183"/>
      <c r="E102" s="183"/>
      <c r="F102" s="183"/>
      <c r="G102" s="183"/>
      <c r="H102" s="183"/>
      <c r="I102" s="183"/>
      <c r="J102" s="183"/>
      <c r="K102" s="183"/>
      <c r="L102" s="183"/>
      <c r="M102" s="183"/>
      <c r="N102" s="183"/>
      <c r="O102" s="197"/>
      <c r="P102" s="183"/>
      <c r="Q102" s="183"/>
      <c r="R102" s="183"/>
    </row>
    <row r="103" spans="1:18" ht="12" customHeight="1" x14ac:dyDescent="0.15">
      <c r="A103" s="276" t="s">
        <v>2345</v>
      </c>
      <c r="B103" s="184" t="s">
        <v>2603</v>
      </c>
      <c r="C103" s="183"/>
      <c r="D103" s="183"/>
      <c r="E103" s="183"/>
      <c r="F103" s="183"/>
      <c r="G103" s="183"/>
      <c r="H103" s="183"/>
      <c r="I103" s="183"/>
      <c r="J103" s="183"/>
      <c r="K103" s="183"/>
      <c r="L103" s="183"/>
      <c r="M103" s="183"/>
      <c r="N103" s="183"/>
      <c r="O103" s="197"/>
      <c r="P103" s="183"/>
      <c r="Q103" s="183"/>
      <c r="R103" s="183"/>
    </row>
    <row r="104" spans="1:18" ht="12" customHeight="1" x14ac:dyDescent="0.15">
      <c r="A104" s="183" t="s">
        <v>2353</v>
      </c>
      <c r="B104" s="184" t="s">
        <v>2604</v>
      </c>
      <c r="C104" s="183"/>
      <c r="D104" s="183"/>
      <c r="E104" s="183"/>
      <c r="F104" s="183"/>
      <c r="G104" s="183"/>
      <c r="H104" s="183"/>
      <c r="I104" s="183"/>
      <c r="J104" s="183"/>
      <c r="K104" s="183"/>
      <c r="L104" s="183"/>
      <c r="M104" s="183"/>
      <c r="N104" s="183"/>
      <c r="O104" s="197"/>
      <c r="P104" s="183"/>
      <c r="Q104" s="183"/>
      <c r="R104" s="183"/>
    </row>
    <row r="105" spans="1:18" ht="12" customHeight="1" x14ac:dyDescent="0.15">
      <c r="A105" s="183" t="s">
        <v>2358</v>
      </c>
      <c r="B105" s="184" t="s">
        <v>2605</v>
      </c>
      <c r="C105" s="183"/>
      <c r="D105" s="183"/>
      <c r="E105" s="183"/>
      <c r="F105" s="183"/>
      <c r="G105" s="183"/>
      <c r="H105" s="183"/>
      <c r="I105" s="183"/>
      <c r="J105" s="183"/>
      <c r="K105" s="183"/>
      <c r="L105" s="183"/>
      <c r="M105" s="183"/>
      <c r="N105" s="183"/>
      <c r="O105" s="197"/>
      <c r="P105" s="183"/>
      <c r="Q105" s="183"/>
      <c r="R105" s="183"/>
    </row>
    <row r="106" spans="1:18" ht="12" customHeight="1" x14ac:dyDescent="0.15">
      <c r="A106" s="183" t="s">
        <v>2364</v>
      </c>
      <c r="B106" s="184" t="s">
        <v>2606</v>
      </c>
      <c r="C106" s="183"/>
      <c r="D106" s="183"/>
      <c r="E106" s="183"/>
      <c r="F106" s="183"/>
      <c r="G106" s="183"/>
      <c r="H106" s="183"/>
      <c r="I106" s="183"/>
      <c r="J106" s="183"/>
      <c r="K106" s="183"/>
      <c r="L106" s="183"/>
      <c r="M106" s="183"/>
      <c r="N106" s="183"/>
      <c r="O106" s="197"/>
      <c r="P106" s="183"/>
      <c r="Q106" s="183"/>
      <c r="R106" s="183"/>
    </row>
    <row r="107" spans="1:18" ht="12" customHeight="1" x14ac:dyDescent="0.15">
      <c r="A107" s="183" t="s">
        <v>2367</v>
      </c>
      <c r="B107" s="184" t="s">
        <v>2607</v>
      </c>
      <c r="C107" s="183"/>
      <c r="D107" s="183"/>
      <c r="E107" s="183"/>
      <c r="F107" s="183"/>
      <c r="G107" s="183"/>
      <c r="H107" s="183"/>
      <c r="I107" s="183"/>
      <c r="J107" s="183"/>
      <c r="K107" s="183"/>
      <c r="L107" s="183"/>
      <c r="M107" s="183"/>
      <c r="N107" s="183"/>
      <c r="O107" s="197"/>
      <c r="P107" s="183"/>
      <c r="Q107" s="183"/>
      <c r="R107" s="183"/>
    </row>
    <row r="108" spans="1:18" ht="12" customHeight="1" x14ac:dyDescent="0.15">
      <c r="A108" s="183" t="s">
        <v>2372</v>
      </c>
      <c r="B108" s="184" t="s">
        <v>2608</v>
      </c>
      <c r="C108" s="183"/>
      <c r="D108" s="183"/>
      <c r="E108" s="183"/>
      <c r="F108" s="183"/>
      <c r="G108" s="183"/>
      <c r="H108" s="183"/>
      <c r="I108" s="183"/>
      <c r="J108" s="183"/>
      <c r="K108" s="183"/>
      <c r="L108" s="183"/>
      <c r="M108" s="197"/>
      <c r="N108" s="183"/>
      <c r="O108" s="197"/>
      <c r="P108" s="183"/>
      <c r="Q108" s="183"/>
      <c r="R108" s="183"/>
    </row>
    <row r="109" spans="1:18" ht="12" customHeight="1" x14ac:dyDescent="0.15">
      <c r="A109" s="183" t="s">
        <v>2377</v>
      </c>
      <c r="B109" s="184" t="s">
        <v>2609</v>
      </c>
      <c r="C109" s="183"/>
      <c r="D109" s="183"/>
      <c r="E109" s="183"/>
      <c r="F109" s="183"/>
      <c r="G109" s="183"/>
      <c r="H109" s="183"/>
      <c r="I109" s="183"/>
      <c r="J109" s="183"/>
      <c r="K109" s="183"/>
      <c r="L109" s="183"/>
      <c r="M109" s="197"/>
      <c r="N109" s="183"/>
      <c r="O109" s="197"/>
      <c r="P109" s="183"/>
      <c r="Q109" s="183"/>
      <c r="R109" s="183"/>
    </row>
    <row r="110" spans="1:18" ht="12" customHeight="1" x14ac:dyDescent="0.15">
      <c r="A110" s="183" t="s">
        <v>2381</v>
      </c>
      <c r="B110" s="184" t="s">
        <v>2610</v>
      </c>
      <c r="C110" s="183"/>
      <c r="D110" s="183"/>
      <c r="E110" s="183"/>
      <c r="F110" s="183"/>
      <c r="G110" s="183"/>
      <c r="H110" s="183"/>
      <c r="I110" s="183"/>
      <c r="J110" s="183"/>
      <c r="K110" s="183"/>
      <c r="L110" s="183"/>
      <c r="M110" s="197"/>
      <c r="N110" s="183"/>
      <c r="O110" s="197"/>
      <c r="P110" s="183"/>
      <c r="Q110" s="183"/>
      <c r="R110" s="183"/>
    </row>
    <row r="111" spans="1:18" ht="12" customHeight="1" x14ac:dyDescent="0.15">
      <c r="A111" s="183" t="s">
        <v>2387</v>
      </c>
      <c r="B111" s="184" t="s">
        <v>2611</v>
      </c>
      <c r="C111" s="183"/>
      <c r="D111" s="183"/>
      <c r="E111" s="183"/>
      <c r="F111" s="183"/>
      <c r="G111" s="183"/>
      <c r="H111" s="183"/>
      <c r="I111" s="183"/>
      <c r="J111" s="183"/>
      <c r="K111" s="183"/>
      <c r="L111" s="183"/>
      <c r="M111" s="197"/>
      <c r="N111" s="183"/>
      <c r="O111" s="197"/>
      <c r="P111" s="183"/>
      <c r="Q111" s="183"/>
      <c r="R111" s="183"/>
    </row>
    <row r="112" spans="1:18" ht="12" customHeight="1" x14ac:dyDescent="0.15">
      <c r="A112" s="183" t="s">
        <v>2390</v>
      </c>
      <c r="B112" s="184" t="s">
        <v>2612</v>
      </c>
      <c r="C112" s="183"/>
      <c r="D112" s="183"/>
      <c r="E112" s="183"/>
      <c r="F112" s="183"/>
      <c r="G112" s="183"/>
      <c r="H112" s="183"/>
      <c r="I112" s="183"/>
      <c r="J112" s="183"/>
      <c r="K112" s="183"/>
      <c r="L112" s="183"/>
      <c r="M112" s="197"/>
      <c r="N112" s="183"/>
      <c r="O112" s="197"/>
      <c r="P112" s="183"/>
      <c r="Q112" s="183"/>
      <c r="R112" s="183"/>
    </row>
    <row r="113" spans="1:18" ht="12" customHeight="1" x14ac:dyDescent="0.15">
      <c r="A113" s="183" t="s">
        <v>114</v>
      </c>
      <c r="B113" s="184" t="s">
        <v>2613</v>
      </c>
      <c r="C113" s="183"/>
      <c r="D113" s="183"/>
      <c r="E113" s="183"/>
      <c r="F113" s="183"/>
      <c r="G113" s="183"/>
      <c r="H113" s="183"/>
      <c r="I113" s="183"/>
      <c r="J113" s="183"/>
      <c r="K113" s="183"/>
      <c r="L113" s="183"/>
      <c r="M113" s="197"/>
      <c r="N113" s="183"/>
      <c r="O113" s="197"/>
      <c r="P113" s="183"/>
      <c r="Q113" s="183"/>
      <c r="R113" s="183"/>
    </row>
    <row r="114" spans="1:18" ht="12" customHeight="1" x14ac:dyDescent="0.15">
      <c r="A114" s="183" t="s">
        <v>2400</v>
      </c>
      <c r="B114" s="184" t="s">
        <v>2614</v>
      </c>
      <c r="C114" s="183"/>
      <c r="D114" s="183"/>
      <c r="E114" s="183"/>
      <c r="F114" s="183"/>
      <c r="G114" s="183"/>
      <c r="H114" s="183"/>
      <c r="I114" s="183"/>
      <c r="J114" s="183"/>
      <c r="K114" s="183"/>
      <c r="L114" s="183"/>
      <c r="M114" s="197"/>
      <c r="N114" s="183"/>
      <c r="O114" s="197"/>
      <c r="P114" s="183"/>
      <c r="Q114" s="183"/>
      <c r="R114" s="183"/>
    </row>
    <row r="115" spans="1:18" ht="12" customHeight="1" x14ac:dyDescent="0.15">
      <c r="A115" s="183" t="s">
        <v>2404</v>
      </c>
      <c r="B115" s="184" t="s">
        <v>2615</v>
      </c>
      <c r="C115" s="183"/>
      <c r="D115" s="183"/>
      <c r="E115" s="183"/>
      <c r="F115" s="183"/>
      <c r="G115" s="183"/>
      <c r="H115" s="183"/>
      <c r="I115" s="183"/>
      <c r="J115" s="183"/>
      <c r="K115" s="183"/>
      <c r="L115" s="183"/>
      <c r="M115" s="197"/>
      <c r="N115" s="183"/>
      <c r="O115" s="197"/>
      <c r="P115" s="183"/>
      <c r="Q115" s="183"/>
      <c r="R115" s="183"/>
    </row>
    <row r="116" spans="1:18" ht="12" customHeight="1" x14ac:dyDescent="0.15">
      <c r="A116" s="183" t="s">
        <v>2409</v>
      </c>
      <c r="B116" s="184" t="s">
        <v>2616</v>
      </c>
      <c r="C116" s="183"/>
      <c r="D116" s="183"/>
      <c r="E116" s="183"/>
      <c r="F116" s="183"/>
      <c r="G116" s="183"/>
      <c r="H116" s="183"/>
      <c r="I116" s="183"/>
      <c r="J116" s="183"/>
      <c r="K116" s="183"/>
      <c r="L116" s="183"/>
      <c r="M116" s="197"/>
      <c r="N116" s="183"/>
      <c r="O116" s="197"/>
      <c r="P116" s="183"/>
      <c r="Q116" s="183"/>
      <c r="R116" s="183"/>
    </row>
    <row r="117" spans="1:18" ht="12" customHeight="1" x14ac:dyDescent="0.15">
      <c r="A117" s="183" t="s">
        <v>2414</v>
      </c>
      <c r="B117" s="184" t="s">
        <v>2617</v>
      </c>
      <c r="C117" s="183"/>
      <c r="D117" s="183"/>
      <c r="E117" s="183"/>
      <c r="F117" s="183"/>
      <c r="G117" s="183"/>
      <c r="H117" s="183"/>
      <c r="I117" s="183"/>
      <c r="J117" s="183"/>
      <c r="K117" s="183"/>
      <c r="L117" s="183"/>
      <c r="M117" s="197"/>
      <c r="N117" s="183"/>
      <c r="O117" s="197"/>
      <c r="P117" s="183"/>
      <c r="Q117" s="183"/>
      <c r="R117" s="183"/>
    </row>
    <row r="118" spans="1:18" ht="12" customHeight="1" x14ac:dyDescent="0.15">
      <c r="A118" s="183" t="s">
        <v>2419</v>
      </c>
      <c r="B118" s="184" t="s">
        <v>2618</v>
      </c>
      <c r="C118" s="183"/>
      <c r="D118" s="183"/>
      <c r="E118" s="183"/>
      <c r="F118" s="183"/>
      <c r="G118" s="183"/>
      <c r="H118" s="183"/>
      <c r="I118" s="183"/>
      <c r="J118" s="183"/>
      <c r="K118" s="183"/>
      <c r="L118" s="183"/>
      <c r="M118" s="197"/>
      <c r="N118" s="183"/>
      <c r="O118" s="197"/>
      <c r="P118" s="183"/>
      <c r="Q118" s="183"/>
      <c r="R118" s="183"/>
    </row>
    <row r="119" spans="1:18" ht="12" customHeight="1" x14ac:dyDescent="0.15">
      <c r="A119" s="183" t="s">
        <v>2423</v>
      </c>
      <c r="B119" s="184" t="s">
        <v>2619</v>
      </c>
      <c r="C119" s="183"/>
      <c r="D119" s="183"/>
      <c r="E119" s="183"/>
      <c r="F119" s="183"/>
      <c r="G119" s="183"/>
      <c r="H119" s="183"/>
      <c r="I119" s="183"/>
      <c r="J119" s="183"/>
      <c r="K119" s="183"/>
      <c r="L119" s="183"/>
      <c r="M119" s="197"/>
      <c r="N119" s="183"/>
      <c r="O119" s="197"/>
      <c r="P119" s="183"/>
      <c r="Q119" s="183"/>
      <c r="R119" s="183"/>
    </row>
    <row r="120" spans="1:18" ht="12" customHeight="1" x14ac:dyDescent="0.15">
      <c r="A120" s="183" t="s">
        <v>2428</v>
      </c>
      <c r="B120" s="184" t="s">
        <v>2620</v>
      </c>
      <c r="C120" s="183"/>
      <c r="D120" s="183"/>
      <c r="E120" s="183"/>
      <c r="F120" s="183"/>
      <c r="G120" s="183"/>
      <c r="H120" s="183"/>
      <c r="I120" s="183"/>
      <c r="J120" s="183"/>
      <c r="K120" s="183"/>
      <c r="L120" s="183"/>
      <c r="M120" s="197"/>
      <c r="N120" s="183"/>
      <c r="O120" s="197"/>
      <c r="P120" s="183"/>
      <c r="Q120" s="183"/>
      <c r="R120" s="183"/>
    </row>
    <row r="121" spans="1:18" ht="12" customHeight="1" x14ac:dyDescent="0.15">
      <c r="A121" s="183" t="s">
        <v>2433</v>
      </c>
      <c r="B121" s="184" t="s">
        <v>2621</v>
      </c>
      <c r="C121" s="183"/>
      <c r="D121" s="183"/>
      <c r="E121" s="183"/>
      <c r="F121" s="183"/>
      <c r="G121" s="183"/>
      <c r="H121" s="183"/>
      <c r="I121" s="183"/>
      <c r="J121" s="183"/>
      <c r="K121" s="183"/>
      <c r="L121" s="183"/>
      <c r="M121" s="197"/>
      <c r="N121" s="183"/>
      <c r="O121" s="197"/>
      <c r="P121" s="183"/>
      <c r="Q121" s="183"/>
      <c r="R121" s="183"/>
    </row>
    <row r="122" spans="1:18" ht="12" customHeight="1" x14ac:dyDescent="0.15">
      <c r="A122" s="183" t="s">
        <v>2438</v>
      </c>
      <c r="B122" s="184" t="s">
        <v>2622</v>
      </c>
      <c r="C122" s="183"/>
      <c r="D122" s="183"/>
      <c r="E122" s="183"/>
      <c r="F122" s="183"/>
      <c r="G122" s="183"/>
      <c r="H122" s="183"/>
      <c r="I122" s="183"/>
      <c r="J122" s="183"/>
      <c r="K122" s="183"/>
      <c r="L122" s="183"/>
      <c r="M122" s="197"/>
      <c r="N122" s="183"/>
      <c r="O122" s="197"/>
      <c r="P122" s="183"/>
      <c r="Q122" s="183"/>
      <c r="R122" s="183"/>
    </row>
    <row r="123" spans="1:18" ht="12" customHeight="1" x14ac:dyDescent="0.15">
      <c r="A123" s="183" t="s">
        <v>2443</v>
      </c>
      <c r="B123" s="184" t="s">
        <v>2623</v>
      </c>
      <c r="C123" s="183"/>
      <c r="D123" s="183"/>
      <c r="E123" s="183"/>
      <c r="F123" s="183"/>
      <c r="G123" s="183"/>
      <c r="H123" s="183"/>
      <c r="I123" s="183"/>
      <c r="J123" s="183"/>
      <c r="K123" s="183"/>
      <c r="L123" s="183"/>
      <c r="M123" s="197"/>
      <c r="N123" s="183"/>
      <c r="O123" s="197"/>
      <c r="P123" s="183"/>
      <c r="Q123" s="183"/>
      <c r="R123" s="183"/>
    </row>
    <row r="124" spans="1:18" ht="12" customHeight="1" x14ac:dyDescent="0.15">
      <c r="A124" s="183" t="s">
        <v>2447</v>
      </c>
      <c r="B124" s="184" t="s">
        <v>2624</v>
      </c>
      <c r="C124" s="183"/>
      <c r="D124" s="183"/>
      <c r="E124" s="183"/>
      <c r="F124" s="183"/>
      <c r="G124" s="183"/>
      <c r="H124" s="183"/>
      <c r="I124" s="183"/>
      <c r="J124" s="183"/>
      <c r="K124" s="183"/>
      <c r="L124" s="183"/>
      <c r="M124" s="197"/>
      <c r="N124" s="183"/>
      <c r="O124" s="197"/>
      <c r="P124" s="183"/>
      <c r="Q124" s="183"/>
      <c r="R124" s="183"/>
    </row>
    <row r="125" spans="1:18" ht="12" customHeight="1" x14ac:dyDescent="0.15">
      <c r="A125" s="183" t="s">
        <v>2451</v>
      </c>
      <c r="B125" s="184" t="s">
        <v>2625</v>
      </c>
      <c r="C125" s="183"/>
      <c r="D125" s="183"/>
      <c r="E125" s="183"/>
      <c r="F125" s="183"/>
      <c r="G125" s="183"/>
      <c r="H125" s="183"/>
      <c r="I125" s="183"/>
      <c r="J125" s="183"/>
      <c r="K125" s="183"/>
      <c r="L125" s="183"/>
      <c r="M125" s="197"/>
      <c r="N125" s="183"/>
      <c r="O125" s="197"/>
      <c r="P125" s="183"/>
      <c r="Q125" s="183"/>
      <c r="R125" s="183"/>
    </row>
    <row r="126" spans="1:18" ht="12" customHeight="1" x14ac:dyDescent="0.15">
      <c r="A126" s="183" t="s">
        <v>2455</v>
      </c>
      <c r="B126" s="184" t="s">
        <v>2626</v>
      </c>
      <c r="C126" s="183"/>
      <c r="D126" s="183"/>
      <c r="E126" s="183"/>
      <c r="F126" s="183"/>
      <c r="G126" s="183"/>
      <c r="H126" s="183"/>
      <c r="I126" s="183"/>
      <c r="J126" s="183"/>
      <c r="K126" s="183"/>
      <c r="L126" s="183"/>
      <c r="M126" s="197"/>
      <c r="N126" s="183"/>
      <c r="O126" s="197"/>
      <c r="P126" s="183"/>
      <c r="Q126" s="183"/>
      <c r="R126" s="183"/>
    </row>
    <row r="127" spans="1:18" ht="12" customHeight="1" x14ac:dyDescent="0.15">
      <c r="A127" s="183" t="s">
        <v>2457</v>
      </c>
      <c r="B127" s="184" t="s">
        <v>2627</v>
      </c>
      <c r="C127" s="183"/>
      <c r="D127" s="183"/>
      <c r="E127" s="183"/>
      <c r="F127" s="183"/>
      <c r="G127" s="183"/>
      <c r="H127" s="183"/>
      <c r="I127" s="183"/>
      <c r="J127" s="183"/>
      <c r="K127" s="183"/>
      <c r="L127" s="183"/>
      <c r="M127" s="197"/>
      <c r="N127" s="183"/>
      <c r="O127" s="197"/>
      <c r="P127" s="183"/>
      <c r="Q127" s="183"/>
      <c r="R127" s="183"/>
    </row>
    <row r="128" spans="1:18" ht="12" customHeight="1" x14ac:dyDescent="0.15">
      <c r="A128" s="183" t="s">
        <v>2461</v>
      </c>
      <c r="B128" s="184" t="s">
        <v>2628</v>
      </c>
      <c r="C128" s="183"/>
      <c r="D128" s="183"/>
      <c r="E128" s="183"/>
      <c r="F128" s="183"/>
      <c r="G128" s="183"/>
      <c r="H128" s="183"/>
      <c r="I128" s="183"/>
      <c r="J128" s="183"/>
      <c r="K128" s="183"/>
      <c r="L128" s="183"/>
      <c r="M128" s="197"/>
      <c r="N128" s="183"/>
      <c r="O128" s="197"/>
      <c r="P128" s="183"/>
      <c r="Q128" s="183"/>
      <c r="R128" s="183"/>
    </row>
    <row r="129" spans="1:18" ht="12" customHeight="1" x14ac:dyDescent="0.15">
      <c r="A129" s="183" t="s">
        <v>2465</v>
      </c>
      <c r="B129" s="184" t="s">
        <v>2629</v>
      </c>
      <c r="C129" s="183"/>
      <c r="D129" s="183"/>
      <c r="E129" s="183"/>
      <c r="F129" s="183"/>
      <c r="G129" s="183"/>
      <c r="H129" s="183"/>
      <c r="I129" s="183"/>
      <c r="J129" s="183"/>
      <c r="K129" s="183"/>
      <c r="L129" s="183"/>
      <c r="M129" s="197"/>
      <c r="N129" s="183"/>
      <c r="O129" s="197"/>
      <c r="P129" s="183"/>
      <c r="Q129" s="183"/>
      <c r="R129" s="183"/>
    </row>
    <row r="130" spans="1:18" ht="12" customHeight="1" x14ac:dyDescent="0.15">
      <c r="A130" s="183" t="s">
        <v>2469</v>
      </c>
      <c r="B130" s="184" t="s">
        <v>2630</v>
      </c>
      <c r="C130" s="183"/>
      <c r="D130" s="183"/>
      <c r="E130" s="183"/>
      <c r="F130" s="183"/>
      <c r="G130" s="183"/>
      <c r="H130" s="183"/>
      <c r="I130" s="183"/>
      <c r="J130" s="183"/>
      <c r="K130" s="183"/>
      <c r="L130" s="197"/>
      <c r="M130" s="197"/>
      <c r="N130" s="183"/>
      <c r="O130" s="183"/>
      <c r="P130" s="183"/>
      <c r="Q130" s="183"/>
      <c r="R130" s="183"/>
    </row>
    <row r="131" spans="1:18" ht="12" customHeight="1" x14ac:dyDescent="0.15">
      <c r="A131" s="183" t="s">
        <v>2473</v>
      </c>
      <c r="B131" s="184" t="s">
        <v>2631</v>
      </c>
      <c r="C131" s="183"/>
      <c r="D131" s="183"/>
      <c r="E131" s="183"/>
      <c r="F131" s="183"/>
      <c r="G131" s="183"/>
      <c r="H131" s="183"/>
      <c r="I131" s="183"/>
      <c r="J131" s="183"/>
      <c r="K131" s="183"/>
      <c r="L131" s="197"/>
      <c r="M131" s="197"/>
      <c r="N131" s="183"/>
      <c r="O131" s="183"/>
      <c r="P131" s="183"/>
      <c r="Q131" s="183"/>
      <c r="R131" s="183"/>
    </row>
    <row r="132" spans="1:18" ht="12" customHeight="1" x14ac:dyDescent="0.15">
      <c r="A132" s="183" t="s">
        <v>2477</v>
      </c>
      <c r="B132" s="184" t="s">
        <v>2632</v>
      </c>
      <c r="C132" s="183"/>
      <c r="D132" s="183"/>
      <c r="E132" s="183"/>
      <c r="F132" s="183"/>
      <c r="G132" s="183"/>
      <c r="H132" s="183"/>
      <c r="I132" s="183"/>
      <c r="J132" s="183"/>
      <c r="K132" s="183"/>
      <c r="L132" s="197"/>
      <c r="M132" s="197"/>
      <c r="N132" s="183"/>
      <c r="O132" s="183"/>
      <c r="P132" s="183"/>
      <c r="Q132" s="183"/>
      <c r="R132" s="183"/>
    </row>
    <row r="133" spans="1:18" ht="12" customHeight="1" x14ac:dyDescent="0.15">
      <c r="A133" s="183" t="s">
        <v>2481</v>
      </c>
      <c r="B133" s="184" t="s">
        <v>2633</v>
      </c>
      <c r="C133" s="183"/>
      <c r="D133" s="183"/>
      <c r="E133" s="183"/>
      <c r="F133" s="183"/>
      <c r="G133" s="183"/>
      <c r="H133" s="183"/>
      <c r="I133" s="183"/>
      <c r="J133" s="183"/>
      <c r="K133" s="183"/>
      <c r="L133" s="197"/>
      <c r="M133" s="197"/>
      <c r="N133" s="183"/>
      <c r="O133" s="183"/>
      <c r="P133" s="183"/>
      <c r="Q133" s="183"/>
      <c r="R133" s="183"/>
    </row>
    <row r="134" spans="1:18" ht="12" customHeight="1" x14ac:dyDescent="0.15">
      <c r="A134" s="183" t="s">
        <v>2485</v>
      </c>
      <c r="B134" s="184" t="s">
        <v>2634</v>
      </c>
      <c r="C134" s="183"/>
      <c r="D134" s="183"/>
      <c r="E134" s="183"/>
      <c r="F134" s="183"/>
      <c r="G134" s="183"/>
      <c r="H134" s="183"/>
      <c r="I134" s="183"/>
      <c r="J134" s="183"/>
      <c r="K134" s="183"/>
      <c r="L134" s="197"/>
      <c r="M134" s="197"/>
      <c r="N134" s="183"/>
      <c r="O134" s="183"/>
      <c r="P134" s="183"/>
      <c r="Q134" s="183"/>
      <c r="R134" s="183"/>
    </row>
    <row r="135" spans="1:18" ht="12" customHeight="1" x14ac:dyDescent="0.15">
      <c r="A135" s="183" t="s">
        <v>2489</v>
      </c>
      <c r="B135" s="184" t="s">
        <v>2635</v>
      </c>
      <c r="C135" s="183"/>
      <c r="D135" s="183"/>
      <c r="E135" s="183"/>
      <c r="F135" s="183"/>
      <c r="G135" s="183"/>
      <c r="H135" s="183"/>
      <c r="I135" s="183"/>
      <c r="J135" s="183"/>
      <c r="K135" s="197"/>
      <c r="L135" s="197"/>
      <c r="M135" s="197"/>
      <c r="N135" s="183"/>
      <c r="O135" s="183"/>
      <c r="P135" s="183"/>
      <c r="Q135" s="183"/>
      <c r="R135" s="183"/>
    </row>
    <row r="136" spans="1:18" ht="12" customHeight="1" x14ac:dyDescent="0.15">
      <c r="A136" s="183" t="s">
        <v>2492</v>
      </c>
      <c r="B136" s="184" t="s">
        <v>2636</v>
      </c>
      <c r="C136" s="183"/>
      <c r="D136" s="183"/>
      <c r="E136" s="183"/>
      <c r="F136" s="183"/>
      <c r="G136" s="183"/>
      <c r="H136" s="183"/>
      <c r="I136" s="183"/>
      <c r="J136" s="183"/>
      <c r="K136" s="197"/>
      <c r="L136" s="197"/>
      <c r="M136" s="197"/>
      <c r="N136" s="183"/>
      <c r="O136" s="183"/>
      <c r="P136" s="183"/>
      <c r="Q136" s="183"/>
      <c r="R136" s="183"/>
    </row>
    <row r="137" spans="1:18" ht="12" customHeight="1" x14ac:dyDescent="0.15">
      <c r="A137" s="183" t="s">
        <v>2495</v>
      </c>
      <c r="B137" s="184" t="s">
        <v>2637</v>
      </c>
      <c r="C137" s="183"/>
      <c r="D137" s="183"/>
      <c r="E137" s="183"/>
      <c r="F137" s="183"/>
      <c r="G137" s="183"/>
      <c r="H137" s="183"/>
      <c r="I137" s="183"/>
      <c r="J137" s="183"/>
      <c r="K137" s="197"/>
      <c r="L137" s="197"/>
      <c r="M137" s="197"/>
      <c r="N137" s="183"/>
      <c r="O137" s="183"/>
      <c r="P137" s="183"/>
      <c r="Q137" s="183"/>
      <c r="R137" s="183"/>
    </row>
    <row r="138" spans="1:18" ht="12" customHeight="1" x14ac:dyDescent="0.15">
      <c r="A138" s="183" t="s">
        <v>2498</v>
      </c>
      <c r="B138" s="184" t="s">
        <v>2638</v>
      </c>
      <c r="C138" s="183"/>
      <c r="D138" s="183"/>
      <c r="E138" s="183"/>
      <c r="F138" s="183"/>
      <c r="G138" s="183"/>
      <c r="H138" s="183"/>
      <c r="I138" s="183"/>
      <c r="J138" s="183"/>
      <c r="K138" s="197"/>
      <c r="L138" s="197"/>
      <c r="M138" s="197"/>
      <c r="N138" s="183"/>
      <c r="O138" s="183"/>
      <c r="P138" s="183"/>
      <c r="Q138" s="183"/>
      <c r="R138" s="183"/>
    </row>
    <row r="139" spans="1:18" ht="12" customHeight="1" x14ac:dyDescent="0.15">
      <c r="A139" s="183" t="s">
        <v>2501</v>
      </c>
      <c r="B139" s="184" t="s">
        <v>2639</v>
      </c>
      <c r="C139" s="183"/>
      <c r="D139" s="183"/>
      <c r="E139" s="183"/>
      <c r="F139" s="183"/>
      <c r="G139" s="183"/>
      <c r="H139" s="183"/>
      <c r="I139" s="183"/>
      <c r="J139" s="183"/>
      <c r="K139" s="197"/>
      <c r="L139" s="197"/>
      <c r="M139" s="197"/>
      <c r="N139" s="183"/>
      <c r="O139" s="183"/>
      <c r="P139" s="183"/>
      <c r="Q139" s="183"/>
      <c r="R139" s="183"/>
    </row>
    <row r="140" spans="1:18" ht="12" customHeight="1" x14ac:dyDescent="0.15">
      <c r="A140" s="183" t="s">
        <v>2504</v>
      </c>
      <c r="B140" s="184" t="s">
        <v>2640</v>
      </c>
      <c r="C140" s="183"/>
      <c r="D140" s="183"/>
      <c r="E140" s="183"/>
      <c r="F140" s="183"/>
      <c r="G140" s="183"/>
      <c r="H140" s="183"/>
      <c r="I140" s="183"/>
      <c r="J140" s="183"/>
      <c r="K140" s="197"/>
      <c r="L140" s="197"/>
      <c r="M140" s="197"/>
      <c r="N140" s="183"/>
      <c r="O140" s="183"/>
      <c r="P140" s="183"/>
      <c r="Q140" s="183"/>
      <c r="R140" s="183"/>
    </row>
    <row r="141" spans="1:18" ht="12" customHeight="1" x14ac:dyDescent="0.15">
      <c r="A141" s="183" t="s">
        <v>2507</v>
      </c>
      <c r="B141" s="184" t="s">
        <v>2641</v>
      </c>
      <c r="C141" s="183"/>
      <c r="D141" s="183"/>
      <c r="E141" s="183"/>
      <c r="F141" s="183"/>
      <c r="G141" s="183"/>
      <c r="H141" s="183"/>
      <c r="I141" s="183"/>
      <c r="J141" s="183"/>
      <c r="K141" s="197"/>
      <c r="L141" s="197"/>
      <c r="M141" s="197"/>
      <c r="N141" s="183"/>
      <c r="O141" s="183"/>
      <c r="P141" s="183"/>
      <c r="Q141" s="183"/>
      <c r="R141" s="183"/>
    </row>
    <row r="142" spans="1:18" ht="12" customHeight="1" x14ac:dyDescent="0.15">
      <c r="A142" s="183" t="s">
        <v>2511</v>
      </c>
      <c r="B142" s="184" t="s">
        <v>2642</v>
      </c>
      <c r="C142" s="183"/>
      <c r="D142" s="183"/>
      <c r="E142" s="183"/>
      <c r="F142" s="183"/>
      <c r="G142" s="183"/>
      <c r="H142" s="183"/>
      <c r="I142" s="183"/>
      <c r="J142" s="183"/>
      <c r="K142" s="197"/>
      <c r="L142" s="197"/>
      <c r="M142" s="197"/>
      <c r="N142" s="183"/>
      <c r="O142" s="183"/>
      <c r="P142" s="183"/>
      <c r="Q142" s="183"/>
      <c r="R142" s="183"/>
    </row>
    <row r="143" spans="1:18" ht="12" customHeight="1" x14ac:dyDescent="0.15">
      <c r="A143" s="183" t="s">
        <v>2514</v>
      </c>
      <c r="B143" s="184" t="s">
        <v>2643</v>
      </c>
      <c r="C143" s="183"/>
      <c r="D143" s="183"/>
      <c r="E143" s="183"/>
      <c r="F143" s="183"/>
      <c r="G143" s="183"/>
      <c r="H143" s="183"/>
      <c r="I143" s="183"/>
      <c r="J143" s="183"/>
      <c r="K143" s="197"/>
      <c r="L143" s="197"/>
      <c r="M143" s="197"/>
      <c r="N143" s="183"/>
      <c r="O143" s="183"/>
      <c r="P143" s="183"/>
      <c r="Q143" s="183"/>
      <c r="R143" s="183"/>
    </row>
    <row r="144" spans="1:18" ht="12" customHeight="1" x14ac:dyDescent="0.15">
      <c r="A144" s="183" t="s">
        <v>2517</v>
      </c>
      <c r="B144" s="184" t="s">
        <v>2644</v>
      </c>
      <c r="C144" s="183"/>
      <c r="D144" s="183"/>
      <c r="E144" s="183"/>
      <c r="F144" s="183"/>
      <c r="G144" s="183"/>
      <c r="H144" s="183"/>
      <c r="I144" s="183"/>
      <c r="J144" s="183"/>
      <c r="K144" s="197"/>
      <c r="L144" s="197"/>
      <c r="M144" s="197"/>
      <c r="N144" s="183"/>
      <c r="O144" s="183"/>
      <c r="P144" s="183"/>
      <c r="Q144" s="183"/>
      <c r="R144" s="183"/>
    </row>
    <row r="145" spans="1:18" ht="12" customHeight="1" x14ac:dyDescent="0.15">
      <c r="A145" s="183" t="s">
        <v>2520</v>
      </c>
      <c r="B145" s="184" t="s">
        <v>2645</v>
      </c>
      <c r="C145" s="183"/>
      <c r="D145" s="183"/>
      <c r="E145" s="183"/>
      <c r="F145" s="183"/>
      <c r="G145" s="183"/>
      <c r="H145" s="183"/>
      <c r="I145" s="183"/>
      <c r="J145" s="183"/>
      <c r="K145" s="197"/>
      <c r="L145" s="197"/>
      <c r="M145" s="197"/>
      <c r="N145" s="183"/>
      <c r="O145" s="183"/>
      <c r="P145" s="183"/>
      <c r="R145" s="183"/>
    </row>
    <row r="146" spans="1:18" ht="12" customHeight="1" x14ac:dyDescent="0.15">
      <c r="A146" s="183" t="s">
        <v>2524</v>
      </c>
      <c r="B146" s="184" t="s">
        <v>2646</v>
      </c>
      <c r="C146" s="183"/>
      <c r="D146" s="183"/>
      <c r="E146" s="183"/>
      <c r="F146" s="183"/>
      <c r="G146" s="183"/>
      <c r="H146" s="183"/>
      <c r="I146" s="183"/>
      <c r="J146" s="183"/>
      <c r="K146" s="197"/>
      <c r="L146" s="197"/>
      <c r="M146" s="197"/>
      <c r="N146" s="183"/>
      <c r="O146" s="183"/>
      <c r="P146" s="183"/>
      <c r="R146" s="183"/>
    </row>
    <row r="147" spans="1:18" ht="12" customHeight="1" x14ac:dyDescent="0.15">
      <c r="A147" s="183" t="s">
        <v>2527</v>
      </c>
      <c r="B147" s="184" t="s">
        <v>2647</v>
      </c>
      <c r="C147" s="183"/>
      <c r="D147" s="183"/>
      <c r="E147" s="183"/>
      <c r="F147" s="183"/>
      <c r="G147" s="183"/>
      <c r="H147" s="183"/>
      <c r="I147" s="183"/>
      <c r="J147" s="183"/>
      <c r="K147" s="197"/>
      <c r="L147" s="197"/>
      <c r="M147" s="197"/>
      <c r="N147" s="183"/>
      <c r="O147" s="183"/>
      <c r="P147" s="183"/>
      <c r="R147" s="183"/>
    </row>
    <row r="148" spans="1:18" ht="12" customHeight="1" x14ac:dyDescent="0.15">
      <c r="A148" s="183" t="s">
        <v>2529</v>
      </c>
      <c r="B148" s="184" t="s">
        <v>2648</v>
      </c>
      <c r="C148" s="183"/>
      <c r="D148" s="183"/>
      <c r="E148" s="183"/>
      <c r="F148" s="183"/>
      <c r="G148" s="183"/>
      <c r="H148" s="183"/>
      <c r="I148" s="183"/>
      <c r="J148" s="183"/>
      <c r="K148" s="197"/>
      <c r="L148" s="197"/>
      <c r="M148" s="197"/>
      <c r="N148" s="183"/>
      <c r="O148" s="183"/>
      <c r="P148" s="183"/>
      <c r="R148" s="183"/>
    </row>
    <row r="149" spans="1:18" ht="12" customHeight="1" x14ac:dyDescent="0.15">
      <c r="A149" s="183" t="s">
        <v>2531</v>
      </c>
      <c r="B149" s="184" t="s">
        <v>2649</v>
      </c>
      <c r="C149" s="183"/>
      <c r="D149" s="183"/>
      <c r="E149" s="183"/>
      <c r="F149" s="183"/>
      <c r="G149" s="183"/>
      <c r="H149" s="183"/>
      <c r="I149" s="183"/>
      <c r="J149" s="183"/>
      <c r="K149" s="197"/>
      <c r="L149" s="197"/>
      <c r="M149" s="197"/>
      <c r="N149" s="183"/>
      <c r="O149" s="183"/>
      <c r="P149" s="183"/>
      <c r="R149" s="183"/>
    </row>
    <row r="150" spans="1:18" ht="12" customHeight="1" x14ac:dyDescent="0.15">
      <c r="A150" s="183" t="s">
        <v>2534</v>
      </c>
      <c r="B150" s="184" t="s">
        <v>2650</v>
      </c>
      <c r="C150" s="183"/>
      <c r="D150" s="183"/>
      <c r="E150" s="183"/>
      <c r="F150" s="183"/>
      <c r="G150" s="183"/>
      <c r="H150" s="183"/>
      <c r="I150" s="183"/>
      <c r="J150" s="183"/>
      <c r="K150" s="197"/>
      <c r="L150" s="197"/>
      <c r="M150" s="197"/>
      <c r="N150" s="183"/>
      <c r="O150" s="183"/>
      <c r="P150" s="183"/>
      <c r="R150" s="183"/>
    </row>
    <row r="151" spans="1:18" ht="12" customHeight="1" x14ac:dyDescent="0.15">
      <c r="A151" s="183" t="s">
        <v>2536</v>
      </c>
      <c r="B151" s="184" t="s">
        <v>2651</v>
      </c>
      <c r="C151" s="183"/>
      <c r="D151" s="183"/>
      <c r="E151" s="183"/>
      <c r="F151" s="183"/>
      <c r="G151" s="183"/>
      <c r="H151" s="183"/>
      <c r="I151" s="183"/>
      <c r="J151" s="183"/>
      <c r="K151" s="197"/>
      <c r="L151" s="197"/>
      <c r="M151" s="197"/>
      <c r="N151" s="183"/>
      <c r="O151" s="183"/>
      <c r="P151" s="183"/>
      <c r="R151" s="183"/>
    </row>
    <row r="152" spans="1:18" ht="12" customHeight="1" x14ac:dyDescent="0.15">
      <c r="A152" s="183" t="s">
        <v>2539</v>
      </c>
      <c r="B152" s="184" t="s">
        <v>2652</v>
      </c>
      <c r="C152" s="183"/>
      <c r="D152" s="183"/>
      <c r="E152" s="183"/>
      <c r="F152" s="183"/>
      <c r="G152" s="183"/>
      <c r="H152" s="183"/>
      <c r="I152" s="183"/>
      <c r="J152" s="183"/>
      <c r="K152" s="197"/>
      <c r="L152" s="197"/>
      <c r="M152" s="197"/>
      <c r="N152" s="183"/>
      <c r="O152" s="183"/>
      <c r="P152" s="183"/>
      <c r="R152" s="183"/>
    </row>
    <row r="153" spans="1:18" ht="12" customHeight="1" x14ac:dyDescent="0.15">
      <c r="A153" s="183" t="s">
        <v>2541</v>
      </c>
      <c r="B153" s="184" t="s">
        <v>2653</v>
      </c>
      <c r="C153" s="183"/>
      <c r="D153" s="183"/>
      <c r="E153" s="183"/>
      <c r="F153" s="183"/>
      <c r="G153" s="183"/>
      <c r="H153" s="183"/>
      <c r="I153" s="183"/>
      <c r="J153" s="183"/>
      <c r="K153" s="197"/>
      <c r="L153" s="197"/>
      <c r="M153" s="197"/>
      <c r="N153" s="183"/>
      <c r="O153" s="183"/>
      <c r="P153" s="183"/>
      <c r="R153" s="183"/>
    </row>
    <row r="154" spans="1:18" ht="12" customHeight="1" x14ac:dyDescent="0.15">
      <c r="A154" s="183" t="s">
        <v>2543</v>
      </c>
      <c r="B154" s="184" t="s">
        <v>2654</v>
      </c>
      <c r="C154" s="183"/>
      <c r="D154" s="183"/>
      <c r="E154" s="183"/>
      <c r="F154" s="183"/>
      <c r="G154" s="183"/>
      <c r="H154" s="183"/>
      <c r="I154" s="183"/>
      <c r="J154" s="183"/>
      <c r="K154" s="197"/>
      <c r="L154" s="197"/>
      <c r="M154" s="197"/>
      <c r="N154" s="183"/>
      <c r="O154" s="183"/>
      <c r="P154" s="183"/>
      <c r="R154" s="183"/>
    </row>
    <row r="155" spans="1:18" ht="12" customHeight="1" x14ac:dyDescent="0.15">
      <c r="A155" s="183" t="s">
        <v>2545</v>
      </c>
      <c r="B155" s="184" t="s">
        <v>2655</v>
      </c>
      <c r="C155" s="183"/>
      <c r="D155" s="183"/>
      <c r="E155" s="183"/>
      <c r="F155" s="183"/>
      <c r="G155" s="183"/>
      <c r="H155" s="183"/>
      <c r="I155" s="183"/>
      <c r="J155" s="183"/>
      <c r="K155" s="197"/>
      <c r="L155" s="197"/>
      <c r="M155" s="197"/>
      <c r="N155" s="183"/>
      <c r="O155" s="183"/>
      <c r="P155" s="183"/>
      <c r="R155" s="183"/>
    </row>
    <row r="156" spans="1:18" ht="12" customHeight="1" x14ac:dyDescent="0.15">
      <c r="A156" s="183" t="s">
        <v>2547</v>
      </c>
      <c r="B156" s="184" t="s">
        <v>2656</v>
      </c>
      <c r="C156" s="183"/>
      <c r="D156" s="183"/>
      <c r="E156" s="183"/>
      <c r="F156" s="183"/>
      <c r="G156" s="183"/>
      <c r="H156" s="183"/>
      <c r="I156" s="183"/>
      <c r="J156" s="183"/>
      <c r="K156" s="197"/>
      <c r="L156" s="197"/>
      <c r="M156" s="197"/>
      <c r="N156" s="183"/>
      <c r="O156" s="183"/>
      <c r="P156" s="183"/>
      <c r="R156" s="183"/>
    </row>
    <row r="157" spans="1:18" ht="12" customHeight="1" x14ac:dyDescent="0.15">
      <c r="A157" s="183" t="s">
        <v>2549</v>
      </c>
      <c r="B157" s="184" t="s">
        <v>2657</v>
      </c>
      <c r="C157" s="183"/>
      <c r="D157" s="183"/>
      <c r="E157" s="183"/>
      <c r="F157" s="183"/>
      <c r="G157" s="183"/>
      <c r="H157" s="183"/>
      <c r="I157" s="183"/>
      <c r="J157" s="183"/>
      <c r="K157" s="197"/>
      <c r="L157" s="197"/>
      <c r="M157" s="197"/>
      <c r="N157" s="183"/>
      <c r="O157" s="183"/>
      <c r="P157" s="183"/>
      <c r="R157" s="183"/>
    </row>
    <row r="158" spans="1:18" ht="12" customHeight="1" x14ac:dyDescent="0.15">
      <c r="A158" s="183" t="s">
        <v>2551</v>
      </c>
      <c r="B158" s="184" t="s">
        <v>2658</v>
      </c>
      <c r="C158" s="183"/>
      <c r="D158" s="183"/>
      <c r="E158" s="183"/>
      <c r="F158" s="183"/>
      <c r="G158" s="183"/>
      <c r="H158" s="183"/>
      <c r="I158" s="183"/>
      <c r="J158" s="183"/>
      <c r="K158" s="197"/>
      <c r="L158" s="197"/>
      <c r="M158" s="197"/>
      <c r="N158" s="183"/>
      <c r="O158" s="183"/>
      <c r="P158" s="183"/>
      <c r="R158" s="183"/>
    </row>
    <row r="159" spans="1:18" ht="12" customHeight="1" x14ac:dyDescent="0.15">
      <c r="A159" s="183" t="s">
        <v>2553</v>
      </c>
      <c r="B159" s="184" t="s">
        <v>2659</v>
      </c>
      <c r="C159" s="183"/>
      <c r="D159" s="183"/>
      <c r="E159" s="183"/>
      <c r="F159" s="183"/>
      <c r="G159" s="183"/>
      <c r="H159" s="183"/>
      <c r="I159" s="183"/>
      <c r="J159" s="183"/>
      <c r="K159" s="197"/>
      <c r="L159" s="197"/>
      <c r="M159" s="197"/>
      <c r="N159" s="183"/>
      <c r="O159" s="183"/>
      <c r="P159" s="183"/>
      <c r="R159" s="183"/>
    </row>
    <row r="160" spans="1:18" ht="12" customHeight="1" x14ac:dyDescent="0.15">
      <c r="A160" s="183" t="s">
        <v>2555</v>
      </c>
      <c r="B160" s="184" t="s">
        <v>2660</v>
      </c>
      <c r="C160" s="183"/>
      <c r="D160" s="183"/>
      <c r="E160" s="183"/>
      <c r="F160" s="183"/>
      <c r="G160" s="183"/>
      <c r="H160" s="183"/>
      <c r="I160" s="183"/>
      <c r="J160" s="183"/>
      <c r="K160" s="197"/>
      <c r="L160" s="197"/>
      <c r="M160" s="197"/>
      <c r="N160" s="183"/>
      <c r="O160" s="183"/>
      <c r="P160" s="183"/>
      <c r="R160" s="183"/>
    </row>
    <row r="161" spans="1:18" ht="12" customHeight="1" x14ac:dyDescent="0.15">
      <c r="A161" s="183" t="s">
        <v>2557</v>
      </c>
      <c r="B161" s="184" t="s">
        <v>2661</v>
      </c>
      <c r="C161" s="183"/>
      <c r="D161" s="183"/>
      <c r="E161" s="183"/>
      <c r="F161" s="183"/>
      <c r="G161" s="183"/>
      <c r="H161" s="183"/>
      <c r="I161" s="183"/>
      <c r="J161" s="183"/>
      <c r="K161" s="197"/>
      <c r="L161" s="197"/>
      <c r="M161" s="197"/>
      <c r="N161" s="183"/>
      <c r="O161" s="183"/>
      <c r="P161" s="183"/>
      <c r="R161" s="183"/>
    </row>
    <row r="162" spans="1:18" ht="12" customHeight="1" x14ac:dyDescent="0.15">
      <c r="A162" s="183" t="s">
        <v>2559</v>
      </c>
      <c r="B162" s="184" t="s">
        <v>2662</v>
      </c>
      <c r="C162" s="183"/>
      <c r="D162" s="183"/>
      <c r="E162" s="183"/>
      <c r="F162" s="183"/>
      <c r="G162" s="183"/>
      <c r="H162" s="183"/>
      <c r="I162" s="183"/>
      <c r="J162" s="183"/>
      <c r="K162" s="197"/>
      <c r="L162" s="197"/>
      <c r="M162" s="197"/>
      <c r="N162" s="183"/>
      <c r="O162" s="183"/>
      <c r="P162" s="183"/>
      <c r="R162" s="183"/>
    </row>
    <row r="163" spans="1:18" ht="12" customHeight="1" x14ac:dyDescent="0.15">
      <c r="A163" s="183" t="s">
        <v>2561</v>
      </c>
      <c r="B163" s="184" t="s">
        <v>2663</v>
      </c>
      <c r="C163" s="183"/>
      <c r="D163" s="183"/>
      <c r="E163" s="183"/>
      <c r="F163" s="183"/>
      <c r="G163" s="183"/>
      <c r="H163" s="183"/>
      <c r="I163" s="183"/>
      <c r="J163" s="183"/>
      <c r="K163" s="197"/>
      <c r="L163" s="197"/>
      <c r="M163" s="197"/>
      <c r="N163" s="183"/>
      <c r="O163" s="183"/>
      <c r="P163" s="183"/>
      <c r="R163" s="183"/>
    </row>
    <row r="164" spans="1:18" ht="12" customHeight="1" x14ac:dyDescent="0.15">
      <c r="A164" s="183" t="s">
        <v>2563</v>
      </c>
      <c r="B164" s="184" t="s">
        <v>2664</v>
      </c>
      <c r="C164" s="183"/>
      <c r="D164" s="183"/>
      <c r="E164" s="183"/>
      <c r="F164" s="183"/>
      <c r="G164" s="183"/>
      <c r="H164" s="183"/>
      <c r="I164" s="183"/>
      <c r="J164" s="183"/>
      <c r="L164" s="197"/>
      <c r="M164" s="197"/>
      <c r="N164" s="183"/>
      <c r="O164" s="183"/>
      <c r="P164" s="183"/>
      <c r="R164" s="183"/>
    </row>
    <row r="165" spans="1:18" ht="12" customHeight="1" x14ac:dyDescent="0.15">
      <c r="A165" s="183" t="s">
        <v>2565</v>
      </c>
      <c r="B165" s="184" t="s">
        <v>2665</v>
      </c>
      <c r="C165" s="183"/>
      <c r="D165" s="183"/>
      <c r="E165" s="183"/>
      <c r="F165" s="183"/>
      <c r="G165" s="183"/>
      <c r="H165" s="183"/>
      <c r="I165" s="183"/>
      <c r="J165" s="183"/>
      <c r="L165" s="197"/>
      <c r="M165" s="197"/>
      <c r="N165" s="183"/>
      <c r="O165" s="183"/>
      <c r="P165" s="183"/>
      <c r="R165" s="183"/>
    </row>
    <row r="166" spans="1:18" ht="12" customHeight="1" x14ac:dyDescent="0.15">
      <c r="A166" s="183" t="s">
        <v>2567</v>
      </c>
      <c r="B166" s="184" t="s">
        <v>2666</v>
      </c>
      <c r="C166" s="183"/>
      <c r="D166" s="183"/>
      <c r="E166" s="183"/>
      <c r="F166" s="183"/>
      <c r="G166" s="183"/>
      <c r="H166" s="183"/>
      <c r="I166" s="183"/>
      <c r="J166" s="183"/>
      <c r="L166" s="197"/>
      <c r="M166" s="197"/>
      <c r="N166" s="183"/>
      <c r="O166" s="183"/>
      <c r="P166" s="183"/>
      <c r="R166" s="183"/>
    </row>
    <row r="167" spans="1:18" ht="12" customHeight="1" x14ac:dyDescent="0.15">
      <c r="A167" s="183" t="s">
        <v>2570</v>
      </c>
      <c r="B167" s="184" t="s">
        <v>2667</v>
      </c>
      <c r="C167" s="183"/>
      <c r="D167" s="183"/>
      <c r="E167" s="183"/>
      <c r="F167" s="183"/>
      <c r="G167" s="183"/>
      <c r="H167" s="183"/>
      <c r="I167" s="183"/>
      <c r="J167" s="183"/>
      <c r="L167" s="197"/>
      <c r="M167" s="197"/>
      <c r="N167" s="183"/>
      <c r="O167" s="183"/>
      <c r="P167" s="183"/>
      <c r="R167" s="183"/>
    </row>
    <row r="168" spans="1:18" ht="12" customHeight="1" x14ac:dyDescent="0.15">
      <c r="A168" s="183" t="s">
        <v>2572</v>
      </c>
      <c r="B168" s="184" t="s">
        <v>2668</v>
      </c>
      <c r="C168" s="183"/>
      <c r="D168" s="183"/>
      <c r="E168" s="183"/>
      <c r="F168" s="183"/>
      <c r="G168" s="183"/>
      <c r="H168" s="183"/>
      <c r="I168" s="183"/>
      <c r="J168" s="183"/>
      <c r="L168" s="197"/>
      <c r="M168" s="197"/>
      <c r="N168" s="183"/>
      <c r="O168" s="183"/>
      <c r="P168" s="183"/>
      <c r="R168" s="183"/>
    </row>
    <row r="169" spans="1:18" ht="12" customHeight="1" x14ac:dyDescent="0.15">
      <c r="A169" s="183" t="s">
        <v>2574</v>
      </c>
      <c r="B169" s="184" t="s">
        <v>2669</v>
      </c>
      <c r="C169" s="183"/>
      <c r="D169" s="183"/>
      <c r="E169" s="183"/>
      <c r="F169" s="183"/>
      <c r="H169" s="183"/>
      <c r="I169" s="183"/>
      <c r="J169" s="183"/>
      <c r="L169" s="197"/>
      <c r="M169" s="197"/>
      <c r="N169" s="183"/>
      <c r="O169" s="183"/>
      <c r="P169" s="183"/>
      <c r="R169" s="183"/>
    </row>
    <row r="170" spans="1:18" ht="12" customHeight="1" x14ac:dyDescent="0.15">
      <c r="A170" s="183" t="s">
        <v>2576</v>
      </c>
      <c r="B170" s="184" t="s">
        <v>2670</v>
      </c>
      <c r="C170" s="183"/>
      <c r="D170" s="183"/>
      <c r="E170" s="183"/>
      <c r="F170" s="183"/>
      <c r="H170" s="183"/>
      <c r="I170" s="183"/>
      <c r="J170" s="183"/>
      <c r="L170" s="197"/>
      <c r="M170" s="197"/>
      <c r="N170" s="183"/>
      <c r="O170" s="183"/>
      <c r="P170" s="183"/>
      <c r="R170" s="183"/>
    </row>
    <row r="171" spans="1:18" ht="12" customHeight="1" x14ac:dyDescent="0.15">
      <c r="A171" s="183" t="s">
        <v>2578</v>
      </c>
      <c r="B171" s="184" t="s">
        <v>2671</v>
      </c>
      <c r="C171" s="183"/>
      <c r="D171" s="183"/>
      <c r="E171" s="183"/>
      <c r="F171" s="183"/>
      <c r="H171" s="183"/>
      <c r="I171" s="183"/>
      <c r="J171" s="183"/>
      <c r="L171" s="197"/>
      <c r="M171" s="197"/>
      <c r="N171" s="183"/>
      <c r="O171" s="183"/>
      <c r="P171" s="183"/>
      <c r="R171" s="183"/>
    </row>
    <row r="172" spans="1:18" ht="12" customHeight="1" x14ac:dyDescent="0.15">
      <c r="A172" s="183" t="s">
        <v>2581</v>
      </c>
      <c r="B172" s="184" t="s">
        <v>2672</v>
      </c>
      <c r="C172" s="183"/>
      <c r="D172" s="183"/>
      <c r="E172" s="183"/>
      <c r="F172" s="183"/>
      <c r="H172" s="183"/>
      <c r="I172" s="183"/>
      <c r="J172" s="183"/>
      <c r="L172" s="197"/>
      <c r="M172" s="197"/>
      <c r="N172" s="183"/>
      <c r="O172" s="183"/>
      <c r="P172" s="183"/>
      <c r="R172" s="183"/>
    </row>
    <row r="173" spans="1:18" ht="12" customHeight="1" x14ac:dyDescent="0.15">
      <c r="A173" s="183" t="s">
        <v>2584</v>
      </c>
      <c r="B173" s="184" t="s">
        <v>2673</v>
      </c>
      <c r="C173" s="183"/>
      <c r="D173" s="183"/>
      <c r="E173" s="183"/>
      <c r="F173" s="183"/>
      <c r="H173" s="183"/>
      <c r="I173" s="183"/>
      <c r="J173" s="183"/>
      <c r="L173" s="197"/>
      <c r="M173" s="197"/>
      <c r="N173" s="183"/>
      <c r="O173" s="183"/>
      <c r="P173" s="183"/>
      <c r="R173" s="183"/>
    </row>
    <row r="174" spans="1:18" ht="12" customHeight="1" x14ac:dyDescent="0.15">
      <c r="A174" s="183" t="s">
        <v>2586</v>
      </c>
      <c r="B174" s="184" t="s">
        <v>2674</v>
      </c>
      <c r="C174" s="183"/>
      <c r="D174" s="183"/>
      <c r="E174" s="183"/>
      <c r="F174" s="183"/>
      <c r="H174" s="183"/>
      <c r="I174" s="183"/>
      <c r="J174" s="183"/>
      <c r="L174" s="197"/>
      <c r="M174" s="197"/>
      <c r="N174" s="183"/>
      <c r="O174" s="183"/>
      <c r="P174" s="183"/>
      <c r="R174" s="183"/>
    </row>
    <row r="175" spans="1:18" ht="12" customHeight="1" x14ac:dyDescent="0.15">
      <c r="A175" s="183" t="s">
        <v>2588</v>
      </c>
      <c r="B175" s="184" t="s">
        <v>2675</v>
      </c>
      <c r="C175" s="183"/>
      <c r="D175" s="183"/>
      <c r="E175" s="183"/>
      <c r="F175" s="183"/>
      <c r="H175" s="183"/>
      <c r="I175" s="183"/>
      <c r="J175" s="183"/>
      <c r="L175" s="197"/>
      <c r="M175" s="197"/>
      <c r="N175" s="183"/>
      <c r="O175" s="183"/>
      <c r="P175" s="183"/>
      <c r="R175" s="18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54405-3118-B308-4858-564E8F841298}">
  <sheetPr>
    <tabColor rgb="FFFFCC99"/>
  </sheetPr>
  <dimension ref="A1:DB9"/>
  <sheetViews>
    <sheetView showGridLines="0" workbookViewId="0"/>
  </sheetViews>
  <sheetFormatPr defaultRowHeight="11.25" customHeight="1" x14ac:dyDescent="0.15"/>
  <sheetData>
    <row r="1" spans="1:106" ht="11.25" customHeight="1" x14ac:dyDescent="0.15">
      <c r="A1" t="s">
        <v>2676</v>
      </c>
      <c r="B1" t="s">
        <v>2677</v>
      </c>
      <c r="C1" t="s">
        <v>2678</v>
      </c>
      <c r="D1" t="s">
        <v>2679</v>
      </c>
      <c r="E1" t="s">
        <v>2680</v>
      </c>
      <c r="F1" t="s">
        <v>2681</v>
      </c>
      <c r="G1" t="s">
        <v>2682</v>
      </c>
      <c r="H1" t="s">
        <v>2683</v>
      </c>
      <c r="I1" t="s">
        <v>2684</v>
      </c>
      <c r="J1" t="s">
        <v>2685</v>
      </c>
      <c r="K1" t="s">
        <v>2686</v>
      </c>
      <c r="L1" t="s">
        <v>2687</v>
      </c>
      <c r="M1" t="s">
        <v>2688</v>
      </c>
      <c r="N1" t="s">
        <v>2689</v>
      </c>
      <c r="O1" t="s">
        <v>2690</v>
      </c>
      <c r="P1" t="s">
        <v>2691</v>
      </c>
      <c r="Q1" t="s">
        <v>2692</v>
      </c>
      <c r="R1" t="s">
        <v>2693</v>
      </c>
      <c r="S1" t="s">
        <v>2694</v>
      </c>
      <c r="T1" t="s">
        <v>2695</v>
      </c>
      <c r="U1" t="s">
        <v>2696</v>
      </c>
      <c r="V1" t="s">
        <v>2697</v>
      </c>
      <c r="W1" t="s">
        <v>2698</v>
      </c>
      <c r="X1" t="s">
        <v>2699</v>
      </c>
      <c r="Y1" t="s">
        <v>2700</v>
      </c>
      <c r="Z1" t="s">
        <v>2701</v>
      </c>
      <c r="AA1" t="s">
        <v>2702</v>
      </c>
      <c r="AB1" t="s">
        <v>2703</v>
      </c>
      <c r="AC1" t="s">
        <v>2704</v>
      </c>
      <c r="AD1" t="s">
        <v>2705</v>
      </c>
      <c r="AE1" t="s">
        <v>2706</v>
      </c>
      <c r="AF1" t="s">
        <v>2707</v>
      </c>
      <c r="AG1" t="s">
        <v>2708</v>
      </c>
      <c r="AH1" t="s">
        <v>2709</v>
      </c>
      <c r="AI1" t="s">
        <v>2710</v>
      </c>
      <c r="AJ1" t="s">
        <v>2711</v>
      </c>
      <c r="AK1" t="s">
        <v>2712</v>
      </c>
      <c r="AL1" t="s">
        <v>2713</v>
      </c>
      <c r="AM1" t="s">
        <v>2714</v>
      </c>
      <c r="AN1" t="s">
        <v>2715</v>
      </c>
      <c r="AO1" t="s">
        <v>2716</v>
      </c>
      <c r="AP1" t="s">
        <v>2717</v>
      </c>
      <c r="AQ1" t="s">
        <v>2718</v>
      </c>
      <c r="AR1" t="s">
        <v>2719</v>
      </c>
      <c r="AS1" t="s">
        <v>2720</v>
      </c>
      <c r="AT1" t="s">
        <v>2721</v>
      </c>
      <c r="AU1" t="s">
        <v>2722</v>
      </c>
      <c r="AV1" t="s">
        <v>2723</v>
      </c>
      <c r="AW1" t="s">
        <v>2724</v>
      </c>
      <c r="AX1" t="s">
        <v>2725</v>
      </c>
      <c r="AY1" t="s">
        <v>2726</v>
      </c>
      <c r="AZ1" t="s">
        <v>2727</v>
      </c>
      <c r="BA1" t="s">
        <v>2728</v>
      </c>
      <c r="BB1" t="s">
        <v>2729</v>
      </c>
      <c r="BC1" t="s">
        <v>2730</v>
      </c>
      <c r="BD1" t="s">
        <v>2731</v>
      </c>
      <c r="BE1" t="s">
        <v>2732</v>
      </c>
      <c r="BF1" t="s">
        <v>2733</v>
      </c>
      <c r="BG1" t="s">
        <v>2734</v>
      </c>
      <c r="BH1" t="s">
        <v>2735</v>
      </c>
      <c r="BI1" t="s">
        <v>2736</v>
      </c>
      <c r="BJ1" t="s">
        <v>2737</v>
      </c>
      <c r="BK1" t="s">
        <v>2738</v>
      </c>
      <c r="BL1" t="s">
        <v>2739</v>
      </c>
      <c r="BM1" t="s">
        <v>2740</v>
      </c>
      <c r="BN1" t="s">
        <v>2741</v>
      </c>
      <c r="BO1" t="s">
        <v>2742</v>
      </c>
      <c r="BP1" t="s">
        <v>2743</v>
      </c>
      <c r="BQ1" t="s">
        <v>2744</v>
      </c>
      <c r="BR1" t="s">
        <v>2745</v>
      </c>
      <c r="BS1" t="s">
        <v>2746</v>
      </c>
      <c r="BT1" t="s">
        <v>2747</v>
      </c>
      <c r="BU1" t="s">
        <v>2748</v>
      </c>
      <c r="BV1" t="s">
        <v>2749</v>
      </c>
      <c r="BW1" t="s">
        <v>2750</v>
      </c>
      <c r="BX1" t="s">
        <v>2751</v>
      </c>
      <c r="BY1" t="s">
        <v>2752</v>
      </c>
      <c r="BZ1" t="s">
        <v>2753</v>
      </c>
      <c r="CA1" t="s">
        <v>2754</v>
      </c>
      <c r="CB1" t="s">
        <v>2755</v>
      </c>
      <c r="CC1" t="s">
        <v>2756</v>
      </c>
      <c r="CD1" t="s">
        <v>2757</v>
      </c>
      <c r="CE1" t="s">
        <v>2758</v>
      </c>
      <c r="CF1" t="s">
        <v>2759</v>
      </c>
      <c r="CG1" t="s">
        <v>2760</v>
      </c>
      <c r="CH1" t="s">
        <v>2761</v>
      </c>
      <c r="CI1" t="s">
        <v>2762</v>
      </c>
      <c r="CJ1" t="s">
        <v>2763</v>
      </c>
      <c r="CK1" t="s">
        <v>2764</v>
      </c>
      <c r="CL1" t="s">
        <v>2765</v>
      </c>
      <c r="CM1" t="s">
        <v>2766</v>
      </c>
      <c r="CN1" t="s">
        <v>2767</v>
      </c>
      <c r="CO1" t="s">
        <v>2768</v>
      </c>
      <c r="CP1" t="s">
        <v>2769</v>
      </c>
      <c r="CQ1" t="s">
        <v>2770</v>
      </c>
      <c r="CR1" t="s">
        <v>2771</v>
      </c>
      <c r="CS1" t="s">
        <v>2772</v>
      </c>
      <c r="CT1" t="s">
        <v>2773</v>
      </c>
      <c r="CU1" t="s">
        <v>2774</v>
      </c>
      <c r="CV1" t="s">
        <v>2775</v>
      </c>
      <c r="CW1" t="s">
        <v>2776</v>
      </c>
      <c r="CX1" t="s">
        <v>2777</v>
      </c>
      <c r="CY1" t="s">
        <v>2778</v>
      </c>
      <c r="CZ1" t="s">
        <v>2779</v>
      </c>
      <c r="DA1" t="s">
        <v>2780</v>
      </c>
      <c r="DB1" t="s">
        <v>2781</v>
      </c>
    </row>
    <row r="2" spans="1:106" ht="11.25" customHeight="1" x14ac:dyDescent="0.15">
      <c r="A2" t="s">
        <v>247</v>
      </c>
      <c r="B2" t="s">
        <v>247</v>
      </c>
      <c r="C2" t="s">
        <v>247</v>
      </c>
      <c r="D2" t="s">
        <v>247</v>
      </c>
      <c r="E2" t="s">
        <v>247</v>
      </c>
      <c r="F2" t="s">
        <v>2782</v>
      </c>
      <c r="G2" t="s">
        <v>247</v>
      </c>
      <c r="H2" t="s">
        <v>247</v>
      </c>
      <c r="I2" t="s">
        <v>437</v>
      </c>
      <c r="J2" t="s">
        <v>247</v>
      </c>
      <c r="K2" t="s">
        <v>429</v>
      </c>
      <c r="L2" t="s">
        <v>247</v>
      </c>
      <c r="M2" t="s">
        <v>114</v>
      </c>
      <c r="N2" t="s">
        <v>247</v>
      </c>
      <c r="O2" t="s">
        <v>2783</v>
      </c>
      <c r="P2" t="s">
        <v>2784</v>
      </c>
      <c r="Q2" t="s">
        <v>200</v>
      </c>
      <c r="R2" t="s">
        <v>190</v>
      </c>
      <c r="S2" t="s">
        <v>397</v>
      </c>
      <c r="T2" t="s">
        <v>397</v>
      </c>
      <c r="U2" t="s">
        <v>398</v>
      </c>
      <c r="V2" t="s">
        <v>2785</v>
      </c>
      <c r="W2" t="s">
        <v>2786</v>
      </c>
      <c r="X2" t="s">
        <v>2787</v>
      </c>
      <c r="Y2" t="s">
        <v>2787</v>
      </c>
      <c r="Z2" t="s">
        <v>247</v>
      </c>
      <c r="AA2" t="s">
        <v>247</v>
      </c>
      <c r="AB2" t="s">
        <v>247</v>
      </c>
      <c r="AC2" t="s">
        <v>247</v>
      </c>
      <c r="AD2" t="s">
        <v>2788</v>
      </c>
      <c r="AE2" t="s">
        <v>2788</v>
      </c>
      <c r="AF2" t="s">
        <v>2789</v>
      </c>
      <c r="AG2" t="s">
        <v>133</v>
      </c>
      <c r="AH2" t="s">
        <v>2790</v>
      </c>
      <c r="AI2" t="s">
        <v>149</v>
      </c>
      <c r="AJ2" t="s">
        <v>2791</v>
      </c>
      <c r="AK2" t="s">
        <v>397</v>
      </c>
      <c r="AL2" t="s">
        <v>397</v>
      </c>
      <c r="AM2" t="s">
        <v>2792</v>
      </c>
      <c r="AN2" t="s">
        <v>2785</v>
      </c>
      <c r="AO2" t="s">
        <v>2793</v>
      </c>
      <c r="AP2" t="s">
        <v>2787</v>
      </c>
      <c r="AQ2" t="s">
        <v>2787</v>
      </c>
      <c r="AR2" t="s">
        <v>2794</v>
      </c>
      <c r="AS2" t="s">
        <v>2795</v>
      </c>
      <c r="AT2" t="s">
        <v>2796</v>
      </c>
      <c r="AU2" t="s">
        <v>2797</v>
      </c>
      <c r="AV2" t="s">
        <v>2797</v>
      </c>
      <c r="AW2" t="s">
        <v>2789</v>
      </c>
      <c r="AX2" t="s">
        <v>2789</v>
      </c>
      <c r="AY2" t="s">
        <v>2789</v>
      </c>
      <c r="AZ2" t="s">
        <v>2789</v>
      </c>
      <c r="BA2" t="s">
        <v>2789</v>
      </c>
      <c r="BB2" t="s">
        <v>2789</v>
      </c>
      <c r="BC2" t="s">
        <v>2789</v>
      </c>
      <c r="BD2" t="s">
        <v>2789</v>
      </c>
      <c r="BE2" t="s">
        <v>2789</v>
      </c>
      <c r="BF2" t="s">
        <v>2789</v>
      </c>
      <c r="BG2" t="s">
        <v>2789</v>
      </c>
      <c r="BH2" t="s">
        <v>247</v>
      </c>
      <c r="BI2" t="s">
        <v>247</v>
      </c>
      <c r="BJ2" t="s">
        <v>247</v>
      </c>
      <c r="BK2" t="s">
        <v>247</v>
      </c>
      <c r="BL2" t="s">
        <v>247</v>
      </c>
      <c r="BM2" t="s">
        <v>2789</v>
      </c>
      <c r="BN2" t="s">
        <v>247</v>
      </c>
      <c r="BO2" t="s">
        <v>247</v>
      </c>
      <c r="BP2" t="s">
        <v>247</v>
      </c>
      <c r="BQ2" t="s">
        <v>247</v>
      </c>
      <c r="BR2" t="s">
        <v>247</v>
      </c>
      <c r="BS2" t="s">
        <v>2797</v>
      </c>
      <c r="BT2" t="s">
        <v>2797</v>
      </c>
      <c r="BU2" t="s">
        <v>247</v>
      </c>
      <c r="BV2" t="s">
        <v>247</v>
      </c>
      <c r="BW2" t="s">
        <v>247</v>
      </c>
      <c r="BX2" t="s">
        <v>247</v>
      </c>
      <c r="BY2" t="s">
        <v>2789</v>
      </c>
      <c r="BZ2" t="s">
        <v>247</v>
      </c>
      <c r="CA2" t="s">
        <v>247</v>
      </c>
      <c r="CB2" t="s">
        <v>247</v>
      </c>
      <c r="CC2" t="s">
        <v>247</v>
      </c>
      <c r="CD2" t="s">
        <v>247</v>
      </c>
      <c r="CE2" t="s">
        <v>2789</v>
      </c>
      <c r="CF2" t="s">
        <v>247</v>
      </c>
      <c r="CG2" t="s">
        <v>247</v>
      </c>
      <c r="CH2" t="s">
        <v>247</v>
      </c>
      <c r="CI2" t="s">
        <v>247</v>
      </c>
      <c r="CJ2" t="s">
        <v>247</v>
      </c>
      <c r="CK2" t="s">
        <v>2789</v>
      </c>
      <c r="CL2" t="s">
        <v>247</v>
      </c>
      <c r="CM2" t="s">
        <v>247</v>
      </c>
      <c r="CN2" t="s">
        <v>247</v>
      </c>
      <c r="CO2" t="s">
        <v>247</v>
      </c>
      <c r="CP2" t="s">
        <v>247</v>
      </c>
      <c r="CQ2" t="s">
        <v>2798</v>
      </c>
      <c r="CR2" t="s">
        <v>2799</v>
      </c>
      <c r="CS2" t="s">
        <v>2800</v>
      </c>
      <c r="CT2" t="s">
        <v>2250</v>
      </c>
      <c r="CU2" t="s">
        <v>2801</v>
      </c>
      <c r="CV2" t="s">
        <v>433</v>
      </c>
      <c r="CW2" t="s">
        <v>432</v>
      </c>
      <c r="CX2" t="s">
        <v>438</v>
      </c>
      <c r="CY2" t="s">
        <v>439</v>
      </c>
      <c r="CZ2" t="s">
        <v>2801</v>
      </c>
      <c r="DA2" t="s">
        <v>2802</v>
      </c>
      <c r="DB2" t="s">
        <v>436</v>
      </c>
    </row>
    <row r="3" spans="1:106" ht="11.25" customHeight="1" x14ac:dyDescent="0.15">
      <c r="A3" t="s">
        <v>247</v>
      </c>
      <c r="B3" t="s">
        <v>247</v>
      </c>
      <c r="C3" t="s">
        <v>247</v>
      </c>
      <c r="D3" t="s">
        <v>247</v>
      </c>
      <c r="E3" t="s">
        <v>247</v>
      </c>
      <c r="F3" t="s">
        <v>2782</v>
      </c>
      <c r="G3" t="s">
        <v>247</v>
      </c>
      <c r="H3" t="s">
        <v>247</v>
      </c>
      <c r="I3" t="s">
        <v>339</v>
      </c>
      <c r="J3" t="s">
        <v>247</v>
      </c>
      <c r="K3" t="s">
        <v>453</v>
      </c>
      <c r="L3" t="s">
        <v>247</v>
      </c>
      <c r="M3" t="s">
        <v>114</v>
      </c>
      <c r="N3" t="s">
        <v>247</v>
      </c>
      <c r="O3" t="s">
        <v>2803</v>
      </c>
      <c r="P3" t="s">
        <v>2784</v>
      </c>
      <c r="Q3" t="s">
        <v>200</v>
      </c>
      <c r="R3" t="s">
        <v>200</v>
      </c>
      <c r="S3" t="s">
        <v>397</v>
      </c>
      <c r="T3" t="s">
        <v>397</v>
      </c>
      <c r="U3" t="s">
        <v>398</v>
      </c>
      <c r="V3" t="s">
        <v>2785</v>
      </c>
      <c r="W3" t="s">
        <v>2786</v>
      </c>
      <c r="X3" t="s">
        <v>2804</v>
      </c>
      <c r="Y3" t="s">
        <v>2804</v>
      </c>
      <c r="Z3" t="s">
        <v>2805</v>
      </c>
      <c r="AA3" t="s">
        <v>2806</v>
      </c>
      <c r="AB3" t="s">
        <v>2789</v>
      </c>
      <c r="AC3" t="s">
        <v>2807</v>
      </c>
      <c r="AD3" t="s">
        <v>2808</v>
      </c>
      <c r="AE3" t="s">
        <v>2809</v>
      </c>
      <c r="AF3" t="s">
        <v>2789</v>
      </c>
      <c r="AR3" t="s">
        <v>2794</v>
      </c>
      <c r="AS3" t="s">
        <v>2795</v>
      </c>
      <c r="AT3" t="s">
        <v>2796</v>
      </c>
      <c r="AU3" t="s">
        <v>2810</v>
      </c>
      <c r="AV3" t="s">
        <v>2811</v>
      </c>
      <c r="AW3" t="s">
        <v>2812</v>
      </c>
      <c r="AX3" t="s">
        <v>2789</v>
      </c>
      <c r="AY3" t="s">
        <v>2789</v>
      </c>
      <c r="AZ3" t="s">
        <v>2789</v>
      </c>
      <c r="BA3" t="s">
        <v>2789</v>
      </c>
      <c r="BB3" t="s">
        <v>2789</v>
      </c>
      <c r="BC3" t="s">
        <v>2789</v>
      </c>
      <c r="BD3" t="s">
        <v>2789</v>
      </c>
      <c r="BE3" t="s">
        <v>2789</v>
      </c>
      <c r="BF3" t="s">
        <v>2789</v>
      </c>
      <c r="BG3" t="s">
        <v>2813</v>
      </c>
      <c r="BH3" t="s">
        <v>2814</v>
      </c>
      <c r="BI3" t="s">
        <v>2815</v>
      </c>
      <c r="BJ3" t="s">
        <v>247</v>
      </c>
      <c r="BK3" t="s">
        <v>247</v>
      </c>
      <c r="BL3" t="s">
        <v>247</v>
      </c>
      <c r="BM3" t="s">
        <v>2789</v>
      </c>
      <c r="BN3" t="s">
        <v>247</v>
      </c>
      <c r="BO3" t="s">
        <v>247</v>
      </c>
      <c r="BP3" t="s">
        <v>247</v>
      </c>
      <c r="BQ3" t="s">
        <v>247</v>
      </c>
      <c r="BR3" t="s">
        <v>247</v>
      </c>
      <c r="BS3" t="s">
        <v>2816</v>
      </c>
      <c r="BT3" t="s">
        <v>2817</v>
      </c>
      <c r="BU3" t="s">
        <v>2818</v>
      </c>
      <c r="BV3" t="s">
        <v>247</v>
      </c>
      <c r="BW3" t="s">
        <v>247</v>
      </c>
      <c r="BX3" t="s">
        <v>247</v>
      </c>
      <c r="BY3" t="s">
        <v>2789</v>
      </c>
      <c r="BZ3" t="s">
        <v>247</v>
      </c>
      <c r="CA3" t="s">
        <v>247</v>
      </c>
      <c r="CB3" t="s">
        <v>247</v>
      </c>
      <c r="CC3" t="s">
        <v>247</v>
      </c>
      <c r="CD3" t="s">
        <v>247</v>
      </c>
      <c r="CE3" t="s">
        <v>2789</v>
      </c>
      <c r="CF3" t="s">
        <v>247</v>
      </c>
      <c r="CG3" t="s">
        <v>247</v>
      </c>
      <c r="CH3" t="s">
        <v>247</v>
      </c>
      <c r="CI3" t="s">
        <v>247</v>
      </c>
      <c r="CJ3" t="s">
        <v>247</v>
      </c>
      <c r="CK3" t="s">
        <v>2789</v>
      </c>
      <c r="CL3" t="s">
        <v>247</v>
      </c>
      <c r="CM3" t="s">
        <v>247</v>
      </c>
      <c r="CN3" t="s">
        <v>247</v>
      </c>
      <c r="CO3" t="s">
        <v>247</v>
      </c>
      <c r="CP3" t="s">
        <v>247</v>
      </c>
      <c r="CQ3" t="s">
        <v>2819</v>
      </c>
      <c r="CR3" t="s">
        <v>2799</v>
      </c>
      <c r="CS3" t="s">
        <v>2800</v>
      </c>
      <c r="CT3" t="s">
        <v>2820</v>
      </c>
      <c r="CU3" t="s">
        <v>2821</v>
      </c>
      <c r="CV3" t="s">
        <v>457</v>
      </c>
      <c r="CW3" t="s">
        <v>456</v>
      </c>
      <c r="CX3" t="s">
        <v>458</v>
      </c>
      <c r="CY3" t="s">
        <v>459</v>
      </c>
      <c r="CZ3" t="s">
        <v>2821</v>
      </c>
      <c r="DA3" t="s">
        <v>2802</v>
      </c>
      <c r="DB3" t="s">
        <v>454</v>
      </c>
    </row>
    <row r="4" spans="1:106" ht="11.25" customHeight="1" x14ac:dyDescent="0.15">
      <c r="A4" t="s">
        <v>247</v>
      </c>
      <c r="B4" t="s">
        <v>247</v>
      </c>
      <c r="C4" t="s">
        <v>247</v>
      </c>
      <c r="D4" t="s">
        <v>247</v>
      </c>
      <c r="E4" t="s">
        <v>247</v>
      </c>
      <c r="F4" t="s">
        <v>2782</v>
      </c>
      <c r="G4" t="s">
        <v>247</v>
      </c>
      <c r="H4" t="s">
        <v>247</v>
      </c>
      <c r="I4" t="s">
        <v>441</v>
      </c>
      <c r="J4" t="s">
        <v>247</v>
      </c>
      <c r="K4" t="s">
        <v>420</v>
      </c>
      <c r="L4" t="s">
        <v>247</v>
      </c>
      <c r="M4" t="s">
        <v>114</v>
      </c>
      <c r="N4" t="s">
        <v>247</v>
      </c>
      <c r="O4" t="s">
        <v>2783</v>
      </c>
      <c r="P4" t="s">
        <v>2784</v>
      </c>
      <c r="Q4" t="s">
        <v>200</v>
      </c>
      <c r="R4" t="s">
        <v>190</v>
      </c>
      <c r="S4" t="s">
        <v>397</v>
      </c>
      <c r="T4" t="s">
        <v>397</v>
      </c>
      <c r="U4" t="s">
        <v>398</v>
      </c>
      <c r="V4" t="s">
        <v>2785</v>
      </c>
      <c r="W4" t="s">
        <v>2786</v>
      </c>
      <c r="X4" t="s">
        <v>2822</v>
      </c>
      <c r="Y4" t="s">
        <v>2822</v>
      </c>
      <c r="Z4" t="s">
        <v>247</v>
      </c>
      <c r="AA4" t="s">
        <v>247</v>
      </c>
      <c r="AB4" t="s">
        <v>247</v>
      </c>
      <c r="AC4" t="s">
        <v>247</v>
      </c>
      <c r="AD4" t="s">
        <v>2823</v>
      </c>
      <c r="AE4" t="s">
        <v>2823</v>
      </c>
      <c r="AF4" t="s">
        <v>2789</v>
      </c>
      <c r="AG4" t="s">
        <v>133</v>
      </c>
      <c r="AH4" t="s">
        <v>2790</v>
      </c>
      <c r="AI4" t="s">
        <v>149</v>
      </c>
      <c r="AJ4" t="s">
        <v>2791</v>
      </c>
      <c r="AK4" t="s">
        <v>397</v>
      </c>
      <c r="AL4" t="s">
        <v>397</v>
      </c>
      <c r="AM4" t="s">
        <v>2792</v>
      </c>
      <c r="AN4" t="s">
        <v>2785</v>
      </c>
      <c r="AO4" t="s">
        <v>2793</v>
      </c>
      <c r="AP4" t="s">
        <v>2822</v>
      </c>
      <c r="AQ4" t="s">
        <v>2822</v>
      </c>
      <c r="AR4" t="s">
        <v>2824</v>
      </c>
      <c r="AS4" t="s">
        <v>2795</v>
      </c>
      <c r="AT4" t="s">
        <v>2796</v>
      </c>
      <c r="AU4" t="s">
        <v>2825</v>
      </c>
      <c r="AV4" t="s">
        <v>2825</v>
      </c>
      <c r="AW4" t="s">
        <v>2789</v>
      </c>
      <c r="AX4" t="s">
        <v>2789</v>
      </c>
      <c r="AY4" t="s">
        <v>2789</v>
      </c>
      <c r="AZ4" t="s">
        <v>2789</v>
      </c>
      <c r="BA4" t="s">
        <v>2789</v>
      </c>
      <c r="BB4" t="s">
        <v>2789</v>
      </c>
      <c r="BC4" t="s">
        <v>2789</v>
      </c>
      <c r="BD4" t="s">
        <v>2789</v>
      </c>
      <c r="BE4" t="s">
        <v>2789</v>
      </c>
      <c r="BF4" t="s">
        <v>2789</v>
      </c>
      <c r="BG4" t="s">
        <v>2789</v>
      </c>
      <c r="BH4" t="s">
        <v>247</v>
      </c>
      <c r="BI4" t="s">
        <v>247</v>
      </c>
      <c r="BJ4" t="s">
        <v>247</v>
      </c>
      <c r="BK4" t="s">
        <v>247</v>
      </c>
      <c r="BL4" t="s">
        <v>247</v>
      </c>
      <c r="BM4" t="s">
        <v>2789</v>
      </c>
      <c r="BN4" t="s">
        <v>247</v>
      </c>
      <c r="BO4" t="s">
        <v>247</v>
      </c>
      <c r="BP4" t="s">
        <v>247</v>
      </c>
      <c r="BQ4" t="s">
        <v>247</v>
      </c>
      <c r="BR4" t="s">
        <v>247</v>
      </c>
      <c r="BS4" t="s">
        <v>2825</v>
      </c>
      <c r="BT4" t="s">
        <v>2825</v>
      </c>
      <c r="BU4" t="s">
        <v>247</v>
      </c>
      <c r="BV4" t="s">
        <v>247</v>
      </c>
      <c r="BW4" t="s">
        <v>247</v>
      </c>
      <c r="BX4" t="s">
        <v>247</v>
      </c>
      <c r="BY4" t="s">
        <v>2789</v>
      </c>
      <c r="BZ4" t="s">
        <v>247</v>
      </c>
      <c r="CA4" t="s">
        <v>247</v>
      </c>
      <c r="CB4" t="s">
        <v>247</v>
      </c>
      <c r="CC4" t="s">
        <v>247</v>
      </c>
      <c r="CD4" t="s">
        <v>247</v>
      </c>
      <c r="CE4" t="s">
        <v>2789</v>
      </c>
      <c r="CF4" t="s">
        <v>247</v>
      </c>
      <c r="CG4" t="s">
        <v>247</v>
      </c>
      <c r="CH4" t="s">
        <v>247</v>
      </c>
      <c r="CI4" t="s">
        <v>247</v>
      </c>
      <c r="CJ4" t="s">
        <v>247</v>
      </c>
      <c r="CK4" t="s">
        <v>2789</v>
      </c>
      <c r="CL4" t="s">
        <v>247</v>
      </c>
      <c r="CM4" t="s">
        <v>247</v>
      </c>
      <c r="CN4" t="s">
        <v>247</v>
      </c>
      <c r="CO4" t="s">
        <v>247</v>
      </c>
      <c r="CP4" t="s">
        <v>247</v>
      </c>
      <c r="CQ4" t="s">
        <v>2798</v>
      </c>
      <c r="CR4" t="s">
        <v>2799</v>
      </c>
      <c r="CS4" t="s">
        <v>2826</v>
      </c>
      <c r="CT4" t="s">
        <v>2826</v>
      </c>
      <c r="CU4" t="s">
        <v>2827</v>
      </c>
      <c r="CV4" t="s">
        <v>253</v>
      </c>
      <c r="CW4" t="s">
        <v>422</v>
      </c>
      <c r="CX4" t="s">
        <v>446</v>
      </c>
      <c r="CY4" t="s">
        <v>447</v>
      </c>
      <c r="CZ4" t="s">
        <v>2828</v>
      </c>
      <c r="DA4" t="s">
        <v>2802</v>
      </c>
      <c r="DB4" t="s">
        <v>444</v>
      </c>
    </row>
    <row r="5" spans="1:106" ht="11.25" customHeight="1" x14ac:dyDescent="0.15">
      <c r="A5" t="s">
        <v>247</v>
      </c>
      <c r="B5" t="s">
        <v>247</v>
      </c>
      <c r="C5" t="s">
        <v>247</v>
      </c>
      <c r="D5" t="s">
        <v>247</v>
      </c>
      <c r="E5" t="s">
        <v>247</v>
      </c>
      <c r="F5" t="s">
        <v>2782</v>
      </c>
      <c r="G5" t="s">
        <v>247</v>
      </c>
      <c r="H5" t="s">
        <v>247</v>
      </c>
      <c r="I5" t="s">
        <v>445</v>
      </c>
      <c r="J5" t="s">
        <v>247</v>
      </c>
      <c r="K5" t="s">
        <v>420</v>
      </c>
      <c r="L5" t="s">
        <v>247</v>
      </c>
      <c r="M5" t="s">
        <v>114</v>
      </c>
      <c r="N5" t="s">
        <v>247</v>
      </c>
      <c r="O5" t="s">
        <v>2783</v>
      </c>
      <c r="P5" t="s">
        <v>2784</v>
      </c>
      <c r="Q5" t="s">
        <v>200</v>
      </c>
      <c r="R5" t="s">
        <v>190</v>
      </c>
      <c r="S5" t="s">
        <v>397</v>
      </c>
      <c r="T5" t="s">
        <v>397</v>
      </c>
      <c r="U5" t="s">
        <v>398</v>
      </c>
      <c r="V5" t="s">
        <v>2785</v>
      </c>
      <c r="W5" t="s">
        <v>2786</v>
      </c>
      <c r="X5" t="s">
        <v>2829</v>
      </c>
      <c r="Y5" t="s">
        <v>2829</v>
      </c>
      <c r="Z5" t="s">
        <v>247</v>
      </c>
      <c r="AA5" t="s">
        <v>247</v>
      </c>
      <c r="AB5" t="s">
        <v>247</v>
      </c>
      <c r="AC5" t="s">
        <v>247</v>
      </c>
      <c r="AD5" t="s">
        <v>2830</v>
      </c>
      <c r="AE5" t="s">
        <v>2830</v>
      </c>
      <c r="AF5" t="s">
        <v>2789</v>
      </c>
      <c r="AG5" t="s">
        <v>133</v>
      </c>
      <c r="AH5" t="s">
        <v>2790</v>
      </c>
      <c r="AI5" t="s">
        <v>149</v>
      </c>
      <c r="AJ5" t="s">
        <v>2791</v>
      </c>
      <c r="AK5" t="s">
        <v>397</v>
      </c>
      <c r="AL5" t="s">
        <v>397</v>
      </c>
      <c r="AM5" t="s">
        <v>2792</v>
      </c>
      <c r="AN5" t="s">
        <v>2785</v>
      </c>
      <c r="AO5" t="s">
        <v>2793</v>
      </c>
      <c r="AP5" t="s">
        <v>2829</v>
      </c>
      <c r="AQ5" t="s">
        <v>2829</v>
      </c>
      <c r="AR5" t="s">
        <v>2824</v>
      </c>
      <c r="AS5" t="s">
        <v>2795</v>
      </c>
      <c r="AT5" t="s">
        <v>2796</v>
      </c>
      <c r="AU5" t="s">
        <v>2831</v>
      </c>
      <c r="AV5" t="s">
        <v>2831</v>
      </c>
      <c r="AW5" t="s">
        <v>2789</v>
      </c>
      <c r="AX5" t="s">
        <v>2789</v>
      </c>
      <c r="AY5" t="s">
        <v>2789</v>
      </c>
      <c r="AZ5" t="s">
        <v>2789</v>
      </c>
      <c r="BA5" t="s">
        <v>2789</v>
      </c>
      <c r="BB5" t="s">
        <v>2789</v>
      </c>
      <c r="BC5" t="s">
        <v>2789</v>
      </c>
      <c r="BD5" t="s">
        <v>2789</v>
      </c>
      <c r="BE5" t="s">
        <v>2789</v>
      </c>
      <c r="BF5" t="s">
        <v>2789</v>
      </c>
      <c r="BG5" t="s">
        <v>2789</v>
      </c>
      <c r="BH5" t="s">
        <v>247</v>
      </c>
      <c r="BI5" t="s">
        <v>247</v>
      </c>
      <c r="BJ5" t="s">
        <v>247</v>
      </c>
      <c r="BK5" t="s">
        <v>247</v>
      </c>
      <c r="BL5" t="s">
        <v>247</v>
      </c>
      <c r="BM5" t="s">
        <v>2789</v>
      </c>
      <c r="BN5" t="s">
        <v>247</v>
      </c>
      <c r="BO5" t="s">
        <v>247</v>
      </c>
      <c r="BP5" t="s">
        <v>247</v>
      </c>
      <c r="BQ5" t="s">
        <v>247</v>
      </c>
      <c r="BR5" t="s">
        <v>247</v>
      </c>
      <c r="BS5" t="s">
        <v>2831</v>
      </c>
      <c r="BT5" t="s">
        <v>2831</v>
      </c>
      <c r="BU5" t="s">
        <v>247</v>
      </c>
      <c r="BV5" t="s">
        <v>247</v>
      </c>
      <c r="BW5" t="s">
        <v>247</v>
      </c>
      <c r="BX5" t="s">
        <v>247</v>
      </c>
      <c r="BY5" t="s">
        <v>2789</v>
      </c>
      <c r="BZ5" t="s">
        <v>247</v>
      </c>
      <c r="CA5" t="s">
        <v>247</v>
      </c>
      <c r="CB5" t="s">
        <v>247</v>
      </c>
      <c r="CC5" t="s">
        <v>247</v>
      </c>
      <c r="CD5" t="s">
        <v>247</v>
      </c>
      <c r="CE5" t="s">
        <v>2789</v>
      </c>
      <c r="CF5" t="s">
        <v>247</v>
      </c>
      <c r="CG5" t="s">
        <v>247</v>
      </c>
      <c r="CH5" t="s">
        <v>247</v>
      </c>
      <c r="CI5" t="s">
        <v>247</v>
      </c>
      <c r="CJ5" t="s">
        <v>247</v>
      </c>
      <c r="CK5" t="s">
        <v>2789</v>
      </c>
      <c r="CL5" t="s">
        <v>247</v>
      </c>
      <c r="CM5" t="s">
        <v>247</v>
      </c>
      <c r="CN5" t="s">
        <v>247</v>
      </c>
      <c r="CO5" t="s">
        <v>247</v>
      </c>
      <c r="CP5" t="s">
        <v>247</v>
      </c>
      <c r="CQ5" t="s">
        <v>2798</v>
      </c>
      <c r="CR5" t="s">
        <v>2799</v>
      </c>
      <c r="CS5" t="s">
        <v>2826</v>
      </c>
      <c r="CT5" t="s">
        <v>2826</v>
      </c>
      <c r="CU5" t="s">
        <v>2827</v>
      </c>
      <c r="CV5" t="s">
        <v>253</v>
      </c>
      <c r="CW5" t="s">
        <v>422</v>
      </c>
      <c r="CX5" t="s">
        <v>427</v>
      </c>
      <c r="CY5" t="s">
        <v>428</v>
      </c>
      <c r="CZ5" t="s">
        <v>2832</v>
      </c>
      <c r="DA5" t="s">
        <v>2802</v>
      </c>
      <c r="DB5" t="s">
        <v>425</v>
      </c>
    </row>
    <row r="6" spans="1:106" ht="11.25" customHeight="1" x14ac:dyDescent="0.15">
      <c r="A6" t="s">
        <v>247</v>
      </c>
      <c r="B6" t="s">
        <v>247</v>
      </c>
      <c r="C6" t="s">
        <v>247</v>
      </c>
      <c r="D6" t="s">
        <v>247</v>
      </c>
      <c r="E6" t="s">
        <v>247</v>
      </c>
      <c r="F6" t="s">
        <v>2782</v>
      </c>
      <c r="G6" t="s">
        <v>247</v>
      </c>
      <c r="H6" t="s">
        <v>247</v>
      </c>
      <c r="I6" t="s">
        <v>449</v>
      </c>
      <c r="J6" t="s">
        <v>247</v>
      </c>
      <c r="K6" t="s">
        <v>420</v>
      </c>
      <c r="L6" t="s">
        <v>247</v>
      </c>
      <c r="M6" t="s">
        <v>114</v>
      </c>
      <c r="N6" t="s">
        <v>247</v>
      </c>
      <c r="O6" t="s">
        <v>2783</v>
      </c>
      <c r="P6" t="s">
        <v>2784</v>
      </c>
      <c r="Q6" t="s">
        <v>200</v>
      </c>
      <c r="R6" t="s">
        <v>190</v>
      </c>
      <c r="S6" t="s">
        <v>397</v>
      </c>
      <c r="T6" t="s">
        <v>397</v>
      </c>
      <c r="U6" t="s">
        <v>398</v>
      </c>
      <c r="V6" t="s">
        <v>2785</v>
      </c>
      <c r="W6" t="s">
        <v>2786</v>
      </c>
      <c r="X6" t="s">
        <v>2833</v>
      </c>
      <c r="Y6" t="s">
        <v>2833</v>
      </c>
      <c r="Z6" t="s">
        <v>247</v>
      </c>
      <c r="AA6" t="s">
        <v>247</v>
      </c>
      <c r="AB6" t="s">
        <v>247</v>
      </c>
      <c r="AC6" t="s">
        <v>247</v>
      </c>
      <c r="AD6" t="s">
        <v>2834</v>
      </c>
      <c r="AE6" t="s">
        <v>2834</v>
      </c>
      <c r="AF6" t="s">
        <v>2789</v>
      </c>
      <c r="AG6" t="s">
        <v>133</v>
      </c>
      <c r="AH6" t="s">
        <v>2790</v>
      </c>
      <c r="AI6" t="s">
        <v>149</v>
      </c>
      <c r="AJ6" t="s">
        <v>2791</v>
      </c>
      <c r="AK6" t="s">
        <v>397</v>
      </c>
      <c r="AL6" t="s">
        <v>397</v>
      </c>
      <c r="AM6" t="s">
        <v>2792</v>
      </c>
      <c r="AN6" t="s">
        <v>2785</v>
      </c>
      <c r="AO6" t="s">
        <v>2793</v>
      </c>
      <c r="AP6" t="s">
        <v>2833</v>
      </c>
      <c r="AQ6" t="s">
        <v>2833</v>
      </c>
      <c r="AR6" t="s">
        <v>2824</v>
      </c>
      <c r="AS6" t="s">
        <v>2795</v>
      </c>
      <c r="AT6" t="s">
        <v>2796</v>
      </c>
      <c r="AU6" t="s">
        <v>2835</v>
      </c>
      <c r="AV6" t="s">
        <v>2835</v>
      </c>
      <c r="AW6" t="s">
        <v>2789</v>
      </c>
      <c r="AX6" t="s">
        <v>2789</v>
      </c>
      <c r="AY6" t="s">
        <v>2789</v>
      </c>
      <c r="AZ6" t="s">
        <v>2789</v>
      </c>
      <c r="BA6" t="s">
        <v>2789</v>
      </c>
      <c r="BB6" t="s">
        <v>2789</v>
      </c>
      <c r="BC6" t="s">
        <v>2789</v>
      </c>
      <c r="BD6" t="s">
        <v>2789</v>
      </c>
      <c r="BE6" t="s">
        <v>2789</v>
      </c>
      <c r="BF6" t="s">
        <v>2789</v>
      </c>
      <c r="BG6" t="s">
        <v>2789</v>
      </c>
      <c r="BH6" t="s">
        <v>247</v>
      </c>
      <c r="BI6" t="s">
        <v>247</v>
      </c>
      <c r="BJ6" t="s">
        <v>247</v>
      </c>
      <c r="BK6" t="s">
        <v>247</v>
      </c>
      <c r="BL6" t="s">
        <v>247</v>
      </c>
      <c r="BM6" t="s">
        <v>2789</v>
      </c>
      <c r="BN6" t="s">
        <v>247</v>
      </c>
      <c r="BO6" t="s">
        <v>247</v>
      </c>
      <c r="BP6" t="s">
        <v>247</v>
      </c>
      <c r="BQ6" t="s">
        <v>247</v>
      </c>
      <c r="BR6" t="s">
        <v>247</v>
      </c>
      <c r="BS6" t="s">
        <v>2835</v>
      </c>
      <c r="BT6" t="s">
        <v>2835</v>
      </c>
      <c r="BU6" t="s">
        <v>247</v>
      </c>
      <c r="BV6" t="s">
        <v>247</v>
      </c>
      <c r="BW6" t="s">
        <v>247</v>
      </c>
      <c r="BX6" t="s">
        <v>247</v>
      </c>
      <c r="BY6" t="s">
        <v>2789</v>
      </c>
      <c r="BZ6" t="s">
        <v>247</v>
      </c>
      <c r="CA6" t="s">
        <v>247</v>
      </c>
      <c r="CB6" t="s">
        <v>247</v>
      </c>
      <c r="CC6" t="s">
        <v>247</v>
      </c>
      <c r="CD6" t="s">
        <v>247</v>
      </c>
      <c r="CE6" t="s">
        <v>2789</v>
      </c>
      <c r="CF6" t="s">
        <v>247</v>
      </c>
      <c r="CG6" t="s">
        <v>247</v>
      </c>
      <c r="CH6" t="s">
        <v>247</v>
      </c>
      <c r="CI6" t="s">
        <v>247</v>
      </c>
      <c r="CJ6" t="s">
        <v>247</v>
      </c>
      <c r="CK6" t="s">
        <v>2789</v>
      </c>
      <c r="CL6" t="s">
        <v>247</v>
      </c>
      <c r="CM6" t="s">
        <v>247</v>
      </c>
      <c r="CN6" t="s">
        <v>247</v>
      </c>
      <c r="CO6" t="s">
        <v>247</v>
      </c>
      <c r="CP6" t="s">
        <v>247</v>
      </c>
      <c r="CQ6" t="s">
        <v>2798</v>
      </c>
      <c r="CR6" t="s">
        <v>2799</v>
      </c>
      <c r="CS6" t="s">
        <v>2826</v>
      </c>
      <c r="CT6" t="s">
        <v>2826</v>
      </c>
      <c r="CU6" t="s">
        <v>2827</v>
      </c>
      <c r="CV6" t="s">
        <v>253</v>
      </c>
      <c r="CW6" t="s">
        <v>422</v>
      </c>
      <c r="CX6" t="s">
        <v>423</v>
      </c>
      <c r="CY6" t="s">
        <v>424</v>
      </c>
      <c r="CZ6" t="s">
        <v>2836</v>
      </c>
      <c r="DA6" t="s">
        <v>2802</v>
      </c>
      <c r="DB6" t="s">
        <v>421</v>
      </c>
    </row>
    <row r="7" spans="1:106" ht="11.25" customHeight="1" x14ac:dyDescent="0.15">
      <c r="A7" t="s">
        <v>247</v>
      </c>
      <c r="B7" t="s">
        <v>247</v>
      </c>
      <c r="C7" t="s">
        <v>247</v>
      </c>
      <c r="D7" t="s">
        <v>247</v>
      </c>
      <c r="E7" t="s">
        <v>247</v>
      </c>
      <c r="F7" t="s">
        <v>2782</v>
      </c>
      <c r="G7" t="s">
        <v>247</v>
      </c>
      <c r="H7" t="s">
        <v>247</v>
      </c>
      <c r="I7" t="s">
        <v>455</v>
      </c>
      <c r="J7" t="s">
        <v>247</v>
      </c>
      <c r="K7" t="s">
        <v>429</v>
      </c>
      <c r="L7" t="s">
        <v>247</v>
      </c>
      <c r="M7" t="s">
        <v>114</v>
      </c>
      <c r="N7" t="s">
        <v>247</v>
      </c>
      <c r="O7" t="s">
        <v>2783</v>
      </c>
      <c r="P7" t="s">
        <v>2784</v>
      </c>
      <c r="Q7" t="s">
        <v>200</v>
      </c>
      <c r="R7" t="s">
        <v>190</v>
      </c>
      <c r="S7" t="s">
        <v>397</v>
      </c>
      <c r="T7" t="s">
        <v>397</v>
      </c>
      <c r="U7" t="s">
        <v>398</v>
      </c>
      <c r="V7" t="s">
        <v>2785</v>
      </c>
      <c r="W7" t="s">
        <v>2786</v>
      </c>
      <c r="X7" t="s">
        <v>2837</v>
      </c>
      <c r="Y7" t="s">
        <v>2837</v>
      </c>
      <c r="Z7" t="s">
        <v>247</v>
      </c>
      <c r="AA7" t="s">
        <v>247</v>
      </c>
      <c r="AB7" t="s">
        <v>247</v>
      </c>
      <c r="AC7" t="s">
        <v>247</v>
      </c>
      <c r="AD7" t="s">
        <v>2838</v>
      </c>
      <c r="AE7" t="s">
        <v>2838</v>
      </c>
      <c r="AF7" t="s">
        <v>2789</v>
      </c>
      <c r="AG7" t="s">
        <v>133</v>
      </c>
      <c r="AH7" t="s">
        <v>2790</v>
      </c>
      <c r="AI7" t="s">
        <v>149</v>
      </c>
      <c r="AJ7" t="s">
        <v>2791</v>
      </c>
      <c r="AK7" t="s">
        <v>397</v>
      </c>
      <c r="AL7" t="s">
        <v>397</v>
      </c>
      <c r="AM7" t="s">
        <v>2792</v>
      </c>
      <c r="AN7" t="s">
        <v>2785</v>
      </c>
      <c r="AO7" t="s">
        <v>2793</v>
      </c>
      <c r="AP7" t="s">
        <v>2837</v>
      </c>
      <c r="AQ7" t="s">
        <v>2837</v>
      </c>
      <c r="AR7" t="s">
        <v>2794</v>
      </c>
      <c r="AS7" t="s">
        <v>2795</v>
      </c>
      <c r="AT7" t="s">
        <v>2796</v>
      </c>
      <c r="AU7" t="s">
        <v>2839</v>
      </c>
      <c r="AV7" t="s">
        <v>2840</v>
      </c>
      <c r="AW7" t="s">
        <v>2841</v>
      </c>
      <c r="AX7" t="s">
        <v>2789</v>
      </c>
      <c r="AY7" t="s">
        <v>2789</v>
      </c>
      <c r="AZ7" t="s">
        <v>2789</v>
      </c>
      <c r="BA7" t="s">
        <v>2789</v>
      </c>
      <c r="BB7" t="s">
        <v>2789</v>
      </c>
      <c r="BC7" t="s">
        <v>2789</v>
      </c>
      <c r="BD7" t="s">
        <v>2789</v>
      </c>
      <c r="BE7" t="s">
        <v>2789</v>
      </c>
      <c r="BF7" t="s">
        <v>2789</v>
      </c>
      <c r="BG7" t="s">
        <v>2789</v>
      </c>
      <c r="BH7" t="s">
        <v>247</v>
      </c>
      <c r="BI7" t="s">
        <v>247</v>
      </c>
      <c r="BJ7" t="s">
        <v>247</v>
      </c>
      <c r="BK7" t="s">
        <v>247</v>
      </c>
      <c r="BL7" t="s">
        <v>247</v>
      </c>
      <c r="BM7" t="s">
        <v>2789</v>
      </c>
      <c r="BN7" t="s">
        <v>247</v>
      </c>
      <c r="BO7" t="s">
        <v>247</v>
      </c>
      <c r="BP7" t="s">
        <v>247</v>
      </c>
      <c r="BQ7" t="s">
        <v>247</v>
      </c>
      <c r="BR7" t="s">
        <v>247</v>
      </c>
      <c r="BS7" t="s">
        <v>2839</v>
      </c>
      <c r="BT7" t="s">
        <v>2840</v>
      </c>
      <c r="BU7" t="s">
        <v>2841</v>
      </c>
      <c r="BV7" t="s">
        <v>247</v>
      </c>
      <c r="BW7" t="s">
        <v>247</v>
      </c>
      <c r="BX7" t="s">
        <v>247</v>
      </c>
      <c r="BY7" t="s">
        <v>2789</v>
      </c>
      <c r="BZ7" t="s">
        <v>247</v>
      </c>
      <c r="CA7" t="s">
        <v>247</v>
      </c>
      <c r="CB7" t="s">
        <v>247</v>
      </c>
      <c r="CC7" t="s">
        <v>247</v>
      </c>
      <c r="CD7" t="s">
        <v>247</v>
      </c>
      <c r="CE7" t="s">
        <v>2789</v>
      </c>
      <c r="CF7" t="s">
        <v>247</v>
      </c>
      <c r="CG7" t="s">
        <v>247</v>
      </c>
      <c r="CH7" t="s">
        <v>247</v>
      </c>
      <c r="CI7" t="s">
        <v>247</v>
      </c>
      <c r="CJ7" t="s">
        <v>247</v>
      </c>
      <c r="CK7" t="s">
        <v>2789</v>
      </c>
      <c r="CL7" t="s">
        <v>247</v>
      </c>
      <c r="CM7" t="s">
        <v>247</v>
      </c>
      <c r="CN7" t="s">
        <v>247</v>
      </c>
      <c r="CO7" t="s">
        <v>247</v>
      </c>
      <c r="CP7" t="s">
        <v>247</v>
      </c>
      <c r="CQ7" t="s">
        <v>2798</v>
      </c>
      <c r="CR7" t="s">
        <v>2799</v>
      </c>
      <c r="CS7" t="s">
        <v>2800</v>
      </c>
      <c r="CT7" t="s">
        <v>2250</v>
      </c>
      <c r="CU7" t="s">
        <v>2842</v>
      </c>
      <c r="CV7" t="s">
        <v>433</v>
      </c>
      <c r="CW7" t="s">
        <v>432</v>
      </c>
      <c r="CX7" t="s">
        <v>442</v>
      </c>
      <c r="CY7" t="s">
        <v>443</v>
      </c>
      <c r="CZ7" t="s">
        <v>2842</v>
      </c>
      <c r="DA7" t="s">
        <v>2802</v>
      </c>
      <c r="DB7" t="s">
        <v>440</v>
      </c>
    </row>
    <row r="8" spans="1:106" ht="11.25" customHeight="1" x14ac:dyDescent="0.15">
      <c r="A8" t="s">
        <v>247</v>
      </c>
      <c r="B8" t="s">
        <v>247</v>
      </c>
      <c r="C8" t="s">
        <v>247</v>
      </c>
      <c r="D8" t="s">
        <v>247</v>
      </c>
      <c r="E8" t="s">
        <v>247</v>
      </c>
      <c r="F8" t="s">
        <v>2782</v>
      </c>
      <c r="G8" t="s">
        <v>247</v>
      </c>
      <c r="H8" t="s">
        <v>247</v>
      </c>
      <c r="I8" t="s">
        <v>426</v>
      </c>
      <c r="J8" t="s">
        <v>247</v>
      </c>
      <c r="K8" t="s">
        <v>429</v>
      </c>
      <c r="L8" t="s">
        <v>247</v>
      </c>
      <c r="M8" t="s">
        <v>114</v>
      </c>
      <c r="N8" t="s">
        <v>247</v>
      </c>
      <c r="O8" t="s">
        <v>2783</v>
      </c>
      <c r="P8" t="s">
        <v>2784</v>
      </c>
      <c r="Q8" t="s">
        <v>200</v>
      </c>
      <c r="R8" t="s">
        <v>190</v>
      </c>
      <c r="S8" t="s">
        <v>397</v>
      </c>
      <c r="T8" t="s">
        <v>397</v>
      </c>
      <c r="U8" t="s">
        <v>398</v>
      </c>
      <c r="V8" t="s">
        <v>2785</v>
      </c>
      <c r="W8" t="s">
        <v>2786</v>
      </c>
      <c r="X8" t="s">
        <v>2843</v>
      </c>
      <c r="Y8" t="s">
        <v>2843</v>
      </c>
      <c r="Z8" t="s">
        <v>247</v>
      </c>
      <c r="AA8" t="s">
        <v>247</v>
      </c>
      <c r="AB8" t="s">
        <v>247</v>
      </c>
      <c r="AC8" t="s">
        <v>247</v>
      </c>
      <c r="AD8" t="s">
        <v>2844</v>
      </c>
      <c r="AE8" t="s">
        <v>2844</v>
      </c>
      <c r="AF8" t="s">
        <v>2789</v>
      </c>
      <c r="AG8" t="s">
        <v>133</v>
      </c>
      <c r="AH8" t="s">
        <v>2790</v>
      </c>
      <c r="AI8" t="s">
        <v>149</v>
      </c>
      <c r="AJ8" t="s">
        <v>2791</v>
      </c>
      <c r="AK8" t="s">
        <v>397</v>
      </c>
      <c r="AL8" t="s">
        <v>397</v>
      </c>
      <c r="AM8" t="s">
        <v>2792</v>
      </c>
      <c r="AN8" t="s">
        <v>2785</v>
      </c>
      <c r="AO8" t="s">
        <v>2793</v>
      </c>
      <c r="AP8" t="s">
        <v>2843</v>
      </c>
      <c r="AQ8" t="s">
        <v>2843</v>
      </c>
      <c r="AR8" t="s">
        <v>2794</v>
      </c>
      <c r="AS8" t="s">
        <v>2795</v>
      </c>
      <c r="AT8" t="s">
        <v>2796</v>
      </c>
      <c r="AU8" t="s">
        <v>2845</v>
      </c>
      <c r="AV8" t="s">
        <v>2845</v>
      </c>
      <c r="AW8" t="s">
        <v>2789</v>
      </c>
      <c r="AX8" t="s">
        <v>2789</v>
      </c>
      <c r="AY8" t="s">
        <v>2789</v>
      </c>
      <c r="AZ8" t="s">
        <v>2789</v>
      </c>
      <c r="BA8" t="s">
        <v>2789</v>
      </c>
      <c r="BB8" t="s">
        <v>2789</v>
      </c>
      <c r="BC8" t="s">
        <v>2789</v>
      </c>
      <c r="BD8" t="s">
        <v>2789</v>
      </c>
      <c r="BE8" t="s">
        <v>2789</v>
      </c>
      <c r="BF8" t="s">
        <v>2789</v>
      </c>
      <c r="BG8" t="s">
        <v>2789</v>
      </c>
      <c r="BH8" t="s">
        <v>247</v>
      </c>
      <c r="BI8" t="s">
        <v>247</v>
      </c>
      <c r="BJ8" t="s">
        <v>247</v>
      </c>
      <c r="BK8" t="s">
        <v>247</v>
      </c>
      <c r="BL8" t="s">
        <v>247</v>
      </c>
      <c r="BM8" t="s">
        <v>2789</v>
      </c>
      <c r="BN8" t="s">
        <v>247</v>
      </c>
      <c r="BO8" t="s">
        <v>247</v>
      </c>
      <c r="BP8" t="s">
        <v>247</v>
      </c>
      <c r="BQ8" t="s">
        <v>247</v>
      </c>
      <c r="BR8" t="s">
        <v>247</v>
      </c>
      <c r="BS8" t="s">
        <v>2845</v>
      </c>
      <c r="BT8" t="s">
        <v>2845</v>
      </c>
      <c r="BU8" t="s">
        <v>247</v>
      </c>
      <c r="BV8" t="s">
        <v>247</v>
      </c>
      <c r="BW8" t="s">
        <v>247</v>
      </c>
      <c r="BX8" t="s">
        <v>247</v>
      </c>
      <c r="BY8" t="s">
        <v>2789</v>
      </c>
      <c r="BZ8" t="s">
        <v>247</v>
      </c>
      <c r="CA8" t="s">
        <v>247</v>
      </c>
      <c r="CB8" t="s">
        <v>247</v>
      </c>
      <c r="CC8" t="s">
        <v>247</v>
      </c>
      <c r="CD8" t="s">
        <v>247</v>
      </c>
      <c r="CE8" t="s">
        <v>2789</v>
      </c>
      <c r="CF8" t="s">
        <v>247</v>
      </c>
      <c r="CG8" t="s">
        <v>247</v>
      </c>
      <c r="CH8" t="s">
        <v>247</v>
      </c>
      <c r="CI8" t="s">
        <v>247</v>
      </c>
      <c r="CJ8" t="s">
        <v>247</v>
      </c>
      <c r="CK8" t="s">
        <v>2789</v>
      </c>
      <c r="CL8" t="s">
        <v>247</v>
      </c>
      <c r="CM8" t="s">
        <v>247</v>
      </c>
      <c r="CN8" t="s">
        <v>247</v>
      </c>
      <c r="CO8" t="s">
        <v>247</v>
      </c>
      <c r="CP8" t="s">
        <v>247</v>
      </c>
      <c r="CQ8" t="s">
        <v>2798</v>
      </c>
      <c r="CR8" t="s">
        <v>2799</v>
      </c>
      <c r="CS8" t="s">
        <v>2800</v>
      </c>
      <c r="CT8" t="s">
        <v>2250</v>
      </c>
      <c r="CU8" t="s">
        <v>2846</v>
      </c>
      <c r="CV8" t="s">
        <v>433</v>
      </c>
      <c r="CW8" t="s">
        <v>432</v>
      </c>
      <c r="CX8" t="s">
        <v>434</v>
      </c>
      <c r="CY8" t="s">
        <v>435</v>
      </c>
      <c r="CZ8" t="s">
        <v>2847</v>
      </c>
      <c r="DA8" t="s">
        <v>2802</v>
      </c>
      <c r="DB8" t="s">
        <v>430</v>
      </c>
    </row>
    <row r="9" spans="1:106" ht="11.25" customHeight="1" x14ac:dyDescent="0.15">
      <c r="A9" t="s">
        <v>247</v>
      </c>
      <c r="B9" t="s">
        <v>247</v>
      </c>
      <c r="C9" t="s">
        <v>247</v>
      </c>
      <c r="D9" t="s">
        <v>247</v>
      </c>
      <c r="E9" t="s">
        <v>247</v>
      </c>
      <c r="F9" t="s">
        <v>2782</v>
      </c>
      <c r="G9" t="s">
        <v>247</v>
      </c>
      <c r="H9" t="s">
        <v>247</v>
      </c>
      <c r="I9" t="s">
        <v>431</v>
      </c>
      <c r="J9" t="s">
        <v>247</v>
      </c>
      <c r="K9" t="s">
        <v>420</v>
      </c>
      <c r="L9" t="s">
        <v>247</v>
      </c>
      <c r="M9" t="s">
        <v>114</v>
      </c>
      <c r="N9" t="s">
        <v>247</v>
      </c>
      <c r="O9" t="s">
        <v>2783</v>
      </c>
      <c r="P9" t="s">
        <v>2784</v>
      </c>
      <c r="Q9" t="s">
        <v>200</v>
      </c>
      <c r="R9" t="s">
        <v>190</v>
      </c>
      <c r="S9" t="s">
        <v>397</v>
      </c>
      <c r="T9" t="s">
        <v>397</v>
      </c>
      <c r="U9" t="s">
        <v>398</v>
      </c>
      <c r="V9" t="s">
        <v>2785</v>
      </c>
      <c r="W9" t="s">
        <v>2786</v>
      </c>
      <c r="X9" t="s">
        <v>2848</v>
      </c>
      <c r="Y9" t="s">
        <v>2848</v>
      </c>
      <c r="Z9" t="s">
        <v>247</v>
      </c>
      <c r="AA9" t="s">
        <v>247</v>
      </c>
      <c r="AB9" t="s">
        <v>247</v>
      </c>
      <c r="AC9" t="s">
        <v>247</v>
      </c>
      <c r="AD9" t="s">
        <v>2849</v>
      </c>
      <c r="AE9" t="s">
        <v>2849</v>
      </c>
      <c r="AF9" t="s">
        <v>2789</v>
      </c>
      <c r="AG9" t="s">
        <v>133</v>
      </c>
      <c r="AH9" t="s">
        <v>2790</v>
      </c>
      <c r="AI9" t="s">
        <v>149</v>
      </c>
      <c r="AJ9" t="s">
        <v>2791</v>
      </c>
      <c r="AK9" t="s">
        <v>397</v>
      </c>
      <c r="AL9" t="s">
        <v>397</v>
      </c>
      <c r="AM9" t="s">
        <v>2792</v>
      </c>
      <c r="AN9" t="s">
        <v>2785</v>
      </c>
      <c r="AO9" t="s">
        <v>2793</v>
      </c>
      <c r="AP9" t="s">
        <v>2848</v>
      </c>
      <c r="AQ9" t="s">
        <v>2848</v>
      </c>
      <c r="AR9" t="s">
        <v>2824</v>
      </c>
      <c r="AS9" t="s">
        <v>2795</v>
      </c>
      <c r="AT9" t="s">
        <v>2796</v>
      </c>
      <c r="AU9" t="s">
        <v>2850</v>
      </c>
      <c r="AV9" t="s">
        <v>2850</v>
      </c>
      <c r="AW9" t="s">
        <v>2789</v>
      </c>
      <c r="AX9" t="s">
        <v>2789</v>
      </c>
      <c r="AY9" t="s">
        <v>2789</v>
      </c>
      <c r="AZ9" t="s">
        <v>2789</v>
      </c>
      <c r="BA9" t="s">
        <v>2789</v>
      </c>
      <c r="BB9" t="s">
        <v>2789</v>
      </c>
      <c r="BC9" t="s">
        <v>2789</v>
      </c>
      <c r="BD9" t="s">
        <v>2789</v>
      </c>
      <c r="BE9" t="s">
        <v>2789</v>
      </c>
      <c r="BF9" t="s">
        <v>2789</v>
      </c>
      <c r="BG9" t="s">
        <v>2789</v>
      </c>
      <c r="BH9" t="s">
        <v>247</v>
      </c>
      <c r="BI9" t="s">
        <v>247</v>
      </c>
      <c r="BJ9" t="s">
        <v>247</v>
      </c>
      <c r="BK9" t="s">
        <v>247</v>
      </c>
      <c r="BL9" t="s">
        <v>247</v>
      </c>
      <c r="BM9" t="s">
        <v>2789</v>
      </c>
      <c r="BN9" t="s">
        <v>247</v>
      </c>
      <c r="BO9" t="s">
        <v>247</v>
      </c>
      <c r="BP9" t="s">
        <v>247</v>
      </c>
      <c r="BQ9" t="s">
        <v>247</v>
      </c>
      <c r="BR9" t="s">
        <v>247</v>
      </c>
      <c r="BS9" t="s">
        <v>2850</v>
      </c>
      <c r="BT9" t="s">
        <v>2850</v>
      </c>
      <c r="BU9" t="s">
        <v>247</v>
      </c>
      <c r="BV9" t="s">
        <v>247</v>
      </c>
      <c r="BW9" t="s">
        <v>247</v>
      </c>
      <c r="BX9" t="s">
        <v>247</v>
      </c>
      <c r="BY9" t="s">
        <v>2789</v>
      </c>
      <c r="BZ9" t="s">
        <v>247</v>
      </c>
      <c r="CA9" t="s">
        <v>247</v>
      </c>
      <c r="CB9" t="s">
        <v>247</v>
      </c>
      <c r="CC9" t="s">
        <v>247</v>
      </c>
      <c r="CD9" t="s">
        <v>247</v>
      </c>
      <c r="CE9" t="s">
        <v>2789</v>
      </c>
      <c r="CF9" t="s">
        <v>247</v>
      </c>
      <c r="CG9" t="s">
        <v>247</v>
      </c>
      <c r="CH9" t="s">
        <v>247</v>
      </c>
      <c r="CI9" t="s">
        <v>247</v>
      </c>
      <c r="CJ9" t="s">
        <v>247</v>
      </c>
      <c r="CK9" t="s">
        <v>2789</v>
      </c>
      <c r="CL9" t="s">
        <v>247</v>
      </c>
      <c r="CM9" t="s">
        <v>247</v>
      </c>
      <c r="CN9" t="s">
        <v>247</v>
      </c>
      <c r="CO9" t="s">
        <v>247</v>
      </c>
      <c r="CP9" t="s">
        <v>247</v>
      </c>
      <c r="CQ9" t="s">
        <v>2798</v>
      </c>
      <c r="CR9" t="s">
        <v>2799</v>
      </c>
      <c r="CS9" t="s">
        <v>2826</v>
      </c>
      <c r="CT9" t="s">
        <v>2826</v>
      </c>
      <c r="CU9" t="s">
        <v>2827</v>
      </c>
      <c r="CV9" t="s">
        <v>450</v>
      </c>
      <c r="CW9" t="s">
        <v>422</v>
      </c>
      <c r="CX9" t="s">
        <v>451</v>
      </c>
      <c r="CY9" t="s">
        <v>452</v>
      </c>
      <c r="CZ9" t="s">
        <v>2851</v>
      </c>
      <c r="DA9" t="s">
        <v>2802</v>
      </c>
      <c r="DB9" t="s">
        <v>448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B587E-D7EA-33D2-DDF8-9D33A6B3DE04}">
  <sheetPr>
    <tabColor rgb="FFFFCC99"/>
  </sheetPr>
  <dimension ref="A1:C230"/>
  <sheetViews>
    <sheetView showGridLines="0" workbookViewId="0"/>
  </sheetViews>
  <sheetFormatPr defaultRowHeight="11.25" customHeight="1" x14ac:dyDescent="0.15"/>
  <sheetData>
    <row r="1" spans="1:3" ht="11.25" customHeight="1" x14ac:dyDescent="0.15">
      <c r="A1" t="s">
        <v>2852</v>
      </c>
      <c r="B1" t="s">
        <v>2853</v>
      </c>
      <c r="C1" t="s">
        <v>2854</v>
      </c>
    </row>
    <row r="2" spans="1:3" ht="11.25" customHeight="1" x14ac:dyDescent="0.15">
      <c r="A2" t="s">
        <v>2855</v>
      </c>
      <c r="B2" t="s">
        <v>2855</v>
      </c>
      <c r="C2" t="s">
        <v>2856</v>
      </c>
    </row>
    <row r="3" spans="1:3" ht="11.25" customHeight="1" x14ac:dyDescent="0.15">
      <c r="A3" t="s">
        <v>2857</v>
      </c>
      <c r="B3" t="s">
        <v>2857</v>
      </c>
      <c r="C3" t="s">
        <v>2858</v>
      </c>
    </row>
    <row r="4" spans="1:3" ht="11.25" customHeight="1" x14ac:dyDescent="0.15">
      <c r="A4" t="s">
        <v>2859</v>
      </c>
      <c r="B4" t="s">
        <v>2859</v>
      </c>
      <c r="C4" t="s">
        <v>2860</v>
      </c>
    </row>
    <row r="5" spans="1:3" ht="11.25" customHeight="1" x14ac:dyDescent="0.15">
      <c r="A5" t="s">
        <v>2861</v>
      </c>
      <c r="B5" t="s">
        <v>2861</v>
      </c>
      <c r="C5" t="s">
        <v>2862</v>
      </c>
    </row>
    <row r="6" spans="1:3" ht="11.25" customHeight="1" x14ac:dyDescent="0.15">
      <c r="A6" t="s">
        <v>2863</v>
      </c>
      <c r="B6" t="s">
        <v>2863</v>
      </c>
      <c r="C6" t="s">
        <v>2864</v>
      </c>
    </row>
    <row r="7" spans="1:3" ht="11.25" customHeight="1" x14ac:dyDescent="0.15">
      <c r="A7" t="s">
        <v>2865</v>
      </c>
      <c r="B7" t="s">
        <v>2865</v>
      </c>
      <c r="C7" t="s">
        <v>2866</v>
      </c>
    </row>
    <row r="8" spans="1:3" ht="11.25" customHeight="1" x14ac:dyDescent="0.15">
      <c r="A8" t="s">
        <v>2865</v>
      </c>
      <c r="B8" t="s">
        <v>2865</v>
      </c>
      <c r="C8" t="s">
        <v>2867</v>
      </c>
    </row>
    <row r="9" spans="1:3" ht="11.25" customHeight="1" x14ac:dyDescent="0.15">
      <c r="A9" t="s">
        <v>2868</v>
      </c>
      <c r="B9" t="s">
        <v>2868</v>
      </c>
      <c r="C9" t="s">
        <v>2869</v>
      </c>
    </row>
    <row r="10" spans="1:3" ht="11.25" customHeight="1" x14ac:dyDescent="0.15">
      <c r="A10" t="s">
        <v>397</v>
      </c>
      <c r="B10" t="s">
        <v>397</v>
      </c>
      <c r="C10" t="s">
        <v>398</v>
      </c>
    </row>
    <row r="11" spans="1:3" ht="11.25" customHeight="1" x14ac:dyDescent="0.15">
      <c r="A11" t="s">
        <v>2870</v>
      </c>
      <c r="B11" t="s">
        <v>2870</v>
      </c>
      <c r="C11" t="s">
        <v>2871</v>
      </c>
    </row>
    <row r="12" spans="1:3" ht="11.25" customHeight="1" x14ac:dyDescent="0.15">
      <c r="A12" t="s">
        <v>2872</v>
      </c>
      <c r="B12" t="s">
        <v>2872</v>
      </c>
      <c r="C12" t="s">
        <v>2873</v>
      </c>
    </row>
    <row r="13" spans="1:3" ht="11.25" customHeight="1" x14ac:dyDescent="0.15">
      <c r="A13" t="s">
        <v>2874</v>
      </c>
      <c r="B13" t="s">
        <v>2874</v>
      </c>
      <c r="C13" t="s">
        <v>2875</v>
      </c>
    </row>
    <row r="14" spans="1:3" ht="11.25" customHeight="1" x14ac:dyDescent="0.15">
      <c r="A14" t="s">
        <v>2876</v>
      </c>
      <c r="B14" t="s">
        <v>2876</v>
      </c>
      <c r="C14" t="s">
        <v>2877</v>
      </c>
    </row>
    <row r="15" spans="1:3" ht="11.25" customHeight="1" x14ac:dyDescent="0.15">
      <c r="A15" t="s">
        <v>2878</v>
      </c>
      <c r="B15" t="s">
        <v>2878</v>
      </c>
      <c r="C15" t="s">
        <v>2879</v>
      </c>
    </row>
    <row r="16" spans="1:3" ht="11.25" customHeight="1" x14ac:dyDescent="0.15">
      <c r="A16" t="s">
        <v>2880</v>
      </c>
      <c r="B16" t="s">
        <v>2880</v>
      </c>
      <c r="C16" t="s">
        <v>2881</v>
      </c>
    </row>
    <row r="17" spans="1:3" ht="11.25" customHeight="1" x14ac:dyDescent="0.15">
      <c r="A17" t="s">
        <v>2882</v>
      </c>
      <c r="B17" t="s">
        <v>2882</v>
      </c>
      <c r="C17" t="s">
        <v>2883</v>
      </c>
    </row>
    <row r="18" spans="1:3" ht="11.25" customHeight="1" x14ac:dyDescent="0.15">
      <c r="A18" t="s">
        <v>2884</v>
      </c>
      <c r="B18" t="s">
        <v>2884</v>
      </c>
      <c r="C18" t="s">
        <v>2885</v>
      </c>
    </row>
    <row r="19" spans="1:3" ht="11.25" customHeight="1" x14ac:dyDescent="0.15">
      <c r="A19" t="s">
        <v>2886</v>
      </c>
      <c r="B19" t="s">
        <v>2886</v>
      </c>
      <c r="C19" t="s">
        <v>2887</v>
      </c>
    </row>
    <row r="20" spans="1:3" ht="11.25" customHeight="1" x14ac:dyDescent="0.15">
      <c r="A20" t="s">
        <v>2888</v>
      </c>
      <c r="B20" t="s">
        <v>2888</v>
      </c>
      <c r="C20" t="s">
        <v>2889</v>
      </c>
    </row>
    <row r="21" spans="1:3" ht="11.25" customHeight="1" x14ac:dyDescent="0.15">
      <c r="A21" t="s">
        <v>2890</v>
      </c>
      <c r="B21" t="s">
        <v>2890</v>
      </c>
      <c r="C21" t="s">
        <v>2891</v>
      </c>
    </row>
    <row r="22" spans="1:3" ht="11.25" customHeight="1" x14ac:dyDescent="0.15">
      <c r="A22" t="s">
        <v>2892</v>
      </c>
      <c r="B22" t="s">
        <v>2893</v>
      </c>
      <c r="C22" t="s">
        <v>2894</v>
      </c>
    </row>
    <row r="23" spans="1:3" ht="11.25" customHeight="1" x14ac:dyDescent="0.15">
      <c r="A23" t="s">
        <v>2892</v>
      </c>
      <c r="B23" t="s">
        <v>2895</v>
      </c>
      <c r="C23" t="s">
        <v>2896</v>
      </c>
    </row>
    <row r="24" spans="1:3" ht="11.25" customHeight="1" x14ac:dyDescent="0.15">
      <c r="A24" t="s">
        <v>2892</v>
      </c>
      <c r="B24" t="s">
        <v>2897</v>
      </c>
      <c r="C24" t="s">
        <v>2898</v>
      </c>
    </row>
    <row r="25" spans="1:3" ht="11.25" customHeight="1" x14ac:dyDescent="0.15">
      <c r="A25" t="s">
        <v>2892</v>
      </c>
      <c r="B25" t="s">
        <v>2899</v>
      </c>
      <c r="C25" t="s">
        <v>2900</v>
      </c>
    </row>
    <row r="26" spans="1:3" ht="11.25" customHeight="1" x14ac:dyDescent="0.15">
      <c r="A26" t="s">
        <v>2892</v>
      </c>
      <c r="B26" t="s">
        <v>2901</v>
      </c>
      <c r="C26" t="s">
        <v>2902</v>
      </c>
    </row>
    <row r="27" spans="1:3" ht="11.25" customHeight="1" x14ac:dyDescent="0.15">
      <c r="A27" t="s">
        <v>2892</v>
      </c>
      <c r="B27" t="s">
        <v>2903</v>
      </c>
      <c r="C27" t="s">
        <v>2904</v>
      </c>
    </row>
    <row r="28" spans="1:3" ht="11.25" customHeight="1" x14ac:dyDescent="0.15">
      <c r="A28" t="s">
        <v>2892</v>
      </c>
      <c r="B28" t="s">
        <v>2905</v>
      </c>
      <c r="C28" t="s">
        <v>2906</v>
      </c>
    </row>
    <row r="29" spans="1:3" ht="11.25" customHeight="1" x14ac:dyDescent="0.15">
      <c r="A29" t="s">
        <v>2892</v>
      </c>
      <c r="B29" t="s">
        <v>2907</v>
      </c>
      <c r="C29" t="s">
        <v>2908</v>
      </c>
    </row>
    <row r="30" spans="1:3" ht="11.25" customHeight="1" x14ac:dyDescent="0.15">
      <c r="A30" t="s">
        <v>2909</v>
      </c>
      <c r="B30" t="s">
        <v>2910</v>
      </c>
      <c r="C30" t="s">
        <v>2911</v>
      </c>
    </row>
    <row r="31" spans="1:3" ht="11.25" customHeight="1" x14ac:dyDescent="0.15">
      <c r="A31" t="s">
        <v>2909</v>
      </c>
      <c r="B31" t="s">
        <v>2912</v>
      </c>
      <c r="C31" t="s">
        <v>2913</v>
      </c>
    </row>
    <row r="32" spans="1:3" ht="11.25" customHeight="1" x14ac:dyDescent="0.15">
      <c r="A32" t="s">
        <v>2909</v>
      </c>
      <c r="B32" t="s">
        <v>2914</v>
      </c>
      <c r="C32" t="s">
        <v>2915</v>
      </c>
    </row>
    <row r="33" spans="1:3" ht="11.25" customHeight="1" x14ac:dyDescent="0.15">
      <c r="A33" t="s">
        <v>2909</v>
      </c>
      <c r="B33" t="s">
        <v>2916</v>
      </c>
      <c r="C33" t="s">
        <v>2917</v>
      </c>
    </row>
    <row r="34" spans="1:3" ht="11.25" customHeight="1" x14ac:dyDescent="0.15">
      <c r="A34" t="s">
        <v>2909</v>
      </c>
      <c r="B34" t="s">
        <v>2918</v>
      </c>
      <c r="C34" t="s">
        <v>2919</v>
      </c>
    </row>
    <row r="35" spans="1:3" ht="11.25" customHeight="1" x14ac:dyDescent="0.15">
      <c r="A35" t="s">
        <v>2909</v>
      </c>
      <c r="B35" t="s">
        <v>2920</v>
      </c>
      <c r="C35" t="s">
        <v>2921</v>
      </c>
    </row>
    <row r="36" spans="1:3" ht="11.25" customHeight="1" x14ac:dyDescent="0.15">
      <c r="A36" t="s">
        <v>2909</v>
      </c>
      <c r="B36" t="s">
        <v>2922</v>
      </c>
      <c r="C36" t="s">
        <v>2923</v>
      </c>
    </row>
    <row r="37" spans="1:3" ht="11.25" customHeight="1" x14ac:dyDescent="0.15">
      <c r="A37" t="s">
        <v>2909</v>
      </c>
      <c r="B37" t="s">
        <v>2924</v>
      </c>
      <c r="C37" t="s">
        <v>2925</v>
      </c>
    </row>
    <row r="38" spans="1:3" ht="11.25" customHeight="1" x14ac:dyDescent="0.15">
      <c r="A38" t="s">
        <v>2909</v>
      </c>
      <c r="B38" t="s">
        <v>2926</v>
      </c>
      <c r="C38" t="s">
        <v>2927</v>
      </c>
    </row>
    <row r="39" spans="1:3" ht="11.25" customHeight="1" x14ac:dyDescent="0.15">
      <c r="A39" t="s">
        <v>2928</v>
      </c>
      <c r="B39" t="s">
        <v>2929</v>
      </c>
      <c r="C39" t="s">
        <v>2930</v>
      </c>
    </row>
    <row r="40" spans="1:3" ht="11.25" customHeight="1" x14ac:dyDescent="0.15">
      <c r="A40" t="s">
        <v>2928</v>
      </c>
      <c r="B40" t="s">
        <v>2931</v>
      </c>
      <c r="C40" t="s">
        <v>2932</v>
      </c>
    </row>
    <row r="41" spans="1:3" ht="11.25" customHeight="1" x14ac:dyDescent="0.15">
      <c r="A41" t="s">
        <v>2928</v>
      </c>
      <c r="B41" t="s">
        <v>2933</v>
      </c>
      <c r="C41" t="s">
        <v>2934</v>
      </c>
    </row>
    <row r="42" spans="1:3" ht="11.25" customHeight="1" x14ac:dyDescent="0.15">
      <c r="A42" t="s">
        <v>2928</v>
      </c>
      <c r="B42" t="s">
        <v>2935</v>
      </c>
      <c r="C42" t="s">
        <v>2936</v>
      </c>
    </row>
    <row r="43" spans="1:3" ht="11.25" customHeight="1" x14ac:dyDescent="0.15">
      <c r="A43" t="s">
        <v>2928</v>
      </c>
      <c r="B43" t="s">
        <v>2937</v>
      </c>
      <c r="C43" t="s">
        <v>2938</v>
      </c>
    </row>
    <row r="44" spans="1:3" ht="11.25" customHeight="1" x14ac:dyDescent="0.15">
      <c r="A44" t="s">
        <v>2928</v>
      </c>
      <c r="B44" t="s">
        <v>2939</v>
      </c>
      <c r="C44" t="s">
        <v>2940</v>
      </c>
    </row>
    <row r="45" spans="1:3" ht="11.25" customHeight="1" x14ac:dyDescent="0.15">
      <c r="A45" t="s">
        <v>2928</v>
      </c>
      <c r="B45" t="s">
        <v>2941</v>
      </c>
      <c r="C45" t="s">
        <v>2942</v>
      </c>
    </row>
    <row r="46" spans="1:3" ht="11.25" customHeight="1" x14ac:dyDescent="0.15">
      <c r="A46" t="s">
        <v>2943</v>
      </c>
      <c r="B46" t="s">
        <v>2944</v>
      </c>
      <c r="C46" t="s">
        <v>2945</v>
      </c>
    </row>
    <row r="47" spans="1:3" ht="11.25" customHeight="1" x14ac:dyDescent="0.15">
      <c r="A47" t="s">
        <v>2943</v>
      </c>
      <c r="B47" t="s">
        <v>2946</v>
      </c>
      <c r="C47" t="s">
        <v>2947</v>
      </c>
    </row>
    <row r="48" spans="1:3" ht="11.25" customHeight="1" x14ac:dyDescent="0.15">
      <c r="A48" t="s">
        <v>2943</v>
      </c>
      <c r="B48" t="s">
        <v>2948</v>
      </c>
      <c r="C48" t="s">
        <v>2949</v>
      </c>
    </row>
    <row r="49" spans="1:3" ht="11.25" customHeight="1" x14ac:dyDescent="0.15">
      <c r="A49" t="s">
        <v>2943</v>
      </c>
      <c r="B49" t="s">
        <v>2950</v>
      </c>
      <c r="C49" t="s">
        <v>2951</v>
      </c>
    </row>
    <row r="50" spans="1:3" ht="11.25" customHeight="1" x14ac:dyDescent="0.15">
      <c r="A50" t="s">
        <v>2943</v>
      </c>
      <c r="B50" t="s">
        <v>2952</v>
      </c>
      <c r="C50" t="s">
        <v>2953</v>
      </c>
    </row>
    <row r="51" spans="1:3" ht="11.25" customHeight="1" x14ac:dyDescent="0.15">
      <c r="A51" t="s">
        <v>2943</v>
      </c>
      <c r="B51" t="s">
        <v>2954</v>
      </c>
      <c r="C51" t="s">
        <v>2955</v>
      </c>
    </row>
    <row r="52" spans="1:3" ht="11.25" customHeight="1" x14ac:dyDescent="0.15">
      <c r="A52" t="s">
        <v>2943</v>
      </c>
      <c r="B52" t="s">
        <v>2956</v>
      </c>
      <c r="C52" t="s">
        <v>2957</v>
      </c>
    </row>
    <row r="53" spans="1:3" ht="11.25" customHeight="1" x14ac:dyDescent="0.15">
      <c r="A53" t="s">
        <v>2943</v>
      </c>
      <c r="B53" t="s">
        <v>2958</v>
      </c>
      <c r="C53" t="s">
        <v>2959</v>
      </c>
    </row>
    <row r="54" spans="1:3" ht="11.25" customHeight="1" x14ac:dyDescent="0.15">
      <c r="A54" t="s">
        <v>2943</v>
      </c>
      <c r="B54" t="s">
        <v>2960</v>
      </c>
      <c r="C54" t="s">
        <v>2961</v>
      </c>
    </row>
    <row r="55" spans="1:3" ht="11.25" customHeight="1" x14ac:dyDescent="0.15">
      <c r="A55" t="s">
        <v>2962</v>
      </c>
      <c r="B55" t="s">
        <v>2962</v>
      </c>
      <c r="C55" t="s">
        <v>2963</v>
      </c>
    </row>
    <row r="56" spans="1:3" ht="11.25" customHeight="1" x14ac:dyDescent="0.15">
      <c r="A56" t="s">
        <v>2962</v>
      </c>
      <c r="B56" t="s">
        <v>2964</v>
      </c>
      <c r="C56" t="s">
        <v>2965</v>
      </c>
    </row>
    <row r="57" spans="1:3" ht="11.25" customHeight="1" x14ac:dyDescent="0.15">
      <c r="A57" t="s">
        <v>2962</v>
      </c>
      <c r="B57" t="s">
        <v>2966</v>
      </c>
      <c r="C57" t="s">
        <v>2967</v>
      </c>
    </row>
    <row r="58" spans="1:3" ht="11.25" customHeight="1" x14ac:dyDescent="0.15">
      <c r="A58" t="s">
        <v>2962</v>
      </c>
      <c r="B58" t="s">
        <v>2968</v>
      </c>
      <c r="C58" t="s">
        <v>2969</v>
      </c>
    </row>
    <row r="59" spans="1:3" ht="11.25" customHeight="1" x14ac:dyDescent="0.15">
      <c r="A59" t="s">
        <v>2962</v>
      </c>
      <c r="B59" t="s">
        <v>2970</v>
      </c>
      <c r="C59" t="s">
        <v>2971</v>
      </c>
    </row>
    <row r="60" spans="1:3" ht="11.25" customHeight="1" x14ac:dyDescent="0.15">
      <c r="A60" t="s">
        <v>2962</v>
      </c>
      <c r="B60" t="s">
        <v>2972</v>
      </c>
      <c r="C60" t="s">
        <v>2973</v>
      </c>
    </row>
    <row r="61" spans="1:3" ht="11.25" customHeight="1" x14ac:dyDescent="0.15">
      <c r="A61" t="s">
        <v>2962</v>
      </c>
      <c r="B61" t="s">
        <v>2974</v>
      </c>
      <c r="C61" t="s">
        <v>2975</v>
      </c>
    </row>
    <row r="62" spans="1:3" ht="11.25" customHeight="1" x14ac:dyDescent="0.15">
      <c r="A62" t="s">
        <v>2962</v>
      </c>
      <c r="B62" t="s">
        <v>2976</v>
      </c>
      <c r="C62" t="s">
        <v>2977</v>
      </c>
    </row>
    <row r="63" spans="1:3" ht="11.25" customHeight="1" x14ac:dyDescent="0.15">
      <c r="A63" t="s">
        <v>2962</v>
      </c>
      <c r="B63" t="s">
        <v>2978</v>
      </c>
      <c r="C63" t="s">
        <v>2979</v>
      </c>
    </row>
    <row r="64" spans="1:3" ht="11.25" customHeight="1" x14ac:dyDescent="0.15">
      <c r="A64" t="s">
        <v>2962</v>
      </c>
      <c r="B64" t="s">
        <v>2980</v>
      </c>
      <c r="C64" t="s">
        <v>2981</v>
      </c>
    </row>
    <row r="65" spans="1:3" ht="11.25" customHeight="1" x14ac:dyDescent="0.15">
      <c r="A65" t="s">
        <v>2962</v>
      </c>
      <c r="B65" t="s">
        <v>2982</v>
      </c>
      <c r="C65" t="s">
        <v>2983</v>
      </c>
    </row>
    <row r="66" spans="1:3" ht="11.25" customHeight="1" x14ac:dyDescent="0.15">
      <c r="A66" t="s">
        <v>2962</v>
      </c>
      <c r="B66" t="s">
        <v>2984</v>
      </c>
      <c r="C66" t="s">
        <v>2985</v>
      </c>
    </row>
    <row r="67" spans="1:3" ht="11.25" customHeight="1" x14ac:dyDescent="0.15">
      <c r="A67" t="s">
        <v>2986</v>
      </c>
      <c r="B67" t="s">
        <v>2986</v>
      </c>
      <c r="C67" t="s">
        <v>2987</v>
      </c>
    </row>
    <row r="68" spans="1:3" ht="11.25" customHeight="1" x14ac:dyDescent="0.15">
      <c r="A68" t="s">
        <v>2986</v>
      </c>
      <c r="B68" t="s">
        <v>2988</v>
      </c>
      <c r="C68" t="s">
        <v>2989</v>
      </c>
    </row>
    <row r="69" spans="1:3" ht="11.25" customHeight="1" x14ac:dyDescent="0.15">
      <c r="A69" t="s">
        <v>2986</v>
      </c>
      <c r="B69" t="s">
        <v>2990</v>
      </c>
      <c r="C69" t="s">
        <v>2991</v>
      </c>
    </row>
    <row r="70" spans="1:3" ht="11.25" customHeight="1" x14ac:dyDescent="0.15">
      <c r="A70" t="s">
        <v>2986</v>
      </c>
      <c r="B70" t="s">
        <v>2992</v>
      </c>
      <c r="C70" t="s">
        <v>2993</v>
      </c>
    </row>
    <row r="71" spans="1:3" ht="11.25" customHeight="1" x14ac:dyDescent="0.15">
      <c r="A71" t="s">
        <v>2986</v>
      </c>
      <c r="B71" t="s">
        <v>2994</v>
      </c>
      <c r="C71" t="s">
        <v>2995</v>
      </c>
    </row>
    <row r="72" spans="1:3" ht="11.25" customHeight="1" x14ac:dyDescent="0.15">
      <c r="A72" t="s">
        <v>2986</v>
      </c>
      <c r="B72" t="s">
        <v>2996</v>
      </c>
      <c r="C72" t="s">
        <v>2997</v>
      </c>
    </row>
    <row r="73" spans="1:3" ht="11.25" customHeight="1" x14ac:dyDescent="0.15">
      <c r="A73" t="s">
        <v>2986</v>
      </c>
      <c r="B73" t="s">
        <v>2998</v>
      </c>
      <c r="C73" t="s">
        <v>2999</v>
      </c>
    </row>
    <row r="74" spans="1:3" ht="11.25" customHeight="1" x14ac:dyDescent="0.15">
      <c r="A74" t="s">
        <v>2986</v>
      </c>
      <c r="B74" t="s">
        <v>3000</v>
      </c>
      <c r="C74" t="s">
        <v>3001</v>
      </c>
    </row>
    <row r="75" spans="1:3" ht="11.25" customHeight="1" x14ac:dyDescent="0.15">
      <c r="A75" t="s">
        <v>2986</v>
      </c>
      <c r="B75" t="s">
        <v>3002</v>
      </c>
      <c r="C75" t="s">
        <v>3003</v>
      </c>
    </row>
    <row r="76" spans="1:3" ht="11.25" customHeight="1" x14ac:dyDescent="0.15">
      <c r="A76" t="s">
        <v>3004</v>
      </c>
      <c r="B76" t="s">
        <v>3005</v>
      </c>
      <c r="C76" t="s">
        <v>3006</v>
      </c>
    </row>
    <row r="77" spans="1:3" ht="11.25" customHeight="1" x14ac:dyDescent="0.15">
      <c r="A77" t="s">
        <v>3004</v>
      </c>
      <c r="B77" t="s">
        <v>3007</v>
      </c>
      <c r="C77" t="s">
        <v>3008</v>
      </c>
    </row>
    <row r="78" spans="1:3" ht="11.25" customHeight="1" x14ac:dyDescent="0.15">
      <c r="A78" t="s">
        <v>3004</v>
      </c>
      <c r="B78" t="s">
        <v>3009</v>
      </c>
      <c r="C78" t="s">
        <v>3010</v>
      </c>
    </row>
    <row r="79" spans="1:3" ht="11.25" customHeight="1" x14ac:dyDescent="0.15">
      <c r="A79" t="s">
        <v>3004</v>
      </c>
      <c r="B79" t="s">
        <v>3011</v>
      </c>
      <c r="C79" t="s">
        <v>3012</v>
      </c>
    </row>
    <row r="80" spans="1:3" ht="11.25" customHeight="1" x14ac:dyDescent="0.15">
      <c r="A80" t="s">
        <v>3004</v>
      </c>
      <c r="B80" t="s">
        <v>3013</v>
      </c>
      <c r="C80" t="s">
        <v>3014</v>
      </c>
    </row>
    <row r="81" spans="1:3" ht="11.25" customHeight="1" x14ac:dyDescent="0.15">
      <c r="A81" t="s">
        <v>3004</v>
      </c>
      <c r="B81" t="s">
        <v>3015</v>
      </c>
      <c r="C81" t="s">
        <v>3016</v>
      </c>
    </row>
    <row r="82" spans="1:3" ht="11.25" customHeight="1" x14ac:dyDescent="0.15">
      <c r="A82" t="s">
        <v>3004</v>
      </c>
      <c r="B82" t="s">
        <v>3017</v>
      </c>
      <c r="C82" t="s">
        <v>3018</v>
      </c>
    </row>
    <row r="83" spans="1:3" ht="11.25" customHeight="1" x14ac:dyDescent="0.15">
      <c r="A83" t="s">
        <v>3004</v>
      </c>
      <c r="B83" t="s">
        <v>3019</v>
      </c>
      <c r="C83" t="s">
        <v>3020</v>
      </c>
    </row>
    <row r="84" spans="1:3" ht="11.25" customHeight="1" x14ac:dyDescent="0.15">
      <c r="A84" t="s">
        <v>3004</v>
      </c>
      <c r="B84" t="s">
        <v>3021</v>
      </c>
      <c r="C84" t="s">
        <v>3022</v>
      </c>
    </row>
    <row r="85" spans="1:3" ht="11.25" customHeight="1" x14ac:dyDescent="0.15">
      <c r="A85" t="s">
        <v>3004</v>
      </c>
      <c r="B85" t="s">
        <v>3023</v>
      </c>
      <c r="C85" t="s">
        <v>3024</v>
      </c>
    </row>
    <row r="86" spans="1:3" ht="11.25" customHeight="1" x14ac:dyDescent="0.15">
      <c r="A86" t="s">
        <v>3004</v>
      </c>
      <c r="B86" t="s">
        <v>3025</v>
      </c>
      <c r="C86" t="s">
        <v>3026</v>
      </c>
    </row>
    <row r="87" spans="1:3" ht="11.25" customHeight="1" x14ac:dyDescent="0.15">
      <c r="A87" t="s">
        <v>3004</v>
      </c>
      <c r="B87" t="s">
        <v>3027</v>
      </c>
      <c r="C87" t="s">
        <v>3028</v>
      </c>
    </row>
    <row r="88" spans="1:3" ht="11.25" customHeight="1" x14ac:dyDescent="0.15">
      <c r="A88" t="s">
        <v>3004</v>
      </c>
      <c r="B88" t="s">
        <v>3029</v>
      </c>
      <c r="C88" t="s">
        <v>3030</v>
      </c>
    </row>
    <row r="89" spans="1:3" ht="11.25" customHeight="1" x14ac:dyDescent="0.15">
      <c r="A89" t="s">
        <v>3031</v>
      </c>
      <c r="B89" t="s">
        <v>3031</v>
      </c>
      <c r="C89" t="s">
        <v>3032</v>
      </c>
    </row>
    <row r="90" spans="1:3" ht="11.25" customHeight="1" x14ac:dyDescent="0.15">
      <c r="A90" t="s">
        <v>3031</v>
      </c>
      <c r="B90" t="s">
        <v>3033</v>
      </c>
      <c r="C90" t="s">
        <v>3034</v>
      </c>
    </row>
    <row r="91" spans="1:3" ht="11.25" customHeight="1" x14ac:dyDescent="0.15">
      <c r="A91" t="s">
        <v>3031</v>
      </c>
      <c r="B91" t="s">
        <v>3035</v>
      </c>
      <c r="C91" t="s">
        <v>3036</v>
      </c>
    </row>
    <row r="92" spans="1:3" ht="11.25" customHeight="1" x14ac:dyDescent="0.15">
      <c r="A92" t="s">
        <v>3031</v>
      </c>
      <c r="B92" t="s">
        <v>3037</v>
      </c>
      <c r="C92" t="s">
        <v>3038</v>
      </c>
    </row>
    <row r="93" spans="1:3" ht="11.25" customHeight="1" x14ac:dyDescent="0.15">
      <c r="A93" t="s">
        <v>3031</v>
      </c>
      <c r="B93" t="s">
        <v>3039</v>
      </c>
      <c r="C93" t="s">
        <v>3040</v>
      </c>
    </row>
    <row r="94" spans="1:3" ht="11.25" customHeight="1" x14ac:dyDescent="0.15">
      <c r="A94" t="s">
        <v>3031</v>
      </c>
      <c r="B94" t="s">
        <v>3041</v>
      </c>
      <c r="C94" t="s">
        <v>3042</v>
      </c>
    </row>
    <row r="95" spans="1:3" ht="11.25" customHeight="1" x14ac:dyDescent="0.15">
      <c r="A95" t="s">
        <v>3031</v>
      </c>
      <c r="B95" t="s">
        <v>3043</v>
      </c>
      <c r="C95" t="s">
        <v>3044</v>
      </c>
    </row>
    <row r="96" spans="1:3" ht="11.25" customHeight="1" x14ac:dyDescent="0.15">
      <c r="A96" t="s">
        <v>3031</v>
      </c>
      <c r="B96" t="s">
        <v>3041</v>
      </c>
      <c r="C96" t="s">
        <v>3045</v>
      </c>
    </row>
    <row r="97" spans="1:3" ht="11.25" customHeight="1" x14ac:dyDescent="0.15">
      <c r="A97" t="s">
        <v>3031</v>
      </c>
      <c r="B97" t="s">
        <v>3046</v>
      </c>
      <c r="C97" t="s">
        <v>3047</v>
      </c>
    </row>
    <row r="98" spans="1:3" ht="11.25" customHeight="1" x14ac:dyDescent="0.15">
      <c r="A98" t="s">
        <v>3031</v>
      </c>
      <c r="B98" t="s">
        <v>3048</v>
      </c>
      <c r="C98" t="s">
        <v>3049</v>
      </c>
    </row>
    <row r="99" spans="1:3" ht="11.25" customHeight="1" x14ac:dyDescent="0.15">
      <c r="A99" t="s">
        <v>3031</v>
      </c>
      <c r="B99" t="s">
        <v>3050</v>
      </c>
      <c r="C99" t="s">
        <v>3051</v>
      </c>
    </row>
    <row r="100" spans="1:3" ht="11.25" customHeight="1" x14ac:dyDescent="0.15">
      <c r="A100" t="s">
        <v>3031</v>
      </c>
      <c r="B100" t="s">
        <v>3052</v>
      </c>
      <c r="C100" t="s">
        <v>3053</v>
      </c>
    </row>
    <row r="101" spans="1:3" ht="11.25" customHeight="1" x14ac:dyDescent="0.15">
      <c r="A101" t="s">
        <v>3031</v>
      </c>
      <c r="B101" t="s">
        <v>3054</v>
      </c>
      <c r="C101" t="s">
        <v>3055</v>
      </c>
    </row>
    <row r="102" spans="1:3" ht="11.25" customHeight="1" x14ac:dyDescent="0.15">
      <c r="A102" t="s">
        <v>3031</v>
      </c>
      <c r="B102" t="s">
        <v>3056</v>
      </c>
      <c r="C102" t="s">
        <v>3057</v>
      </c>
    </row>
    <row r="103" spans="1:3" ht="11.25" customHeight="1" x14ac:dyDescent="0.15">
      <c r="A103" t="s">
        <v>3031</v>
      </c>
      <c r="B103" t="s">
        <v>3058</v>
      </c>
      <c r="C103" t="s">
        <v>3059</v>
      </c>
    </row>
    <row r="104" spans="1:3" ht="11.25" customHeight="1" x14ac:dyDescent="0.15">
      <c r="A104" t="s">
        <v>3031</v>
      </c>
      <c r="B104" t="s">
        <v>3060</v>
      </c>
      <c r="C104" t="s">
        <v>3061</v>
      </c>
    </row>
    <row r="105" spans="1:3" ht="11.25" customHeight="1" x14ac:dyDescent="0.15">
      <c r="A105" t="s">
        <v>3031</v>
      </c>
      <c r="B105" t="s">
        <v>3062</v>
      </c>
      <c r="C105" t="s">
        <v>3063</v>
      </c>
    </row>
    <row r="106" spans="1:3" ht="11.25" customHeight="1" x14ac:dyDescent="0.15">
      <c r="A106" t="s">
        <v>3031</v>
      </c>
      <c r="B106" t="s">
        <v>3062</v>
      </c>
      <c r="C106" t="s">
        <v>3064</v>
      </c>
    </row>
    <row r="107" spans="1:3" ht="11.25" customHeight="1" x14ac:dyDescent="0.15">
      <c r="A107" t="s">
        <v>3031</v>
      </c>
      <c r="B107" t="s">
        <v>3033</v>
      </c>
      <c r="C107" t="s">
        <v>3065</v>
      </c>
    </row>
    <row r="108" spans="1:3" ht="11.25" customHeight="1" x14ac:dyDescent="0.15">
      <c r="A108" t="s">
        <v>3066</v>
      </c>
      <c r="B108" t="s">
        <v>3067</v>
      </c>
      <c r="C108" t="s">
        <v>3068</v>
      </c>
    </row>
    <row r="109" spans="1:3" ht="11.25" customHeight="1" x14ac:dyDescent="0.15">
      <c r="A109" t="s">
        <v>3066</v>
      </c>
      <c r="B109" t="s">
        <v>3069</v>
      </c>
      <c r="C109" t="s">
        <v>3070</v>
      </c>
    </row>
    <row r="110" spans="1:3" ht="11.25" customHeight="1" x14ac:dyDescent="0.15">
      <c r="A110" t="s">
        <v>3066</v>
      </c>
      <c r="B110" t="s">
        <v>3071</v>
      </c>
      <c r="C110" t="s">
        <v>3072</v>
      </c>
    </row>
    <row r="111" spans="1:3" ht="11.25" customHeight="1" x14ac:dyDescent="0.15">
      <c r="A111" t="s">
        <v>3066</v>
      </c>
      <c r="B111" t="s">
        <v>3073</v>
      </c>
      <c r="C111" t="s">
        <v>3074</v>
      </c>
    </row>
    <row r="112" spans="1:3" ht="11.25" customHeight="1" x14ac:dyDescent="0.15">
      <c r="A112" t="s">
        <v>3066</v>
      </c>
      <c r="B112" t="s">
        <v>3075</v>
      </c>
      <c r="C112" t="s">
        <v>3076</v>
      </c>
    </row>
    <row r="113" spans="1:3" ht="11.25" customHeight="1" x14ac:dyDescent="0.15">
      <c r="A113" t="s">
        <v>3066</v>
      </c>
      <c r="B113" t="s">
        <v>3077</v>
      </c>
      <c r="C113" t="s">
        <v>3078</v>
      </c>
    </row>
    <row r="114" spans="1:3" ht="11.25" customHeight="1" x14ac:dyDescent="0.15">
      <c r="A114" t="s">
        <v>3066</v>
      </c>
      <c r="B114" t="s">
        <v>3079</v>
      </c>
      <c r="C114" t="s">
        <v>3080</v>
      </c>
    </row>
    <row r="115" spans="1:3" ht="11.25" customHeight="1" x14ac:dyDescent="0.15">
      <c r="A115" t="s">
        <v>3066</v>
      </c>
      <c r="B115" t="s">
        <v>3081</v>
      </c>
      <c r="C115" t="s">
        <v>3082</v>
      </c>
    </row>
    <row r="116" spans="1:3" ht="11.25" customHeight="1" x14ac:dyDescent="0.15">
      <c r="A116" t="s">
        <v>3066</v>
      </c>
      <c r="B116" t="s">
        <v>3083</v>
      </c>
      <c r="C116" t="s">
        <v>3084</v>
      </c>
    </row>
    <row r="117" spans="1:3" ht="11.25" customHeight="1" x14ac:dyDescent="0.15">
      <c r="A117" t="s">
        <v>3066</v>
      </c>
      <c r="B117" t="s">
        <v>3085</v>
      </c>
      <c r="C117" t="s">
        <v>3086</v>
      </c>
    </row>
    <row r="118" spans="1:3" ht="11.25" customHeight="1" x14ac:dyDescent="0.15">
      <c r="A118" t="s">
        <v>3087</v>
      </c>
      <c r="B118" t="s">
        <v>3087</v>
      </c>
      <c r="C118" t="s">
        <v>3088</v>
      </c>
    </row>
    <row r="119" spans="1:3" ht="11.25" customHeight="1" x14ac:dyDescent="0.15">
      <c r="A119" t="s">
        <v>3087</v>
      </c>
      <c r="B119" t="s">
        <v>3089</v>
      </c>
      <c r="C119" t="s">
        <v>3090</v>
      </c>
    </row>
    <row r="120" spans="1:3" ht="11.25" customHeight="1" x14ac:dyDescent="0.15">
      <c r="A120" t="s">
        <v>3087</v>
      </c>
      <c r="B120" t="s">
        <v>3091</v>
      </c>
      <c r="C120" t="s">
        <v>3092</v>
      </c>
    </row>
    <row r="121" spans="1:3" ht="11.25" customHeight="1" x14ac:dyDescent="0.15">
      <c r="A121" t="s">
        <v>3087</v>
      </c>
      <c r="B121" t="s">
        <v>3093</v>
      </c>
      <c r="C121" t="s">
        <v>3094</v>
      </c>
    </row>
    <row r="122" spans="1:3" ht="11.25" customHeight="1" x14ac:dyDescent="0.15">
      <c r="A122" t="s">
        <v>3087</v>
      </c>
      <c r="B122" t="s">
        <v>3095</v>
      </c>
      <c r="C122" t="s">
        <v>3096</v>
      </c>
    </row>
    <row r="123" spans="1:3" ht="11.25" customHeight="1" x14ac:dyDescent="0.15">
      <c r="A123" t="s">
        <v>3087</v>
      </c>
      <c r="B123" t="s">
        <v>3097</v>
      </c>
      <c r="C123" t="s">
        <v>3098</v>
      </c>
    </row>
    <row r="124" spans="1:3" ht="11.25" customHeight="1" x14ac:dyDescent="0.15">
      <c r="A124" t="s">
        <v>3087</v>
      </c>
      <c r="B124" t="s">
        <v>3099</v>
      </c>
      <c r="C124" t="s">
        <v>3100</v>
      </c>
    </row>
    <row r="125" spans="1:3" ht="11.25" customHeight="1" x14ac:dyDescent="0.15">
      <c r="A125" t="s">
        <v>3087</v>
      </c>
      <c r="B125" t="s">
        <v>3101</v>
      </c>
      <c r="C125" t="s">
        <v>3102</v>
      </c>
    </row>
    <row r="126" spans="1:3" ht="11.25" customHeight="1" x14ac:dyDescent="0.15">
      <c r="A126" t="s">
        <v>3087</v>
      </c>
      <c r="B126" t="s">
        <v>3103</v>
      </c>
      <c r="C126" t="s">
        <v>3104</v>
      </c>
    </row>
    <row r="127" spans="1:3" ht="11.25" customHeight="1" x14ac:dyDescent="0.15">
      <c r="A127" t="s">
        <v>3087</v>
      </c>
      <c r="B127" t="s">
        <v>3105</v>
      </c>
      <c r="C127" t="s">
        <v>3106</v>
      </c>
    </row>
    <row r="128" spans="1:3" ht="11.25" customHeight="1" x14ac:dyDescent="0.15">
      <c r="A128" t="s">
        <v>3087</v>
      </c>
      <c r="B128" t="s">
        <v>3107</v>
      </c>
      <c r="C128" t="s">
        <v>3108</v>
      </c>
    </row>
    <row r="129" spans="1:3" ht="11.25" customHeight="1" x14ac:dyDescent="0.15">
      <c r="A129" t="s">
        <v>3087</v>
      </c>
      <c r="B129" t="s">
        <v>3109</v>
      </c>
      <c r="C129" t="s">
        <v>3110</v>
      </c>
    </row>
    <row r="130" spans="1:3" ht="11.25" customHeight="1" x14ac:dyDescent="0.15">
      <c r="A130" t="s">
        <v>3111</v>
      </c>
      <c r="B130" t="s">
        <v>3112</v>
      </c>
      <c r="C130" t="s">
        <v>3113</v>
      </c>
    </row>
    <row r="131" spans="1:3" ht="11.25" customHeight="1" x14ac:dyDescent="0.15">
      <c r="A131" t="s">
        <v>3111</v>
      </c>
      <c r="B131" t="s">
        <v>3114</v>
      </c>
      <c r="C131" t="s">
        <v>3115</v>
      </c>
    </row>
    <row r="132" spans="1:3" ht="11.25" customHeight="1" x14ac:dyDescent="0.15">
      <c r="A132" t="s">
        <v>3111</v>
      </c>
      <c r="B132" t="s">
        <v>3116</v>
      </c>
      <c r="C132" t="s">
        <v>3117</v>
      </c>
    </row>
    <row r="133" spans="1:3" ht="11.25" customHeight="1" x14ac:dyDescent="0.15">
      <c r="A133" t="s">
        <v>3111</v>
      </c>
      <c r="B133" t="s">
        <v>3118</v>
      </c>
      <c r="C133" t="s">
        <v>3119</v>
      </c>
    </row>
    <row r="134" spans="1:3" ht="11.25" customHeight="1" x14ac:dyDescent="0.15">
      <c r="A134" t="s">
        <v>3111</v>
      </c>
      <c r="B134" t="s">
        <v>3120</v>
      </c>
      <c r="C134" t="s">
        <v>3121</v>
      </c>
    </row>
    <row r="135" spans="1:3" ht="11.25" customHeight="1" x14ac:dyDescent="0.15">
      <c r="A135" t="s">
        <v>3111</v>
      </c>
      <c r="B135" t="s">
        <v>3122</v>
      </c>
      <c r="C135" t="s">
        <v>3123</v>
      </c>
    </row>
    <row r="136" spans="1:3" ht="11.25" customHeight="1" x14ac:dyDescent="0.15">
      <c r="A136" t="s">
        <v>3111</v>
      </c>
      <c r="B136" t="s">
        <v>3124</v>
      </c>
      <c r="C136" t="s">
        <v>3125</v>
      </c>
    </row>
    <row r="137" spans="1:3" ht="11.25" customHeight="1" x14ac:dyDescent="0.15">
      <c r="A137" t="s">
        <v>3111</v>
      </c>
      <c r="B137" t="s">
        <v>3126</v>
      </c>
      <c r="C137" t="s">
        <v>3127</v>
      </c>
    </row>
    <row r="138" spans="1:3" ht="11.25" customHeight="1" x14ac:dyDescent="0.15">
      <c r="A138" t="s">
        <v>3111</v>
      </c>
      <c r="B138" t="s">
        <v>3128</v>
      </c>
      <c r="C138" t="s">
        <v>3129</v>
      </c>
    </row>
    <row r="139" spans="1:3" ht="11.25" customHeight="1" x14ac:dyDescent="0.15">
      <c r="A139" t="s">
        <v>3111</v>
      </c>
      <c r="B139" t="s">
        <v>3130</v>
      </c>
      <c r="C139" t="s">
        <v>3131</v>
      </c>
    </row>
    <row r="140" spans="1:3" ht="11.25" customHeight="1" x14ac:dyDescent="0.15">
      <c r="A140" t="s">
        <v>3132</v>
      </c>
      <c r="B140" t="s">
        <v>3132</v>
      </c>
      <c r="C140" t="s">
        <v>3133</v>
      </c>
    </row>
    <row r="141" spans="1:3" ht="11.25" customHeight="1" x14ac:dyDescent="0.15">
      <c r="A141" t="s">
        <v>3132</v>
      </c>
      <c r="B141" t="s">
        <v>3134</v>
      </c>
      <c r="C141" t="s">
        <v>3135</v>
      </c>
    </row>
    <row r="142" spans="1:3" ht="11.25" customHeight="1" x14ac:dyDescent="0.15">
      <c r="A142" t="s">
        <v>3132</v>
      </c>
      <c r="B142" t="s">
        <v>3136</v>
      </c>
      <c r="C142" t="s">
        <v>3137</v>
      </c>
    </row>
    <row r="143" spans="1:3" ht="11.25" customHeight="1" x14ac:dyDescent="0.15">
      <c r="A143" t="s">
        <v>3132</v>
      </c>
      <c r="B143" t="s">
        <v>3138</v>
      </c>
      <c r="C143" t="s">
        <v>3139</v>
      </c>
    </row>
    <row r="144" spans="1:3" ht="11.25" customHeight="1" x14ac:dyDescent="0.15">
      <c r="A144" t="s">
        <v>3132</v>
      </c>
      <c r="B144" t="s">
        <v>3140</v>
      </c>
      <c r="C144" t="s">
        <v>3141</v>
      </c>
    </row>
    <row r="145" spans="1:3" ht="11.25" customHeight="1" x14ac:dyDescent="0.15">
      <c r="A145" t="s">
        <v>3132</v>
      </c>
      <c r="B145" t="s">
        <v>3142</v>
      </c>
      <c r="C145" t="s">
        <v>3143</v>
      </c>
    </row>
    <row r="146" spans="1:3" ht="11.25" customHeight="1" x14ac:dyDescent="0.15">
      <c r="A146" t="s">
        <v>3132</v>
      </c>
      <c r="B146" t="s">
        <v>3144</v>
      </c>
      <c r="C146" t="s">
        <v>3145</v>
      </c>
    </row>
    <row r="147" spans="1:3" ht="11.25" customHeight="1" x14ac:dyDescent="0.15">
      <c r="A147" t="s">
        <v>3132</v>
      </c>
      <c r="B147" t="s">
        <v>3146</v>
      </c>
      <c r="C147" t="s">
        <v>3147</v>
      </c>
    </row>
    <row r="148" spans="1:3" ht="11.25" customHeight="1" x14ac:dyDescent="0.15">
      <c r="A148" t="s">
        <v>3132</v>
      </c>
      <c r="B148" t="s">
        <v>3148</v>
      </c>
      <c r="C148" t="s">
        <v>3149</v>
      </c>
    </row>
    <row r="149" spans="1:3" ht="11.25" customHeight="1" x14ac:dyDescent="0.15">
      <c r="A149" t="s">
        <v>3132</v>
      </c>
      <c r="B149" t="s">
        <v>3150</v>
      </c>
      <c r="C149" t="s">
        <v>3151</v>
      </c>
    </row>
    <row r="150" spans="1:3" ht="11.25" customHeight="1" x14ac:dyDescent="0.15">
      <c r="A150" t="s">
        <v>3132</v>
      </c>
      <c r="B150" t="s">
        <v>3152</v>
      </c>
      <c r="C150" t="s">
        <v>3153</v>
      </c>
    </row>
    <row r="151" spans="1:3" ht="11.25" customHeight="1" x14ac:dyDescent="0.15">
      <c r="A151" t="s">
        <v>3132</v>
      </c>
      <c r="B151" t="s">
        <v>3154</v>
      </c>
      <c r="C151" t="s">
        <v>3155</v>
      </c>
    </row>
    <row r="152" spans="1:3" ht="11.25" customHeight="1" x14ac:dyDescent="0.15">
      <c r="A152" t="s">
        <v>3132</v>
      </c>
      <c r="B152" t="s">
        <v>3156</v>
      </c>
      <c r="C152" t="s">
        <v>3157</v>
      </c>
    </row>
    <row r="153" spans="1:3" ht="11.25" customHeight="1" x14ac:dyDescent="0.15">
      <c r="A153" t="s">
        <v>3132</v>
      </c>
      <c r="B153" t="s">
        <v>3158</v>
      </c>
      <c r="C153" t="s">
        <v>3159</v>
      </c>
    </row>
    <row r="154" spans="1:3" ht="11.25" customHeight="1" x14ac:dyDescent="0.15">
      <c r="A154" t="s">
        <v>3160</v>
      </c>
      <c r="B154" t="s">
        <v>3161</v>
      </c>
      <c r="C154" t="s">
        <v>3162</v>
      </c>
    </row>
    <row r="155" spans="1:3" ht="11.25" customHeight="1" x14ac:dyDescent="0.15">
      <c r="A155" t="s">
        <v>3160</v>
      </c>
      <c r="B155" t="s">
        <v>3163</v>
      </c>
      <c r="C155" t="s">
        <v>3164</v>
      </c>
    </row>
    <row r="156" spans="1:3" ht="11.25" customHeight="1" x14ac:dyDescent="0.15">
      <c r="A156" t="s">
        <v>3160</v>
      </c>
      <c r="B156" t="s">
        <v>3165</v>
      </c>
      <c r="C156" t="s">
        <v>3166</v>
      </c>
    </row>
    <row r="157" spans="1:3" ht="11.25" customHeight="1" x14ac:dyDescent="0.15">
      <c r="A157" t="s">
        <v>3160</v>
      </c>
      <c r="B157" t="s">
        <v>3167</v>
      </c>
      <c r="C157" t="s">
        <v>3168</v>
      </c>
    </row>
    <row r="158" spans="1:3" ht="11.25" customHeight="1" x14ac:dyDescent="0.15">
      <c r="A158" t="s">
        <v>3160</v>
      </c>
      <c r="B158" t="s">
        <v>3169</v>
      </c>
      <c r="C158" t="s">
        <v>3170</v>
      </c>
    </row>
    <row r="159" spans="1:3" ht="11.25" customHeight="1" x14ac:dyDescent="0.15">
      <c r="A159" t="s">
        <v>3160</v>
      </c>
      <c r="B159" t="s">
        <v>3171</v>
      </c>
      <c r="C159" t="s">
        <v>3172</v>
      </c>
    </row>
    <row r="160" spans="1:3" ht="11.25" customHeight="1" x14ac:dyDescent="0.15">
      <c r="A160" t="s">
        <v>3160</v>
      </c>
      <c r="B160" t="s">
        <v>3173</v>
      </c>
      <c r="C160" t="s">
        <v>3174</v>
      </c>
    </row>
    <row r="161" spans="1:3" ht="11.25" customHeight="1" x14ac:dyDescent="0.15">
      <c r="A161" t="s">
        <v>3160</v>
      </c>
      <c r="B161" t="s">
        <v>3175</v>
      </c>
      <c r="C161" t="s">
        <v>3176</v>
      </c>
    </row>
    <row r="162" spans="1:3" ht="11.25" customHeight="1" x14ac:dyDescent="0.15">
      <c r="A162" t="s">
        <v>3160</v>
      </c>
      <c r="B162" t="s">
        <v>3177</v>
      </c>
      <c r="C162" t="s">
        <v>3178</v>
      </c>
    </row>
    <row r="163" spans="1:3" ht="11.25" customHeight="1" x14ac:dyDescent="0.15">
      <c r="A163" t="s">
        <v>3160</v>
      </c>
      <c r="B163" t="s">
        <v>3179</v>
      </c>
      <c r="C163" t="s">
        <v>3180</v>
      </c>
    </row>
    <row r="164" spans="1:3" ht="11.25" customHeight="1" x14ac:dyDescent="0.15">
      <c r="A164" t="s">
        <v>3160</v>
      </c>
      <c r="B164" t="s">
        <v>3181</v>
      </c>
      <c r="C164" t="s">
        <v>3182</v>
      </c>
    </row>
    <row r="165" spans="1:3" ht="11.25" customHeight="1" x14ac:dyDescent="0.15">
      <c r="A165" t="s">
        <v>3160</v>
      </c>
      <c r="B165" t="s">
        <v>3183</v>
      </c>
      <c r="C165" t="s">
        <v>3184</v>
      </c>
    </row>
    <row r="166" spans="1:3" ht="11.25" customHeight="1" x14ac:dyDescent="0.15">
      <c r="A166" t="s">
        <v>3185</v>
      </c>
      <c r="B166" t="s">
        <v>3186</v>
      </c>
      <c r="C166" t="s">
        <v>3187</v>
      </c>
    </row>
    <row r="167" spans="1:3" ht="11.25" customHeight="1" x14ac:dyDescent="0.15">
      <c r="A167" t="s">
        <v>3185</v>
      </c>
      <c r="B167" t="s">
        <v>3188</v>
      </c>
      <c r="C167" t="s">
        <v>3189</v>
      </c>
    </row>
    <row r="168" spans="1:3" ht="11.25" customHeight="1" x14ac:dyDescent="0.15">
      <c r="A168" t="s">
        <v>3185</v>
      </c>
      <c r="B168" t="s">
        <v>3190</v>
      </c>
      <c r="C168" t="s">
        <v>3191</v>
      </c>
    </row>
    <row r="169" spans="1:3" ht="11.25" customHeight="1" x14ac:dyDescent="0.15">
      <c r="A169" t="s">
        <v>3185</v>
      </c>
      <c r="B169" t="s">
        <v>3192</v>
      </c>
      <c r="C169" t="s">
        <v>3193</v>
      </c>
    </row>
    <row r="170" spans="1:3" ht="11.25" customHeight="1" x14ac:dyDescent="0.15">
      <c r="A170" t="s">
        <v>3185</v>
      </c>
      <c r="B170" t="s">
        <v>3194</v>
      </c>
      <c r="C170" t="s">
        <v>3195</v>
      </c>
    </row>
    <row r="171" spans="1:3" ht="11.25" customHeight="1" x14ac:dyDescent="0.15">
      <c r="A171" t="s">
        <v>3185</v>
      </c>
      <c r="B171" t="s">
        <v>3196</v>
      </c>
      <c r="C171" t="s">
        <v>3197</v>
      </c>
    </row>
    <row r="172" spans="1:3" ht="11.25" customHeight="1" x14ac:dyDescent="0.15">
      <c r="A172" t="s">
        <v>3185</v>
      </c>
      <c r="B172" t="s">
        <v>3198</v>
      </c>
      <c r="C172" t="s">
        <v>3199</v>
      </c>
    </row>
    <row r="173" spans="1:3" ht="11.25" customHeight="1" x14ac:dyDescent="0.15">
      <c r="A173" t="s">
        <v>3185</v>
      </c>
      <c r="B173" t="s">
        <v>3200</v>
      </c>
      <c r="C173" t="s">
        <v>3201</v>
      </c>
    </row>
    <row r="174" spans="1:3" ht="11.25" customHeight="1" x14ac:dyDescent="0.15">
      <c r="A174" t="s">
        <v>3185</v>
      </c>
      <c r="B174" t="s">
        <v>3202</v>
      </c>
      <c r="C174" t="s">
        <v>3203</v>
      </c>
    </row>
    <row r="175" spans="1:3" ht="11.25" customHeight="1" x14ac:dyDescent="0.15">
      <c r="A175" t="s">
        <v>3185</v>
      </c>
      <c r="B175" t="s">
        <v>3204</v>
      </c>
      <c r="C175" t="s">
        <v>3205</v>
      </c>
    </row>
    <row r="176" spans="1:3" ht="11.25" customHeight="1" x14ac:dyDescent="0.15">
      <c r="A176" t="s">
        <v>3185</v>
      </c>
      <c r="B176" t="s">
        <v>3206</v>
      </c>
      <c r="C176" t="s">
        <v>3207</v>
      </c>
    </row>
    <row r="177" spans="1:3" ht="11.25" customHeight="1" x14ac:dyDescent="0.15">
      <c r="A177" t="s">
        <v>3185</v>
      </c>
      <c r="B177" t="s">
        <v>3208</v>
      </c>
      <c r="C177" t="s">
        <v>3209</v>
      </c>
    </row>
    <row r="178" spans="1:3" ht="11.25" customHeight="1" x14ac:dyDescent="0.15">
      <c r="A178" t="s">
        <v>3210</v>
      </c>
      <c r="B178" t="s">
        <v>3211</v>
      </c>
      <c r="C178" t="s">
        <v>3212</v>
      </c>
    </row>
    <row r="179" spans="1:3" ht="11.25" customHeight="1" x14ac:dyDescent="0.15">
      <c r="A179" t="s">
        <v>3210</v>
      </c>
      <c r="B179" t="s">
        <v>3213</v>
      </c>
      <c r="C179" t="s">
        <v>3214</v>
      </c>
    </row>
    <row r="180" spans="1:3" ht="11.25" customHeight="1" x14ac:dyDescent="0.15">
      <c r="A180" t="s">
        <v>3210</v>
      </c>
      <c r="B180" t="s">
        <v>3215</v>
      </c>
      <c r="C180" t="s">
        <v>3216</v>
      </c>
    </row>
    <row r="181" spans="1:3" ht="11.25" customHeight="1" x14ac:dyDescent="0.15">
      <c r="A181" t="s">
        <v>3210</v>
      </c>
      <c r="B181" t="s">
        <v>3217</v>
      </c>
      <c r="C181" t="s">
        <v>3218</v>
      </c>
    </row>
    <row r="182" spans="1:3" ht="11.25" customHeight="1" x14ac:dyDescent="0.15">
      <c r="A182" t="s">
        <v>3210</v>
      </c>
      <c r="B182" t="s">
        <v>3219</v>
      </c>
      <c r="C182" t="s">
        <v>3220</v>
      </c>
    </row>
    <row r="183" spans="1:3" ht="11.25" customHeight="1" x14ac:dyDescent="0.15">
      <c r="A183" t="s">
        <v>3210</v>
      </c>
      <c r="B183" t="s">
        <v>3221</v>
      </c>
      <c r="C183" t="s">
        <v>3222</v>
      </c>
    </row>
    <row r="184" spans="1:3" ht="11.25" customHeight="1" x14ac:dyDescent="0.15">
      <c r="A184" t="s">
        <v>3210</v>
      </c>
      <c r="B184" t="s">
        <v>3223</v>
      </c>
      <c r="C184" t="s">
        <v>3224</v>
      </c>
    </row>
    <row r="185" spans="1:3" ht="11.25" customHeight="1" x14ac:dyDescent="0.15">
      <c r="A185" t="s">
        <v>3225</v>
      </c>
      <c r="B185" t="s">
        <v>3226</v>
      </c>
      <c r="C185" t="s">
        <v>3227</v>
      </c>
    </row>
    <row r="186" spans="1:3" ht="11.25" customHeight="1" x14ac:dyDescent="0.15">
      <c r="A186" t="s">
        <v>3225</v>
      </c>
      <c r="B186" t="s">
        <v>3228</v>
      </c>
      <c r="C186" t="s">
        <v>3229</v>
      </c>
    </row>
    <row r="187" spans="1:3" ht="11.25" customHeight="1" x14ac:dyDescent="0.15">
      <c r="A187" t="s">
        <v>3225</v>
      </c>
      <c r="B187" t="s">
        <v>3230</v>
      </c>
      <c r="C187" t="s">
        <v>3231</v>
      </c>
    </row>
    <row r="188" spans="1:3" ht="11.25" customHeight="1" x14ac:dyDescent="0.15">
      <c r="A188" t="s">
        <v>3225</v>
      </c>
      <c r="B188" t="s">
        <v>3232</v>
      </c>
      <c r="C188" t="s">
        <v>3233</v>
      </c>
    </row>
    <row r="189" spans="1:3" ht="11.25" customHeight="1" x14ac:dyDescent="0.15">
      <c r="A189" t="s">
        <v>3225</v>
      </c>
      <c r="B189" t="s">
        <v>3234</v>
      </c>
      <c r="C189" t="s">
        <v>3235</v>
      </c>
    </row>
    <row r="190" spans="1:3" ht="11.25" customHeight="1" x14ac:dyDescent="0.15">
      <c r="A190" t="s">
        <v>3225</v>
      </c>
      <c r="B190" t="s">
        <v>3236</v>
      </c>
      <c r="C190" t="s">
        <v>3237</v>
      </c>
    </row>
    <row r="191" spans="1:3" ht="11.25" customHeight="1" x14ac:dyDescent="0.15">
      <c r="A191" t="s">
        <v>3225</v>
      </c>
      <c r="B191" t="s">
        <v>3238</v>
      </c>
      <c r="C191" t="s">
        <v>3239</v>
      </c>
    </row>
    <row r="192" spans="1:3" ht="11.25" customHeight="1" x14ac:dyDescent="0.15">
      <c r="A192" t="s">
        <v>3225</v>
      </c>
      <c r="B192" t="s">
        <v>3240</v>
      </c>
      <c r="C192" t="s">
        <v>3241</v>
      </c>
    </row>
    <row r="193" spans="1:3" ht="11.25" customHeight="1" x14ac:dyDescent="0.15">
      <c r="A193" t="s">
        <v>3225</v>
      </c>
      <c r="B193" t="s">
        <v>3242</v>
      </c>
      <c r="C193" t="s">
        <v>3243</v>
      </c>
    </row>
    <row r="194" spans="1:3" ht="11.25" customHeight="1" x14ac:dyDescent="0.15">
      <c r="A194" t="s">
        <v>3244</v>
      </c>
      <c r="B194" t="s">
        <v>3245</v>
      </c>
      <c r="C194" t="s">
        <v>3246</v>
      </c>
    </row>
    <row r="195" spans="1:3" ht="11.25" customHeight="1" x14ac:dyDescent="0.15">
      <c r="A195" t="s">
        <v>3244</v>
      </c>
      <c r="B195" t="s">
        <v>3247</v>
      </c>
      <c r="C195" t="s">
        <v>3248</v>
      </c>
    </row>
    <row r="196" spans="1:3" ht="11.25" customHeight="1" x14ac:dyDescent="0.15">
      <c r="A196" t="s">
        <v>3244</v>
      </c>
      <c r="B196" t="s">
        <v>3249</v>
      </c>
      <c r="C196" t="s">
        <v>3250</v>
      </c>
    </row>
    <row r="197" spans="1:3" ht="11.25" customHeight="1" x14ac:dyDescent="0.15">
      <c r="A197" t="s">
        <v>3244</v>
      </c>
      <c r="B197" t="s">
        <v>3251</v>
      </c>
      <c r="C197" t="s">
        <v>3252</v>
      </c>
    </row>
    <row r="198" spans="1:3" ht="11.25" customHeight="1" x14ac:dyDescent="0.15">
      <c r="A198" t="s">
        <v>3244</v>
      </c>
      <c r="B198" t="s">
        <v>3253</v>
      </c>
      <c r="C198" t="s">
        <v>3254</v>
      </c>
    </row>
    <row r="199" spans="1:3" ht="11.25" customHeight="1" x14ac:dyDescent="0.15">
      <c r="A199" t="s">
        <v>3244</v>
      </c>
      <c r="B199" t="s">
        <v>3255</v>
      </c>
      <c r="C199" t="s">
        <v>3256</v>
      </c>
    </row>
    <row r="200" spans="1:3" ht="11.25" customHeight="1" x14ac:dyDescent="0.15">
      <c r="A200" t="s">
        <v>3244</v>
      </c>
      <c r="B200" t="s">
        <v>3257</v>
      </c>
      <c r="C200" t="s">
        <v>3258</v>
      </c>
    </row>
    <row r="201" spans="1:3" ht="11.25" customHeight="1" x14ac:dyDescent="0.15">
      <c r="A201" t="s">
        <v>3244</v>
      </c>
      <c r="B201" t="s">
        <v>3259</v>
      </c>
      <c r="C201" t="s">
        <v>3260</v>
      </c>
    </row>
    <row r="202" spans="1:3" ht="11.25" customHeight="1" x14ac:dyDescent="0.15">
      <c r="A202" t="s">
        <v>3244</v>
      </c>
      <c r="B202" t="s">
        <v>3261</v>
      </c>
      <c r="C202" t="s">
        <v>3262</v>
      </c>
    </row>
    <row r="203" spans="1:3" ht="11.25" customHeight="1" x14ac:dyDescent="0.15">
      <c r="A203" t="s">
        <v>3244</v>
      </c>
      <c r="B203" t="s">
        <v>3263</v>
      </c>
      <c r="C203" t="s">
        <v>3264</v>
      </c>
    </row>
    <row r="204" spans="1:3" ht="11.25" customHeight="1" x14ac:dyDescent="0.15">
      <c r="A204" t="s">
        <v>3265</v>
      </c>
      <c r="B204" t="s">
        <v>3266</v>
      </c>
      <c r="C204" t="s">
        <v>3267</v>
      </c>
    </row>
    <row r="205" spans="1:3" ht="11.25" customHeight="1" x14ac:dyDescent="0.15">
      <c r="A205" t="s">
        <v>3265</v>
      </c>
      <c r="B205" t="s">
        <v>3268</v>
      </c>
      <c r="C205" t="s">
        <v>3269</v>
      </c>
    </row>
    <row r="206" spans="1:3" ht="11.25" customHeight="1" x14ac:dyDescent="0.15">
      <c r="A206" t="s">
        <v>3265</v>
      </c>
      <c r="B206" t="s">
        <v>3270</v>
      </c>
      <c r="C206" t="s">
        <v>3271</v>
      </c>
    </row>
    <row r="207" spans="1:3" ht="11.25" customHeight="1" x14ac:dyDescent="0.15">
      <c r="A207" t="s">
        <v>3265</v>
      </c>
      <c r="B207" t="s">
        <v>3272</v>
      </c>
      <c r="C207" t="s">
        <v>3273</v>
      </c>
    </row>
    <row r="208" spans="1:3" ht="11.25" customHeight="1" x14ac:dyDescent="0.15">
      <c r="A208" t="s">
        <v>3265</v>
      </c>
      <c r="B208" t="s">
        <v>3274</v>
      </c>
      <c r="C208" t="s">
        <v>3275</v>
      </c>
    </row>
    <row r="209" spans="1:3" ht="11.25" customHeight="1" x14ac:dyDescent="0.15">
      <c r="A209" t="s">
        <v>3265</v>
      </c>
      <c r="B209" t="s">
        <v>3276</v>
      </c>
      <c r="C209" t="s">
        <v>3277</v>
      </c>
    </row>
    <row r="210" spans="1:3" ht="11.25" customHeight="1" x14ac:dyDescent="0.15">
      <c r="A210" t="s">
        <v>3265</v>
      </c>
      <c r="B210" t="s">
        <v>3278</v>
      </c>
      <c r="C210" t="s">
        <v>3279</v>
      </c>
    </row>
    <row r="211" spans="1:3" ht="11.25" customHeight="1" x14ac:dyDescent="0.15">
      <c r="A211" t="s">
        <v>3265</v>
      </c>
      <c r="B211" t="s">
        <v>3280</v>
      </c>
      <c r="C211" t="s">
        <v>3281</v>
      </c>
    </row>
    <row r="212" spans="1:3" ht="11.25" customHeight="1" x14ac:dyDescent="0.15">
      <c r="A212" t="s">
        <v>3265</v>
      </c>
      <c r="B212" t="s">
        <v>3282</v>
      </c>
      <c r="C212" t="s">
        <v>3283</v>
      </c>
    </row>
    <row r="213" spans="1:3" ht="11.25" customHeight="1" x14ac:dyDescent="0.15">
      <c r="A213" t="s">
        <v>3265</v>
      </c>
      <c r="B213" t="s">
        <v>3284</v>
      </c>
      <c r="C213" t="s">
        <v>3285</v>
      </c>
    </row>
    <row r="214" spans="1:3" ht="11.25" customHeight="1" x14ac:dyDescent="0.15">
      <c r="A214" t="s">
        <v>3265</v>
      </c>
      <c r="B214" t="s">
        <v>3286</v>
      </c>
      <c r="C214" t="s">
        <v>3287</v>
      </c>
    </row>
    <row r="215" spans="1:3" ht="11.25" customHeight="1" x14ac:dyDescent="0.15">
      <c r="A215" t="s">
        <v>3288</v>
      </c>
      <c r="B215" t="s">
        <v>3288</v>
      </c>
      <c r="C215" t="s">
        <v>3289</v>
      </c>
    </row>
    <row r="216" spans="1:3" ht="11.25" customHeight="1" x14ac:dyDescent="0.15">
      <c r="A216" t="s">
        <v>3290</v>
      </c>
      <c r="B216" t="s">
        <v>3290</v>
      </c>
      <c r="C216" t="s">
        <v>3291</v>
      </c>
    </row>
    <row r="217" spans="1:3" ht="11.25" customHeight="1" x14ac:dyDescent="0.15">
      <c r="A217" t="s">
        <v>3292</v>
      </c>
      <c r="B217" t="s">
        <v>3292</v>
      </c>
      <c r="C217" t="s">
        <v>3293</v>
      </c>
    </row>
    <row r="218" spans="1:3" ht="11.25" customHeight="1" x14ac:dyDescent="0.15">
      <c r="A218" t="s">
        <v>3294</v>
      </c>
      <c r="B218" t="s">
        <v>3294</v>
      </c>
      <c r="C218" t="s">
        <v>3295</v>
      </c>
    </row>
    <row r="219" spans="1:3" ht="11.25" customHeight="1" x14ac:dyDescent="0.15">
      <c r="A219" t="s">
        <v>3296</v>
      </c>
      <c r="B219" t="s">
        <v>3296</v>
      </c>
      <c r="C219" t="s">
        <v>3297</v>
      </c>
    </row>
    <row r="220" spans="1:3" ht="11.25" customHeight="1" x14ac:dyDescent="0.15">
      <c r="A220" t="s">
        <v>3298</v>
      </c>
      <c r="B220" t="s">
        <v>3298</v>
      </c>
      <c r="C220" t="s">
        <v>3299</v>
      </c>
    </row>
    <row r="221" spans="1:3" ht="11.25" customHeight="1" x14ac:dyDescent="0.15">
      <c r="A221" t="s">
        <v>3300</v>
      </c>
      <c r="B221" t="s">
        <v>3300</v>
      </c>
      <c r="C221" t="s">
        <v>3301</v>
      </c>
    </row>
    <row r="222" spans="1:3" ht="11.25" customHeight="1" x14ac:dyDescent="0.15">
      <c r="A222" t="s">
        <v>3302</v>
      </c>
      <c r="B222" t="s">
        <v>3302</v>
      </c>
      <c r="C222" t="s">
        <v>3303</v>
      </c>
    </row>
    <row r="223" spans="1:3" ht="11.25" customHeight="1" x14ac:dyDescent="0.15">
      <c r="A223" t="s">
        <v>3304</v>
      </c>
      <c r="B223" t="s">
        <v>3304</v>
      </c>
      <c r="C223" t="s">
        <v>3305</v>
      </c>
    </row>
    <row r="224" spans="1:3" ht="11.25" customHeight="1" x14ac:dyDescent="0.15">
      <c r="A224" t="s">
        <v>3306</v>
      </c>
      <c r="B224" t="s">
        <v>3306</v>
      </c>
      <c r="C224" t="s">
        <v>3307</v>
      </c>
    </row>
    <row r="225" spans="1:3" ht="11.25" customHeight="1" x14ac:dyDescent="0.15">
      <c r="A225" t="s">
        <v>3308</v>
      </c>
      <c r="B225" t="s">
        <v>3308</v>
      </c>
      <c r="C225" t="s">
        <v>3309</v>
      </c>
    </row>
    <row r="226" spans="1:3" ht="11.25" customHeight="1" x14ac:dyDescent="0.15">
      <c r="A226" t="s">
        <v>3310</v>
      </c>
      <c r="B226" t="s">
        <v>3310</v>
      </c>
      <c r="C226" t="s">
        <v>3311</v>
      </c>
    </row>
    <row r="227" spans="1:3" ht="11.25" customHeight="1" x14ac:dyDescent="0.15">
      <c r="A227" t="s">
        <v>3312</v>
      </c>
      <c r="B227" t="s">
        <v>3312</v>
      </c>
      <c r="C227" t="s">
        <v>3313</v>
      </c>
    </row>
    <row r="228" spans="1:3" ht="11.25" customHeight="1" x14ac:dyDescent="0.15">
      <c r="A228" t="s">
        <v>3314</v>
      </c>
      <c r="B228" t="s">
        <v>3314</v>
      </c>
      <c r="C228" t="s">
        <v>3315</v>
      </c>
    </row>
    <row r="229" spans="1:3" ht="11.25" customHeight="1" x14ac:dyDescent="0.15">
      <c r="A229" t="s">
        <v>3316</v>
      </c>
      <c r="B229" t="s">
        <v>3316</v>
      </c>
      <c r="C229" t="s">
        <v>3317</v>
      </c>
    </row>
    <row r="230" spans="1:3" ht="11.25" customHeight="1" x14ac:dyDescent="0.15">
      <c r="A230" t="s">
        <v>3318</v>
      </c>
      <c r="B230" t="s">
        <v>3318</v>
      </c>
      <c r="C230" t="s">
        <v>3319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755E8-8FB8-1132-BE58-F53EC2842228}">
  <sheetPr>
    <tabColor rgb="FFFFCC99"/>
  </sheetPr>
  <dimension ref="A1:S264"/>
  <sheetViews>
    <sheetView showGridLines="0" workbookViewId="0"/>
  </sheetViews>
  <sheetFormatPr defaultColWidth="9.140625" defaultRowHeight="11.25" customHeight="1" x14ac:dyDescent="0.15"/>
  <sheetData>
    <row r="1" spans="1:19" ht="11.25" customHeight="1" x14ac:dyDescent="0.15">
      <c r="A1" t="s">
        <v>3320</v>
      </c>
      <c r="B1" t="s">
        <v>3321</v>
      </c>
      <c r="C1" t="s">
        <v>3322</v>
      </c>
      <c r="D1" t="s">
        <v>3323</v>
      </c>
      <c r="E1" t="s">
        <v>3324</v>
      </c>
      <c r="F1" t="s">
        <v>3325</v>
      </c>
      <c r="G1" t="s">
        <v>3326</v>
      </c>
      <c r="H1" t="s">
        <v>3327</v>
      </c>
      <c r="I1" t="s">
        <v>3328</v>
      </c>
      <c r="J1" t="s">
        <v>3329</v>
      </c>
      <c r="K1" t="s">
        <v>3330</v>
      </c>
      <c r="L1" t="s">
        <v>3331</v>
      </c>
      <c r="M1" t="s">
        <v>3332</v>
      </c>
      <c r="N1" t="s">
        <v>3333</v>
      </c>
      <c r="O1" t="s">
        <v>3334</v>
      </c>
      <c r="P1" t="s">
        <v>3335</v>
      </c>
      <c r="Q1" t="s">
        <v>3336</v>
      </c>
      <c r="R1" t="s">
        <v>3337</v>
      </c>
      <c r="S1" t="s">
        <v>3338</v>
      </c>
    </row>
    <row r="2" spans="1:19" ht="11.25" customHeight="1" x14ac:dyDescent="0.15">
      <c r="A2">
        <v>2655</v>
      </c>
      <c r="B2" t="s">
        <v>114</v>
      </c>
      <c r="C2">
        <v>28976938</v>
      </c>
      <c r="D2" t="s">
        <v>3339</v>
      </c>
      <c r="E2" t="s">
        <v>3340</v>
      </c>
      <c r="F2" t="s">
        <v>3341</v>
      </c>
      <c r="G2" t="s">
        <v>3342</v>
      </c>
      <c r="H2" t="s">
        <v>3343</v>
      </c>
      <c r="I2" t="s">
        <v>3344</v>
      </c>
      <c r="J2" t="s">
        <v>3345</v>
      </c>
      <c r="K2" t="s">
        <v>3346</v>
      </c>
      <c r="L2" t="s">
        <v>3347</v>
      </c>
      <c r="M2" t="s">
        <v>3348</v>
      </c>
      <c r="N2" t="s">
        <v>3349</v>
      </c>
      <c r="O2" t="s">
        <v>3350</v>
      </c>
      <c r="P2" t="s">
        <v>3351</v>
      </c>
      <c r="Q2" t="s">
        <v>3352</v>
      </c>
      <c r="R2" t="b">
        <v>0</v>
      </c>
      <c r="S2" t="s">
        <v>3353</v>
      </c>
    </row>
    <row r="3" spans="1:19" ht="11.25" customHeight="1" x14ac:dyDescent="0.15">
      <c r="A3">
        <v>2655</v>
      </c>
      <c r="B3" t="s">
        <v>114</v>
      </c>
      <c r="C3">
        <v>27804990</v>
      </c>
      <c r="D3" t="s">
        <v>3354</v>
      </c>
      <c r="E3" t="s">
        <v>3355</v>
      </c>
      <c r="F3" t="s">
        <v>3356</v>
      </c>
      <c r="G3" t="s">
        <v>149</v>
      </c>
      <c r="H3" t="s">
        <v>3357</v>
      </c>
      <c r="I3" t="s">
        <v>3358</v>
      </c>
      <c r="J3" t="s">
        <v>3345</v>
      </c>
      <c r="K3" t="s">
        <v>3359</v>
      </c>
      <c r="L3" t="s">
        <v>3360</v>
      </c>
      <c r="M3" t="s">
        <v>3361</v>
      </c>
      <c r="N3" t="s">
        <v>3362</v>
      </c>
      <c r="O3" t="s">
        <v>3363</v>
      </c>
      <c r="P3" t="s">
        <v>3364</v>
      </c>
      <c r="Q3" t="s">
        <v>3365</v>
      </c>
      <c r="R3" t="b">
        <v>0</v>
      </c>
      <c r="S3" t="s">
        <v>3353</v>
      </c>
    </row>
    <row r="4" spans="1:19" ht="11.25" customHeight="1" x14ac:dyDescent="0.15">
      <c r="A4">
        <v>2655</v>
      </c>
      <c r="B4" t="s">
        <v>114</v>
      </c>
      <c r="C4">
        <v>27804826</v>
      </c>
      <c r="D4" t="s">
        <v>3366</v>
      </c>
      <c r="E4" t="s">
        <v>3367</v>
      </c>
      <c r="F4" t="s">
        <v>3368</v>
      </c>
      <c r="G4" t="s">
        <v>3369</v>
      </c>
      <c r="H4" t="s">
        <v>3370</v>
      </c>
      <c r="I4" t="s">
        <v>3371</v>
      </c>
      <c r="J4" t="s">
        <v>3345</v>
      </c>
      <c r="K4" t="s">
        <v>3372</v>
      </c>
      <c r="L4" t="s">
        <v>3360</v>
      </c>
      <c r="M4" t="s">
        <v>247</v>
      </c>
      <c r="N4" t="s">
        <v>3373</v>
      </c>
      <c r="O4" t="s">
        <v>3374</v>
      </c>
      <c r="P4" t="s">
        <v>3364</v>
      </c>
      <c r="Q4" t="s">
        <v>3375</v>
      </c>
      <c r="R4" t="b">
        <v>0</v>
      </c>
      <c r="S4" t="s">
        <v>3353</v>
      </c>
    </row>
    <row r="5" spans="1:19" ht="11.25" customHeight="1" x14ac:dyDescent="0.15">
      <c r="A5">
        <v>2655</v>
      </c>
      <c r="B5" t="s">
        <v>114</v>
      </c>
      <c r="C5">
        <v>26356963</v>
      </c>
      <c r="D5" t="s">
        <v>3376</v>
      </c>
      <c r="E5" t="s">
        <v>3377</v>
      </c>
      <c r="F5" t="s">
        <v>3378</v>
      </c>
      <c r="G5" t="s">
        <v>3379</v>
      </c>
      <c r="H5" t="s">
        <v>3380</v>
      </c>
      <c r="I5" t="s">
        <v>247</v>
      </c>
      <c r="J5" t="s">
        <v>3345</v>
      </c>
      <c r="K5" t="s">
        <v>3381</v>
      </c>
      <c r="L5" t="s">
        <v>3381</v>
      </c>
      <c r="M5" t="s">
        <v>3382</v>
      </c>
      <c r="N5" t="s">
        <v>3383</v>
      </c>
      <c r="O5" t="s">
        <v>3384</v>
      </c>
      <c r="P5" t="s">
        <v>3385</v>
      </c>
      <c r="Q5" t="s">
        <v>247</v>
      </c>
      <c r="R5" t="b">
        <v>0</v>
      </c>
      <c r="S5" t="s">
        <v>3353</v>
      </c>
    </row>
    <row r="6" spans="1:19" ht="11.25" customHeight="1" x14ac:dyDescent="0.15">
      <c r="A6">
        <v>2655</v>
      </c>
      <c r="B6" t="s">
        <v>114</v>
      </c>
      <c r="C6">
        <v>26322889</v>
      </c>
      <c r="D6" t="s">
        <v>3386</v>
      </c>
      <c r="E6" t="s">
        <v>3387</v>
      </c>
      <c r="F6" t="s">
        <v>3388</v>
      </c>
      <c r="G6" t="s">
        <v>3389</v>
      </c>
      <c r="H6" t="s">
        <v>3390</v>
      </c>
      <c r="I6" t="s">
        <v>3391</v>
      </c>
      <c r="J6" t="s">
        <v>3345</v>
      </c>
      <c r="K6" t="s">
        <v>3392</v>
      </c>
      <c r="L6" t="s">
        <v>3393</v>
      </c>
      <c r="M6" t="s">
        <v>3394</v>
      </c>
      <c r="N6" t="s">
        <v>3395</v>
      </c>
      <c r="O6" t="s">
        <v>3396</v>
      </c>
      <c r="P6" t="s">
        <v>3397</v>
      </c>
      <c r="Q6" t="s">
        <v>3398</v>
      </c>
      <c r="R6" t="b">
        <v>0</v>
      </c>
      <c r="S6" t="s">
        <v>3353</v>
      </c>
    </row>
    <row r="7" spans="1:19" ht="11.25" customHeight="1" x14ac:dyDescent="0.15">
      <c r="A7">
        <v>2655</v>
      </c>
      <c r="B7" t="s">
        <v>114</v>
      </c>
      <c r="C7">
        <v>26356905</v>
      </c>
      <c r="D7" t="s">
        <v>3399</v>
      </c>
      <c r="E7" t="s">
        <v>3400</v>
      </c>
      <c r="F7" t="s">
        <v>3401</v>
      </c>
      <c r="G7" t="s">
        <v>149</v>
      </c>
      <c r="H7" t="s">
        <v>3402</v>
      </c>
      <c r="I7" t="s">
        <v>3403</v>
      </c>
      <c r="J7" t="s">
        <v>3345</v>
      </c>
      <c r="K7" t="s">
        <v>3404</v>
      </c>
      <c r="L7" t="s">
        <v>3404</v>
      </c>
      <c r="M7" t="s">
        <v>3405</v>
      </c>
      <c r="N7" t="s">
        <v>3406</v>
      </c>
      <c r="O7" t="s">
        <v>3407</v>
      </c>
      <c r="P7" t="s">
        <v>3408</v>
      </c>
      <c r="Q7" t="s">
        <v>3409</v>
      </c>
      <c r="R7" t="b">
        <v>0</v>
      </c>
      <c r="S7" t="s">
        <v>3353</v>
      </c>
    </row>
    <row r="8" spans="1:19" ht="11.25" customHeight="1" x14ac:dyDescent="0.15">
      <c r="A8">
        <v>2655</v>
      </c>
      <c r="B8" t="s">
        <v>114</v>
      </c>
      <c r="C8">
        <v>26427149</v>
      </c>
      <c r="D8" t="s">
        <v>3410</v>
      </c>
      <c r="E8" t="s">
        <v>3411</v>
      </c>
      <c r="F8" t="s">
        <v>3341</v>
      </c>
      <c r="G8" t="s">
        <v>3412</v>
      </c>
      <c r="H8" t="s">
        <v>3343</v>
      </c>
      <c r="I8" t="s">
        <v>3344</v>
      </c>
      <c r="J8" t="s">
        <v>3345</v>
      </c>
      <c r="K8" t="s">
        <v>3413</v>
      </c>
      <c r="L8" t="s">
        <v>3414</v>
      </c>
      <c r="M8" t="s">
        <v>3415</v>
      </c>
      <c r="N8" t="s">
        <v>3416</v>
      </c>
      <c r="O8" t="s">
        <v>3417</v>
      </c>
      <c r="P8" t="s">
        <v>3418</v>
      </c>
      <c r="Q8" t="s">
        <v>3419</v>
      </c>
      <c r="R8" t="b">
        <v>0</v>
      </c>
      <c r="S8" t="s">
        <v>3353</v>
      </c>
    </row>
    <row r="9" spans="1:19" ht="11.25" customHeight="1" x14ac:dyDescent="0.15">
      <c r="A9">
        <v>2655</v>
      </c>
      <c r="B9" t="s">
        <v>114</v>
      </c>
      <c r="C9">
        <v>27295125</v>
      </c>
      <c r="D9" t="s">
        <v>3420</v>
      </c>
      <c r="E9" t="s">
        <v>3421</v>
      </c>
      <c r="F9" t="s">
        <v>3422</v>
      </c>
      <c r="G9" t="s">
        <v>3423</v>
      </c>
      <c r="H9" t="s">
        <v>3424</v>
      </c>
      <c r="I9" t="s">
        <v>3425</v>
      </c>
      <c r="J9" t="s">
        <v>3426</v>
      </c>
      <c r="K9" t="s">
        <v>3427</v>
      </c>
      <c r="L9" t="s">
        <v>3427</v>
      </c>
      <c r="M9" t="s">
        <v>3428</v>
      </c>
      <c r="N9" t="s">
        <v>3429</v>
      </c>
      <c r="O9" t="s">
        <v>3430</v>
      </c>
      <c r="P9" t="s">
        <v>179</v>
      </c>
      <c r="Q9" t="s">
        <v>247</v>
      </c>
      <c r="R9" t="b">
        <v>0</v>
      </c>
      <c r="S9" t="s">
        <v>3353</v>
      </c>
    </row>
    <row r="10" spans="1:19" ht="11.25" customHeight="1" x14ac:dyDescent="0.15">
      <c r="A10">
        <v>2655</v>
      </c>
      <c r="B10" t="s">
        <v>114</v>
      </c>
      <c r="C10">
        <v>26824672</v>
      </c>
      <c r="D10" t="s">
        <v>3431</v>
      </c>
      <c r="E10" t="s">
        <v>3432</v>
      </c>
      <c r="F10" t="s">
        <v>3433</v>
      </c>
      <c r="G10" t="s">
        <v>3434</v>
      </c>
      <c r="H10" t="s">
        <v>3435</v>
      </c>
      <c r="I10" t="s">
        <v>247</v>
      </c>
      <c r="J10" t="s">
        <v>3426</v>
      </c>
      <c r="K10" t="s">
        <v>3436</v>
      </c>
      <c r="L10" t="s">
        <v>3437</v>
      </c>
      <c r="M10" t="s">
        <v>3438</v>
      </c>
      <c r="N10" t="s">
        <v>3439</v>
      </c>
      <c r="O10" t="s">
        <v>247</v>
      </c>
      <c r="P10" t="s">
        <v>3440</v>
      </c>
      <c r="Q10" t="s">
        <v>247</v>
      </c>
      <c r="R10" t="b">
        <v>0</v>
      </c>
      <c r="S10" t="s">
        <v>3353</v>
      </c>
    </row>
    <row r="11" spans="1:19" ht="11.25" customHeight="1" x14ac:dyDescent="0.15">
      <c r="A11">
        <v>2655</v>
      </c>
      <c r="B11" t="s">
        <v>114</v>
      </c>
      <c r="C11">
        <v>31826293</v>
      </c>
      <c r="D11" t="s">
        <v>3441</v>
      </c>
      <c r="E11" t="s">
        <v>3442</v>
      </c>
      <c r="F11" t="s">
        <v>3443</v>
      </c>
      <c r="G11" t="s">
        <v>3444</v>
      </c>
      <c r="H11" t="s">
        <v>3445</v>
      </c>
      <c r="I11" t="s">
        <v>3446</v>
      </c>
      <c r="K11" t="s">
        <v>3447</v>
      </c>
      <c r="L11" t="s">
        <v>3448</v>
      </c>
      <c r="M11" t="s">
        <v>247</v>
      </c>
      <c r="N11" t="s">
        <v>3449</v>
      </c>
      <c r="O11" t="s">
        <v>3450</v>
      </c>
      <c r="P11" t="s">
        <v>3451</v>
      </c>
      <c r="Q11" t="s">
        <v>247</v>
      </c>
      <c r="R11" t="b">
        <v>0</v>
      </c>
      <c r="S11" t="s">
        <v>3353</v>
      </c>
    </row>
    <row r="12" spans="1:19" ht="11.25" customHeight="1" x14ac:dyDescent="0.15">
      <c r="A12">
        <v>2655</v>
      </c>
      <c r="B12" t="s">
        <v>114</v>
      </c>
      <c r="C12">
        <v>26322867</v>
      </c>
      <c r="D12" t="s">
        <v>3452</v>
      </c>
      <c r="E12" t="s">
        <v>3453</v>
      </c>
      <c r="F12" t="s">
        <v>3454</v>
      </c>
      <c r="G12" t="s">
        <v>3389</v>
      </c>
      <c r="H12" t="s">
        <v>3455</v>
      </c>
      <c r="I12" t="s">
        <v>3456</v>
      </c>
      <c r="J12" t="s">
        <v>3345</v>
      </c>
      <c r="K12" t="s">
        <v>3457</v>
      </c>
      <c r="L12" t="s">
        <v>3457</v>
      </c>
      <c r="M12" t="s">
        <v>3458</v>
      </c>
      <c r="N12" t="s">
        <v>3459</v>
      </c>
      <c r="O12" t="s">
        <v>3460</v>
      </c>
      <c r="P12" t="s">
        <v>179</v>
      </c>
      <c r="Q12" t="s">
        <v>3461</v>
      </c>
      <c r="R12" t="b">
        <v>0</v>
      </c>
      <c r="S12" t="s">
        <v>3353</v>
      </c>
    </row>
    <row r="13" spans="1:19" ht="11.25" customHeight="1" x14ac:dyDescent="0.15">
      <c r="A13">
        <v>2655</v>
      </c>
      <c r="B13" t="s">
        <v>114</v>
      </c>
      <c r="C13">
        <v>26824651</v>
      </c>
      <c r="D13" t="s">
        <v>3462</v>
      </c>
      <c r="E13" t="s">
        <v>3463</v>
      </c>
      <c r="F13" t="s">
        <v>3433</v>
      </c>
      <c r="G13" t="s">
        <v>3464</v>
      </c>
      <c r="H13" t="s">
        <v>3435</v>
      </c>
      <c r="I13" t="s">
        <v>247</v>
      </c>
      <c r="J13" t="s">
        <v>3345</v>
      </c>
      <c r="K13" t="s">
        <v>3465</v>
      </c>
      <c r="L13" t="s">
        <v>3466</v>
      </c>
      <c r="M13" t="s">
        <v>3467</v>
      </c>
      <c r="N13" t="s">
        <v>3468</v>
      </c>
      <c r="O13" t="s">
        <v>3469</v>
      </c>
      <c r="P13" t="s">
        <v>3470</v>
      </c>
      <c r="Q13" t="s">
        <v>247</v>
      </c>
      <c r="R13" t="b">
        <v>0</v>
      </c>
      <c r="S13" t="s">
        <v>3353</v>
      </c>
    </row>
    <row r="14" spans="1:19" ht="11.25" customHeight="1" x14ac:dyDescent="0.15">
      <c r="A14">
        <v>2655</v>
      </c>
      <c r="B14" t="s">
        <v>114</v>
      </c>
      <c r="C14">
        <v>26824396</v>
      </c>
      <c r="D14" t="s">
        <v>3471</v>
      </c>
      <c r="E14" t="s">
        <v>3472</v>
      </c>
      <c r="F14" t="s">
        <v>3433</v>
      </c>
      <c r="G14" t="s">
        <v>3473</v>
      </c>
      <c r="H14" t="s">
        <v>3435</v>
      </c>
      <c r="I14" t="s">
        <v>247</v>
      </c>
      <c r="J14" t="s">
        <v>3426</v>
      </c>
      <c r="K14" t="s">
        <v>3474</v>
      </c>
      <c r="L14" t="s">
        <v>3474</v>
      </c>
      <c r="M14" t="s">
        <v>3475</v>
      </c>
      <c r="N14" t="s">
        <v>247</v>
      </c>
      <c r="O14" t="s">
        <v>3476</v>
      </c>
      <c r="P14" t="s">
        <v>3470</v>
      </c>
      <c r="Q14" t="s">
        <v>247</v>
      </c>
      <c r="R14" t="b">
        <v>0</v>
      </c>
      <c r="S14" t="s">
        <v>3353</v>
      </c>
    </row>
    <row r="15" spans="1:19" ht="11.25" customHeight="1" x14ac:dyDescent="0.15">
      <c r="A15">
        <v>2655</v>
      </c>
      <c r="B15" t="s">
        <v>114</v>
      </c>
      <c r="C15">
        <v>31232672</v>
      </c>
      <c r="D15" t="s">
        <v>3477</v>
      </c>
      <c r="E15" t="s">
        <v>3478</v>
      </c>
      <c r="F15" t="s">
        <v>3479</v>
      </c>
      <c r="G15" t="s">
        <v>3480</v>
      </c>
      <c r="H15" t="s">
        <v>3481</v>
      </c>
      <c r="I15" t="s">
        <v>3482</v>
      </c>
      <c r="J15" t="s">
        <v>3483</v>
      </c>
      <c r="K15" t="s">
        <v>3484</v>
      </c>
      <c r="L15" t="s">
        <v>3484</v>
      </c>
      <c r="M15" t="s">
        <v>3485</v>
      </c>
      <c r="N15" t="s">
        <v>3486</v>
      </c>
      <c r="O15" t="s">
        <v>3487</v>
      </c>
      <c r="P15" t="s">
        <v>3488</v>
      </c>
      <c r="Q15" t="s">
        <v>247</v>
      </c>
      <c r="R15" t="b">
        <v>0</v>
      </c>
      <c r="S15" t="s">
        <v>3353</v>
      </c>
    </row>
    <row r="16" spans="1:19" ht="11.25" customHeight="1" x14ac:dyDescent="0.15">
      <c r="A16">
        <v>2655</v>
      </c>
      <c r="B16" t="s">
        <v>114</v>
      </c>
      <c r="C16">
        <v>31387447</v>
      </c>
      <c r="D16" t="s">
        <v>3489</v>
      </c>
      <c r="E16" t="s">
        <v>3490</v>
      </c>
      <c r="F16" t="s">
        <v>3491</v>
      </c>
      <c r="G16" t="s">
        <v>3492</v>
      </c>
      <c r="H16" t="s">
        <v>3493</v>
      </c>
      <c r="I16" t="s">
        <v>3494</v>
      </c>
      <c r="J16" t="s">
        <v>3495</v>
      </c>
      <c r="K16" t="s">
        <v>3496</v>
      </c>
      <c r="L16" t="s">
        <v>3496</v>
      </c>
      <c r="M16" t="s">
        <v>3497</v>
      </c>
      <c r="N16" t="s">
        <v>3498</v>
      </c>
      <c r="O16" t="s">
        <v>3499</v>
      </c>
      <c r="P16" t="s">
        <v>3488</v>
      </c>
      <c r="Q16" t="s">
        <v>247</v>
      </c>
      <c r="R16" t="b">
        <v>0</v>
      </c>
      <c r="S16" t="s">
        <v>3353</v>
      </c>
    </row>
    <row r="17" spans="1:19" ht="11.25" customHeight="1" x14ac:dyDescent="0.15">
      <c r="A17">
        <v>2655</v>
      </c>
      <c r="B17" t="s">
        <v>114</v>
      </c>
      <c r="C17">
        <v>30808700</v>
      </c>
      <c r="D17" t="s">
        <v>3500</v>
      </c>
      <c r="E17" t="s">
        <v>3501</v>
      </c>
      <c r="F17" t="s">
        <v>3502</v>
      </c>
      <c r="G17" t="s">
        <v>3434</v>
      </c>
      <c r="H17" t="s">
        <v>3503</v>
      </c>
      <c r="I17" t="s">
        <v>3504</v>
      </c>
      <c r="J17" t="s">
        <v>3495</v>
      </c>
      <c r="K17" t="s">
        <v>3505</v>
      </c>
      <c r="L17" t="s">
        <v>3506</v>
      </c>
      <c r="M17" t="s">
        <v>3507</v>
      </c>
      <c r="N17" t="s">
        <v>3508</v>
      </c>
      <c r="O17" t="s">
        <v>3509</v>
      </c>
      <c r="P17" t="s">
        <v>3451</v>
      </c>
      <c r="Q17" t="s">
        <v>247</v>
      </c>
      <c r="R17" t="b">
        <v>1</v>
      </c>
      <c r="S17" t="s">
        <v>3353</v>
      </c>
    </row>
    <row r="18" spans="1:19" ht="11.25" customHeight="1" x14ac:dyDescent="0.15">
      <c r="A18">
        <v>2655</v>
      </c>
      <c r="B18" t="s">
        <v>114</v>
      </c>
      <c r="C18">
        <v>31319221</v>
      </c>
      <c r="D18" t="s">
        <v>3510</v>
      </c>
      <c r="E18" t="s">
        <v>3511</v>
      </c>
      <c r="F18" t="s">
        <v>3512</v>
      </c>
      <c r="G18" t="s">
        <v>3492</v>
      </c>
      <c r="H18" t="s">
        <v>3513</v>
      </c>
      <c r="I18" t="s">
        <v>3514</v>
      </c>
      <c r="J18" t="s">
        <v>3483</v>
      </c>
      <c r="K18" t="s">
        <v>3515</v>
      </c>
      <c r="L18" t="s">
        <v>3516</v>
      </c>
      <c r="M18" t="s">
        <v>3517</v>
      </c>
      <c r="N18" t="s">
        <v>3518</v>
      </c>
      <c r="O18" t="s">
        <v>3519</v>
      </c>
      <c r="P18" t="s">
        <v>3488</v>
      </c>
      <c r="Q18" t="s">
        <v>247</v>
      </c>
      <c r="R18" t="b">
        <v>0</v>
      </c>
      <c r="S18" t="s">
        <v>3353</v>
      </c>
    </row>
    <row r="19" spans="1:19" ht="11.25" customHeight="1" x14ac:dyDescent="0.15">
      <c r="A19">
        <v>2655</v>
      </c>
      <c r="B19" t="s">
        <v>114</v>
      </c>
      <c r="C19">
        <v>31419990</v>
      </c>
      <c r="D19" t="s">
        <v>3520</v>
      </c>
      <c r="E19" t="s">
        <v>3521</v>
      </c>
      <c r="F19" t="s">
        <v>3522</v>
      </c>
      <c r="G19" t="s">
        <v>3523</v>
      </c>
      <c r="H19" t="s">
        <v>3524</v>
      </c>
      <c r="I19" t="s">
        <v>3525</v>
      </c>
      <c r="J19" t="s">
        <v>3483</v>
      </c>
      <c r="K19" t="s">
        <v>3526</v>
      </c>
      <c r="L19" t="s">
        <v>3526</v>
      </c>
      <c r="M19" t="s">
        <v>3527</v>
      </c>
      <c r="N19" t="s">
        <v>3528</v>
      </c>
      <c r="O19" t="s">
        <v>3529</v>
      </c>
      <c r="P19" t="s">
        <v>3488</v>
      </c>
      <c r="Q19" t="s">
        <v>3530</v>
      </c>
      <c r="R19" t="b">
        <v>0</v>
      </c>
      <c r="S19" t="s">
        <v>3353</v>
      </c>
    </row>
    <row r="20" spans="1:19" ht="11.25" customHeight="1" x14ac:dyDescent="0.15">
      <c r="A20">
        <v>2655</v>
      </c>
      <c r="B20" t="s">
        <v>114</v>
      </c>
      <c r="C20">
        <v>31343443</v>
      </c>
      <c r="D20" t="s">
        <v>3531</v>
      </c>
      <c r="E20" t="s">
        <v>3532</v>
      </c>
      <c r="F20" t="s">
        <v>3533</v>
      </c>
      <c r="G20" t="s">
        <v>3434</v>
      </c>
      <c r="H20" t="s">
        <v>3534</v>
      </c>
      <c r="I20" t="s">
        <v>3535</v>
      </c>
      <c r="J20" t="s">
        <v>3483</v>
      </c>
      <c r="K20" t="s">
        <v>3536</v>
      </c>
      <c r="L20" t="s">
        <v>3536</v>
      </c>
      <c r="N20" t="s">
        <v>3537</v>
      </c>
      <c r="O20" t="s">
        <v>3538</v>
      </c>
      <c r="P20" t="s">
        <v>3451</v>
      </c>
      <c r="R20" t="b">
        <v>0</v>
      </c>
      <c r="S20" t="s">
        <v>3353</v>
      </c>
    </row>
    <row r="21" spans="1:19" ht="11.25" customHeight="1" x14ac:dyDescent="0.15">
      <c r="A21">
        <v>2655</v>
      </c>
      <c r="B21" t="s">
        <v>114</v>
      </c>
      <c r="C21">
        <v>31367841</v>
      </c>
      <c r="D21" t="s">
        <v>3539</v>
      </c>
      <c r="E21" t="s">
        <v>3540</v>
      </c>
      <c r="F21" t="s">
        <v>3541</v>
      </c>
      <c r="G21" t="s">
        <v>3542</v>
      </c>
      <c r="H21" t="s">
        <v>3543</v>
      </c>
      <c r="I21" t="s">
        <v>3544</v>
      </c>
      <c r="J21" t="s">
        <v>3495</v>
      </c>
      <c r="K21" t="s">
        <v>3545</v>
      </c>
      <c r="L21" t="s">
        <v>3545</v>
      </c>
      <c r="M21" t="s">
        <v>247</v>
      </c>
      <c r="N21" t="s">
        <v>3546</v>
      </c>
      <c r="O21" t="s">
        <v>3547</v>
      </c>
      <c r="P21" t="s">
        <v>3488</v>
      </c>
      <c r="Q21" t="s">
        <v>247</v>
      </c>
      <c r="R21" t="b">
        <v>0</v>
      </c>
      <c r="S21" t="s">
        <v>3353</v>
      </c>
    </row>
    <row r="22" spans="1:19" ht="11.25" customHeight="1" x14ac:dyDescent="0.15">
      <c r="A22">
        <v>2655</v>
      </c>
      <c r="B22" t="s">
        <v>114</v>
      </c>
      <c r="C22">
        <v>31087651</v>
      </c>
      <c r="D22" t="s">
        <v>3548</v>
      </c>
      <c r="E22" t="s">
        <v>3549</v>
      </c>
      <c r="F22" t="s">
        <v>3550</v>
      </c>
      <c r="G22" t="s">
        <v>3551</v>
      </c>
      <c r="H22" t="s">
        <v>3552</v>
      </c>
      <c r="I22" t="s">
        <v>3553</v>
      </c>
      <c r="J22" t="s">
        <v>3483</v>
      </c>
      <c r="K22" t="s">
        <v>3554</v>
      </c>
      <c r="L22" t="s">
        <v>3554</v>
      </c>
      <c r="M22" t="s">
        <v>3555</v>
      </c>
      <c r="N22" t="s">
        <v>3556</v>
      </c>
      <c r="O22" t="s">
        <v>3557</v>
      </c>
      <c r="R22" t="b">
        <v>0</v>
      </c>
      <c r="S22" t="s">
        <v>3353</v>
      </c>
    </row>
    <row r="23" spans="1:19" ht="11.25" customHeight="1" x14ac:dyDescent="0.15">
      <c r="A23">
        <v>2655</v>
      </c>
      <c r="B23" t="s">
        <v>114</v>
      </c>
      <c r="C23">
        <v>31367862</v>
      </c>
      <c r="D23" t="s">
        <v>3558</v>
      </c>
      <c r="E23" t="s">
        <v>3559</v>
      </c>
      <c r="F23" t="s">
        <v>3560</v>
      </c>
      <c r="G23" t="s">
        <v>3542</v>
      </c>
      <c r="H23" t="s">
        <v>3561</v>
      </c>
      <c r="I23" t="s">
        <v>3562</v>
      </c>
      <c r="J23" t="s">
        <v>3483</v>
      </c>
      <c r="K23" t="s">
        <v>3563</v>
      </c>
      <c r="L23" t="s">
        <v>3563</v>
      </c>
      <c r="M23" t="s">
        <v>247</v>
      </c>
      <c r="N23" t="s">
        <v>3564</v>
      </c>
      <c r="O23" t="s">
        <v>3565</v>
      </c>
      <c r="P23" t="s">
        <v>3488</v>
      </c>
      <c r="Q23" t="s">
        <v>247</v>
      </c>
      <c r="R23" t="b">
        <v>0</v>
      </c>
      <c r="S23" t="s">
        <v>3353</v>
      </c>
    </row>
    <row r="24" spans="1:19" ht="11.25" customHeight="1" x14ac:dyDescent="0.15">
      <c r="A24">
        <v>2655</v>
      </c>
      <c r="B24" t="s">
        <v>114</v>
      </c>
      <c r="C24">
        <v>26486390</v>
      </c>
      <c r="D24" t="s">
        <v>3566</v>
      </c>
      <c r="E24" t="s">
        <v>3567</v>
      </c>
      <c r="F24" t="s">
        <v>3568</v>
      </c>
      <c r="G24" t="s">
        <v>3569</v>
      </c>
      <c r="H24" t="s">
        <v>3570</v>
      </c>
      <c r="I24" t="s">
        <v>3571</v>
      </c>
      <c r="J24" t="s">
        <v>3495</v>
      </c>
      <c r="K24" t="s">
        <v>3572</v>
      </c>
      <c r="L24" t="s">
        <v>3572</v>
      </c>
      <c r="M24" t="s">
        <v>3573</v>
      </c>
      <c r="N24" t="s">
        <v>3574</v>
      </c>
      <c r="O24" t="s">
        <v>3575</v>
      </c>
      <c r="P24" t="s">
        <v>3576</v>
      </c>
      <c r="Q24" t="s">
        <v>247</v>
      </c>
      <c r="R24" t="b">
        <v>0</v>
      </c>
      <c r="S24" t="s">
        <v>3353</v>
      </c>
    </row>
    <row r="25" spans="1:19" ht="11.25" customHeight="1" x14ac:dyDescent="0.15">
      <c r="A25">
        <v>2655</v>
      </c>
      <c r="B25" t="s">
        <v>114</v>
      </c>
      <c r="C25">
        <v>27977465</v>
      </c>
      <c r="D25" t="s">
        <v>3577</v>
      </c>
      <c r="E25" t="s">
        <v>3578</v>
      </c>
      <c r="F25" t="s">
        <v>3579</v>
      </c>
      <c r="G25" t="s">
        <v>3580</v>
      </c>
      <c r="H25" t="s">
        <v>3581</v>
      </c>
      <c r="I25" t="s">
        <v>247</v>
      </c>
      <c r="K25" t="s">
        <v>3582</v>
      </c>
      <c r="L25" t="s">
        <v>3582</v>
      </c>
      <c r="M25" t="s">
        <v>3583</v>
      </c>
      <c r="N25" t="s">
        <v>3584</v>
      </c>
      <c r="O25" t="s">
        <v>3585</v>
      </c>
      <c r="P25" t="s">
        <v>3451</v>
      </c>
      <c r="Q25" t="s">
        <v>247</v>
      </c>
      <c r="R25" t="b">
        <v>0</v>
      </c>
      <c r="S25" t="s">
        <v>3353</v>
      </c>
    </row>
    <row r="26" spans="1:19" ht="11.25" customHeight="1" x14ac:dyDescent="0.15">
      <c r="A26">
        <v>2655</v>
      </c>
      <c r="B26" t="s">
        <v>114</v>
      </c>
      <c r="C26">
        <v>31003143</v>
      </c>
      <c r="D26" t="s">
        <v>3586</v>
      </c>
      <c r="E26" t="s">
        <v>3587</v>
      </c>
      <c r="F26" t="s">
        <v>3588</v>
      </c>
      <c r="G26" t="s">
        <v>3580</v>
      </c>
      <c r="H26" t="s">
        <v>3589</v>
      </c>
      <c r="I26" t="s">
        <v>3590</v>
      </c>
      <c r="J26" t="s">
        <v>3495</v>
      </c>
      <c r="K26" t="s">
        <v>3591</v>
      </c>
      <c r="L26" t="s">
        <v>3592</v>
      </c>
      <c r="M26" t="s">
        <v>3593</v>
      </c>
      <c r="N26" t="s">
        <v>3594</v>
      </c>
      <c r="O26" t="s">
        <v>3595</v>
      </c>
      <c r="P26" t="s">
        <v>3488</v>
      </c>
      <c r="Q26" t="s">
        <v>247</v>
      </c>
      <c r="R26" t="b">
        <v>1</v>
      </c>
      <c r="S26" t="s">
        <v>3353</v>
      </c>
    </row>
    <row r="27" spans="1:19" ht="11.25" customHeight="1" x14ac:dyDescent="0.15">
      <c r="A27">
        <v>2655</v>
      </c>
      <c r="B27" t="s">
        <v>114</v>
      </c>
      <c r="C27">
        <v>31308226</v>
      </c>
      <c r="D27" t="s">
        <v>3596</v>
      </c>
      <c r="E27" t="s">
        <v>3597</v>
      </c>
      <c r="F27" t="s">
        <v>3598</v>
      </c>
      <c r="G27" t="s">
        <v>3599</v>
      </c>
      <c r="H27" t="s">
        <v>3600</v>
      </c>
      <c r="I27" t="s">
        <v>3601</v>
      </c>
      <c r="J27" t="s">
        <v>3495</v>
      </c>
      <c r="K27" t="s">
        <v>3602</v>
      </c>
      <c r="L27" t="s">
        <v>3602</v>
      </c>
      <c r="M27" t="s">
        <v>3603</v>
      </c>
      <c r="N27" t="s">
        <v>3604</v>
      </c>
      <c r="O27" t="s">
        <v>3605</v>
      </c>
      <c r="P27" t="s">
        <v>3451</v>
      </c>
      <c r="Q27" t="s">
        <v>247</v>
      </c>
      <c r="R27" t="b">
        <v>1</v>
      </c>
      <c r="S27" t="s">
        <v>3353</v>
      </c>
    </row>
    <row r="28" spans="1:19" ht="11.25" customHeight="1" x14ac:dyDescent="0.15">
      <c r="A28">
        <v>2655</v>
      </c>
      <c r="B28" t="s">
        <v>114</v>
      </c>
      <c r="C28">
        <v>31284269</v>
      </c>
      <c r="D28" t="s">
        <v>3606</v>
      </c>
      <c r="E28" t="s">
        <v>3607</v>
      </c>
      <c r="F28" t="s">
        <v>3608</v>
      </c>
      <c r="G28" t="s">
        <v>3551</v>
      </c>
      <c r="H28" t="s">
        <v>3609</v>
      </c>
      <c r="I28" t="s">
        <v>3610</v>
      </c>
      <c r="J28" t="s">
        <v>3495</v>
      </c>
      <c r="K28" t="s">
        <v>3611</v>
      </c>
      <c r="L28" t="s">
        <v>3612</v>
      </c>
      <c r="M28" t="s">
        <v>3613</v>
      </c>
      <c r="N28" t="s">
        <v>3614</v>
      </c>
      <c r="O28" t="s">
        <v>3615</v>
      </c>
      <c r="P28" t="s">
        <v>247</v>
      </c>
      <c r="Q28" t="s">
        <v>247</v>
      </c>
      <c r="R28" t="b">
        <v>0</v>
      </c>
      <c r="S28" t="s">
        <v>3353</v>
      </c>
    </row>
    <row r="29" spans="1:19" ht="11.25" customHeight="1" x14ac:dyDescent="0.15">
      <c r="A29">
        <v>2655</v>
      </c>
      <c r="B29" t="s">
        <v>114</v>
      </c>
      <c r="C29">
        <v>31241680</v>
      </c>
      <c r="D29" t="s">
        <v>3616</v>
      </c>
      <c r="E29" t="s">
        <v>3617</v>
      </c>
      <c r="F29" t="s">
        <v>3618</v>
      </c>
      <c r="G29" t="s">
        <v>3523</v>
      </c>
      <c r="H29" t="s">
        <v>3619</v>
      </c>
      <c r="I29" t="s">
        <v>3620</v>
      </c>
      <c r="J29" t="s">
        <v>3495</v>
      </c>
      <c r="K29" t="s">
        <v>3621</v>
      </c>
      <c r="L29" t="s">
        <v>3621</v>
      </c>
      <c r="M29" t="s">
        <v>3622</v>
      </c>
      <c r="N29" t="s">
        <v>3623</v>
      </c>
      <c r="O29" t="s">
        <v>3624</v>
      </c>
      <c r="P29" t="s">
        <v>3451</v>
      </c>
      <c r="Q29" t="s">
        <v>3625</v>
      </c>
      <c r="R29" t="b">
        <v>0</v>
      </c>
      <c r="S29" t="s">
        <v>3353</v>
      </c>
    </row>
    <row r="30" spans="1:19" ht="11.25" customHeight="1" x14ac:dyDescent="0.15">
      <c r="A30">
        <v>2655</v>
      </c>
      <c r="B30" t="s">
        <v>114</v>
      </c>
      <c r="C30">
        <v>31579664</v>
      </c>
      <c r="D30" t="s">
        <v>3626</v>
      </c>
      <c r="E30" t="s">
        <v>3627</v>
      </c>
      <c r="F30" t="s">
        <v>3628</v>
      </c>
      <c r="G30" t="s">
        <v>3434</v>
      </c>
      <c r="H30" t="s">
        <v>3629</v>
      </c>
      <c r="I30" t="s">
        <v>3630</v>
      </c>
      <c r="K30" t="s">
        <v>3631</v>
      </c>
      <c r="L30" t="s">
        <v>3632</v>
      </c>
      <c r="M30" t="s">
        <v>3633</v>
      </c>
      <c r="N30" t="s">
        <v>247</v>
      </c>
      <c r="O30" t="s">
        <v>3634</v>
      </c>
      <c r="P30" t="s">
        <v>3488</v>
      </c>
      <c r="Q30" t="s">
        <v>3635</v>
      </c>
      <c r="R30" t="b">
        <v>1</v>
      </c>
      <c r="S30" t="s">
        <v>3353</v>
      </c>
    </row>
    <row r="31" spans="1:19" ht="11.25" customHeight="1" x14ac:dyDescent="0.15">
      <c r="A31">
        <v>2655</v>
      </c>
      <c r="B31" t="s">
        <v>114</v>
      </c>
      <c r="C31">
        <v>26322895</v>
      </c>
      <c r="D31" t="s">
        <v>3636</v>
      </c>
      <c r="E31" t="s">
        <v>3637</v>
      </c>
      <c r="F31" t="s">
        <v>3638</v>
      </c>
      <c r="G31" t="s">
        <v>149</v>
      </c>
      <c r="H31" t="s">
        <v>3639</v>
      </c>
      <c r="I31" t="s">
        <v>3640</v>
      </c>
      <c r="J31" t="s">
        <v>3426</v>
      </c>
      <c r="K31" t="s">
        <v>3641</v>
      </c>
      <c r="L31" t="s">
        <v>3641</v>
      </c>
      <c r="M31" t="s">
        <v>3642</v>
      </c>
      <c r="N31" t="s">
        <v>3643</v>
      </c>
      <c r="O31" t="s">
        <v>3644</v>
      </c>
      <c r="P31" t="s">
        <v>179</v>
      </c>
      <c r="Q31" t="s">
        <v>3645</v>
      </c>
      <c r="R31" t="b">
        <v>0</v>
      </c>
      <c r="S31" t="s">
        <v>3353</v>
      </c>
    </row>
    <row r="32" spans="1:19" ht="11.25" customHeight="1" x14ac:dyDescent="0.15">
      <c r="A32">
        <v>2655</v>
      </c>
      <c r="B32" t="s">
        <v>114</v>
      </c>
      <c r="C32">
        <v>28119331</v>
      </c>
      <c r="D32" t="s">
        <v>3646</v>
      </c>
      <c r="E32" t="s">
        <v>3647</v>
      </c>
      <c r="F32" t="s">
        <v>3648</v>
      </c>
      <c r="G32" t="s">
        <v>149</v>
      </c>
      <c r="H32" t="s">
        <v>3649</v>
      </c>
      <c r="I32" t="s">
        <v>247</v>
      </c>
      <c r="J32" t="s">
        <v>156</v>
      </c>
      <c r="K32" t="s">
        <v>3650</v>
      </c>
      <c r="L32" t="s">
        <v>3650</v>
      </c>
      <c r="M32" t="s">
        <v>3651</v>
      </c>
      <c r="N32" t="s">
        <v>247</v>
      </c>
      <c r="O32" t="s">
        <v>3652</v>
      </c>
      <c r="P32" t="s">
        <v>3451</v>
      </c>
      <c r="Q32" t="s">
        <v>247</v>
      </c>
      <c r="R32" t="b">
        <v>1</v>
      </c>
      <c r="S32" t="s">
        <v>3353</v>
      </c>
    </row>
    <row r="33" spans="1:19" ht="11.25" customHeight="1" x14ac:dyDescent="0.15">
      <c r="A33">
        <v>2655</v>
      </c>
      <c r="B33" t="s">
        <v>114</v>
      </c>
      <c r="C33">
        <v>31775146</v>
      </c>
      <c r="D33" t="s">
        <v>3653</v>
      </c>
      <c r="E33" t="s">
        <v>3654</v>
      </c>
      <c r="F33" t="s">
        <v>3655</v>
      </c>
      <c r="G33" t="s">
        <v>3656</v>
      </c>
      <c r="H33" t="s">
        <v>3657</v>
      </c>
      <c r="I33" t="s">
        <v>3658</v>
      </c>
      <c r="K33" t="s">
        <v>3659</v>
      </c>
      <c r="L33" t="s">
        <v>3659</v>
      </c>
      <c r="M33" t="s">
        <v>3660</v>
      </c>
      <c r="N33" t="s">
        <v>3661</v>
      </c>
      <c r="O33" t="s">
        <v>3662</v>
      </c>
      <c r="P33" t="s">
        <v>3451</v>
      </c>
      <c r="Q33" t="s">
        <v>247</v>
      </c>
      <c r="R33" t="b">
        <v>1</v>
      </c>
      <c r="S33" t="s">
        <v>3353</v>
      </c>
    </row>
    <row r="34" spans="1:19" ht="11.25" customHeight="1" x14ac:dyDescent="0.15">
      <c r="A34">
        <v>2655</v>
      </c>
      <c r="B34" t="s">
        <v>114</v>
      </c>
      <c r="C34">
        <v>28869965</v>
      </c>
      <c r="D34" t="s">
        <v>3663</v>
      </c>
      <c r="E34" t="s">
        <v>3664</v>
      </c>
      <c r="F34" t="s">
        <v>3665</v>
      </c>
      <c r="G34" t="s">
        <v>3480</v>
      </c>
      <c r="H34" t="s">
        <v>3666</v>
      </c>
      <c r="I34" t="s">
        <v>247</v>
      </c>
      <c r="J34" t="s">
        <v>156</v>
      </c>
      <c r="K34" t="s">
        <v>3667</v>
      </c>
      <c r="L34" t="s">
        <v>3667</v>
      </c>
      <c r="M34" t="s">
        <v>3668</v>
      </c>
      <c r="N34" t="s">
        <v>3669</v>
      </c>
      <c r="O34" t="s">
        <v>3670</v>
      </c>
      <c r="P34" t="s">
        <v>179</v>
      </c>
      <c r="Q34" t="s">
        <v>3671</v>
      </c>
      <c r="R34" t="b">
        <v>0</v>
      </c>
      <c r="S34" t="s">
        <v>3353</v>
      </c>
    </row>
    <row r="35" spans="1:19" ht="11.25" customHeight="1" x14ac:dyDescent="0.15">
      <c r="A35">
        <v>2655</v>
      </c>
      <c r="B35" t="s">
        <v>114</v>
      </c>
      <c r="C35">
        <v>31356597</v>
      </c>
      <c r="D35" t="s">
        <v>3672</v>
      </c>
      <c r="E35" t="s">
        <v>3673</v>
      </c>
      <c r="F35" t="s">
        <v>3674</v>
      </c>
      <c r="G35" t="s">
        <v>3551</v>
      </c>
      <c r="H35" t="s">
        <v>3675</v>
      </c>
      <c r="I35" t="s">
        <v>3676</v>
      </c>
      <c r="J35" t="s">
        <v>156</v>
      </c>
      <c r="K35" t="s">
        <v>3677</v>
      </c>
      <c r="L35" t="s">
        <v>3677</v>
      </c>
      <c r="M35" t="s">
        <v>3678</v>
      </c>
      <c r="N35" t="s">
        <v>3679</v>
      </c>
      <c r="O35" t="s">
        <v>3680</v>
      </c>
      <c r="P35" t="s">
        <v>179</v>
      </c>
      <c r="Q35" t="s">
        <v>247</v>
      </c>
      <c r="R35" t="b">
        <v>0</v>
      </c>
      <c r="S35" t="s">
        <v>3353</v>
      </c>
    </row>
    <row r="36" spans="1:19" ht="11.25" customHeight="1" x14ac:dyDescent="0.15">
      <c r="A36">
        <v>2655</v>
      </c>
      <c r="B36" t="s">
        <v>114</v>
      </c>
      <c r="C36">
        <v>28136671</v>
      </c>
      <c r="D36" t="s">
        <v>3681</v>
      </c>
      <c r="E36" t="s">
        <v>3682</v>
      </c>
      <c r="F36" t="s">
        <v>3683</v>
      </c>
      <c r="G36" t="s">
        <v>3684</v>
      </c>
      <c r="H36" t="s">
        <v>3685</v>
      </c>
      <c r="I36" t="s">
        <v>3686</v>
      </c>
      <c r="J36" t="s">
        <v>156</v>
      </c>
      <c r="K36" t="s">
        <v>3687</v>
      </c>
      <c r="L36" t="s">
        <v>3688</v>
      </c>
      <c r="M36" t="s">
        <v>3689</v>
      </c>
      <c r="N36" t="s">
        <v>3690</v>
      </c>
      <c r="O36" t="s">
        <v>3691</v>
      </c>
      <c r="P36" t="s">
        <v>3364</v>
      </c>
      <c r="Q36" t="s">
        <v>247</v>
      </c>
      <c r="R36" t="b">
        <v>1</v>
      </c>
      <c r="S36" t="s">
        <v>3353</v>
      </c>
    </row>
    <row r="37" spans="1:19" ht="11.25" customHeight="1" x14ac:dyDescent="0.15">
      <c r="A37">
        <v>2655</v>
      </c>
      <c r="B37" t="s">
        <v>114</v>
      </c>
      <c r="C37">
        <v>30854705</v>
      </c>
      <c r="D37" t="s">
        <v>3692</v>
      </c>
      <c r="E37" t="s">
        <v>3693</v>
      </c>
      <c r="F37" t="s">
        <v>3694</v>
      </c>
      <c r="G37" t="s">
        <v>3379</v>
      </c>
      <c r="H37" t="s">
        <v>3695</v>
      </c>
      <c r="I37" t="s">
        <v>3696</v>
      </c>
      <c r="J37" t="s">
        <v>156</v>
      </c>
      <c r="K37" t="s">
        <v>3697</v>
      </c>
      <c r="L37" t="s">
        <v>3697</v>
      </c>
      <c r="M37" t="s">
        <v>3698</v>
      </c>
      <c r="N37" t="s">
        <v>3699</v>
      </c>
      <c r="O37" t="s">
        <v>3700</v>
      </c>
      <c r="P37" t="s">
        <v>179</v>
      </c>
      <c r="Q37" t="s">
        <v>190</v>
      </c>
      <c r="R37" t="b">
        <v>0</v>
      </c>
      <c r="S37" t="s">
        <v>3353</v>
      </c>
    </row>
    <row r="38" spans="1:19" ht="11.25" customHeight="1" x14ac:dyDescent="0.15">
      <c r="A38">
        <v>2655</v>
      </c>
      <c r="B38" t="s">
        <v>114</v>
      </c>
      <c r="C38">
        <v>31656254</v>
      </c>
      <c r="D38" t="s">
        <v>3701</v>
      </c>
      <c r="E38" t="s">
        <v>3702</v>
      </c>
      <c r="F38" t="s">
        <v>3703</v>
      </c>
      <c r="G38" t="s">
        <v>3704</v>
      </c>
      <c r="H38" t="s">
        <v>3705</v>
      </c>
      <c r="I38" t="s">
        <v>3706</v>
      </c>
      <c r="K38" t="s">
        <v>3707</v>
      </c>
      <c r="L38" t="s">
        <v>3708</v>
      </c>
      <c r="M38" t="s">
        <v>3709</v>
      </c>
      <c r="N38" t="s">
        <v>3710</v>
      </c>
      <c r="O38" t="s">
        <v>3711</v>
      </c>
      <c r="P38" t="s">
        <v>3488</v>
      </c>
      <c r="Q38" t="s">
        <v>3712</v>
      </c>
      <c r="R38" t="b">
        <v>0</v>
      </c>
      <c r="S38" t="s">
        <v>3353</v>
      </c>
    </row>
    <row r="39" spans="1:19" ht="11.25" customHeight="1" x14ac:dyDescent="0.15">
      <c r="A39">
        <v>2655</v>
      </c>
      <c r="B39" t="s">
        <v>114</v>
      </c>
      <c r="C39">
        <v>31424033</v>
      </c>
      <c r="D39" t="s">
        <v>3713</v>
      </c>
      <c r="E39" t="s">
        <v>3714</v>
      </c>
      <c r="F39" t="s">
        <v>3715</v>
      </c>
      <c r="G39" t="s">
        <v>3716</v>
      </c>
      <c r="H39" t="s">
        <v>3717</v>
      </c>
      <c r="I39" t="s">
        <v>247</v>
      </c>
      <c r="J39" t="s">
        <v>156</v>
      </c>
      <c r="K39" t="s">
        <v>247</v>
      </c>
      <c r="L39" t="s">
        <v>247</v>
      </c>
      <c r="M39" t="s">
        <v>247</v>
      </c>
      <c r="N39" t="s">
        <v>247</v>
      </c>
      <c r="O39" t="s">
        <v>247</v>
      </c>
      <c r="P39" t="s">
        <v>247</v>
      </c>
      <c r="Q39" t="s">
        <v>247</v>
      </c>
      <c r="R39" t="b">
        <v>0</v>
      </c>
      <c r="S39" t="s">
        <v>3353</v>
      </c>
    </row>
    <row r="40" spans="1:19" ht="11.25" customHeight="1" x14ac:dyDescent="0.15">
      <c r="A40">
        <v>2655</v>
      </c>
      <c r="B40" t="s">
        <v>114</v>
      </c>
      <c r="C40">
        <v>26428026</v>
      </c>
      <c r="D40" t="s">
        <v>3718</v>
      </c>
      <c r="E40" t="s">
        <v>3719</v>
      </c>
      <c r="F40" t="s">
        <v>3720</v>
      </c>
      <c r="G40" t="s">
        <v>3721</v>
      </c>
      <c r="H40" t="s">
        <v>3722</v>
      </c>
      <c r="I40" t="s">
        <v>247</v>
      </c>
      <c r="K40" t="s">
        <v>3723</v>
      </c>
      <c r="L40" t="s">
        <v>3723</v>
      </c>
      <c r="M40" t="s">
        <v>3724</v>
      </c>
      <c r="N40" t="s">
        <v>3725</v>
      </c>
      <c r="O40" t="s">
        <v>3726</v>
      </c>
      <c r="P40" t="s">
        <v>3488</v>
      </c>
      <c r="Q40" t="s">
        <v>247</v>
      </c>
      <c r="R40" t="b">
        <v>1</v>
      </c>
      <c r="S40" t="s">
        <v>3353</v>
      </c>
    </row>
    <row r="41" spans="1:19" ht="11.25" customHeight="1" x14ac:dyDescent="0.15">
      <c r="A41">
        <v>2655</v>
      </c>
      <c r="B41" t="s">
        <v>114</v>
      </c>
      <c r="C41">
        <v>28151808</v>
      </c>
      <c r="D41" t="s">
        <v>3727</v>
      </c>
      <c r="E41" t="s">
        <v>3728</v>
      </c>
      <c r="F41" t="s">
        <v>3729</v>
      </c>
      <c r="G41" t="s">
        <v>3434</v>
      </c>
      <c r="H41" t="s">
        <v>3730</v>
      </c>
      <c r="I41" t="s">
        <v>3731</v>
      </c>
      <c r="J41" t="s">
        <v>156</v>
      </c>
      <c r="K41" t="s">
        <v>3732</v>
      </c>
      <c r="L41" t="s">
        <v>3733</v>
      </c>
      <c r="M41" t="s">
        <v>3734</v>
      </c>
      <c r="N41" t="s">
        <v>3735</v>
      </c>
      <c r="O41" t="s">
        <v>3736</v>
      </c>
      <c r="P41" t="s">
        <v>179</v>
      </c>
      <c r="Q41" t="s">
        <v>247</v>
      </c>
      <c r="R41" t="b">
        <v>1</v>
      </c>
      <c r="S41" t="s">
        <v>3353</v>
      </c>
    </row>
    <row r="42" spans="1:19" ht="11.25" customHeight="1" x14ac:dyDescent="0.15">
      <c r="A42">
        <v>2655</v>
      </c>
      <c r="B42" t="s">
        <v>114</v>
      </c>
      <c r="C42">
        <v>31739633</v>
      </c>
      <c r="D42" t="s">
        <v>3737</v>
      </c>
      <c r="E42" t="s">
        <v>3738</v>
      </c>
      <c r="F42" t="s">
        <v>3739</v>
      </c>
      <c r="G42" t="s">
        <v>3740</v>
      </c>
      <c r="H42" t="s">
        <v>3741</v>
      </c>
      <c r="I42" t="s">
        <v>3742</v>
      </c>
      <c r="K42" t="s">
        <v>3743</v>
      </c>
      <c r="L42" t="s">
        <v>3743</v>
      </c>
      <c r="M42" t="s">
        <v>3744</v>
      </c>
      <c r="N42" t="s">
        <v>3745</v>
      </c>
      <c r="O42" t="s">
        <v>3746</v>
      </c>
      <c r="P42" t="s">
        <v>3451</v>
      </c>
      <c r="Q42" t="s">
        <v>247</v>
      </c>
      <c r="R42" t="b">
        <v>0</v>
      </c>
      <c r="S42" t="s">
        <v>3353</v>
      </c>
    </row>
    <row r="43" spans="1:19" ht="11.25" customHeight="1" x14ac:dyDescent="0.15">
      <c r="A43">
        <v>2655</v>
      </c>
      <c r="B43" t="s">
        <v>114</v>
      </c>
      <c r="C43">
        <v>31541617</v>
      </c>
      <c r="D43" t="s">
        <v>3747</v>
      </c>
      <c r="E43" t="s">
        <v>3748</v>
      </c>
      <c r="F43" t="s">
        <v>3749</v>
      </c>
      <c r="G43" t="s">
        <v>3750</v>
      </c>
      <c r="H43" t="s">
        <v>3751</v>
      </c>
      <c r="I43" t="s">
        <v>3752</v>
      </c>
      <c r="K43" t="s">
        <v>3753</v>
      </c>
      <c r="L43" t="s">
        <v>3753</v>
      </c>
      <c r="M43" t="s">
        <v>3754</v>
      </c>
      <c r="N43" t="s">
        <v>3755</v>
      </c>
      <c r="O43" t="s">
        <v>3756</v>
      </c>
      <c r="P43" t="s">
        <v>3451</v>
      </c>
      <c r="Q43" t="s">
        <v>247</v>
      </c>
      <c r="R43" t="b">
        <v>1</v>
      </c>
      <c r="S43" t="s">
        <v>3353</v>
      </c>
    </row>
    <row r="44" spans="1:19" ht="11.25" customHeight="1" x14ac:dyDescent="0.15">
      <c r="A44">
        <v>2655</v>
      </c>
      <c r="B44" t="s">
        <v>114</v>
      </c>
      <c r="C44">
        <v>26356987</v>
      </c>
      <c r="D44" t="s">
        <v>3757</v>
      </c>
      <c r="E44" t="s">
        <v>3758</v>
      </c>
      <c r="F44" t="s">
        <v>3759</v>
      </c>
      <c r="G44" t="s">
        <v>3760</v>
      </c>
      <c r="H44" t="s">
        <v>3761</v>
      </c>
      <c r="I44" t="s">
        <v>3762</v>
      </c>
      <c r="J44" t="s">
        <v>156</v>
      </c>
      <c r="K44" t="s">
        <v>3763</v>
      </c>
      <c r="L44" t="s">
        <v>3763</v>
      </c>
      <c r="M44" t="s">
        <v>3764</v>
      </c>
      <c r="N44" t="s">
        <v>3765</v>
      </c>
      <c r="O44" t="s">
        <v>3766</v>
      </c>
      <c r="P44" t="s">
        <v>3451</v>
      </c>
      <c r="Q44" t="s">
        <v>3767</v>
      </c>
      <c r="R44" t="b">
        <v>0</v>
      </c>
      <c r="S44" t="s">
        <v>3353</v>
      </c>
    </row>
    <row r="45" spans="1:19" ht="11.25" customHeight="1" x14ac:dyDescent="0.15">
      <c r="A45">
        <v>2655</v>
      </c>
      <c r="B45" t="s">
        <v>114</v>
      </c>
      <c r="C45">
        <v>26356891</v>
      </c>
      <c r="D45" t="s">
        <v>3768</v>
      </c>
      <c r="E45" t="s">
        <v>3769</v>
      </c>
      <c r="F45" t="s">
        <v>3770</v>
      </c>
      <c r="G45" t="s">
        <v>3580</v>
      </c>
      <c r="H45" t="s">
        <v>3771</v>
      </c>
      <c r="I45" t="s">
        <v>3772</v>
      </c>
      <c r="J45" t="s">
        <v>156</v>
      </c>
      <c r="K45" t="s">
        <v>3773</v>
      </c>
      <c r="L45" t="s">
        <v>3773</v>
      </c>
      <c r="M45" t="s">
        <v>3774</v>
      </c>
      <c r="N45" t="s">
        <v>3775</v>
      </c>
      <c r="O45" t="s">
        <v>3776</v>
      </c>
      <c r="P45" t="s">
        <v>3488</v>
      </c>
      <c r="Q45" t="s">
        <v>247</v>
      </c>
      <c r="R45" t="b">
        <v>0</v>
      </c>
      <c r="S45" t="s">
        <v>3353</v>
      </c>
    </row>
    <row r="46" spans="1:19" ht="11.25" customHeight="1" x14ac:dyDescent="0.15">
      <c r="A46">
        <v>2655</v>
      </c>
      <c r="B46" t="s">
        <v>114</v>
      </c>
      <c r="C46">
        <v>31241637</v>
      </c>
      <c r="D46" t="s">
        <v>3777</v>
      </c>
      <c r="E46" t="s">
        <v>3778</v>
      </c>
      <c r="F46" t="s">
        <v>3779</v>
      </c>
      <c r="G46" t="s">
        <v>3599</v>
      </c>
      <c r="H46" t="s">
        <v>3780</v>
      </c>
      <c r="I46" t="s">
        <v>3781</v>
      </c>
      <c r="J46" t="s">
        <v>156</v>
      </c>
      <c r="K46" t="s">
        <v>3782</v>
      </c>
      <c r="L46" t="s">
        <v>3782</v>
      </c>
      <c r="M46" t="s">
        <v>3783</v>
      </c>
      <c r="N46" t="s">
        <v>247</v>
      </c>
      <c r="O46" t="s">
        <v>3784</v>
      </c>
      <c r="P46" t="s">
        <v>3451</v>
      </c>
      <c r="Q46" t="s">
        <v>247</v>
      </c>
      <c r="R46" t="b">
        <v>0</v>
      </c>
      <c r="S46" t="s">
        <v>3353</v>
      </c>
    </row>
    <row r="47" spans="1:19" ht="11.25" customHeight="1" x14ac:dyDescent="0.15">
      <c r="A47">
        <v>2655</v>
      </c>
      <c r="B47" t="s">
        <v>114</v>
      </c>
      <c r="C47">
        <v>26356937</v>
      </c>
      <c r="D47" t="s">
        <v>3785</v>
      </c>
      <c r="E47" t="s">
        <v>3786</v>
      </c>
      <c r="F47" t="s">
        <v>3787</v>
      </c>
      <c r="G47" t="s">
        <v>3656</v>
      </c>
      <c r="H47" t="s">
        <v>3788</v>
      </c>
      <c r="I47" t="s">
        <v>3789</v>
      </c>
      <c r="J47" t="s">
        <v>156</v>
      </c>
      <c r="K47" t="s">
        <v>3790</v>
      </c>
      <c r="L47" t="s">
        <v>3790</v>
      </c>
      <c r="M47" t="s">
        <v>3791</v>
      </c>
      <c r="N47" t="s">
        <v>3792</v>
      </c>
      <c r="O47" t="s">
        <v>3793</v>
      </c>
      <c r="P47" t="s">
        <v>3451</v>
      </c>
      <c r="Q47" t="s">
        <v>3794</v>
      </c>
      <c r="R47" t="b">
        <v>0</v>
      </c>
      <c r="S47" t="s">
        <v>3353</v>
      </c>
    </row>
    <row r="48" spans="1:19" ht="11.25" customHeight="1" x14ac:dyDescent="0.15">
      <c r="A48">
        <v>2655</v>
      </c>
      <c r="B48" t="s">
        <v>114</v>
      </c>
      <c r="C48">
        <v>31770754</v>
      </c>
      <c r="D48" t="s">
        <v>3795</v>
      </c>
      <c r="E48" t="s">
        <v>3796</v>
      </c>
      <c r="F48" t="s">
        <v>3797</v>
      </c>
      <c r="G48" t="s">
        <v>3740</v>
      </c>
      <c r="H48" t="s">
        <v>3798</v>
      </c>
      <c r="I48" t="s">
        <v>3799</v>
      </c>
      <c r="K48" t="s">
        <v>3800</v>
      </c>
      <c r="L48" t="s">
        <v>3801</v>
      </c>
      <c r="M48" t="s">
        <v>3802</v>
      </c>
      <c r="N48" t="s">
        <v>3803</v>
      </c>
      <c r="O48" t="s">
        <v>3804</v>
      </c>
      <c r="P48" t="s">
        <v>3488</v>
      </c>
      <c r="Q48" t="s">
        <v>247</v>
      </c>
      <c r="R48" t="b">
        <v>1</v>
      </c>
      <c r="S48" t="s">
        <v>3353</v>
      </c>
    </row>
    <row r="49" spans="1:19" ht="11.25" customHeight="1" x14ac:dyDescent="0.15">
      <c r="A49">
        <v>2655</v>
      </c>
      <c r="B49" t="s">
        <v>114</v>
      </c>
      <c r="C49">
        <v>31528492</v>
      </c>
      <c r="D49" t="s">
        <v>3805</v>
      </c>
      <c r="E49" t="s">
        <v>3806</v>
      </c>
      <c r="F49" t="s">
        <v>3807</v>
      </c>
      <c r="G49" t="s">
        <v>3599</v>
      </c>
      <c r="H49" t="s">
        <v>3808</v>
      </c>
      <c r="I49" t="s">
        <v>3809</v>
      </c>
      <c r="K49" t="s">
        <v>3810</v>
      </c>
      <c r="L49" t="s">
        <v>3810</v>
      </c>
      <c r="M49" t="s">
        <v>3811</v>
      </c>
      <c r="N49" t="s">
        <v>3812</v>
      </c>
      <c r="O49" t="s">
        <v>3813</v>
      </c>
      <c r="P49" t="s">
        <v>3364</v>
      </c>
      <c r="Q49" t="s">
        <v>247</v>
      </c>
      <c r="R49" t="b">
        <v>0</v>
      </c>
      <c r="S49" t="s">
        <v>3353</v>
      </c>
    </row>
    <row r="50" spans="1:19" ht="11.25" customHeight="1" x14ac:dyDescent="0.15">
      <c r="A50">
        <v>2655</v>
      </c>
      <c r="B50" t="s">
        <v>114</v>
      </c>
      <c r="C50">
        <v>28270293</v>
      </c>
      <c r="D50" t="s">
        <v>3814</v>
      </c>
      <c r="E50" t="s">
        <v>3815</v>
      </c>
      <c r="F50" t="s">
        <v>3816</v>
      </c>
      <c r="G50" t="s">
        <v>3580</v>
      </c>
      <c r="H50" t="s">
        <v>3817</v>
      </c>
      <c r="I50" t="s">
        <v>3818</v>
      </c>
      <c r="J50" t="s">
        <v>156</v>
      </c>
      <c r="K50" t="s">
        <v>3819</v>
      </c>
      <c r="L50" t="s">
        <v>3819</v>
      </c>
      <c r="M50" t="s">
        <v>3820</v>
      </c>
      <c r="N50" t="s">
        <v>3821</v>
      </c>
      <c r="O50" t="s">
        <v>3822</v>
      </c>
      <c r="P50" t="s">
        <v>179</v>
      </c>
      <c r="Q50" t="s">
        <v>247</v>
      </c>
      <c r="R50" t="b">
        <v>0</v>
      </c>
      <c r="S50" t="s">
        <v>3353</v>
      </c>
    </row>
    <row r="51" spans="1:19" ht="11.25" customHeight="1" x14ac:dyDescent="0.15">
      <c r="A51">
        <v>2655</v>
      </c>
      <c r="B51" t="s">
        <v>114</v>
      </c>
      <c r="C51">
        <v>28873362</v>
      </c>
      <c r="D51" t="s">
        <v>3823</v>
      </c>
      <c r="E51" t="s">
        <v>3824</v>
      </c>
      <c r="F51" t="s">
        <v>3825</v>
      </c>
      <c r="G51" t="s">
        <v>149</v>
      </c>
      <c r="H51" t="s">
        <v>3826</v>
      </c>
      <c r="I51" t="s">
        <v>3827</v>
      </c>
      <c r="J51" t="s">
        <v>156</v>
      </c>
      <c r="K51" t="s">
        <v>3828</v>
      </c>
      <c r="L51" t="s">
        <v>3828</v>
      </c>
      <c r="M51" t="s">
        <v>3829</v>
      </c>
      <c r="N51" t="s">
        <v>3830</v>
      </c>
      <c r="O51" t="s">
        <v>3831</v>
      </c>
      <c r="P51" t="s">
        <v>3488</v>
      </c>
      <c r="Q51" t="s">
        <v>3832</v>
      </c>
      <c r="R51" t="b">
        <v>0</v>
      </c>
      <c r="S51" t="s">
        <v>3353</v>
      </c>
    </row>
    <row r="52" spans="1:19" ht="11.25" customHeight="1" x14ac:dyDescent="0.15">
      <c r="A52">
        <v>2655</v>
      </c>
      <c r="B52" t="s">
        <v>114</v>
      </c>
      <c r="C52">
        <v>28976681</v>
      </c>
      <c r="D52" t="s">
        <v>3833</v>
      </c>
      <c r="E52" t="s">
        <v>3834</v>
      </c>
      <c r="F52" t="s">
        <v>3835</v>
      </c>
      <c r="G52" t="s">
        <v>3580</v>
      </c>
      <c r="H52" t="s">
        <v>3836</v>
      </c>
      <c r="I52" t="s">
        <v>3837</v>
      </c>
      <c r="J52" t="s">
        <v>156</v>
      </c>
      <c r="K52" t="s">
        <v>3838</v>
      </c>
      <c r="L52" t="s">
        <v>3838</v>
      </c>
      <c r="M52" t="s">
        <v>3839</v>
      </c>
      <c r="N52" t="s">
        <v>247</v>
      </c>
      <c r="O52" t="s">
        <v>3840</v>
      </c>
      <c r="P52" t="s">
        <v>3488</v>
      </c>
      <c r="Q52" t="s">
        <v>247</v>
      </c>
      <c r="R52" t="b">
        <v>1</v>
      </c>
      <c r="S52" t="s">
        <v>3353</v>
      </c>
    </row>
    <row r="53" spans="1:19" ht="11.25" customHeight="1" x14ac:dyDescent="0.15">
      <c r="A53">
        <v>2655</v>
      </c>
      <c r="B53" t="s">
        <v>114</v>
      </c>
      <c r="C53">
        <v>30992391</v>
      </c>
      <c r="D53" t="s">
        <v>3841</v>
      </c>
      <c r="E53" t="s">
        <v>3842</v>
      </c>
      <c r="F53" t="s">
        <v>3843</v>
      </c>
      <c r="G53" t="s">
        <v>3480</v>
      </c>
      <c r="H53" t="s">
        <v>3844</v>
      </c>
      <c r="I53" t="s">
        <v>3845</v>
      </c>
      <c r="J53" t="s">
        <v>156</v>
      </c>
      <c r="K53" t="s">
        <v>3846</v>
      </c>
      <c r="L53" t="s">
        <v>3847</v>
      </c>
      <c r="M53" t="s">
        <v>3848</v>
      </c>
      <c r="N53" t="s">
        <v>3849</v>
      </c>
      <c r="O53" t="s">
        <v>3850</v>
      </c>
      <c r="P53" t="s">
        <v>3488</v>
      </c>
      <c r="Q53" t="s">
        <v>3851</v>
      </c>
      <c r="R53" t="b">
        <v>0</v>
      </c>
      <c r="S53" t="s">
        <v>3353</v>
      </c>
    </row>
    <row r="54" spans="1:19" ht="11.25" customHeight="1" x14ac:dyDescent="0.15">
      <c r="A54">
        <v>2655</v>
      </c>
      <c r="B54" t="s">
        <v>114</v>
      </c>
      <c r="C54">
        <v>30808511</v>
      </c>
      <c r="D54" t="s">
        <v>3852</v>
      </c>
      <c r="E54" t="s">
        <v>3852</v>
      </c>
      <c r="F54" t="s">
        <v>3853</v>
      </c>
      <c r="G54" t="s">
        <v>3854</v>
      </c>
      <c r="H54" t="s">
        <v>3855</v>
      </c>
      <c r="I54" t="s">
        <v>3856</v>
      </c>
      <c r="J54" t="s">
        <v>3857</v>
      </c>
      <c r="K54" t="s">
        <v>3858</v>
      </c>
      <c r="L54" t="s">
        <v>3859</v>
      </c>
      <c r="M54" t="s">
        <v>3860</v>
      </c>
      <c r="N54" t="s">
        <v>247</v>
      </c>
      <c r="O54" t="s">
        <v>3861</v>
      </c>
      <c r="P54" t="s">
        <v>3488</v>
      </c>
      <c r="Q54" t="s">
        <v>3862</v>
      </c>
      <c r="R54" t="b">
        <v>0</v>
      </c>
      <c r="S54" t="s">
        <v>3353</v>
      </c>
    </row>
    <row r="55" spans="1:19" ht="11.25" customHeight="1" x14ac:dyDescent="0.15">
      <c r="A55">
        <v>2655</v>
      </c>
      <c r="B55" t="s">
        <v>114</v>
      </c>
      <c r="C55">
        <v>26987067</v>
      </c>
      <c r="D55" t="s">
        <v>3863</v>
      </c>
      <c r="E55" t="s">
        <v>247</v>
      </c>
      <c r="F55" t="s">
        <v>3853</v>
      </c>
      <c r="G55" t="s">
        <v>3864</v>
      </c>
      <c r="H55" t="s">
        <v>3855</v>
      </c>
      <c r="I55" t="s">
        <v>247</v>
      </c>
      <c r="J55" t="s">
        <v>3426</v>
      </c>
      <c r="K55" t="s">
        <v>3865</v>
      </c>
      <c r="L55" t="s">
        <v>3866</v>
      </c>
      <c r="M55" t="s">
        <v>247</v>
      </c>
      <c r="N55" t="s">
        <v>247</v>
      </c>
      <c r="O55" t="s">
        <v>247</v>
      </c>
      <c r="P55" t="s">
        <v>247</v>
      </c>
      <c r="Q55" t="s">
        <v>247</v>
      </c>
      <c r="R55" t="b">
        <v>0</v>
      </c>
      <c r="S55" t="s">
        <v>3353</v>
      </c>
    </row>
    <row r="56" spans="1:19" ht="11.25" customHeight="1" x14ac:dyDescent="0.15">
      <c r="A56">
        <v>2655</v>
      </c>
      <c r="B56" t="s">
        <v>114</v>
      </c>
      <c r="C56">
        <v>26520873</v>
      </c>
      <c r="D56" t="s">
        <v>3867</v>
      </c>
      <c r="E56" t="s">
        <v>3868</v>
      </c>
      <c r="F56" t="s">
        <v>3853</v>
      </c>
      <c r="G56" t="s">
        <v>3869</v>
      </c>
      <c r="H56" t="s">
        <v>3855</v>
      </c>
      <c r="I56" t="s">
        <v>3870</v>
      </c>
      <c r="J56" t="s">
        <v>3857</v>
      </c>
      <c r="K56" t="s">
        <v>3871</v>
      </c>
      <c r="L56" t="s">
        <v>3872</v>
      </c>
      <c r="M56" t="s">
        <v>3873</v>
      </c>
      <c r="N56" t="s">
        <v>3874</v>
      </c>
      <c r="O56" t="s">
        <v>3875</v>
      </c>
      <c r="P56" t="s">
        <v>3488</v>
      </c>
      <c r="Q56" t="s">
        <v>3876</v>
      </c>
      <c r="R56" t="b">
        <v>0</v>
      </c>
      <c r="S56" t="s">
        <v>3353</v>
      </c>
    </row>
    <row r="57" spans="1:19" ht="11.25" customHeight="1" x14ac:dyDescent="0.15">
      <c r="A57">
        <v>2655</v>
      </c>
      <c r="B57" t="s">
        <v>114</v>
      </c>
      <c r="C57">
        <v>30984255</v>
      </c>
      <c r="D57" t="s">
        <v>3877</v>
      </c>
      <c r="E57" t="s">
        <v>3878</v>
      </c>
      <c r="F57" t="s">
        <v>3879</v>
      </c>
      <c r="G57" t="s">
        <v>3434</v>
      </c>
      <c r="H57" t="s">
        <v>3880</v>
      </c>
      <c r="I57" t="s">
        <v>3881</v>
      </c>
      <c r="J57" t="s">
        <v>3882</v>
      </c>
      <c r="K57" t="s">
        <v>3883</v>
      </c>
      <c r="L57" t="s">
        <v>3883</v>
      </c>
      <c r="M57" t="s">
        <v>3884</v>
      </c>
      <c r="N57" t="s">
        <v>3885</v>
      </c>
      <c r="O57" t="s">
        <v>3886</v>
      </c>
      <c r="P57" t="s">
        <v>3887</v>
      </c>
      <c r="Q57" t="s">
        <v>247</v>
      </c>
      <c r="R57" t="b">
        <v>0</v>
      </c>
      <c r="S57" t="s">
        <v>3353</v>
      </c>
    </row>
    <row r="58" spans="1:19" ht="11.25" customHeight="1" x14ac:dyDescent="0.15">
      <c r="A58">
        <v>2655</v>
      </c>
      <c r="B58" t="s">
        <v>114</v>
      </c>
      <c r="C58">
        <v>28976938</v>
      </c>
      <c r="D58" t="s">
        <v>3339</v>
      </c>
      <c r="E58" t="s">
        <v>3340</v>
      </c>
      <c r="F58" t="s">
        <v>3341</v>
      </c>
      <c r="G58" t="s">
        <v>3342</v>
      </c>
      <c r="H58" t="s">
        <v>3343</v>
      </c>
      <c r="I58" t="s">
        <v>3344</v>
      </c>
      <c r="J58" t="s">
        <v>3345</v>
      </c>
      <c r="K58" t="s">
        <v>3346</v>
      </c>
      <c r="L58" t="s">
        <v>3347</v>
      </c>
      <c r="M58" t="s">
        <v>3348</v>
      </c>
      <c r="N58" t="s">
        <v>3349</v>
      </c>
      <c r="O58" t="s">
        <v>3350</v>
      </c>
      <c r="P58" t="s">
        <v>3351</v>
      </c>
      <c r="Q58" t="s">
        <v>3352</v>
      </c>
      <c r="R58" t="b">
        <v>0</v>
      </c>
      <c r="S58" t="s">
        <v>3888</v>
      </c>
    </row>
    <row r="59" spans="1:19" ht="11.25" customHeight="1" x14ac:dyDescent="0.15">
      <c r="A59">
        <v>2655</v>
      </c>
      <c r="B59" t="s">
        <v>114</v>
      </c>
      <c r="C59">
        <v>26356915</v>
      </c>
      <c r="D59" t="s">
        <v>3889</v>
      </c>
      <c r="E59" t="s">
        <v>3890</v>
      </c>
      <c r="F59" t="s">
        <v>3891</v>
      </c>
      <c r="G59" t="s">
        <v>3569</v>
      </c>
      <c r="H59" t="s">
        <v>3892</v>
      </c>
      <c r="I59" t="s">
        <v>3893</v>
      </c>
      <c r="J59" t="s">
        <v>3345</v>
      </c>
      <c r="K59" t="s">
        <v>3894</v>
      </c>
      <c r="L59" t="s">
        <v>3894</v>
      </c>
      <c r="M59" t="s">
        <v>3895</v>
      </c>
      <c r="N59" t="s">
        <v>3896</v>
      </c>
      <c r="O59" t="s">
        <v>3897</v>
      </c>
      <c r="P59" t="s">
        <v>179</v>
      </c>
      <c r="Q59" t="s">
        <v>190</v>
      </c>
      <c r="R59" t="b">
        <v>0</v>
      </c>
      <c r="S59" t="s">
        <v>3888</v>
      </c>
    </row>
    <row r="60" spans="1:19" ht="11.25" customHeight="1" x14ac:dyDescent="0.15">
      <c r="A60">
        <v>2655</v>
      </c>
      <c r="B60" t="s">
        <v>114</v>
      </c>
      <c r="C60">
        <v>27857950</v>
      </c>
      <c r="D60" t="s">
        <v>3898</v>
      </c>
      <c r="E60" t="s">
        <v>3899</v>
      </c>
      <c r="F60" t="s">
        <v>3900</v>
      </c>
      <c r="G60" t="s">
        <v>3760</v>
      </c>
      <c r="H60" t="s">
        <v>3901</v>
      </c>
      <c r="I60" t="s">
        <v>247</v>
      </c>
      <c r="J60" t="s">
        <v>3345</v>
      </c>
      <c r="K60" t="s">
        <v>3902</v>
      </c>
      <c r="L60" t="s">
        <v>3902</v>
      </c>
      <c r="M60" t="s">
        <v>3903</v>
      </c>
      <c r="N60" t="s">
        <v>3904</v>
      </c>
      <c r="O60" t="s">
        <v>3905</v>
      </c>
      <c r="P60" t="s">
        <v>3451</v>
      </c>
      <c r="Q60" t="s">
        <v>247</v>
      </c>
      <c r="R60" t="b">
        <v>1</v>
      </c>
      <c r="S60" t="s">
        <v>3888</v>
      </c>
    </row>
    <row r="61" spans="1:19" ht="11.25" customHeight="1" x14ac:dyDescent="0.15">
      <c r="A61">
        <v>2655</v>
      </c>
      <c r="B61" t="s">
        <v>114</v>
      </c>
      <c r="C61">
        <v>26356963</v>
      </c>
      <c r="D61" t="s">
        <v>3376</v>
      </c>
      <c r="E61" t="s">
        <v>3377</v>
      </c>
      <c r="F61" t="s">
        <v>3378</v>
      </c>
      <c r="G61" t="s">
        <v>3379</v>
      </c>
      <c r="H61" t="s">
        <v>3380</v>
      </c>
      <c r="I61" t="s">
        <v>247</v>
      </c>
      <c r="J61" t="s">
        <v>3345</v>
      </c>
      <c r="K61" t="s">
        <v>3381</v>
      </c>
      <c r="L61" t="s">
        <v>3381</v>
      </c>
      <c r="M61" t="s">
        <v>3382</v>
      </c>
      <c r="N61" t="s">
        <v>3383</v>
      </c>
      <c r="O61" t="s">
        <v>3384</v>
      </c>
      <c r="P61" t="s">
        <v>3385</v>
      </c>
      <c r="Q61" t="s">
        <v>247</v>
      </c>
      <c r="R61" t="b">
        <v>0</v>
      </c>
      <c r="S61" t="s">
        <v>3888</v>
      </c>
    </row>
    <row r="62" spans="1:19" ht="11.25" customHeight="1" x14ac:dyDescent="0.15">
      <c r="A62">
        <v>2655</v>
      </c>
      <c r="B62" t="s">
        <v>114</v>
      </c>
      <c r="C62">
        <v>26322889</v>
      </c>
      <c r="D62" t="s">
        <v>3386</v>
      </c>
      <c r="E62" t="s">
        <v>3387</v>
      </c>
      <c r="F62" t="s">
        <v>3388</v>
      </c>
      <c r="G62" t="s">
        <v>3389</v>
      </c>
      <c r="H62" t="s">
        <v>3390</v>
      </c>
      <c r="I62" t="s">
        <v>3391</v>
      </c>
      <c r="J62" t="s">
        <v>3345</v>
      </c>
      <c r="K62" t="s">
        <v>3392</v>
      </c>
      <c r="L62" t="s">
        <v>3393</v>
      </c>
      <c r="M62" t="s">
        <v>3394</v>
      </c>
      <c r="N62" t="s">
        <v>3395</v>
      </c>
      <c r="O62" t="s">
        <v>3396</v>
      </c>
      <c r="P62" t="s">
        <v>3397</v>
      </c>
      <c r="Q62" t="s">
        <v>3398</v>
      </c>
      <c r="R62" t="b">
        <v>0</v>
      </c>
      <c r="S62" t="s">
        <v>3888</v>
      </c>
    </row>
    <row r="63" spans="1:19" ht="11.25" customHeight="1" x14ac:dyDescent="0.15">
      <c r="A63">
        <v>2655</v>
      </c>
      <c r="B63" t="s">
        <v>114</v>
      </c>
      <c r="C63">
        <v>31833446</v>
      </c>
      <c r="D63" t="s">
        <v>3906</v>
      </c>
      <c r="E63" t="s">
        <v>3907</v>
      </c>
      <c r="F63" t="s">
        <v>3908</v>
      </c>
      <c r="G63" t="s">
        <v>149</v>
      </c>
      <c r="H63" t="s">
        <v>3909</v>
      </c>
      <c r="I63" t="s">
        <v>247</v>
      </c>
      <c r="K63" t="s">
        <v>247</v>
      </c>
      <c r="L63" t="s">
        <v>3910</v>
      </c>
      <c r="M63" t="s">
        <v>247</v>
      </c>
      <c r="N63" t="s">
        <v>247</v>
      </c>
      <c r="O63" t="s">
        <v>3911</v>
      </c>
      <c r="P63" t="s">
        <v>3364</v>
      </c>
      <c r="Q63" t="s">
        <v>247</v>
      </c>
      <c r="R63" t="b">
        <v>0</v>
      </c>
      <c r="S63" t="s">
        <v>3888</v>
      </c>
    </row>
    <row r="64" spans="1:19" ht="11.25" customHeight="1" x14ac:dyDescent="0.15">
      <c r="A64">
        <v>2655</v>
      </c>
      <c r="B64" t="s">
        <v>114</v>
      </c>
      <c r="C64">
        <v>27820148</v>
      </c>
      <c r="D64" t="s">
        <v>3912</v>
      </c>
      <c r="E64" t="s">
        <v>3913</v>
      </c>
      <c r="F64" t="s">
        <v>3914</v>
      </c>
      <c r="G64" t="s">
        <v>3656</v>
      </c>
      <c r="H64" t="s">
        <v>3915</v>
      </c>
      <c r="I64" t="s">
        <v>3916</v>
      </c>
      <c r="J64" t="s">
        <v>3345</v>
      </c>
      <c r="K64" t="s">
        <v>3917</v>
      </c>
      <c r="L64" t="s">
        <v>3917</v>
      </c>
      <c r="M64" t="s">
        <v>3918</v>
      </c>
      <c r="N64" t="s">
        <v>3919</v>
      </c>
      <c r="O64" t="s">
        <v>3920</v>
      </c>
      <c r="P64" t="s">
        <v>3921</v>
      </c>
      <c r="Q64" t="s">
        <v>3922</v>
      </c>
      <c r="R64" t="b">
        <v>0</v>
      </c>
      <c r="S64" t="s">
        <v>3888</v>
      </c>
    </row>
    <row r="65" spans="1:19" ht="11.25" customHeight="1" x14ac:dyDescent="0.15">
      <c r="A65">
        <v>2655</v>
      </c>
      <c r="B65" t="s">
        <v>114</v>
      </c>
      <c r="C65">
        <v>26322867</v>
      </c>
      <c r="D65" t="s">
        <v>3452</v>
      </c>
      <c r="E65" t="s">
        <v>3453</v>
      </c>
      <c r="F65" t="s">
        <v>3454</v>
      </c>
      <c r="G65" t="s">
        <v>3389</v>
      </c>
      <c r="H65" t="s">
        <v>3455</v>
      </c>
      <c r="I65" t="s">
        <v>3456</v>
      </c>
      <c r="J65" t="s">
        <v>3345</v>
      </c>
      <c r="K65" t="s">
        <v>3457</v>
      </c>
      <c r="L65" t="s">
        <v>3457</v>
      </c>
      <c r="M65" t="s">
        <v>3458</v>
      </c>
      <c r="N65" t="s">
        <v>3459</v>
      </c>
      <c r="O65" t="s">
        <v>3460</v>
      </c>
      <c r="P65" t="s">
        <v>179</v>
      </c>
      <c r="Q65" t="s">
        <v>3461</v>
      </c>
      <c r="R65" t="b">
        <v>0</v>
      </c>
      <c r="S65" t="s">
        <v>3888</v>
      </c>
    </row>
    <row r="66" spans="1:19" ht="11.25" customHeight="1" x14ac:dyDescent="0.15">
      <c r="A66">
        <v>2655</v>
      </c>
      <c r="B66" t="s">
        <v>114</v>
      </c>
      <c r="C66">
        <v>26824396</v>
      </c>
      <c r="D66" t="s">
        <v>3471</v>
      </c>
      <c r="E66" t="s">
        <v>3472</v>
      </c>
      <c r="F66" t="s">
        <v>3433</v>
      </c>
      <c r="G66" t="s">
        <v>3473</v>
      </c>
      <c r="H66" t="s">
        <v>3435</v>
      </c>
      <c r="I66" t="s">
        <v>247</v>
      </c>
      <c r="J66" t="s">
        <v>3426</v>
      </c>
      <c r="K66" t="s">
        <v>3474</v>
      </c>
      <c r="L66" t="s">
        <v>3474</v>
      </c>
      <c r="M66" t="s">
        <v>3475</v>
      </c>
      <c r="N66" t="s">
        <v>247</v>
      </c>
      <c r="O66" t="s">
        <v>3476</v>
      </c>
      <c r="P66" t="s">
        <v>3470</v>
      </c>
      <c r="Q66" t="s">
        <v>247</v>
      </c>
      <c r="R66" t="b">
        <v>0</v>
      </c>
      <c r="S66" t="s">
        <v>3888</v>
      </c>
    </row>
    <row r="67" spans="1:19" ht="11.25" customHeight="1" x14ac:dyDescent="0.15">
      <c r="A67">
        <v>2655</v>
      </c>
      <c r="B67" t="s">
        <v>114</v>
      </c>
      <c r="C67">
        <v>30365193</v>
      </c>
      <c r="D67" t="s">
        <v>3923</v>
      </c>
      <c r="E67" t="s">
        <v>3924</v>
      </c>
      <c r="F67" t="s">
        <v>3925</v>
      </c>
      <c r="G67" t="s">
        <v>149</v>
      </c>
      <c r="H67" t="s">
        <v>3926</v>
      </c>
      <c r="I67" t="s">
        <v>247</v>
      </c>
      <c r="J67" t="s">
        <v>3927</v>
      </c>
      <c r="K67" t="s">
        <v>3928</v>
      </c>
      <c r="L67" t="s">
        <v>3928</v>
      </c>
      <c r="M67" t="s">
        <v>247</v>
      </c>
      <c r="N67" t="s">
        <v>247</v>
      </c>
      <c r="O67" t="s">
        <v>3929</v>
      </c>
      <c r="P67" t="s">
        <v>3930</v>
      </c>
      <c r="Q67" t="s">
        <v>247</v>
      </c>
      <c r="R67" t="b">
        <v>0</v>
      </c>
      <c r="S67" t="s">
        <v>3888</v>
      </c>
    </row>
    <row r="68" spans="1:19" ht="11.25" customHeight="1" x14ac:dyDescent="0.15">
      <c r="A68">
        <v>2655</v>
      </c>
      <c r="B68" t="s">
        <v>114</v>
      </c>
      <c r="C68">
        <v>31232672</v>
      </c>
      <c r="D68" t="s">
        <v>3477</v>
      </c>
      <c r="E68" t="s">
        <v>3478</v>
      </c>
      <c r="F68" t="s">
        <v>3479</v>
      </c>
      <c r="G68" t="s">
        <v>3480</v>
      </c>
      <c r="H68" t="s">
        <v>3481</v>
      </c>
      <c r="I68" t="s">
        <v>3482</v>
      </c>
      <c r="J68" t="s">
        <v>3483</v>
      </c>
      <c r="K68" t="s">
        <v>3484</v>
      </c>
      <c r="L68" t="s">
        <v>3484</v>
      </c>
      <c r="M68" t="s">
        <v>3485</v>
      </c>
      <c r="N68" t="s">
        <v>3486</v>
      </c>
      <c r="O68" t="s">
        <v>3487</v>
      </c>
      <c r="P68" t="s">
        <v>3488</v>
      </c>
      <c r="Q68" t="s">
        <v>247</v>
      </c>
      <c r="R68" t="b">
        <v>0</v>
      </c>
      <c r="S68" t="s">
        <v>3888</v>
      </c>
    </row>
    <row r="69" spans="1:19" ht="11.25" customHeight="1" x14ac:dyDescent="0.15">
      <c r="A69">
        <v>2655</v>
      </c>
      <c r="B69" t="s">
        <v>114</v>
      </c>
      <c r="C69">
        <v>27978231</v>
      </c>
      <c r="D69" t="s">
        <v>3931</v>
      </c>
      <c r="E69" t="s">
        <v>3932</v>
      </c>
      <c r="F69" t="s">
        <v>3933</v>
      </c>
      <c r="G69" t="s">
        <v>3551</v>
      </c>
      <c r="H69" t="s">
        <v>3934</v>
      </c>
      <c r="I69" t="s">
        <v>3935</v>
      </c>
      <c r="J69" t="s">
        <v>3483</v>
      </c>
      <c r="K69" t="s">
        <v>3936</v>
      </c>
      <c r="L69" t="s">
        <v>3937</v>
      </c>
      <c r="M69" t="s">
        <v>3938</v>
      </c>
      <c r="N69" t="s">
        <v>247</v>
      </c>
      <c r="O69" t="s">
        <v>3939</v>
      </c>
      <c r="P69" t="s">
        <v>3488</v>
      </c>
      <c r="Q69" t="s">
        <v>247</v>
      </c>
      <c r="R69" t="b">
        <v>0</v>
      </c>
      <c r="S69" t="s">
        <v>3888</v>
      </c>
    </row>
    <row r="70" spans="1:19" ht="11.25" customHeight="1" x14ac:dyDescent="0.15">
      <c r="A70">
        <v>2655</v>
      </c>
      <c r="B70" t="s">
        <v>114</v>
      </c>
      <c r="C70">
        <v>30808700</v>
      </c>
      <c r="D70" t="s">
        <v>3500</v>
      </c>
      <c r="E70" t="s">
        <v>3501</v>
      </c>
      <c r="F70" t="s">
        <v>3502</v>
      </c>
      <c r="G70" t="s">
        <v>3434</v>
      </c>
      <c r="H70" t="s">
        <v>3503</v>
      </c>
      <c r="I70" t="s">
        <v>3504</v>
      </c>
      <c r="J70" t="s">
        <v>3495</v>
      </c>
      <c r="K70" t="s">
        <v>3505</v>
      </c>
      <c r="L70" t="s">
        <v>3506</v>
      </c>
      <c r="M70" t="s">
        <v>3507</v>
      </c>
      <c r="N70" t="s">
        <v>3508</v>
      </c>
      <c r="O70" t="s">
        <v>3509</v>
      </c>
      <c r="P70" t="s">
        <v>3451</v>
      </c>
      <c r="Q70" t="s">
        <v>247</v>
      </c>
      <c r="R70" t="b">
        <v>1</v>
      </c>
      <c r="S70" t="s">
        <v>3888</v>
      </c>
    </row>
    <row r="71" spans="1:19" ht="11.25" customHeight="1" x14ac:dyDescent="0.15">
      <c r="A71">
        <v>2655</v>
      </c>
      <c r="B71" t="s">
        <v>114</v>
      </c>
      <c r="C71">
        <v>31319221</v>
      </c>
      <c r="D71" t="s">
        <v>3510</v>
      </c>
      <c r="E71" t="s">
        <v>3511</v>
      </c>
      <c r="F71" t="s">
        <v>3512</v>
      </c>
      <c r="G71" t="s">
        <v>3492</v>
      </c>
      <c r="H71" t="s">
        <v>3513</v>
      </c>
      <c r="I71" t="s">
        <v>3514</v>
      </c>
      <c r="J71" t="s">
        <v>3483</v>
      </c>
      <c r="K71" t="s">
        <v>3515</v>
      </c>
      <c r="L71" t="s">
        <v>3516</v>
      </c>
      <c r="M71" t="s">
        <v>3517</v>
      </c>
      <c r="N71" t="s">
        <v>3518</v>
      </c>
      <c r="O71" t="s">
        <v>3519</v>
      </c>
      <c r="P71" t="s">
        <v>3488</v>
      </c>
      <c r="Q71" t="s">
        <v>247</v>
      </c>
      <c r="R71" t="b">
        <v>0</v>
      </c>
      <c r="S71" t="s">
        <v>3888</v>
      </c>
    </row>
    <row r="72" spans="1:19" ht="11.25" customHeight="1" x14ac:dyDescent="0.15">
      <c r="A72">
        <v>2655</v>
      </c>
      <c r="B72" t="s">
        <v>114</v>
      </c>
      <c r="C72">
        <v>31419990</v>
      </c>
      <c r="D72" t="s">
        <v>3520</v>
      </c>
      <c r="E72" t="s">
        <v>3521</v>
      </c>
      <c r="F72" t="s">
        <v>3522</v>
      </c>
      <c r="G72" t="s">
        <v>3523</v>
      </c>
      <c r="H72" t="s">
        <v>3524</v>
      </c>
      <c r="I72" t="s">
        <v>3525</v>
      </c>
      <c r="J72" t="s">
        <v>3483</v>
      </c>
      <c r="K72" t="s">
        <v>3526</v>
      </c>
      <c r="L72" t="s">
        <v>3526</v>
      </c>
      <c r="M72" t="s">
        <v>3527</v>
      </c>
      <c r="N72" t="s">
        <v>3528</v>
      </c>
      <c r="O72" t="s">
        <v>3529</v>
      </c>
      <c r="P72" t="s">
        <v>3488</v>
      </c>
      <c r="Q72" t="s">
        <v>3530</v>
      </c>
      <c r="R72" t="b">
        <v>0</v>
      </c>
      <c r="S72" t="s">
        <v>3888</v>
      </c>
    </row>
    <row r="73" spans="1:19" ht="11.25" customHeight="1" x14ac:dyDescent="0.15">
      <c r="A73">
        <v>2655</v>
      </c>
      <c r="B73" t="s">
        <v>114</v>
      </c>
      <c r="C73">
        <v>31343443</v>
      </c>
      <c r="D73" t="s">
        <v>3531</v>
      </c>
      <c r="E73" t="s">
        <v>3532</v>
      </c>
      <c r="F73" t="s">
        <v>3533</v>
      </c>
      <c r="G73" t="s">
        <v>3434</v>
      </c>
      <c r="H73" t="s">
        <v>3534</v>
      </c>
      <c r="I73" t="s">
        <v>3535</v>
      </c>
      <c r="J73" t="s">
        <v>3483</v>
      </c>
      <c r="K73" t="s">
        <v>3536</v>
      </c>
      <c r="L73" t="s">
        <v>3536</v>
      </c>
      <c r="N73" t="s">
        <v>3537</v>
      </c>
      <c r="O73" t="s">
        <v>3538</v>
      </c>
      <c r="P73" t="s">
        <v>3451</v>
      </c>
      <c r="R73" t="b">
        <v>0</v>
      </c>
      <c r="S73" t="s">
        <v>3888</v>
      </c>
    </row>
    <row r="74" spans="1:19" ht="11.25" customHeight="1" x14ac:dyDescent="0.15">
      <c r="A74">
        <v>2655</v>
      </c>
      <c r="B74" t="s">
        <v>114</v>
      </c>
      <c r="C74">
        <v>31367841</v>
      </c>
      <c r="D74" t="s">
        <v>3539</v>
      </c>
      <c r="E74" t="s">
        <v>3540</v>
      </c>
      <c r="F74" t="s">
        <v>3541</v>
      </c>
      <c r="G74" t="s">
        <v>3542</v>
      </c>
      <c r="H74" t="s">
        <v>3543</v>
      </c>
      <c r="I74" t="s">
        <v>3544</v>
      </c>
      <c r="J74" t="s">
        <v>3495</v>
      </c>
      <c r="K74" t="s">
        <v>3545</v>
      </c>
      <c r="L74" t="s">
        <v>3545</v>
      </c>
      <c r="M74" t="s">
        <v>247</v>
      </c>
      <c r="N74" t="s">
        <v>3546</v>
      </c>
      <c r="O74" t="s">
        <v>3547</v>
      </c>
      <c r="P74" t="s">
        <v>3488</v>
      </c>
      <c r="Q74" t="s">
        <v>247</v>
      </c>
      <c r="R74" t="b">
        <v>0</v>
      </c>
      <c r="S74" t="s">
        <v>3888</v>
      </c>
    </row>
    <row r="75" spans="1:19" ht="11.25" customHeight="1" x14ac:dyDescent="0.15">
      <c r="A75">
        <v>2655</v>
      </c>
      <c r="B75" t="s">
        <v>114</v>
      </c>
      <c r="C75">
        <v>31087651</v>
      </c>
      <c r="D75" t="s">
        <v>3548</v>
      </c>
      <c r="E75" t="s">
        <v>3549</v>
      </c>
      <c r="F75" t="s">
        <v>3550</v>
      </c>
      <c r="G75" t="s">
        <v>3551</v>
      </c>
      <c r="H75" t="s">
        <v>3552</v>
      </c>
      <c r="I75" t="s">
        <v>3553</v>
      </c>
      <c r="J75" t="s">
        <v>3483</v>
      </c>
      <c r="K75" t="s">
        <v>3554</v>
      </c>
      <c r="L75" t="s">
        <v>3554</v>
      </c>
      <c r="M75" t="s">
        <v>3555</v>
      </c>
      <c r="N75" t="s">
        <v>3556</v>
      </c>
      <c r="O75" t="s">
        <v>3557</v>
      </c>
      <c r="R75" t="b">
        <v>0</v>
      </c>
      <c r="S75" t="s">
        <v>3888</v>
      </c>
    </row>
    <row r="76" spans="1:19" ht="11.25" customHeight="1" x14ac:dyDescent="0.15">
      <c r="A76">
        <v>2655</v>
      </c>
      <c r="B76" t="s">
        <v>114</v>
      </c>
      <c r="C76">
        <v>31367862</v>
      </c>
      <c r="D76" t="s">
        <v>3558</v>
      </c>
      <c r="E76" t="s">
        <v>3559</v>
      </c>
      <c r="F76" t="s">
        <v>3560</v>
      </c>
      <c r="G76" t="s">
        <v>3542</v>
      </c>
      <c r="H76" t="s">
        <v>3561</v>
      </c>
      <c r="I76" t="s">
        <v>3562</v>
      </c>
      <c r="J76" t="s">
        <v>3483</v>
      </c>
      <c r="K76" t="s">
        <v>3563</v>
      </c>
      <c r="L76" t="s">
        <v>3563</v>
      </c>
      <c r="M76" t="s">
        <v>247</v>
      </c>
      <c r="N76" t="s">
        <v>3564</v>
      </c>
      <c r="O76" t="s">
        <v>3565</v>
      </c>
      <c r="P76" t="s">
        <v>3488</v>
      </c>
      <c r="Q76" t="s">
        <v>247</v>
      </c>
      <c r="R76" t="b">
        <v>0</v>
      </c>
      <c r="S76" t="s">
        <v>3888</v>
      </c>
    </row>
    <row r="77" spans="1:19" ht="11.25" customHeight="1" x14ac:dyDescent="0.15">
      <c r="A77">
        <v>2655</v>
      </c>
      <c r="B77" t="s">
        <v>114</v>
      </c>
      <c r="C77">
        <v>31329806</v>
      </c>
      <c r="D77" t="s">
        <v>3940</v>
      </c>
      <c r="E77" t="s">
        <v>3941</v>
      </c>
      <c r="F77" t="s">
        <v>3942</v>
      </c>
      <c r="G77" t="s">
        <v>3379</v>
      </c>
      <c r="H77" t="s">
        <v>3943</v>
      </c>
      <c r="I77" t="s">
        <v>3944</v>
      </c>
      <c r="J77" t="s">
        <v>3495</v>
      </c>
      <c r="K77" t="s">
        <v>3945</v>
      </c>
      <c r="L77" t="s">
        <v>3945</v>
      </c>
      <c r="M77" t="s">
        <v>3946</v>
      </c>
      <c r="N77" t="s">
        <v>3947</v>
      </c>
      <c r="O77" t="s">
        <v>3948</v>
      </c>
      <c r="P77" t="s">
        <v>3488</v>
      </c>
      <c r="Q77" t="s">
        <v>247</v>
      </c>
      <c r="R77" t="b">
        <v>0</v>
      </c>
      <c r="S77" t="s">
        <v>3888</v>
      </c>
    </row>
    <row r="78" spans="1:19" ht="11.25" customHeight="1" x14ac:dyDescent="0.15">
      <c r="A78">
        <v>2655</v>
      </c>
      <c r="B78" t="s">
        <v>114</v>
      </c>
      <c r="C78">
        <v>31003143</v>
      </c>
      <c r="D78" t="s">
        <v>3586</v>
      </c>
      <c r="E78" t="s">
        <v>3587</v>
      </c>
      <c r="F78" t="s">
        <v>3588</v>
      </c>
      <c r="G78" t="s">
        <v>3580</v>
      </c>
      <c r="H78" t="s">
        <v>3589</v>
      </c>
      <c r="I78" t="s">
        <v>3590</v>
      </c>
      <c r="J78" t="s">
        <v>3495</v>
      </c>
      <c r="K78" t="s">
        <v>3591</v>
      </c>
      <c r="L78" t="s">
        <v>3592</v>
      </c>
      <c r="M78" t="s">
        <v>3593</v>
      </c>
      <c r="N78" t="s">
        <v>3594</v>
      </c>
      <c r="O78" t="s">
        <v>3595</v>
      </c>
      <c r="P78" t="s">
        <v>3488</v>
      </c>
      <c r="Q78" t="s">
        <v>247</v>
      </c>
      <c r="R78" t="b">
        <v>1</v>
      </c>
      <c r="S78" t="s">
        <v>3888</v>
      </c>
    </row>
    <row r="79" spans="1:19" ht="11.25" customHeight="1" x14ac:dyDescent="0.15">
      <c r="A79">
        <v>2655</v>
      </c>
      <c r="B79" t="s">
        <v>114</v>
      </c>
      <c r="C79">
        <v>31308226</v>
      </c>
      <c r="D79" t="s">
        <v>3596</v>
      </c>
      <c r="E79" t="s">
        <v>3597</v>
      </c>
      <c r="F79" t="s">
        <v>3598</v>
      </c>
      <c r="G79" t="s">
        <v>3599</v>
      </c>
      <c r="H79" t="s">
        <v>3600</v>
      </c>
      <c r="I79" t="s">
        <v>3601</v>
      </c>
      <c r="J79" t="s">
        <v>3495</v>
      </c>
      <c r="K79" t="s">
        <v>3602</v>
      </c>
      <c r="L79" t="s">
        <v>3602</v>
      </c>
      <c r="M79" t="s">
        <v>3603</v>
      </c>
      <c r="N79" t="s">
        <v>3604</v>
      </c>
      <c r="O79" t="s">
        <v>3605</v>
      </c>
      <c r="P79" t="s">
        <v>3451</v>
      </c>
      <c r="Q79" t="s">
        <v>247</v>
      </c>
      <c r="R79" t="b">
        <v>1</v>
      </c>
      <c r="S79" t="s">
        <v>3888</v>
      </c>
    </row>
    <row r="80" spans="1:19" ht="11.25" customHeight="1" x14ac:dyDescent="0.15">
      <c r="A80">
        <v>2655</v>
      </c>
      <c r="B80" t="s">
        <v>114</v>
      </c>
      <c r="C80">
        <v>31284269</v>
      </c>
      <c r="D80" t="s">
        <v>3606</v>
      </c>
      <c r="E80" t="s">
        <v>3607</v>
      </c>
      <c r="F80" t="s">
        <v>3608</v>
      </c>
      <c r="G80" t="s">
        <v>3551</v>
      </c>
      <c r="H80" t="s">
        <v>3609</v>
      </c>
      <c r="I80" t="s">
        <v>3610</v>
      </c>
      <c r="J80" t="s">
        <v>3495</v>
      </c>
      <c r="K80" t="s">
        <v>3611</v>
      </c>
      <c r="L80" t="s">
        <v>3612</v>
      </c>
      <c r="M80" t="s">
        <v>3613</v>
      </c>
      <c r="N80" t="s">
        <v>3614</v>
      </c>
      <c r="O80" t="s">
        <v>3615</v>
      </c>
      <c r="P80" t="s">
        <v>247</v>
      </c>
      <c r="Q80" t="s">
        <v>247</v>
      </c>
      <c r="R80" t="b">
        <v>0</v>
      </c>
      <c r="S80" t="s">
        <v>3888</v>
      </c>
    </row>
    <row r="81" spans="1:19" ht="11.25" customHeight="1" x14ac:dyDescent="0.15">
      <c r="A81">
        <v>2655</v>
      </c>
      <c r="B81" t="s">
        <v>114</v>
      </c>
      <c r="C81">
        <v>31241680</v>
      </c>
      <c r="D81" t="s">
        <v>3616</v>
      </c>
      <c r="E81" t="s">
        <v>3617</v>
      </c>
      <c r="F81" t="s">
        <v>3618</v>
      </c>
      <c r="G81" t="s">
        <v>3523</v>
      </c>
      <c r="H81" t="s">
        <v>3619</v>
      </c>
      <c r="I81" t="s">
        <v>3620</v>
      </c>
      <c r="J81" t="s">
        <v>3495</v>
      </c>
      <c r="K81" t="s">
        <v>3621</v>
      </c>
      <c r="L81" t="s">
        <v>3621</v>
      </c>
      <c r="M81" t="s">
        <v>3622</v>
      </c>
      <c r="N81" t="s">
        <v>3623</v>
      </c>
      <c r="O81" t="s">
        <v>3624</v>
      </c>
      <c r="P81" t="s">
        <v>3451</v>
      </c>
      <c r="Q81" t="s">
        <v>3625</v>
      </c>
      <c r="R81" t="b">
        <v>0</v>
      </c>
      <c r="S81" t="s">
        <v>3888</v>
      </c>
    </row>
    <row r="82" spans="1:19" ht="11.25" customHeight="1" x14ac:dyDescent="0.15">
      <c r="A82">
        <v>2655</v>
      </c>
      <c r="B82" t="s">
        <v>114</v>
      </c>
      <c r="C82">
        <v>31579664</v>
      </c>
      <c r="D82" t="s">
        <v>3626</v>
      </c>
      <c r="E82" t="s">
        <v>3627</v>
      </c>
      <c r="F82" t="s">
        <v>3628</v>
      </c>
      <c r="G82" t="s">
        <v>3434</v>
      </c>
      <c r="H82" t="s">
        <v>3629</v>
      </c>
      <c r="I82" t="s">
        <v>3630</v>
      </c>
      <c r="K82" t="s">
        <v>3631</v>
      </c>
      <c r="L82" t="s">
        <v>3632</v>
      </c>
      <c r="M82" t="s">
        <v>3633</v>
      </c>
      <c r="N82" t="s">
        <v>247</v>
      </c>
      <c r="O82" t="s">
        <v>3634</v>
      </c>
      <c r="P82" t="s">
        <v>3488</v>
      </c>
      <c r="Q82" t="s">
        <v>3635</v>
      </c>
      <c r="R82" t="b">
        <v>1</v>
      </c>
      <c r="S82" t="s">
        <v>3888</v>
      </c>
    </row>
    <row r="83" spans="1:19" ht="11.25" customHeight="1" x14ac:dyDescent="0.15">
      <c r="A83">
        <v>2655</v>
      </c>
      <c r="B83" t="s">
        <v>114</v>
      </c>
      <c r="C83">
        <v>26322895</v>
      </c>
      <c r="D83" t="s">
        <v>3636</v>
      </c>
      <c r="E83" t="s">
        <v>3637</v>
      </c>
      <c r="F83" t="s">
        <v>3638</v>
      </c>
      <c r="G83" t="s">
        <v>149</v>
      </c>
      <c r="H83" t="s">
        <v>3639</v>
      </c>
      <c r="I83" t="s">
        <v>3640</v>
      </c>
      <c r="J83" t="s">
        <v>3426</v>
      </c>
      <c r="K83" t="s">
        <v>3641</v>
      </c>
      <c r="L83" t="s">
        <v>3641</v>
      </c>
      <c r="M83" t="s">
        <v>3642</v>
      </c>
      <c r="N83" t="s">
        <v>3643</v>
      </c>
      <c r="O83" t="s">
        <v>3644</v>
      </c>
      <c r="P83" t="s">
        <v>179</v>
      </c>
      <c r="Q83" t="s">
        <v>3645</v>
      </c>
      <c r="R83" t="b">
        <v>0</v>
      </c>
      <c r="S83" t="s">
        <v>3888</v>
      </c>
    </row>
    <row r="84" spans="1:19" ht="11.25" customHeight="1" x14ac:dyDescent="0.15">
      <c r="A84">
        <v>2655</v>
      </c>
      <c r="B84" t="s">
        <v>114</v>
      </c>
      <c r="C84">
        <v>27784286</v>
      </c>
      <c r="D84" t="s">
        <v>3949</v>
      </c>
      <c r="E84" t="s">
        <v>3950</v>
      </c>
      <c r="F84" t="s">
        <v>3951</v>
      </c>
      <c r="G84" t="s">
        <v>3599</v>
      </c>
      <c r="H84" t="s">
        <v>3952</v>
      </c>
      <c r="I84" t="s">
        <v>3953</v>
      </c>
      <c r="K84" t="s">
        <v>3954</v>
      </c>
      <c r="L84" t="s">
        <v>3954</v>
      </c>
      <c r="M84" t="s">
        <v>3955</v>
      </c>
      <c r="N84" t="s">
        <v>3956</v>
      </c>
      <c r="O84" t="s">
        <v>3957</v>
      </c>
      <c r="P84" t="s">
        <v>179</v>
      </c>
      <c r="Q84" t="s">
        <v>3958</v>
      </c>
      <c r="R84" t="b">
        <v>0</v>
      </c>
      <c r="S84" t="s">
        <v>3888</v>
      </c>
    </row>
    <row r="85" spans="1:19" ht="11.25" customHeight="1" x14ac:dyDescent="0.15">
      <c r="A85">
        <v>2655</v>
      </c>
      <c r="B85" t="s">
        <v>114</v>
      </c>
      <c r="C85">
        <v>26428076</v>
      </c>
      <c r="D85" t="s">
        <v>3959</v>
      </c>
      <c r="E85" t="s">
        <v>3960</v>
      </c>
      <c r="F85" t="s">
        <v>3961</v>
      </c>
      <c r="G85" t="s">
        <v>3580</v>
      </c>
      <c r="H85" t="s">
        <v>3962</v>
      </c>
      <c r="I85" t="s">
        <v>247</v>
      </c>
      <c r="K85" t="s">
        <v>3963</v>
      </c>
      <c r="L85" t="s">
        <v>3963</v>
      </c>
      <c r="M85" t="s">
        <v>3964</v>
      </c>
      <c r="N85" t="s">
        <v>3965</v>
      </c>
      <c r="O85" t="s">
        <v>247</v>
      </c>
      <c r="P85" t="s">
        <v>247</v>
      </c>
      <c r="Q85" t="s">
        <v>247</v>
      </c>
      <c r="R85" t="b">
        <v>0</v>
      </c>
      <c r="S85" t="s">
        <v>3888</v>
      </c>
    </row>
    <row r="86" spans="1:19" ht="11.25" customHeight="1" x14ac:dyDescent="0.15">
      <c r="A86">
        <v>2655</v>
      </c>
      <c r="B86" t="s">
        <v>114</v>
      </c>
      <c r="C86">
        <v>28954370</v>
      </c>
      <c r="D86" t="s">
        <v>3966</v>
      </c>
      <c r="E86" t="s">
        <v>3967</v>
      </c>
      <c r="F86" t="s">
        <v>3968</v>
      </c>
      <c r="G86" t="s">
        <v>3580</v>
      </c>
      <c r="H86" t="s">
        <v>3969</v>
      </c>
      <c r="I86" t="s">
        <v>3970</v>
      </c>
      <c r="J86" t="s">
        <v>156</v>
      </c>
      <c r="K86" t="s">
        <v>3971</v>
      </c>
      <c r="L86" t="s">
        <v>3971</v>
      </c>
      <c r="M86" t="s">
        <v>3972</v>
      </c>
      <c r="N86" t="s">
        <v>3973</v>
      </c>
      <c r="O86" t="s">
        <v>3974</v>
      </c>
      <c r="P86" t="s">
        <v>3488</v>
      </c>
      <c r="Q86" t="s">
        <v>247</v>
      </c>
      <c r="R86" t="b">
        <v>1</v>
      </c>
      <c r="S86" t="s">
        <v>3888</v>
      </c>
    </row>
    <row r="87" spans="1:19" ht="11.25" customHeight="1" x14ac:dyDescent="0.15">
      <c r="A87">
        <v>2655</v>
      </c>
      <c r="B87" t="s">
        <v>114</v>
      </c>
      <c r="C87">
        <v>31774016</v>
      </c>
      <c r="D87" t="s">
        <v>3975</v>
      </c>
      <c r="E87" t="s">
        <v>3976</v>
      </c>
      <c r="F87" t="s">
        <v>3977</v>
      </c>
      <c r="G87" t="s">
        <v>3599</v>
      </c>
      <c r="H87" t="s">
        <v>3978</v>
      </c>
      <c r="I87" t="s">
        <v>3979</v>
      </c>
      <c r="K87" t="s">
        <v>3980</v>
      </c>
      <c r="L87" t="s">
        <v>3981</v>
      </c>
      <c r="M87" t="s">
        <v>3982</v>
      </c>
      <c r="N87" t="s">
        <v>3983</v>
      </c>
      <c r="O87" t="s">
        <v>3984</v>
      </c>
      <c r="P87" t="s">
        <v>3364</v>
      </c>
      <c r="Q87" t="s">
        <v>247</v>
      </c>
      <c r="R87" t="b">
        <v>1</v>
      </c>
      <c r="S87" t="s">
        <v>3888</v>
      </c>
    </row>
    <row r="88" spans="1:19" ht="11.25" customHeight="1" x14ac:dyDescent="0.15">
      <c r="A88">
        <v>2655</v>
      </c>
      <c r="B88" t="s">
        <v>114</v>
      </c>
      <c r="C88">
        <v>28869965</v>
      </c>
      <c r="D88" t="s">
        <v>3663</v>
      </c>
      <c r="E88" t="s">
        <v>3664</v>
      </c>
      <c r="F88" t="s">
        <v>3665</v>
      </c>
      <c r="G88" t="s">
        <v>3480</v>
      </c>
      <c r="H88" t="s">
        <v>3666</v>
      </c>
      <c r="I88" t="s">
        <v>247</v>
      </c>
      <c r="J88" t="s">
        <v>156</v>
      </c>
      <c r="K88" t="s">
        <v>3667</v>
      </c>
      <c r="L88" t="s">
        <v>3667</v>
      </c>
      <c r="M88" t="s">
        <v>3668</v>
      </c>
      <c r="N88" t="s">
        <v>3669</v>
      </c>
      <c r="O88" t="s">
        <v>3670</v>
      </c>
      <c r="P88" t="s">
        <v>179</v>
      </c>
      <c r="Q88" t="s">
        <v>3671</v>
      </c>
      <c r="R88" t="b">
        <v>0</v>
      </c>
      <c r="S88" t="s">
        <v>3888</v>
      </c>
    </row>
    <row r="89" spans="1:19" ht="11.25" customHeight="1" x14ac:dyDescent="0.15">
      <c r="A89">
        <v>2655</v>
      </c>
      <c r="B89" t="s">
        <v>114</v>
      </c>
      <c r="C89">
        <v>28113313</v>
      </c>
      <c r="D89" t="s">
        <v>3985</v>
      </c>
      <c r="E89" t="s">
        <v>3986</v>
      </c>
      <c r="F89" t="s">
        <v>3987</v>
      </c>
      <c r="G89" t="s">
        <v>3684</v>
      </c>
      <c r="H89" t="s">
        <v>3988</v>
      </c>
      <c r="I89" t="s">
        <v>247</v>
      </c>
      <c r="J89" t="s">
        <v>156</v>
      </c>
      <c r="K89" t="s">
        <v>3989</v>
      </c>
      <c r="L89" t="s">
        <v>3990</v>
      </c>
      <c r="M89" t="s">
        <v>247</v>
      </c>
      <c r="N89" t="s">
        <v>247</v>
      </c>
      <c r="O89" t="s">
        <v>3691</v>
      </c>
      <c r="P89" t="s">
        <v>3364</v>
      </c>
      <c r="Q89" t="s">
        <v>247</v>
      </c>
      <c r="R89" t="b">
        <v>1</v>
      </c>
      <c r="S89" t="s">
        <v>3888</v>
      </c>
    </row>
    <row r="90" spans="1:19" ht="11.25" customHeight="1" x14ac:dyDescent="0.15">
      <c r="A90">
        <v>2655</v>
      </c>
      <c r="B90" t="s">
        <v>114</v>
      </c>
      <c r="C90">
        <v>26428030</v>
      </c>
      <c r="D90" t="s">
        <v>3991</v>
      </c>
      <c r="E90" t="s">
        <v>3992</v>
      </c>
      <c r="F90" t="s">
        <v>3993</v>
      </c>
      <c r="G90" t="s">
        <v>3580</v>
      </c>
      <c r="H90" t="s">
        <v>3994</v>
      </c>
      <c r="I90" t="s">
        <v>247</v>
      </c>
      <c r="K90" t="s">
        <v>3995</v>
      </c>
      <c r="L90" t="s">
        <v>3995</v>
      </c>
      <c r="M90" t="s">
        <v>3996</v>
      </c>
      <c r="N90" t="s">
        <v>3997</v>
      </c>
      <c r="O90" t="s">
        <v>247</v>
      </c>
      <c r="P90" t="s">
        <v>247</v>
      </c>
      <c r="Q90" t="s">
        <v>247</v>
      </c>
      <c r="R90" t="b">
        <v>0</v>
      </c>
      <c r="S90" t="s">
        <v>3888</v>
      </c>
    </row>
    <row r="91" spans="1:19" ht="11.25" customHeight="1" x14ac:dyDescent="0.15">
      <c r="A91">
        <v>2655</v>
      </c>
      <c r="B91" t="s">
        <v>114</v>
      </c>
      <c r="C91">
        <v>31356597</v>
      </c>
      <c r="D91" t="s">
        <v>3672</v>
      </c>
      <c r="E91" t="s">
        <v>3673</v>
      </c>
      <c r="F91" t="s">
        <v>3674</v>
      </c>
      <c r="G91" t="s">
        <v>3551</v>
      </c>
      <c r="H91" t="s">
        <v>3675</v>
      </c>
      <c r="I91" t="s">
        <v>3676</v>
      </c>
      <c r="J91" t="s">
        <v>156</v>
      </c>
      <c r="K91" t="s">
        <v>3677</v>
      </c>
      <c r="L91" t="s">
        <v>3677</v>
      </c>
      <c r="M91" t="s">
        <v>3678</v>
      </c>
      <c r="N91" t="s">
        <v>3679</v>
      </c>
      <c r="O91" t="s">
        <v>3680</v>
      </c>
      <c r="P91" t="s">
        <v>179</v>
      </c>
      <c r="Q91" t="s">
        <v>247</v>
      </c>
      <c r="R91" t="b">
        <v>0</v>
      </c>
      <c r="S91" t="s">
        <v>3888</v>
      </c>
    </row>
    <row r="92" spans="1:19" ht="11.25" customHeight="1" x14ac:dyDescent="0.15">
      <c r="A92">
        <v>2655</v>
      </c>
      <c r="B92" t="s">
        <v>114</v>
      </c>
      <c r="C92">
        <v>28136671</v>
      </c>
      <c r="D92" t="s">
        <v>3681</v>
      </c>
      <c r="E92" t="s">
        <v>3682</v>
      </c>
      <c r="F92" t="s">
        <v>3683</v>
      </c>
      <c r="G92" t="s">
        <v>3684</v>
      </c>
      <c r="H92" t="s">
        <v>3685</v>
      </c>
      <c r="I92" t="s">
        <v>3686</v>
      </c>
      <c r="J92" t="s">
        <v>156</v>
      </c>
      <c r="K92" t="s">
        <v>3687</v>
      </c>
      <c r="L92" t="s">
        <v>3688</v>
      </c>
      <c r="M92" t="s">
        <v>3689</v>
      </c>
      <c r="N92" t="s">
        <v>3690</v>
      </c>
      <c r="O92" t="s">
        <v>3691</v>
      </c>
      <c r="P92" t="s">
        <v>3364</v>
      </c>
      <c r="Q92" t="s">
        <v>247</v>
      </c>
      <c r="R92" t="b">
        <v>1</v>
      </c>
      <c r="S92" t="s">
        <v>3888</v>
      </c>
    </row>
    <row r="93" spans="1:19" ht="11.25" customHeight="1" x14ac:dyDescent="0.15">
      <c r="A93">
        <v>2655</v>
      </c>
      <c r="B93" t="s">
        <v>114</v>
      </c>
      <c r="C93">
        <v>27838991</v>
      </c>
      <c r="D93" t="s">
        <v>3998</v>
      </c>
      <c r="E93" t="s">
        <v>3999</v>
      </c>
      <c r="F93" t="s">
        <v>4000</v>
      </c>
      <c r="G93" t="s">
        <v>3379</v>
      </c>
      <c r="H93" t="s">
        <v>4001</v>
      </c>
      <c r="I93" t="s">
        <v>4002</v>
      </c>
      <c r="J93" t="s">
        <v>156</v>
      </c>
      <c r="K93" t="s">
        <v>4003</v>
      </c>
      <c r="L93" t="s">
        <v>4004</v>
      </c>
      <c r="M93" t="s">
        <v>4005</v>
      </c>
      <c r="N93" t="s">
        <v>4006</v>
      </c>
      <c r="O93" t="s">
        <v>4007</v>
      </c>
      <c r="P93" t="s">
        <v>179</v>
      </c>
      <c r="Q93" t="s">
        <v>247</v>
      </c>
      <c r="R93" t="b">
        <v>0</v>
      </c>
      <c r="S93" t="s">
        <v>3888</v>
      </c>
    </row>
    <row r="94" spans="1:19" ht="11.25" customHeight="1" x14ac:dyDescent="0.15">
      <c r="A94">
        <v>2655</v>
      </c>
      <c r="B94" t="s">
        <v>114</v>
      </c>
      <c r="C94">
        <v>26428026</v>
      </c>
      <c r="D94" t="s">
        <v>3718</v>
      </c>
      <c r="E94" t="s">
        <v>3719</v>
      </c>
      <c r="F94" t="s">
        <v>3720</v>
      </c>
      <c r="G94" t="s">
        <v>3721</v>
      </c>
      <c r="H94" t="s">
        <v>3722</v>
      </c>
      <c r="I94" t="s">
        <v>247</v>
      </c>
      <c r="K94" t="s">
        <v>3723</v>
      </c>
      <c r="L94" t="s">
        <v>3723</v>
      </c>
      <c r="M94" t="s">
        <v>3724</v>
      </c>
      <c r="N94" t="s">
        <v>3725</v>
      </c>
      <c r="O94" t="s">
        <v>3726</v>
      </c>
      <c r="P94" t="s">
        <v>3488</v>
      </c>
      <c r="Q94" t="s">
        <v>247</v>
      </c>
      <c r="R94" t="b">
        <v>1</v>
      </c>
      <c r="S94" t="s">
        <v>3888</v>
      </c>
    </row>
    <row r="95" spans="1:19" ht="11.25" customHeight="1" x14ac:dyDescent="0.15">
      <c r="A95">
        <v>2655</v>
      </c>
      <c r="B95" t="s">
        <v>114</v>
      </c>
      <c r="C95">
        <v>31739633</v>
      </c>
      <c r="D95" t="s">
        <v>3737</v>
      </c>
      <c r="E95" t="s">
        <v>3738</v>
      </c>
      <c r="F95" t="s">
        <v>3739</v>
      </c>
      <c r="G95" t="s">
        <v>3740</v>
      </c>
      <c r="H95" t="s">
        <v>3741</v>
      </c>
      <c r="I95" t="s">
        <v>3742</v>
      </c>
      <c r="K95" t="s">
        <v>3743</v>
      </c>
      <c r="L95" t="s">
        <v>3743</v>
      </c>
      <c r="M95" t="s">
        <v>3744</v>
      </c>
      <c r="N95" t="s">
        <v>3745</v>
      </c>
      <c r="O95" t="s">
        <v>3746</v>
      </c>
      <c r="P95" t="s">
        <v>3451</v>
      </c>
      <c r="Q95" t="s">
        <v>247</v>
      </c>
      <c r="R95" t="b">
        <v>0</v>
      </c>
      <c r="S95" t="s">
        <v>3888</v>
      </c>
    </row>
    <row r="96" spans="1:19" ht="11.25" customHeight="1" x14ac:dyDescent="0.15">
      <c r="A96">
        <v>2655</v>
      </c>
      <c r="B96" t="s">
        <v>114</v>
      </c>
      <c r="C96">
        <v>31541617</v>
      </c>
      <c r="D96" t="s">
        <v>3747</v>
      </c>
      <c r="E96" t="s">
        <v>3748</v>
      </c>
      <c r="F96" t="s">
        <v>3749</v>
      </c>
      <c r="G96" t="s">
        <v>3750</v>
      </c>
      <c r="H96" t="s">
        <v>3751</v>
      </c>
      <c r="I96" t="s">
        <v>3752</v>
      </c>
      <c r="K96" t="s">
        <v>3753</v>
      </c>
      <c r="L96" t="s">
        <v>3753</v>
      </c>
      <c r="M96" t="s">
        <v>3754</v>
      </c>
      <c r="N96" t="s">
        <v>3755</v>
      </c>
      <c r="O96" t="s">
        <v>3756</v>
      </c>
      <c r="P96" t="s">
        <v>3451</v>
      </c>
      <c r="Q96" t="s">
        <v>247</v>
      </c>
      <c r="R96" t="b">
        <v>1</v>
      </c>
      <c r="S96" t="s">
        <v>3888</v>
      </c>
    </row>
    <row r="97" spans="1:19" ht="11.25" customHeight="1" x14ac:dyDescent="0.15">
      <c r="A97">
        <v>2655</v>
      </c>
      <c r="B97" t="s">
        <v>114</v>
      </c>
      <c r="C97">
        <v>31834877</v>
      </c>
      <c r="D97" t="s">
        <v>4008</v>
      </c>
      <c r="E97" t="s">
        <v>4008</v>
      </c>
      <c r="F97" t="s">
        <v>4009</v>
      </c>
      <c r="G97" t="s">
        <v>3369</v>
      </c>
      <c r="H97" t="s">
        <v>4010</v>
      </c>
      <c r="I97" t="s">
        <v>4011</v>
      </c>
      <c r="K97" t="s">
        <v>4012</v>
      </c>
      <c r="L97" t="s">
        <v>4013</v>
      </c>
      <c r="M97" t="s">
        <v>247</v>
      </c>
      <c r="N97" t="s">
        <v>4014</v>
      </c>
      <c r="O97" t="s">
        <v>4015</v>
      </c>
      <c r="P97" t="s">
        <v>3364</v>
      </c>
      <c r="Q97" t="s">
        <v>4016</v>
      </c>
      <c r="R97" t="b">
        <v>0</v>
      </c>
      <c r="S97" t="s">
        <v>3888</v>
      </c>
    </row>
    <row r="98" spans="1:19" ht="11.25" customHeight="1" x14ac:dyDescent="0.15">
      <c r="A98">
        <v>2655</v>
      </c>
      <c r="B98" t="s">
        <v>114</v>
      </c>
      <c r="C98">
        <v>26356891</v>
      </c>
      <c r="D98" t="s">
        <v>3768</v>
      </c>
      <c r="E98" t="s">
        <v>3769</v>
      </c>
      <c r="F98" t="s">
        <v>3770</v>
      </c>
      <c r="G98" t="s">
        <v>3580</v>
      </c>
      <c r="H98" t="s">
        <v>3771</v>
      </c>
      <c r="I98" t="s">
        <v>3772</v>
      </c>
      <c r="J98" t="s">
        <v>156</v>
      </c>
      <c r="K98" t="s">
        <v>3773</v>
      </c>
      <c r="L98" t="s">
        <v>3773</v>
      </c>
      <c r="M98" t="s">
        <v>3774</v>
      </c>
      <c r="N98" t="s">
        <v>3775</v>
      </c>
      <c r="O98" t="s">
        <v>3776</v>
      </c>
      <c r="P98" t="s">
        <v>3488</v>
      </c>
      <c r="Q98" t="s">
        <v>247</v>
      </c>
      <c r="R98" t="b">
        <v>0</v>
      </c>
      <c r="S98" t="s">
        <v>3888</v>
      </c>
    </row>
    <row r="99" spans="1:19" ht="11.25" customHeight="1" x14ac:dyDescent="0.15">
      <c r="A99">
        <v>2655</v>
      </c>
      <c r="B99" t="s">
        <v>114</v>
      </c>
      <c r="C99">
        <v>31241637</v>
      </c>
      <c r="D99" t="s">
        <v>3777</v>
      </c>
      <c r="E99" t="s">
        <v>3778</v>
      </c>
      <c r="F99" t="s">
        <v>3779</v>
      </c>
      <c r="G99" t="s">
        <v>3599</v>
      </c>
      <c r="H99" t="s">
        <v>3780</v>
      </c>
      <c r="I99" t="s">
        <v>3781</v>
      </c>
      <c r="J99" t="s">
        <v>156</v>
      </c>
      <c r="K99" t="s">
        <v>3782</v>
      </c>
      <c r="L99" t="s">
        <v>3782</v>
      </c>
      <c r="M99" t="s">
        <v>3783</v>
      </c>
      <c r="N99" t="s">
        <v>247</v>
      </c>
      <c r="O99" t="s">
        <v>3784</v>
      </c>
      <c r="P99" t="s">
        <v>3451</v>
      </c>
      <c r="Q99" t="s">
        <v>247</v>
      </c>
      <c r="R99" t="b">
        <v>0</v>
      </c>
      <c r="S99" t="s">
        <v>3888</v>
      </c>
    </row>
    <row r="100" spans="1:19" ht="11.25" customHeight="1" x14ac:dyDescent="0.15">
      <c r="A100">
        <v>2655</v>
      </c>
      <c r="B100" t="s">
        <v>114</v>
      </c>
      <c r="C100">
        <v>28819708</v>
      </c>
      <c r="D100" t="s">
        <v>4017</v>
      </c>
      <c r="E100" t="s">
        <v>4018</v>
      </c>
      <c r="F100" t="s">
        <v>4019</v>
      </c>
      <c r="G100" t="s">
        <v>3492</v>
      </c>
      <c r="H100" t="s">
        <v>4020</v>
      </c>
      <c r="I100" t="s">
        <v>4021</v>
      </c>
      <c r="J100" t="s">
        <v>156</v>
      </c>
      <c r="K100" t="s">
        <v>4022</v>
      </c>
      <c r="L100" t="s">
        <v>4022</v>
      </c>
      <c r="M100" t="s">
        <v>247</v>
      </c>
      <c r="N100" t="s">
        <v>4023</v>
      </c>
      <c r="O100" t="s">
        <v>4024</v>
      </c>
      <c r="P100" t="s">
        <v>3488</v>
      </c>
      <c r="Q100" t="s">
        <v>247</v>
      </c>
      <c r="R100" t="b">
        <v>0</v>
      </c>
      <c r="S100" t="s">
        <v>3888</v>
      </c>
    </row>
    <row r="101" spans="1:19" ht="11.25" customHeight="1" x14ac:dyDescent="0.15">
      <c r="A101">
        <v>2655</v>
      </c>
      <c r="B101" t="s">
        <v>114</v>
      </c>
      <c r="C101">
        <v>26356937</v>
      </c>
      <c r="D101" t="s">
        <v>3785</v>
      </c>
      <c r="E101" t="s">
        <v>3786</v>
      </c>
      <c r="F101" t="s">
        <v>3787</v>
      </c>
      <c r="G101" t="s">
        <v>3656</v>
      </c>
      <c r="H101" t="s">
        <v>3788</v>
      </c>
      <c r="I101" t="s">
        <v>3789</v>
      </c>
      <c r="J101" t="s">
        <v>156</v>
      </c>
      <c r="K101" t="s">
        <v>3790</v>
      </c>
      <c r="L101" t="s">
        <v>3790</v>
      </c>
      <c r="M101" t="s">
        <v>3791</v>
      </c>
      <c r="N101" t="s">
        <v>3792</v>
      </c>
      <c r="O101" t="s">
        <v>3793</v>
      </c>
      <c r="P101" t="s">
        <v>3451</v>
      </c>
      <c r="Q101" t="s">
        <v>3794</v>
      </c>
      <c r="R101" t="b">
        <v>0</v>
      </c>
      <c r="S101" t="s">
        <v>3888</v>
      </c>
    </row>
    <row r="102" spans="1:19" ht="11.25" customHeight="1" x14ac:dyDescent="0.15">
      <c r="A102">
        <v>2655</v>
      </c>
      <c r="B102" t="s">
        <v>114</v>
      </c>
      <c r="C102">
        <v>31770754</v>
      </c>
      <c r="D102" t="s">
        <v>3795</v>
      </c>
      <c r="E102" t="s">
        <v>3796</v>
      </c>
      <c r="F102" t="s">
        <v>3797</v>
      </c>
      <c r="G102" t="s">
        <v>3740</v>
      </c>
      <c r="H102" t="s">
        <v>3798</v>
      </c>
      <c r="I102" t="s">
        <v>3799</v>
      </c>
      <c r="K102" t="s">
        <v>3800</v>
      </c>
      <c r="L102" t="s">
        <v>3801</v>
      </c>
      <c r="M102" t="s">
        <v>3802</v>
      </c>
      <c r="N102" t="s">
        <v>3803</v>
      </c>
      <c r="O102" t="s">
        <v>3804</v>
      </c>
      <c r="P102" t="s">
        <v>3488</v>
      </c>
      <c r="Q102" t="s">
        <v>247</v>
      </c>
      <c r="R102" t="b">
        <v>1</v>
      </c>
      <c r="S102" t="s">
        <v>3888</v>
      </c>
    </row>
    <row r="103" spans="1:19" ht="11.25" customHeight="1" x14ac:dyDescent="0.15">
      <c r="A103">
        <v>2655</v>
      </c>
      <c r="B103" t="s">
        <v>114</v>
      </c>
      <c r="C103">
        <v>31528492</v>
      </c>
      <c r="D103" t="s">
        <v>3805</v>
      </c>
      <c r="E103" t="s">
        <v>3806</v>
      </c>
      <c r="F103" t="s">
        <v>3807</v>
      </c>
      <c r="G103" t="s">
        <v>3599</v>
      </c>
      <c r="H103" t="s">
        <v>3808</v>
      </c>
      <c r="I103" t="s">
        <v>3809</v>
      </c>
      <c r="K103" t="s">
        <v>3810</v>
      </c>
      <c r="L103" t="s">
        <v>3810</v>
      </c>
      <c r="M103" t="s">
        <v>3811</v>
      </c>
      <c r="N103" t="s">
        <v>3812</v>
      </c>
      <c r="O103" t="s">
        <v>3813</v>
      </c>
      <c r="P103" t="s">
        <v>3364</v>
      </c>
      <c r="Q103" t="s">
        <v>247</v>
      </c>
      <c r="R103" t="b">
        <v>0</v>
      </c>
      <c r="S103" t="s">
        <v>3888</v>
      </c>
    </row>
    <row r="104" spans="1:19" ht="11.25" customHeight="1" x14ac:dyDescent="0.15">
      <c r="A104">
        <v>2655</v>
      </c>
      <c r="B104" t="s">
        <v>114</v>
      </c>
      <c r="C104">
        <v>28270293</v>
      </c>
      <c r="D104" t="s">
        <v>3814</v>
      </c>
      <c r="E104" t="s">
        <v>3815</v>
      </c>
      <c r="F104" t="s">
        <v>3816</v>
      </c>
      <c r="G104" t="s">
        <v>3580</v>
      </c>
      <c r="H104" t="s">
        <v>3817</v>
      </c>
      <c r="I104" t="s">
        <v>3818</v>
      </c>
      <c r="J104" t="s">
        <v>156</v>
      </c>
      <c r="K104" t="s">
        <v>3819</v>
      </c>
      <c r="L104" t="s">
        <v>3819</v>
      </c>
      <c r="M104" t="s">
        <v>3820</v>
      </c>
      <c r="N104" t="s">
        <v>3821</v>
      </c>
      <c r="O104" t="s">
        <v>3822</v>
      </c>
      <c r="P104" t="s">
        <v>179</v>
      </c>
      <c r="Q104" t="s">
        <v>247</v>
      </c>
      <c r="R104" t="b">
        <v>0</v>
      </c>
      <c r="S104" t="s">
        <v>3888</v>
      </c>
    </row>
    <row r="105" spans="1:19" ht="11.25" customHeight="1" x14ac:dyDescent="0.15">
      <c r="A105">
        <v>2655</v>
      </c>
      <c r="B105" t="s">
        <v>114</v>
      </c>
      <c r="C105">
        <v>28873362</v>
      </c>
      <c r="D105" t="s">
        <v>3823</v>
      </c>
      <c r="E105" t="s">
        <v>3824</v>
      </c>
      <c r="F105" t="s">
        <v>3825</v>
      </c>
      <c r="G105" t="s">
        <v>149</v>
      </c>
      <c r="H105" t="s">
        <v>3826</v>
      </c>
      <c r="I105" t="s">
        <v>3827</v>
      </c>
      <c r="J105" t="s">
        <v>156</v>
      </c>
      <c r="K105" t="s">
        <v>3828</v>
      </c>
      <c r="L105" t="s">
        <v>3828</v>
      </c>
      <c r="M105" t="s">
        <v>3829</v>
      </c>
      <c r="N105" t="s">
        <v>3830</v>
      </c>
      <c r="O105" t="s">
        <v>3831</v>
      </c>
      <c r="P105" t="s">
        <v>3488</v>
      </c>
      <c r="Q105" t="s">
        <v>3832</v>
      </c>
      <c r="R105" t="b">
        <v>0</v>
      </c>
      <c r="S105" t="s">
        <v>3888</v>
      </c>
    </row>
    <row r="106" spans="1:19" ht="11.25" customHeight="1" x14ac:dyDescent="0.15">
      <c r="A106">
        <v>2655</v>
      </c>
      <c r="B106" t="s">
        <v>114</v>
      </c>
      <c r="C106">
        <v>28976681</v>
      </c>
      <c r="D106" t="s">
        <v>3833</v>
      </c>
      <c r="E106" t="s">
        <v>3834</v>
      </c>
      <c r="F106" t="s">
        <v>3835</v>
      </c>
      <c r="G106" t="s">
        <v>3580</v>
      </c>
      <c r="H106" t="s">
        <v>3836</v>
      </c>
      <c r="I106" t="s">
        <v>3837</v>
      </c>
      <c r="J106" t="s">
        <v>156</v>
      </c>
      <c r="K106" t="s">
        <v>3838</v>
      </c>
      <c r="L106" t="s">
        <v>3838</v>
      </c>
      <c r="M106" t="s">
        <v>3839</v>
      </c>
      <c r="N106" t="s">
        <v>247</v>
      </c>
      <c r="O106" t="s">
        <v>3840</v>
      </c>
      <c r="P106" t="s">
        <v>3488</v>
      </c>
      <c r="Q106" t="s">
        <v>247</v>
      </c>
      <c r="R106" t="b">
        <v>1</v>
      </c>
      <c r="S106" t="s">
        <v>3888</v>
      </c>
    </row>
    <row r="107" spans="1:19" ht="11.25" customHeight="1" x14ac:dyDescent="0.15">
      <c r="A107">
        <v>2655</v>
      </c>
      <c r="B107" t="s">
        <v>114</v>
      </c>
      <c r="C107">
        <v>30808511</v>
      </c>
      <c r="D107" t="s">
        <v>3852</v>
      </c>
      <c r="E107" t="s">
        <v>3852</v>
      </c>
      <c r="F107" t="s">
        <v>3853</v>
      </c>
      <c r="G107" t="s">
        <v>3854</v>
      </c>
      <c r="H107" t="s">
        <v>3855</v>
      </c>
      <c r="I107" t="s">
        <v>3856</v>
      </c>
      <c r="J107" t="s">
        <v>3857</v>
      </c>
      <c r="K107" t="s">
        <v>3858</v>
      </c>
      <c r="L107" t="s">
        <v>3859</v>
      </c>
      <c r="M107" t="s">
        <v>3860</v>
      </c>
      <c r="N107" t="s">
        <v>247</v>
      </c>
      <c r="O107" t="s">
        <v>3861</v>
      </c>
      <c r="P107" t="s">
        <v>3488</v>
      </c>
      <c r="Q107" t="s">
        <v>3862</v>
      </c>
      <c r="R107" t="b">
        <v>0</v>
      </c>
      <c r="S107" t="s">
        <v>3888</v>
      </c>
    </row>
    <row r="108" spans="1:19" ht="11.25" customHeight="1" x14ac:dyDescent="0.15">
      <c r="A108">
        <v>2655</v>
      </c>
      <c r="B108" t="s">
        <v>114</v>
      </c>
      <c r="C108">
        <v>26520873</v>
      </c>
      <c r="D108" t="s">
        <v>3867</v>
      </c>
      <c r="E108" t="s">
        <v>3868</v>
      </c>
      <c r="F108" t="s">
        <v>3853</v>
      </c>
      <c r="G108" t="s">
        <v>3869</v>
      </c>
      <c r="H108" t="s">
        <v>3855</v>
      </c>
      <c r="I108" t="s">
        <v>3870</v>
      </c>
      <c r="J108" t="s">
        <v>3857</v>
      </c>
      <c r="K108" t="s">
        <v>3871</v>
      </c>
      <c r="L108" t="s">
        <v>3872</v>
      </c>
      <c r="M108" t="s">
        <v>3873</v>
      </c>
      <c r="N108" t="s">
        <v>3874</v>
      </c>
      <c r="O108" t="s">
        <v>3875</v>
      </c>
      <c r="P108" t="s">
        <v>3488</v>
      </c>
      <c r="Q108" t="s">
        <v>3876</v>
      </c>
      <c r="R108" t="b">
        <v>0</v>
      </c>
      <c r="S108" t="s">
        <v>3888</v>
      </c>
    </row>
    <row r="109" spans="1:19" ht="11.25" customHeight="1" x14ac:dyDescent="0.15">
      <c r="A109">
        <v>2655</v>
      </c>
      <c r="B109" t="s">
        <v>114</v>
      </c>
      <c r="C109">
        <v>28976938</v>
      </c>
      <c r="D109" t="s">
        <v>3339</v>
      </c>
      <c r="E109" t="s">
        <v>3340</v>
      </c>
      <c r="F109" t="s">
        <v>3341</v>
      </c>
      <c r="G109" t="s">
        <v>3342</v>
      </c>
      <c r="H109" t="s">
        <v>3343</v>
      </c>
      <c r="I109" t="s">
        <v>3344</v>
      </c>
      <c r="J109" t="s">
        <v>3345</v>
      </c>
      <c r="K109" t="s">
        <v>3346</v>
      </c>
      <c r="L109" t="s">
        <v>3347</v>
      </c>
      <c r="M109" t="s">
        <v>3348</v>
      </c>
      <c r="N109" t="s">
        <v>3349</v>
      </c>
      <c r="O109" t="s">
        <v>3350</v>
      </c>
      <c r="P109" t="s">
        <v>3351</v>
      </c>
      <c r="Q109" t="s">
        <v>3352</v>
      </c>
      <c r="R109" t="b">
        <v>0</v>
      </c>
      <c r="S109" t="s">
        <v>4025</v>
      </c>
    </row>
    <row r="110" spans="1:19" ht="11.25" customHeight="1" x14ac:dyDescent="0.15">
      <c r="A110">
        <v>2655</v>
      </c>
      <c r="B110" t="s">
        <v>114</v>
      </c>
      <c r="C110">
        <v>26356915</v>
      </c>
      <c r="D110" t="s">
        <v>3889</v>
      </c>
      <c r="E110" t="s">
        <v>3890</v>
      </c>
      <c r="F110" t="s">
        <v>3891</v>
      </c>
      <c r="G110" t="s">
        <v>3569</v>
      </c>
      <c r="H110" t="s">
        <v>3892</v>
      </c>
      <c r="I110" t="s">
        <v>3893</v>
      </c>
      <c r="J110" t="s">
        <v>3345</v>
      </c>
      <c r="K110" t="s">
        <v>3894</v>
      </c>
      <c r="L110" t="s">
        <v>3894</v>
      </c>
      <c r="M110" t="s">
        <v>3895</v>
      </c>
      <c r="N110" t="s">
        <v>3896</v>
      </c>
      <c r="O110" t="s">
        <v>3897</v>
      </c>
      <c r="P110" t="s">
        <v>179</v>
      </c>
      <c r="Q110" t="s">
        <v>190</v>
      </c>
      <c r="R110" t="b">
        <v>0</v>
      </c>
      <c r="S110" t="s">
        <v>4025</v>
      </c>
    </row>
    <row r="111" spans="1:19" ht="11.25" customHeight="1" x14ac:dyDescent="0.15">
      <c r="A111">
        <v>2655</v>
      </c>
      <c r="B111" t="s">
        <v>114</v>
      </c>
      <c r="C111">
        <v>26357007</v>
      </c>
      <c r="D111" t="s">
        <v>4026</v>
      </c>
      <c r="E111" t="s">
        <v>4027</v>
      </c>
      <c r="F111" t="s">
        <v>4028</v>
      </c>
      <c r="G111" t="s">
        <v>3599</v>
      </c>
      <c r="H111" t="s">
        <v>4029</v>
      </c>
      <c r="I111" t="s">
        <v>4030</v>
      </c>
      <c r="J111" t="s">
        <v>3345</v>
      </c>
      <c r="K111" t="s">
        <v>4031</v>
      </c>
      <c r="L111" t="s">
        <v>4031</v>
      </c>
      <c r="M111" t="s">
        <v>4032</v>
      </c>
      <c r="N111" t="s">
        <v>4033</v>
      </c>
      <c r="O111" t="s">
        <v>4034</v>
      </c>
      <c r="P111" t="s">
        <v>179</v>
      </c>
      <c r="Q111" t="s">
        <v>4035</v>
      </c>
      <c r="R111" t="b">
        <v>0</v>
      </c>
      <c r="S111" t="s">
        <v>4025</v>
      </c>
    </row>
    <row r="112" spans="1:19" ht="11.25" customHeight="1" x14ac:dyDescent="0.15">
      <c r="A112">
        <v>2655</v>
      </c>
      <c r="B112" t="s">
        <v>114</v>
      </c>
      <c r="C112">
        <v>27804990</v>
      </c>
      <c r="D112" t="s">
        <v>3354</v>
      </c>
      <c r="E112" t="s">
        <v>3355</v>
      </c>
      <c r="F112" t="s">
        <v>3356</v>
      </c>
      <c r="G112" t="s">
        <v>149</v>
      </c>
      <c r="H112" t="s">
        <v>3357</v>
      </c>
      <c r="I112" t="s">
        <v>3358</v>
      </c>
      <c r="J112" t="s">
        <v>3345</v>
      </c>
      <c r="K112" t="s">
        <v>3359</v>
      </c>
      <c r="L112" t="s">
        <v>3360</v>
      </c>
      <c r="M112" t="s">
        <v>3361</v>
      </c>
      <c r="N112" t="s">
        <v>3362</v>
      </c>
      <c r="O112" t="s">
        <v>3363</v>
      </c>
      <c r="P112" t="s">
        <v>3364</v>
      </c>
      <c r="Q112" t="s">
        <v>3365</v>
      </c>
      <c r="R112" t="b">
        <v>0</v>
      </c>
      <c r="S112" t="s">
        <v>4025</v>
      </c>
    </row>
    <row r="113" spans="1:19" ht="11.25" customHeight="1" x14ac:dyDescent="0.15">
      <c r="A113">
        <v>2655</v>
      </c>
      <c r="B113" t="s">
        <v>114</v>
      </c>
      <c r="C113">
        <v>28048296</v>
      </c>
      <c r="D113" t="s">
        <v>4036</v>
      </c>
      <c r="E113" t="s">
        <v>4037</v>
      </c>
      <c r="F113" t="s">
        <v>4038</v>
      </c>
      <c r="G113" t="s">
        <v>149</v>
      </c>
      <c r="H113" t="s">
        <v>4039</v>
      </c>
      <c r="I113" t="s">
        <v>4040</v>
      </c>
      <c r="J113" t="s">
        <v>3345</v>
      </c>
      <c r="K113" t="s">
        <v>4041</v>
      </c>
      <c r="L113" t="s">
        <v>3360</v>
      </c>
      <c r="M113" t="s">
        <v>4042</v>
      </c>
      <c r="N113" t="s">
        <v>4043</v>
      </c>
      <c r="O113" t="s">
        <v>4044</v>
      </c>
      <c r="P113" t="s">
        <v>3364</v>
      </c>
      <c r="Q113" t="s">
        <v>3365</v>
      </c>
      <c r="R113" t="b">
        <v>0</v>
      </c>
      <c r="S113" t="s">
        <v>4025</v>
      </c>
    </row>
    <row r="114" spans="1:19" ht="11.25" customHeight="1" x14ac:dyDescent="0.15">
      <c r="A114">
        <v>2655</v>
      </c>
      <c r="B114" t="s">
        <v>114</v>
      </c>
      <c r="C114">
        <v>27804826</v>
      </c>
      <c r="D114" t="s">
        <v>3366</v>
      </c>
      <c r="E114" t="s">
        <v>3367</v>
      </c>
      <c r="F114" t="s">
        <v>3368</v>
      </c>
      <c r="G114" t="s">
        <v>3369</v>
      </c>
      <c r="H114" t="s">
        <v>3370</v>
      </c>
      <c r="I114" t="s">
        <v>3371</v>
      </c>
      <c r="J114" t="s">
        <v>3345</v>
      </c>
      <c r="K114" t="s">
        <v>3372</v>
      </c>
      <c r="L114" t="s">
        <v>3360</v>
      </c>
      <c r="M114" t="s">
        <v>247</v>
      </c>
      <c r="N114" t="s">
        <v>3373</v>
      </c>
      <c r="O114" t="s">
        <v>3374</v>
      </c>
      <c r="P114" t="s">
        <v>3364</v>
      </c>
      <c r="Q114" t="s">
        <v>3375</v>
      </c>
      <c r="R114" t="b">
        <v>0</v>
      </c>
      <c r="S114" t="s">
        <v>4025</v>
      </c>
    </row>
    <row r="115" spans="1:19" ht="11.25" customHeight="1" x14ac:dyDescent="0.15">
      <c r="A115">
        <v>2655</v>
      </c>
      <c r="B115" t="s">
        <v>114</v>
      </c>
      <c r="C115">
        <v>27804896</v>
      </c>
      <c r="D115" t="s">
        <v>4045</v>
      </c>
      <c r="E115" t="s">
        <v>4046</v>
      </c>
      <c r="F115" t="s">
        <v>4047</v>
      </c>
      <c r="G115" t="s">
        <v>149</v>
      </c>
      <c r="H115" t="s">
        <v>4048</v>
      </c>
      <c r="I115" t="s">
        <v>4049</v>
      </c>
      <c r="J115" t="s">
        <v>3345</v>
      </c>
      <c r="K115" t="s">
        <v>4050</v>
      </c>
      <c r="L115" t="s">
        <v>3360</v>
      </c>
      <c r="M115" t="s">
        <v>4051</v>
      </c>
      <c r="N115" t="s">
        <v>4052</v>
      </c>
      <c r="O115" t="s">
        <v>4053</v>
      </c>
      <c r="P115" t="s">
        <v>3364</v>
      </c>
      <c r="Q115" t="s">
        <v>3365</v>
      </c>
      <c r="R115" t="b">
        <v>0</v>
      </c>
      <c r="S115" t="s">
        <v>4025</v>
      </c>
    </row>
    <row r="116" spans="1:19" ht="11.25" customHeight="1" x14ac:dyDescent="0.15">
      <c r="A116">
        <v>2655</v>
      </c>
      <c r="B116" t="s">
        <v>114</v>
      </c>
      <c r="C116">
        <v>27820148</v>
      </c>
      <c r="D116" t="s">
        <v>3912</v>
      </c>
      <c r="E116" t="s">
        <v>3913</v>
      </c>
      <c r="F116" t="s">
        <v>3914</v>
      </c>
      <c r="G116" t="s">
        <v>3656</v>
      </c>
      <c r="H116" t="s">
        <v>3915</v>
      </c>
      <c r="I116" t="s">
        <v>3916</v>
      </c>
      <c r="J116" t="s">
        <v>3345</v>
      </c>
      <c r="K116" t="s">
        <v>3917</v>
      </c>
      <c r="L116" t="s">
        <v>3917</v>
      </c>
      <c r="M116" t="s">
        <v>3918</v>
      </c>
      <c r="N116" t="s">
        <v>3919</v>
      </c>
      <c r="O116" t="s">
        <v>3920</v>
      </c>
      <c r="P116" t="s">
        <v>3921</v>
      </c>
      <c r="Q116" t="s">
        <v>3922</v>
      </c>
      <c r="R116" t="b">
        <v>0</v>
      </c>
      <c r="S116" t="s">
        <v>4025</v>
      </c>
    </row>
    <row r="117" spans="1:19" ht="11.25" customHeight="1" x14ac:dyDescent="0.15">
      <c r="A117">
        <v>2655</v>
      </c>
      <c r="B117" t="s">
        <v>114</v>
      </c>
      <c r="C117">
        <v>26356905</v>
      </c>
      <c r="D117" t="s">
        <v>3399</v>
      </c>
      <c r="E117" t="s">
        <v>3400</v>
      </c>
      <c r="F117" t="s">
        <v>3401</v>
      </c>
      <c r="G117" t="s">
        <v>149</v>
      </c>
      <c r="H117" t="s">
        <v>3402</v>
      </c>
      <c r="I117" t="s">
        <v>3403</v>
      </c>
      <c r="J117" t="s">
        <v>3345</v>
      </c>
      <c r="K117" t="s">
        <v>3404</v>
      </c>
      <c r="L117" t="s">
        <v>3404</v>
      </c>
      <c r="M117" t="s">
        <v>3405</v>
      </c>
      <c r="N117" t="s">
        <v>3406</v>
      </c>
      <c r="O117" t="s">
        <v>3407</v>
      </c>
      <c r="P117" t="s">
        <v>3408</v>
      </c>
      <c r="Q117" t="s">
        <v>3409</v>
      </c>
      <c r="R117" t="b">
        <v>0</v>
      </c>
      <c r="S117" t="s">
        <v>4025</v>
      </c>
    </row>
    <row r="118" spans="1:19" ht="11.25" customHeight="1" x14ac:dyDescent="0.15">
      <c r="A118">
        <v>2655</v>
      </c>
      <c r="B118" t="s">
        <v>114</v>
      </c>
      <c r="C118">
        <v>26652554</v>
      </c>
      <c r="D118" t="s">
        <v>4054</v>
      </c>
      <c r="E118" t="s">
        <v>4055</v>
      </c>
      <c r="F118" t="s">
        <v>4056</v>
      </c>
      <c r="G118" t="s">
        <v>3740</v>
      </c>
      <c r="H118" t="s">
        <v>4057</v>
      </c>
      <c r="I118" t="s">
        <v>247</v>
      </c>
      <c r="J118" t="s">
        <v>3345</v>
      </c>
      <c r="K118" t="s">
        <v>4058</v>
      </c>
      <c r="L118" t="s">
        <v>4058</v>
      </c>
      <c r="M118" t="s">
        <v>4059</v>
      </c>
      <c r="N118" t="s">
        <v>4060</v>
      </c>
      <c r="O118" t="s">
        <v>4061</v>
      </c>
      <c r="P118" t="s">
        <v>179</v>
      </c>
      <c r="Q118" t="s">
        <v>4062</v>
      </c>
      <c r="R118" t="b">
        <v>0</v>
      </c>
      <c r="S118" t="s">
        <v>4025</v>
      </c>
    </row>
    <row r="119" spans="1:19" ht="11.25" customHeight="1" x14ac:dyDescent="0.15">
      <c r="A119">
        <v>2655</v>
      </c>
      <c r="B119" t="s">
        <v>114</v>
      </c>
      <c r="C119">
        <v>26356926</v>
      </c>
      <c r="D119" t="s">
        <v>4063</v>
      </c>
      <c r="E119" t="s">
        <v>4064</v>
      </c>
      <c r="F119" t="s">
        <v>4065</v>
      </c>
      <c r="G119" t="s">
        <v>3656</v>
      </c>
      <c r="H119" t="s">
        <v>4066</v>
      </c>
      <c r="I119" t="s">
        <v>4067</v>
      </c>
      <c r="J119" t="s">
        <v>4068</v>
      </c>
      <c r="K119" t="s">
        <v>4069</v>
      </c>
      <c r="L119" t="s">
        <v>4069</v>
      </c>
      <c r="M119" t="s">
        <v>4070</v>
      </c>
      <c r="N119" t="s">
        <v>4071</v>
      </c>
      <c r="O119" t="s">
        <v>4072</v>
      </c>
      <c r="P119" t="s">
        <v>4073</v>
      </c>
      <c r="Q119" t="s">
        <v>4074</v>
      </c>
      <c r="R119" t="b">
        <v>0</v>
      </c>
      <c r="S119" t="s">
        <v>4025</v>
      </c>
    </row>
    <row r="120" spans="1:19" ht="11.25" customHeight="1" x14ac:dyDescent="0.15">
      <c r="A120">
        <v>2655</v>
      </c>
      <c r="B120" t="s">
        <v>114</v>
      </c>
      <c r="C120">
        <v>28875287</v>
      </c>
      <c r="D120" t="s">
        <v>4075</v>
      </c>
      <c r="E120" t="s">
        <v>4076</v>
      </c>
      <c r="F120" t="s">
        <v>4077</v>
      </c>
      <c r="G120" t="s">
        <v>3656</v>
      </c>
      <c r="H120" t="s">
        <v>4078</v>
      </c>
      <c r="I120" t="s">
        <v>4079</v>
      </c>
      <c r="J120" t="s">
        <v>4080</v>
      </c>
      <c r="K120" t="s">
        <v>4081</v>
      </c>
      <c r="L120" t="s">
        <v>4081</v>
      </c>
      <c r="M120" t="s">
        <v>4082</v>
      </c>
      <c r="N120" t="s">
        <v>4083</v>
      </c>
      <c r="O120" t="s">
        <v>4084</v>
      </c>
      <c r="P120" t="s">
        <v>4085</v>
      </c>
      <c r="Q120" t="s">
        <v>247</v>
      </c>
      <c r="R120" t="b">
        <v>0</v>
      </c>
      <c r="S120" t="s">
        <v>4025</v>
      </c>
    </row>
    <row r="121" spans="1:19" ht="11.25" customHeight="1" x14ac:dyDescent="0.15">
      <c r="A121">
        <v>2655</v>
      </c>
      <c r="B121" t="s">
        <v>114</v>
      </c>
      <c r="C121">
        <v>31720063</v>
      </c>
      <c r="D121" t="s">
        <v>4086</v>
      </c>
      <c r="E121" t="s">
        <v>4087</v>
      </c>
      <c r="F121" t="s">
        <v>4088</v>
      </c>
      <c r="G121" t="s">
        <v>3542</v>
      </c>
      <c r="H121" t="s">
        <v>4089</v>
      </c>
      <c r="I121" t="s">
        <v>4090</v>
      </c>
      <c r="K121" t="s">
        <v>4091</v>
      </c>
      <c r="L121" t="s">
        <v>4091</v>
      </c>
      <c r="M121" t="s">
        <v>247</v>
      </c>
      <c r="N121" t="s">
        <v>4092</v>
      </c>
      <c r="O121" t="s">
        <v>4093</v>
      </c>
      <c r="P121" t="s">
        <v>3451</v>
      </c>
      <c r="Q121" t="s">
        <v>4094</v>
      </c>
      <c r="R121" t="b">
        <v>0</v>
      </c>
      <c r="S121" t="s">
        <v>4025</v>
      </c>
    </row>
    <row r="122" spans="1:19" ht="11.25" customHeight="1" x14ac:dyDescent="0.15">
      <c r="A122">
        <v>2655</v>
      </c>
      <c r="B122" t="s">
        <v>114</v>
      </c>
      <c r="C122">
        <v>31826293</v>
      </c>
      <c r="D122" t="s">
        <v>3441</v>
      </c>
      <c r="E122" t="s">
        <v>3442</v>
      </c>
      <c r="F122" t="s">
        <v>3443</v>
      </c>
      <c r="G122" t="s">
        <v>3444</v>
      </c>
      <c r="H122" t="s">
        <v>3445</v>
      </c>
      <c r="I122" t="s">
        <v>3446</v>
      </c>
      <c r="K122" t="s">
        <v>3447</v>
      </c>
      <c r="L122" t="s">
        <v>3448</v>
      </c>
      <c r="M122" t="s">
        <v>247</v>
      </c>
      <c r="N122" t="s">
        <v>3449</v>
      </c>
      <c r="O122" t="s">
        <v>3450</v>
      </c>
      <c r="P122" t="s">
        <v>3451</v>
      </c>
      <c r="Q122" t="s">
        <v>247</v>
      </c>
      <c r="R122" t="b">
        <v>0</v>
      </c>
      <c r="S122" t="s">
        <v>4025</v>
      </c>
    </row>
    <row r="123" spans="1:19" ht="11.25" customHeight="1" x14ac:dyDescent="0.15">
      <c r="A123">
        <v>2655</v>
      </c>
      <c r="B123" t="s">
        <v>114</v>
      </c>
      <c r="C123">
        <v>28262434</v>
      </c>
      <c r="D123" t="s">
        <v>4095</v>
      </c>
      <c r="E123" t="s">
        <v>4096</v>
      </c>
      <c r="F123" t="s">
        <v>4097</v>
      </c>
      <c r="G123" t="s">
        <v>4098</v>
      </c>
      <c r="H123" t="s">
        <v>4099</v>
      </c>
      <c r="I123" t="s">
        <v>4100</v>
      </c>
      <c r="J123" t="s">
        <v>3345</v>
      </c>
      <c r="K123" t="s">
        <v>4101</v>
      </c>
      <c r="L123" t="s">
        <v>4101</v>
      </c>
      <c r="M123" t="s">
        <v>4102</v>
      </c>
      <c r="N123" t="s">
        <v>4103</v>
      </c>
      <c r="O123" t="s">
        <v>4104</v>
      </c>
      <c r="P123" t="s">
        <v>179</v>
      </c>
      <c r="Q123" t="s">
        <v>247</v>
      </c>
      <c r="R123" t="b">
        <v>0</v>
      </c>
      <c r="S123" t="s">
        <v>4025</v>
      </c>
    </row>
    <row r="124" spans="1:19" ht="11.25" customHeight="1" x14ac:dyDescent="0.15">
      <c r="A124">
        <v>2655</v>
      </c>
      <c r="B124" t="s">
        <v>114</v>
      </c>
      <c r="C124">
        <v>31382238</v>
      </c>
      <c r="D124" t="s">
        <v>4105</v>
      </c>
      <c r="E124" t="s">
        <v>4106</v>
      </c>
      <c r="F124" t="s">
        <v>4107</v>
      </c>
      <c r="G124" t="s">
        <v>4108</v>
      </c>
      <c r="H124" t="s">
        <v>4109</v>
      </c>
      <c r="I124" t="s">
        <v>4110</v>
      </c>
      <c r="J124" t="s">
        <v>4111</v>
      </c>
      <c r="K124" t="s">
        <v>4112</v>
      </c>
      <c r="L124" t="s">
        <v>4112</v>
      </c>
      <c r="M124" t="s">
        <v>247</v>
      </c>
      <c r="N124" t="s">
        <v>247</v>
      </c>
      <c r="O124" t="s">
        <v>4113</v>
      </c>
      <c r="P124" t="s">
        <v>4114</v>
      </c>
      <c r="Q124" t="s">
        <v>247</v>
      </c>
      <c r="R124" t="b">
        <v>1</v>
      </c>
      <c r="S124" t="s">
        <v>4025</v>
      </c>
    </row>
    <row r="125" spans="1:19" ht="11.25" customHeight="1" x14ac:dyDescent="0.15">
      <c r="A125">
        <v>2655</v>
      </c>
      <c r="B125" t="s">
        <v>114</v>
      </c>
      <c r="C125">
        <v>31763194</v>
      </c>
      <c r="D125" t="s">
        <v>4115</v>
      </c>
      <c r="E125" t="s">
        <v>4116</v>
      </c>
      <c r="F125" t="s">
        <v>4117</v>
      </c>
      <c r="G125" t="s">
        <v>4108</v>
      </c>
      <c r="H125" t="s">
        <v>4118</v>
      </c>
      <c r="I125" t="s">
        <v>4119</v>
      </c>
      <c r="K125" t="s">
        <v>4120</v>
      </c>
      <c r="L125" t="s">
        <v>4121</v>
      </c>
      <c r="M125" t="s">
        <v>247</v>
      </c>
      <c r="N125" t="s">
        <v>4122</v>
      </c>
      <c r="O125" t="s">
        <v>4123</v>
      </c>
      <c r="P125" t="s">
        <v>4124</v>
      </c>
      <c r="Q125" t="s">
        <v>4125</v>
      </c>
      <c r="R125" t="b">
        <v>1</v>
      </c>
      <c r="S125" t="s">
        <v>4025</v>
      </c>
    </row>
    <row r="126" spans="1:19" ht="11.25" customHeight="1" x14ac:dyDescent="0.15">
      <c r="A126">
        <v>2655</v>
      </c>
      <c r="B126" t="s">
        <v>114</v>
      </c>
      <c r="C126">
        <v>26322867</v>
      </c>
      <c r="D126" t="s">
        <v>3452</v>
      </c>
      <c r="E126" t="s">
        <v>3453</v>
      </c>
      <c r="F126" t="s">
        <v>3454</v>
      </c>
      <c r="G126" t="s">
        <v>3389</v>
      </c>
      <c r="H126" t="s">
        <v>3455</v>
      </c>
      <c r="I126" t="s">
        <v>3456</v>
      </c>
      <c r="J126" t="s">
        <v>3345</v>
      </c>
      <c r="K126" t="s">
        <v>3457</v>
      </c>
      <c r="L126" t="s">
        <v>3457</v>
      </c>
      <c r="M126" t="s">
        <v>3458</v>
      </c>
      <c r="N126" t="s">
        <v>3459</v>
      </c>
      <c r="O126" t="s">
        <v>3460</v>
      </c>
      <c r="P126" t="s">
        <v>179</v>
      </c>
      <c r="Q126" t="s">
        <v>3461</v>
      </c>
      <c r="R126" t="b">
        <v>0</v>
      </c>
      <c r="S126" t="s">
        <v>4025</v>
      </c>
    </row>
    <row r="127" spans="1:19" ht="11.25" customHeight="1" x14ac:dyDescent="0.15">
      <c r="A127">
        <v>2655</v>
      </c>
      <c r="B127" t="s">
        <v>114</v>
      </c>
      <c r="C127">
        <v>26824396</v>
      </c>
      <c r="D127" t="s">
        <v>3471</v>
      </c>
      <c r="E127" t="s">
        <v>3472</v>
      </c>
      <c r="F127" t="s">
        <v>3433</v>
      </c>
      <c r="G127" t="s">
        <v>3473</v>
      </c>
      <c r="H127" t="s">
        <v>3435</v>
      </c>
      <c r="I127" t="s">
        <v>247</v>
      </c>
      <c r="J127" t="s">
        <v>3426</v>
      </c>
      <c r="K127" t="s">
        <v>3474</v>
      </c>
      <c r="L127" t="s">
        <v>3474</v>
      </c>
      <c r="M127" t="s">
        <v>3475</v>
      </c>
      <c r="N127" t="s">
        <v>247</v>
      </c>
      <c r="O127" t="s">
        <v>3476</v>
      </c>
      <c r="P127" t="s">
        <v>3470</v>
      </c>
      <c r="Q127" t="s">
        <v>247</v>
      </c>
      <c r="R127" t="b">
        <v>0</v>
      </c>
      <c r="S127" t="s">
        <v>4025</v>
      </c>
    </row>
    <row r="128" spans="1:19" ht="11.25" customHeight="1" x14ac:dyDescent="0.15">
      <c r="A128">
        <v>2655</v>
      </c>
      <c r="B128" t="s">
        <v>114</v>
      </c>
      <c r="C128">
        <v>30808700</v>
      </c>
      <c r="D128" t="s">
        <v>3500</v>
      </c>
      <c r="E128" t="s">
        <v>3501</v>
      </c>
      <c r="F128" t="s">
        <v>3502</v>
      </c>
      <c r="G128" t="s">
        <v>3434</v>
      </c>
      <c r="H128" t="s">
        <v>3503</v>
      </c>
      <c r="I128" t="s">
        <v>3504</v>
      </c>
      <c r="J128" t="s">
        <v>3495</v>
      </c>
      <c r="K128" t="s">
        <v>3505</v>
      </c>
      <c r="L128" t="s">
        <v>3506</v>
      </c>
      <c r="M128" t="s">
        <v>3507</v>
      </c>
      <c r="N128" t="s">
        <v>3508</v>
      </c>
      <c r="O128" t="s">
        <v>3509</v>
      </c>
      <c r="P128" t="s">
        <v>3451</v>
      </c>
      <c r="Q128" t="s">
        <v>247</v>
      </c>
      <c r="R128" t="b">
        <v>1</v>
      </c>
      <c r="S128" t="s">
        <v>4025</v>
      </c>
    </row>
    <row r="129" spans="1:19" ht="11.25" customHeight="1" x14ac:dyDescent="0.15">
      <c r="A129">
        <v>2655</v>
      </c>
      <c r="B129" t="s">
        <v>114</v>
      </c>
      <c r="C129">
        <v>31319221</v>
      </c>
      <c r="D129" t="s">
        <v>3510</v>
      </c>
      <c r="E129" t="s">
        <v>3511</v>
      </c>
      <c r="F129" t="s">
        <v>3512</v>
      </c>
      <c r="G129" t="s">
        <v>3492</v>
      </c>
      <c r="H129" t="s">
        <v>3513</v>
      </c>
      <c r="I129" t="s">
        <v>3514</v>
      </c>
      <c r="J129" t="s">
        <v>3483</v>
      </c>
      <c r="K129" t="s">
        <v>3515</v>
      </c>
      <c r="L129" t="s">
        <v>3516</v>
      </c>
      <c r="M129" t="s">
        <v>3517</v>
      </c>
      <c r="N129" t="s">
        <v>3518</v>
      </c>
      <c r="O129" t="s">
        <v>3519</v>
      </c>
      <c r="P129" t="s">
        <v>3488</v>
      </c>
      <c r="Q129" t="s">
        <v>247</v>
      </c>
      <c r="R129" t="b">
        <v>0</v>
      </c>
      <c r="S129" t="s">
        <v>4025</v>
      </c>
    </row>
    <row r="130" spans="1:19" ht="11.25" customHeight="1" x14ac:dyDescent="0.15">
      <c r="A130">
        <v>2655</v>
      </c>
      <c r="B130" t="s">
        <v>114</v>
      </c>
      <c r="C130">
        <v>31343443</v>
      </c>
      <c r="D130" t="s">
        <v>3531</v>
      </c>
      <c r="E130" t="s">
        <v>3532</v>
      </c>
      <c r="F130" t="s">
        <v>3533</v>
      </c>
      <c r="G130" t="s">
        <v>3434</v>
      </c>
      <c r="H130" t="s">
        <v>3534</v>
      </c>
      <c r="I130" t="s">
        <v>3535</v>
      </c>
      <c r="J130" t="s">
        <v>3483</v>
      </c>
      <c r="K130" t="s">
        <v>3536</v>
      </c>
      <c r="L130" t="s">
        <v>3536</v>
      </c>
      <c r="N130" t="s">
        <v>3537</v>
      </c>
      <c r="O130" t="s">
        <v>3538</v>
      </c>
      <c r="P130" t="s">
        <v>3451</v>
      </c>
      <c r="R130" t="b">
        <v>0</v>
      </c>
      <c r="S130" t="s">
        <v>4025</v>
      </c>
    </row>
    <row r="131" spans="1:19" ht="11.25" customHeight="1" x14ac:dyDescent="0.15">
      <c r="A131">
        <v>2655</v>
      </c>
      <c r="B131" t="s">
        <v>114</v>
      </c>
      <c r="C131">
        <v>31367841</v>
      </c>
      <c r="D131" t="s">
        <v>3539</v>
      </c>
      <c r="E131" t="s">
        <v>3540</v>
      </c>
      <c r="F131" t="s">
        <v>3541</v>
      </c>
      <c r="G131" t="s">
        <v>3542</v>
      </c>
      <c r="H131" t="s">
        <v>3543</v>
      </c>
      <c r="I131" t="s">
        <v>3544</v>
      </c>
      <c r="J131" t="s">
        <v>3495</v>
      </c>
      <c r="K131" t="s">
        <v>3545</v>
      </c>
      <c r="L131" t="s">
        <v>3545</v>
      </c>
      <c r="M131" t="s">
        <v>247</v>
      </c>
      <c r="N131" t="s">
        <v>3546</v>
      </c>
      <c r="O131" t="s">
        <v>3547</v>
      </c>
      <c r="P131" t="s">
        <v>3488</v>
      </c>
      <c r="Q131" t="s">
        <v>247</v>
      </c>
      <c r="R131" t="b">
        <v>0</v>
      </c>
      <c r="S131" t="s">
        <v>4025</v>
      </c>
    </row>
    <row r="132" spans="1:19" ht="11.25" customHeight="1" x14ac:dyDescent="0.15">
      <c r="A132">
        <v>2655</v>
      </c>
      <c r="B132" t="s">
        <v>114</v>
      </c>
      <c r="C132">
        <v>31087651</v>
      </c>
      <c r="D132" t="s">
        <v>3548</v>
      </c>
      <c r="E132" t="s">
        <v>3549</v>
      </c>
      <c r="F132" t="s">
        <v>3550</v>
      </c>
      <c r="G132" t="s">
        <v>3551</v>
      </c>
      <c r="H132" t="s">
        <v>3552</v>
      </c>
      <c r="I132" t="s">
        <v>3553</v>
      </c>
      <c r="J132" t="s">
        <v>3483</v>
      </c>
      <c r="K132" t="s">
        <v>3554</v>
      </c>
      <c r="L132" t="s">
        <v>3554</v>
      </c>
      <c r="M132" t="s">
        <v>3555</v>
      </c>
      <c r="N132" t="s">
        <v>3556</v>
      </c>
      <c r="O132" t="s">
        <v>3557</v>
      </c>
      <c r="R132" t="b">
        <v>0</v>
      </c>
      <c r="S132" t="s">
        <v>4025</v>
      </c>
    </row>
    <row r="133" spans="1:19" ht="11.25" customHeight="1" x14ac:dyDescent="0.15">
      <c r="A133">
        <v>2655</v>
      </c>
      <c r="B133" t="s">
        <v>114</v>
      </c>
      <c r="C133">
        <v>31367862</v>
      </c>
      <c r="D133" t="s">
        <v>3558</v>
      </c>
      <c r="E133" t="s">
        <v>3559</v>
      </c>
      <c r="F133" t="s">
        <v>3560</v>
      </c>
      <c r="G133" t="s">
        <v>3542</v>
      </c>
      <c r="H133" t="s">
        <v>3561</v>
      </c>
      <c r="I133" t="s">
        <v>3562</v>
      </c>
      <c r="J133" t="s">
        <v>3483</v>
      </c>
      <c r="K133" t="s">
        <v>3563</v>
      </c>
      <c r="L133" t="s">
        <v>3563</v>
      </c>
      <c r="M133" t="s">
        <v>247</v>
      </c>
      <c r="N133" t="s">
        <v>3564</v>
      </c>
      <c r="O133" t="s">
        <v>3565</v>
      </c>
      <c r="P133" t="s">
        <v>3488</v>
      </c>
      <c r="Q133" t="s">
        <v>247</v>
      </c>
      <c r="R133" t="b">
        <v>0</v>
      </c>
      <c r="S133" t="s">
        <v>4025</v>
      </c>
    </row>
    <row r="134" spans="1:19" ht="11.25" customHeight="1" x14ac:dyDescent="0.15">
      <c r="A134">
        <v>2655</v>
      </c>
      <c r="B134" t="s">
        <v>114</v>
      </c>
      <c r="C134">
        <v>31085797</v>
      </c>
      <c r="D134" t="s">
        <v>4126</v>
      </c>
      <c r="E134" t="s">
        <v>4127</v>
      </c>
      <c r="F134" t="s">
        <v>4128</v>
      </c>
      <c r="G134" t="s">
        <v>3369</v>
      </c>
      <c r="H134" t="s">
        <v>4129</v>
      </c>
      <c r="I134" t="s">
        <v>4130</v>
      </c>
      <c r="J134" t="s">
        <v>3495</v>
      </c>
      <c r="K134" t="s">
        <v>4131</v>
      </c>
      <c r="L134" t="s">
        <v>4132</v>
      </c>
      <c r="M134" t="s">
        <v>4133</v>
      </c>
      <c r="N134" t="s">
        <v>4134</v>
      </c>
      <c r="O134" t="s">
        <v>4135</v>
      </c>
      <c r="P134" t="s">
        <v>3488</v>
      </c>
      <c r="Q134" t="s">
        <v>247</v>
      </c>
      <c r="R134" t="b">
        <v>1</v>
      </c>
      <c r="S134" t="s">
        <v>4025</v>
      </c>
    </row>
    <row r="135" spans="1:19" ht="11.25" customHeight="1" x14ac:dyDescent="0.15">
      <c r="A135">
        <v>2655</v>
      </c>
      <c r="B135" t="s">
        <v>114</v>
      </c>
      <c r="C135">
        <v>26486390</v>
      </c>
      <c r="D135" t="s">
        <v>3566</v>
      </c>
      <c r="E135" t="s">
        <v>3567</v>
      </c>
      <c r="F135" t="s">
        <v>3568</v>
      </c>
      <c r="G135" t="s">
        <v>3569</v>
      </c>
      <c r="H135" t="s">
        <v>3570</v>
      </c>
      <c r="I135" t="s">
        <v>3571</v>
      </c>
      <c r="J135" t="s">
        <v>3495</v>
      </c>
      <c r="K135" t="s">
        <v>3572</v>
      </c>
      <c r="L135" t="s">
        <v>3572</v>
      </c>
      <c r="M135" t="s">
        <v>3573</v>
      </c>
      <c r="N135" t="s">
        <v>3574</v>
      </c>
      <c r="O135" t="s">
        <v>3575</v>
      </c>
      <c r="P135" t="s">
        <v>3576</v>
      </c>
      <c r="Q135" t="s">
        <v>247</v>
      </c>
      <c r="R135" t="b">
        <v>0</v>
      </c>
      <c r="S135" t="s">
        <v>4025</v>
      </c>
    </row>
    <row r="136" spans="1:19" ht="11.25" customHeight="1" x14ac:dyDescent="0.15">
      <c r="A136">
        <v>2655</v>
      </c>
      <c r="B136" t="s">
        <v>114</v>
      </c>
      <c r="C136">
        <v>31187282</v>
      </c>
      <c r="D136" t="s">
        <v>4136</v>
      </c>
      <c r="E136" t="s">
        <v>4137</v>
      </c>
      <c r="F136" t="s">
        <v>4138</v>
      </c>
      <c r="G136" t="s">
        <v>3379</v>
      </c>
      <c r="H136" t="s">
        <v>4139</v>
      </c>
      <c r="I136" t="s">
        <v>4140</v>
      </c>
      <c r="J136" t="s">
        <v>3495</v>
      </c>
      <c r="K136" t="s">
        <v>4141</v>
      </c>
      <c r="L136" t="s">
        <v>4141</v>
      </c>
      <c r="M136" t="s">
        <v>247</v>
      </c>
      <c r="N136" t="s">
        <v>4142</v>
      </c>
      <c r="O136" t="s">
        <v>4143</v>
      </c>
      <c r="P136" t="s">
        <v>3488</v>
      </c>
      <c r="Q136" t="s">
        <v>247</v>
      </c>
      <c r="R136" t="b">
        <v>0</v>
      </c>
      <c r="S136" t="s">
        <v>4025</v>
      </c>
    </row>
    <row r="137" spans="1:19" ht="11.25" customHeight="1" x14ac:dyDescent="0.15">
      <c r="A137">
        <v>2655</v>
      </c>
      <c r="B137" t="s">
        <v>114</v>
      </c>
      <c r="C137">
        <v>31284269</v>
      </c>
      <c r="D137" t="s">
        <v>3606</v>
      </c>
      <c r="E137" t="s">
        <v>3607</v>
      </c>
      <c r="F137" t="s">
        <v>3608</v>
      </c>
      <c r="G137" t="s">
        <v>3551</v>
      </c>
      <c r="H137" t="s">
        <v>3609</v>
      </c>
      <c r="I137" t="s">
        <v>3610</v>
      </c>
      <c r="J137" t="s">
        <v>3495</v>
      </c>
      <c r="K137" t="s">
        <v>3611</v>
      </c>
      <c r="L137" t="s">
        <v>3612</v>
      </c>
      <c r="M137" t="s">
        <v>3613</v>
      </c>
      <c r="N137" t="s">
        <v>3614</v>
      </c>
      <c r="O137" t="s">
        <v>3615</v>
      </c>
      <c r="P137" t="s">
        <v>247</v>
      </c>
      <c r="Q137" t="s">
        <v>247</v>
      </c>
      <c r="R137" t="b">
        <v>0</v>
      </c>
      <c r="S137" t="s">
        <v>4025</v>
      </c>
    </row>
    <row r="138" spans="1:19" ht="11.25" customHeight="1" x14ac:dyDescent="0.15">
      <c r="A138">
        <v>2655</v>
      </c>
      <c r="B138" t="s">
        <v>114</v>
      </c>
      <c r="C138">
        <v>31159389</v>
      </c>
      <c r="D138" t="s">
        <v>4144</v>
      </c>
      <c r="E138" t="s">
        <v>4145</v>
      </c>
      <c r="F138" t="s">
        <v>4146</v>
      </c>
      <c r="G138" t="s">
        <v>3523</v>
      </c>
      <c r="H138" t="s">
        <v>4147</v>
      </c>
      <c r="I138" t="s">
        <v>4148</v>
      </c>
      <c r="J138" t="s">
        <v>3495</v>
      </c>
      <c r="K138" t="s">
        <v>4149</v>
      </c>
      <c r="L138" t="s">
        <v>4150</v>
      </c>
      <c r="M138" t="s">
        <v>4151</v>
      </c>
      <c r="N138" t="s">
        <v>4152</v>
      </c>
      <c r="O138" t="s">
        <v>4153</v>
      </c>
      <c r="P138" t="s">
        <v>3488</v>
      </c>
      <c r="Q138" t="s">
        <v>247</v>
      </c>
      <c r="R138" t="b">
        <v>0</v>
      </c>
      <c r="S138" t="s">
        <v>4025</v>
      </c>
    </row>
    <row r="139" spans="1:19" ht="11.25" customHeight="1" x14ac:dyDescent="0.15">
      <c r="A139">
        <v>2655</v>
      </c>
      <c r="B139" t="s">
        <v>114</v>
      </c>
      <c r="C139">
        <v>26322895</v>
      </c>
      <c r="D139" t="s">
        <v>3636</v>
      </c>
      <c r="E139" t="s">
        <v>3637</v>
      </c>
      <c r="F139" t="s">
        <v>3638</v>
      </c>
      <c r="G139" t="s">
        <v>149</v>
      </c>
      <c r="H139" t="s">
        <v>3639</v>
      </c>
      <c r="I139" t="s">
        <v>3640</v>
      </c>
      <c r="J139" t="s">
        <v>3426</v>
      </c>
      <c r="K139" t="s">
        <v>3641</v>
      </c>
      <c r="L139" t="s">
        <v>3641</v>
      </c>
      <c r="M139" t="s">
        <v>3642</v>
      </c>
      <c r="N139" t="s">
        <v>3643</v>
      </c>
      <c r="O139" t="s">
        <v>3644</v>
      </c>
      <c r="P139" t="s">
        <v>179</v>
      </c>
      <c r="Q139" t="s">
        <v>3645</v>
      </c>
      <c r="R139" t="b">
        <v>0</v>
      </c>
      <c r="S139" t="s">
        <v>4025</v>
      </c>
    </row>
    <row r="140" spans="1:19" ht="11.25" customHeight="1" x14ac:dyDescent="0.15">
      <c r="A140">
        <v>2655</v>
      </c>
      <c r="B140" t="s">
        <v>114</v>
      </c>
      <c r="C140">
        <v>26356930</v>
      </c>
      <c r="D140" t="s">
        <v>4154</v>
      </c>
      <c r="E140" t="s">
        <v>4155</v>
      </c>
      <c r="F140" t="s">
        <v>4156</v>
      </c>
      <c r="G140" t="s">
        <v>3656</v>
      </c>
      <c r="H140" t="s">
        <v>4157</v>
      </c>
      <c r="I140" t="s">
        <v>4158</v>
      </c>
      <c r="J140" t="s">
        <v>156</v>
      </c>
      <c r="K140" t="s">
        <v>4159</v>
      </c>
      <c r="L140" t="s">
        <v>4159</v>
      </c>
      <c r="M140" t="s">
        <v>4160</v>
      </c>
      <c r="N140" t="s">
        <v>247</v>
      </c>
      <c r="O140" t="s">
        <v>4161</v>
      </c>
      <c r="P140" t="s">
        <v>3488</v>
      </c>
      <c r="Q140" t="s">
        <v>247</v>
      </c>
      <c r="R140" t="b">
        <v>1</v>
      </c>
      <c r="S140" t="s">
        <v>4025</v>
      </c>
    </row>
    <row r="141" spans="1:19" ht="11.25" customHeight="1" x14ac:dyDescent="0.15">
      <c r="A141">
        <v>2655</v>
      </c>
      <c r="B141" t="s">
        <v>114</v>
      </c>
      <c r="C141">
        <v>30843704</v>
      </c>
      <c r="D141" t="s">
        <v>4162</v>
      </c>
      <c r="E141" t="s">
        <v>4163</v>
      </c>
      <c r="F141" t="s">
        <v>4164</v>
      </c>
      <c r="G141" t="s">
        <v>149</v>
      </c>
      <c r="H141" t="s">
        <v>4165</v>
      </c>
      <c r="I141" t="s">
        <v>4166</v>
      </c>
      <c r="J141" t="s">
        <v>156</v>
      </c>
      <c r="K141" t="s">
        <v>4167</v>
      </c>
      <c r="L141" t="s">
        <v>4168</v>
      </c>
      <c r="M141" t="s">
        <v>247</v>
      </c>
      <c r="N141" t="s">
        <v>4169</v>
      </c>
      <c r="O141" t="s">
        <v>4170</v>
      </c>
      <c r="P141" t="s">
        <v>179</v>
      </c>
      <c r="Q141" t="s">
        <v>247</v>
      </c>
      <c r="R141" t="b">
        <v>0</v>
      </c>
      <c r="S141" t="s">
        <v>4025</v>
      </c>
    </row>
    <row r="142" spans="1:19" ht="11.25" customHeight="1" x14ac:dyDescent="0.15">
      <c r="A142">
        <v>2655</v>
      </c>
      <c r="B142" t="s">
        <v>114</v>
      </c>
      <c r="C142">
        <v>26798812</v>
      </c>
      <c r="D142" t="s">
        <v>4171</v>
      </c>
      <c r="E142" t="s">
        <v>4172</v>
      </c>
      <c r="F142" t="s">
        <v>4173</v>
      </c>
      <c r="G142" t="s">
        <v>3369</v>
      </c>
      <c r="H142" t="s">
        <v>4174</v>
      </c>
      <c r="I142" t="s">
        <v>4175</v>
      </c>
      <c r="J142" t="s">
        <v>156</v>
      </c>
      <c r="K142" t="s">
        <v>4176</v>
      </c>
      <c r="L142" t="s">
        <v>4176</v>
      </c>
      <c r="M142" t="s">
        <v>4177</v>
      </c>
      <c r="N142" t="s">
        <v>4178</v>
      </c>
      <c r="O142" t="s">
        <v>4179</v>
      </c>
      <c r="P142" t="s">
        <v>179</v>
      </c>
      <c r="Q142" t="s">
        <v>4180</v>
      </c>
      <c r="R142" t="b">
        <v>0</v>
      </c>
      <c r="S142" t="s">
        <v>4025</v>
      </c>
    </row>
    <row r="143" spans="1:19" ht="11.25" customHeight="1" x14ac:dyDescent="0.15">
      <c r="A143">
        <v>2655</v>
      </c>
      <c r="B143" t="s">
        <v>114</v>
      </c>
      <c r="C143">
        <v>30398770</v>
      </c>
      <c r="D143" t="s">
        <v>4181</v>
      </c>
      <c r="E143" t="s">
        <v>4182</v>
      </c>
      <c r="F143" t="s">
        <v>4183</v>
      </c>
      <c r="G143" t="s">
        <v>3369</v>
      </c>
      <c r="H143" t="s">
        <v>4184</v>
      </c>
      <c r="I143" t="s">
        <v>4185</v>
      </c>
      <c r="J143" t="s">
        <v>156</v>
      </c>
      <c r="K143" t="s">
        <v>247</v>
      </c>
      <c r="L143" t="s">
        <v>4186</v>
      </c>
      <c r="M143" t="s">
        <v>4187</v>
      </c>
      <c r="N143" t="s">
        <v>4188</v>
      </c>
      <c r="O143" t="s">
        <v>4189</v>
      </c>
      <c r="P143" t="s">
        <v>179</v>
      </c>
      <c r="Q143" t="s">
        <v>247</v>
      </c>
      <c r="R143" t="b">
        <v>0</v>
      </c>
      <c r="S143" t="s">
        <v>4025</v>
      </c>
    </row>
    <row r="144" spans="1:19" ht="11.25" customHeight="1" x14ac:dyDescent="0.15">
      <c r="A144">
        <v>2655</v>
      </c>
      <c r="B144" t="s">
        <v>114</v>
      </c>
      <c r="C144">
        <v>31775146</v>
      </c>
      <c r="D144" t="s">
        <v>3653</v>
      </c>
      <c r="E144" t="s">
        <v>3654</v>
      </c>
      <c r="F144" t="s">
        <v>3655</v>
      </c>
      <c r="G144" t="s">
        <v>3656</v>
      </c>
      <c r="H144" t="s">
        <v>3657</v>
      </c>
      <c r="I144" t="s">
        <v>3658</v>
      </c>
      <c r="K144" t="s">
        <v>3659</v>
      </c>
      <c r="L144" t="s">
        <v>3659</v>
      </c>
      <c r="M144" t="s">
        <v>3660</v>
      </c>
      <c r="N144" t="s">
        <v>3661</v>
      </c>
      <c r="O144" t="s">
        <v>3662</v>
      </c>
      <c r="P144" t="s">
        <v>3451</v>
      </c>
      <c r="Q144" t="s">
        <v>247</v>
      </c>
      <c r="R144" t="b">
        <v>1</v>
      </c>
      <c r="S144" t="s">
        <v>4025</v>
      </c>
    </row>
    <row r="145" spans="1:19" ht="11.25" customHeight="1" x14ac:dyDescent="0.15">
      <c r="A145">
        <v>2655</v>
      </c>
      <c r="B145" t="s">
        <v>114</v>
      </c>
      <c r="C145">
        <v>28873685</v>
      </c>
      <c r="D145" t="s">
        <v>4190</v>
      </c>
      <c r="E145" t="s">
        <v>4191</v>
      </c>
      <c r="F145" t="s">
        <v>4192</v>
      </c>
      <c r="G145" t="s">
        <v>3656</v>
      </c>
      <c r="H145" t="s">
        <v>4193</v>
      </c>
      <c r="I145" t="s">
        <v>4194</v>
      </c>
      <c r="J145" t="s">
        <v>156</v>
      </c>
      <c r="K145" t="s">
        <v>4195</v>
      </c>
      <c r="L145" t="s">
        <v>4195</v>
      </c>
      <c r="M145" t="s">
        <v>4196</v>
      </c>
      <c r="N145" t="s">
        <v>3661</v>
      </c>
      <c r="O145" t="s">
        <v>3662</v>
      </c>
      <c r="P145" t="s">
        <v>179</v>
      </c>
      <c r="Q145" t="s">
        <v>4197</v>
      </c>
      <c r="R145" t="b">
        <v>1</v>
      </c>
      <c r="S145" t="s">
        <v>4025</v>
      </c>
    </row>
    <row r="146" spans="1:19" ht="11.25" customHeight="1" x14ac:dyDescent="0.15">
      <c r="A146">
        <v>2655</v>
      </c>
      <c r="B146" t="s">
        <v>114</v>
      </c>
      <c r="C146">
        <v>28869965</v>
      </c>
      <c r="D146" t="s">
        <v>3663</v>
      </c>
      <c r="E146" t="s">
        <v>3664</v>
      </c>
      <c r="F146" t="s">
        <v>3665</v>
      </c>
      <c r="G146" t="s">
        <v>3480</v>
      </c>
      <c r="H146" t="s">
        <v>3666</v>
      </c>
      <c r="I146" t="s">
        <v>247</v>
      </c>
      <c r="J146" t="s">
        <v>156</v>
      </c>
      <c r="K146" t="s">
        <v>3667</v>
      </c>
      <c r="L146" t="s">
        <v>3667</v>
      </c>
      <c r="M146" t="s">
        <v>3668</v>
      </c>
      <c r="N146" t="s">
        <v>3669</v>
      </c>
      <c r="O146" t="s">
        <v>3670</v>
      </c>
      <c r="P146" t="s">
        <v>179</v>
      </c>
      <c r="Q146" t="s">
        <v>3671</v>
      </c>
      <c r="R146" t="b">
        <v>0</v>
      </c>
      <c r="S146" t="s">
        <v>4025</v>
      </c>
    </row>
    <row r="147" spans="1:19" ht="11.25" customHeight="1" x14ac:dyDescent="0.15">
      <c r="A147">
        <v>2655</v>
      </c>
      <c r="B147" t="s">
        <v>114</v>
      </c>
      <c r="C147">
        <v>31245446</v>
      </c>
      <c r="D147" t="s">
        <v>4198</v>
      </c>
      <c r="E147" t="s">
        <v>4199</v>
      </c>
      <c r="F147" t="s">
        <v>4200</v>
      </c>
      <c r="G147" t="s">
        <v>3684</v>
      </c>
      <c r="H147" t="s">
        <v>4201</v>
      </c>
      <c r="I147" t="s">
        <v>4202</v>
      </c>
      <c r="J147" t="s">
        <v>156</v>
      </c>
      <c r="K147" t="s">
        <v>247</v>
      </c>
      <c r="L147" t="s">
        <v>4203</v>
      </c>
      <c r="M147" t="s">
        <v>247</v>
      </c>
      <c r="N147" t="s">
        <v>4204</v>
      </c>
      <c r="O147" t="s">
        <v>4205</v>
      </c>
      <c r="P147" t="s">
        <v>3488</v>
      </c>
      <c r="Q147" t="s">
        <v>247</v>
      </c>
      <c r="R147" t="b">
        <v>0</v>
      </c>
      <c r="S147" t="s">
        <v>4025</v>
      </c>
    </row>
    <row r="148" spans="1:19" ht="11.25" customHeight="1" x14ac:dyDescent="0.15">
      <c r="A148">
        <v>2655</v>
      </c>
      <c r="B148" t="s">
        <v>114</v>
      </c>
      <c r="C148">
        <v>26476793</v>
      </c>
      <c r="D148" t="s">
        <v>4206</v>
      </c>
      <c r="E148" t="s">
        <v>4207</v>
      </c>
      <c r="F148" t="s">
        <v>4208</v>
      </c>
      <c r="G148" t="s">
        <v>4098</v>
      </c>
      <c r="H148" t="s">
        <v>4209</v>
      </c>
      <c r="I148" t="s">
        <v>4210</v>
      </c>
      <c r="J148" t="s">
        <v>156</v>
      </c>
      <c r="K148" t="s">
        <v>4211</v>
      </c>
      <c r="L148" t="s">
        <v>4211</v>
      </c>
      <c r="M148" t="s">
        <v>4212</v>
      </c>
      <c r="N148" t="s">
        <v>4213</v>
      </c>
      <c r="O148" t="s">
        <v>4214</v>
      </c>
      <c r="P148" t="s">
        <v>3488</v>
      </c>
      <c r="Q148" t="s">
        <v>190</v>
      </c>
      <c r="R148" t="b">
        <v>1</v>
      </c>
      <c r="S148" t="s">
        <v>4025</v>
      </c>
    </row>
    <row r="149" spans="1:19" ht="11.25" customHeight="1" x14ac:dyDescent="0.15">
      <c r="A149">
        <v>2655</v>
      </c>
      <c r="B149" t="s">
        <v>114</v>
      </c>
      <c r="C149">
        <v>28509720</v>
      </c>
      <c r="D149" t="s">
        <v>4215</v>
      </c>
      <c r="E149" t="s">
        <v>4216</v>
      </c>
      <c r="F149" t="s">
        <v>4217</v>
      </c>
      <c r="G149" t="s">
        <v>4218</v>
      </c>
      <c r="H149" t="s">
        <v>4219</v>
      </c>
      <c r="I149" t="s">
        <v>4220</v>
      </c>
      <c r="J149" t="s">
        <v>156</v>
      </c>
      <c r="K149" t="s">
        <v>4221</v>
      </c>
      <c r="L149" t="s">
        <v>4222</v>
      </c>
      <c r="M149" t="s">
        <v>4223</v>
      </c>
      <c r="N149" t="s">
        <v>247</v>
      </c>
      <c r="O149" t="s">
        <v>4224</v>
      </c>
      <c r="P149" t="s">
        <v>179</v>
      </c>
      <c r="Q149" t="s">
        <v>247</v>
      </c>
      <c r="R149" t="b">
        <v>0</v>
      </c>
      <c r="S149" t="s">
        <v>4025</v>
      </c>
    </row>
    <row r="150" spans="1:19" ht="11.25" customHeight="1" x14ac:dyDescent="0.15">
      <c r="A150">
        <v>2655</v>
      </c>
      <c r="B150" t="s">
        <v>114</v>
      </c>
      <c r="C150">
        <v>30950350</v>
      </c>
      <c r="D150" t="s">
        <v>4225</v>
      </c>
      <c r="E150" t="s">
        <v>4226</v>
      </c>
      <c r="F150" t="s">
        <v>4227</v>
      </c>
      <c r="G150" t="s">
        <v>3599</v>
      </c>
      <c r="H150" t="s">
        <v>4228</v>
      </c>
      <c r="I150" t="s">
        <v>4229</v>
      </c>
      <c r="J150" t="s">
        <v>156</v>
      </c>
      <c r="K150" t="s">
        <v>4230</v>
      </c>
      <c r="L150" t="s">
        <v>4230</v>
      </c>
      <c r="M150" t="s">
        <v>4231</v>
      </c>
      <c r="N150" t="s">
        <v>4232</v>
      </c>
      <c r="O150" t="s">
        <v>4233</v>
      </c>
      <c r="P150" t="s">
        <v>3488</v>
      </c>
      <c r="Q150" t="s">
        <v>190</v>
      </c>
      <c r="R150" t="b">
        <v>0</v>
      </c>
      <c r="S150" t="s">
        <v>4025</v>
      </c>
    </row>
    <row r="151" spans="1:19" ht="11.25" customHeight="1" x14ac:dyDescent="0.15">
      <c r="A151">
        <v>2655</v>
      </c>
      <c r="B151" t="s">
        <v>114</v>
      </c>
      <c r="C151">
        <v>31527562</v>
      </c>
      <c r="D151" t="s">
        <v>4234</v>
      </c>
      <c r="E151" t="s">
        <v>4235</v>
      </c>
      <c r="F151" t="s">
        <v>4236</v>
      </c>
      <c r="G151" t="s">
        <v>4237</v>
      </c>
      <c r="H151" t="s">
        <v>4238</v>
      </c>
      <c r="I151" t="s">
        <v>4239</v>
      </c>
      <c r="K151" t="s">
        <v>4240</v>
      </c>
      <c r="L151" t="s">
        <v>4241</v>
      </c>
      <c r="M151" t="s">
        <v>247</v>
      </c>
      <c r="N151" t="s">
        <v>247</v>
      </c>
      <c r="O151" t="s">
        <v>4242</v>
      </c>
      <c r="P151" t="s">
        <v>247</v>
      </c>
      <c r="Q151" t="s">
        <v>247</v>
      </c>
      <c r="R151" t="b">
        <v>0</v>
      </c>
      <c r="S151" t="s">
        <v>4025</v>
      </c>
    </row>
    <row r="152" spans="1:19" ht="11.25" customHeight="1" x14ac:dyDescent="0.15">
      <c r="A152">
        <v>2655</v>
      </c>
      <c r="B152" t="s">
        <v>114</v>
      </c>
      <c r="C152">
        <v>31874557</v>
      </c>
      <c r="D152" t="s">
        <v>4243</v>
      </c>
      <c r="E152" t="s">
        <v>4244</v>
      </c>
      <c r="F152" t="s">
        <v>4245</v>
      </c>
      <c r="G152" t="s">
        <v>3599</v>
      </c>
      <c r="H152" t="s">
        <v>4246</v>
      </c>
      <c r="I152" t="s">
        <v>4247</v>
      </c>
      <c r="K152" t="s">
        <v>4248</v>
      </c>
      <c r="L152" t="s">
        <v>4248</v>
      </c>
      <c r="M152" t="s">
        <v>4249</v>
      </c>
      <c r="N152" t="s">
        <v>4250</v>
      </c>
      <c r="O152" t="s">
        <v>4251</v>
      </c>
      <c r="P152" t="s">
        <v>179</v>
      </c>
      <c r="Q152" t="s">
        <v>247</v>
      </c>
      <c r="R152" t="b">
        <v>1</v>
      </c>
      <c r="S152" t="s">
        <v>4025</v>
      </c>
    </row>
    <row r="153" spans="1:19" ht="11.25" customHeight="1" x14ac:dyDescent="0.15">
      <c r="A153">
        <v>2655</v>
      </c>
      <c r="B153" t="s">
        <v>114</v>
      </c>
      <c r="C153">
        <v>31656254</v>
      </c>
      <c r="D153" t="s">
        <v>3701</v>
      </c>
      <c r="E153" t="s">
        <v>3702</v>
      </c>
      <c r="F153" t="s">
        <v>3703</v>
      </c>
      <c r="G153" t="s">
        <v>3704</v>
      </c>
      <c r="H153" t="s">
        <v>3705</v>
      </c>
      <c r="I153" t="s">
        <v>3706</v>
      </c>
      <c r="K153" t="s">
        <v>3707</v>
      </c>
      <c r="L153" t="s">
        <v>3708</v>
      </c>
      <c r="M153" t="s">
        <v>3709</v>
      </c>
      <c r="N153" t="s">
        <v>3710</v>
      </c>
      <c r="O153" t="s">
        <v>3711</v>
      </c>
      <c r="P153" t="s">
        <v>3488</v>
      </c>
      <c r="Q153" t="s">
        <v>3712</v>
      </c>
      <c r="R153" t="b">
        <v>0</v>
      </c>
      <c r="S153" t="s">
        <v>4025</v>
      </c>
    </row>
    <row r="154" spans="1:19" ht="11.25" customHeight="1" x14ac:dyDescent="0.15">
      <c r="A154">
        <v>2655</v>
      </c>
      <c r="B154" t="s">
        <v>114</v>
      </c>
      <c r="C154">
        <v>26356927</v>
      </c>
      <c r="D154" t="s">
        <v>4252</v>
      </c>
      <c r="E154" t="s">
        <v>4253</v>
      </c>
      <c r="F154" t="s">
        <v>4254</v>
      </c>
      <c r="G154" t="s">
        <v>3656</v>
      </c>
      <c r="H154" t="s">
        <v>4255</v>
      </c>
      <c r="I154" t="s">
        <v>4256</v>
      </c>
      <c r="J154" t="s">
        <v>156</v>
      </c>
      <c r="K154" t="s">
        <v>4257</v>
      </c>
      <c r="L154" t="s">
        <v>4257</v>
      </c>
      <c r="M154" t="s">
        <v>4258</v>
      </c>
      <c r="N154" t="s">
        <v>4259</v>
      </c>
      <c r="O154" t="s">
        <v>4260</v>
      </c>
      <c r="P154" t="s">
        <v>3451</v>
      </c>
      <c r="Q154" t="s">
        <v>247</v>
      </c>
      <c r="R154" t="b">
        <v>1</v>
      </c>
      <c r="S154" t="s">
        <v>4025</v>
      </c>
    </row>
    <row r="155" spans="1:19" ht="11.25" customHeight="1" x14ac:dyDescent="0.15">
      <c r="A155">
        <v>2655</v>
      </c>
      <c r="B155" t="s">
        <v>114</v>
      </c>
      <c r="C155">
        <v>28878273</v>
      </c>
      <c r="D155" t="s">
        <v>4261</v>
      </c>
      <c r="E155" t="s">
        <v>4262</v>
      </c>
      <c r="F155" t="s">
        <v>4263</v>
      </c>
      <c r="G155" t="s">
        <v>149</v>
      </c>
      <c r="H155" t="s">
        <v>4264</v>
      </c>
      <c r="I155" t="s">
        <v>247</v>
      </c>
      <c r="J155" t="s">
        <v>156</v>
      </c>
      <c r="K155" t="s">
        <v>4265</v>
      </c>
      <c r="L155" t="s">
        <v>4266</v>
      </c>
      <c r="M155" t="s">
        <v>4267</v>
      </c>
      <c r="N155" t="s">
        <v>4268</v>
      </c>
      <c r="O155" t="s">
        <v>4269</v>
      </c>
      <c r="P155" t="s">
        <v>179</v>
      </c>
      <c r="Q155" t="s">
        <v>4270</v>
      </c>
      <c r="R155" t="b">
        <v>0</v>
      </c>
      <c r="S155" t="s">
        <v>4025</v>
      </c>
    </row>
    <row r="156" spans="1:19" ht="11.25" customHeight="1" x14ac:dyDescent="0.15">
      <c r="A156">
        <v>2655</v>
      </c>
      <c r="B156" t="s">
        <v>114</v>
      </c>
      <c r="C156">
        <v>26562805</v>
      </c>
      <c r="D156" t="s">
        <v>4271</v>
      </c>
      <c r="E156" t="s">
        <v>4272</v>
      </c>
      <c r="F156" t="s">
        <v>4273</v>
      </c>
      <c r="G156" t="s">
        <v>3569</v>
      </c>
      <c r="H156" t="s">
        <v>4274</v>
      </c>
      <c r="I156" t="s">
        <v>4275</v>
      </c>
      <c r="J156" t="s">
        <v>156</v>
      </c>
      <c r="K156" t="s">
        <v>4276</v>
      </c>
      <c r="L156" t="s">
        <v>4276</v>
      </c>
      <c r="M156" t="s">
        <v>4277</v>
      </c>
      <c r="N156" t="s">
        <v>4278</v>
      </c>
      <c r="O156" t="s">
        <v>4279</v>
      </c>
      <c r="P156" t="s">
        <v>3488</v>
      </c>
      <c r="Q156" t="s">
        <v>4280</v>
      </c>
      <c r="R156" t="b">
        <v>0</v>
      </c>
      <c r="S156" t="s">
        <v>4025</v>
      </c>
    </row>
    <row r="157" spans="1:19" ht="11.25" customHeight="1" x14ac:dyDescent="0.15">
      <c r="A157">
        <v>2655</v>
      </c>
      <c r="B157" t="s">
        <v>114</v>
      </c>
      <c r="C157">
        <v>31684090</v>
      </c>
      <c r="D157" t="s">
        <v>4281</v>
      </c>
      <c r="E157" t="s">
        <v>4282</v>
      </c>
      <c r="F157" t="s">
        <v>4283</v>
      </c>
      <c r="G157" t="s">
        <v>149</v>
      </c>
      <c r="H157" t="s">
        <v>4284</v>
      </c>
      <c r="I157" t="s">
        <v>4285</v>
      </c>
      <c r="K157" t="s">
        <v>4286</v>
      </c>
      <c r="L157" t="s">
        <v>4287</v>
      </c>
      <c r="M157" t="s">
        <v>247</v>
      </c>
      <c r="N157" t="s">
        <v>247</v>
      </c>
      <c r="O157" t="s">
        <v>4288</v>
      </c>
      <c r="P157" t="s">
        <v>3364</v>
      </c>
      <c r="Q157" t="s">
        <v>4289</v>
      </c>
      <c r="R157" t="b">
        <v>0</v>
      </c>
      <c r="S157" t="s">
        <v>4025</v>
      </c>
    </row>
    <row r="158" spans="1:19" ht="11.25" customHeight="1" x14ac:dyDescent="0.15">
      <c r="A158">
        <v>2655</v>
      </c>
      <c r="B158" t="s">
        <v>114</v>
      </c>
      <c r="C158">
        <v>27997588</v>
      </c>
      <c r="D158" t="s">
        <v>4290</v>
      </c>
      <c r="E158" t="s">
        <v>4291</v>
      </c>
      <c r="F158" t="s">
        <v>4292</v>
      </c>
      <c r="G158" t="s">
        <v>3480</v>
      </c>
      <c r="H158" t="s">
        <v>4293</v>
      </c>
      <c r="I158" t="s">
        <v>4294</v>
      </c>
      <c r="J158" t="s">
        <v>156</v>
      </c>
      <c r="K158" t="s">
        <v>4295</v>
      </c>
      <c r="L158" t="s">
        <v>4295</v>
      </c>
      <c r="M158" t="s">
        <v>4296</v>
      </c>
      <c r="N158" t="s">
        <v>4297</v>
      </c>
      <c r="O158" t="s">
        <v>4298</v>
      </c>
      <c r="P158" t="s">
        <v>4299</v>
      </c>
      <c r="Q158" t="s">
        <v>247</v>
      </c>
      <c r="R158" t="b">
        <v>0</v>
      </c>
      <c r="S158" t="s">
        <v>4025</v>
      </c>
    </row>
    <row r="159" spans="1:19" ht="11.25" customHeight="1" x14ac:dyDescent="0.15">
      <c r="A159">
        <v>2655</v>
      </c>
      <c r="B159" t="s">
        <v>114</v>
      </c>
      <c r="C159">
        <v>28882034</v>
      </c>
      <c r="D159" t="s">
        <v>4300</v>
      </c>
      <c r="E159" t="s">
        <v>4301</v>
      </c>
      <c r="F159" t="s">
        <v>4302</v>
      </c>
      <c r="G159" t="s">
        <v>149</v>
      </c>
      <c r="H159" t="s">
        <v>4303</v>
      </c>
      <c r="I159" t="s">
        <v>247</v>
      </c>
      <c r="J159" t="s">
        <v>156</v>
      </c>
      <c r="K159" t="s">
        <v>4304</v>
      </c>
      <c r="L159" t="s">
        <v>4304</v>
      </c>
      <c r="M159" t="s">
        <v>247</v>
      </c>
      <c r="N159" t="s">
        <v>247</v>
      </c>
      <c r="O159" t="s">
        <v>4305</v>
      </c>
      <c r="P159" t="s">
        <v>3488</v>
      </c>
      <c r="Q159" t="s">
        <v>247</v>
      </c>
      <c r="R159" t="b">
        <v>0</v>
      </c>
      <c r="S159" t="s">
        <v>4025</v>
      </c>
    </row>
    <row r="160" spans="1:19" ht="11.25" customHeight="1" x14ac:dyDescent="0.15">
      <c r="A160">
        <v>2655</v>
      </c>
      <c r="B160" t="s">
        <v>114</v>
      </c>
      <c r="C160">
        <v>26648537</v>
      </c>
      <c r="D160" t="s">
        <v>4306</v>
      </c>
      <c r="E160" t="s">
        <v>4307</v>
      </c>
      <c r="F160" t="s">
        <v>4308</v>
      </c>
      <c r="G160" t="s">
        <v>149</v>
      </c>
      <c r="H160" t="s">
        <v>4309</v>
      </c>
      <c r="I160" t="s">
        <v>4310</v>
      </c>
      <c r="J160" t="s">
        <v>156</v>
      </c>
      <c r="K160" t="s">
        <v>4311</v>
      </c>
      <c r="L160" t="s">
        <v>4311</v>
      </c>
      <c r="M160" t="s">
        <v>4312</v>
      </c>
      <c r="N160" t="s">
        <v>4313</v>
      </c>
      <c r="O160" t="s">
        <v>4314</v>
      </c>
      <c r="P160" t="s">
        <v>3488</v>
      </c>
      <c r="Q160" t="s">
        <v>4315</v>
      </c>
      <c r="R160" t="b">
        <v>0</v>
      </c>
      <c r="S160" t="s">
        <v>4025</v>
      </c>
    </row>
    <row r="161" spans="1:19" ht="11.25" customHeight="1" x14ac:dyDescent="0.15">
      <c r="A161">
        <v>2655</v>
      </c>
      <c r="B161" t="s">
        <v>114</v>
      </c>
      <c r="C161">
        <v>31519209</v>
      </c>
      <c r="D161" t="s">
        <v>4316</v>
      </c>
      <c r="E161" t="s">
        <v>4317</v>
      </c>
      <c r="F161" t="s">
        <v>4318</v>
      </c>
      <c r="G161" t="s">
        <v>3656</v>
      </c>
      <c r="H161" t="s">
        <v>4319</v>
      </c>
      <c r="I161" t="s">
        <v>4320</v>
      </c>
      <c r="J161" t="s">
        <v>156</v>
      </c>
      <c r="K161" t="s">
        <v>4321</v>
      </c>
      <c r="L161" t="s">
        <v>4322</v>
      </c>
      <c r="M161" t="s">
        <v>4323</v>
      </c>
      <c r="N161" t="s">
        <v>4324</v>
      </c>
      <c r="O161" t="s">
        <v>4325</v>
      </c>
      <c r="P161" t="s">
        <v>3364</v>
      </c>
      <c r="Q161" t="s">
        <v>247</v>
      </c>
      <c r="R161" t="b">
        <v>0</v>
      </c>
      <c r="S161" t="s">
        <v>4025</v>
      </c>
    </row>
    <row r="162" spans="1:19" ht="11.25" customHeight="1" x14ac:dyDescent="0.15">
      <c r="A162">
        <v>2655</v>
      </c>
      <c r="B162" t="s">
        <v>114</v>
      </c>
      <c r="C162">
        <v>31574053</v>
      </c>
      <c r="D162" t="s">
        <v>4326</v>
      </c>
      <c r="E162" t="s">
        <v>4327</v>
      </c>
      <c r="F162" t="s">
        <v>4328</v>
      </c>
      <c r="G162" t="s">
        <v>3599</v>
      </c>
      <c r="H162" t="s">
        <v>4329</v>
      </c>
      <c r="I162" t="s">
        <v>4330</v>
      </c>
      <c r="K162" t="s">
        <v>4331</v>
      </c>
      <c r="L162" t="s">
        <v>4331</v>
      </c>
      <c r="M162" t="s">
        <v>4332</v>
      </c>
      <c r="N162" t="s">
        <v>4333</v>
      </c>
      <c r="O162" t="s">
        <v>4334</v>
      </c>
      <c r="P162" t="s">
        <v>3488</v>
      </c>
      <c r="Q162" t="s">
        <v>247</v>
      </c>
      <c r="R162" t="b">
        <v>0</v>
      </c>
      <c r="S162" t="s">
        <v>4025</v>
      </c>
    </row>
    <row r="163" spans="1:19" ht="11.25" customHeight="1" x14ac:dyDescent="0.15">
      <c r="A163">
        <v>2655</v>
      </c>
      <c r="B163" t="s">
        <v>114</v>
      </c>
      <c r="C163">
        <v>28141951</v>
      </c>
      <c r="D163" t="s">
        <v>4335</v>
      </c>
      <c r="E163" t="s">
        <v>4336</v>
      </c>
      <c r="F163" t="s">
        <v>4337</v>
      </c>
      <c r="G163" t="s">
        <v>3379</v>
      </c>
      <c r="H163" t="s">
        <v>4338</v>
      </c>
      <c r="I163" t="s">
        <v>4339</v>
      </c>
      <c r="J163" t="s">
        <v>156</v>
      </c>
      <c r="K163" t="s">
        <v>4340</v>
      </c>
      <c r="L163" t="s">
        <v>4340</v>
      </c>
      <c r="M163" t="s">
        <v>4341</v>
      </c>
      <c r="N163" t="s">
        <v>4342</v>
      </c>
      <c r="O163" t="s">
        <v>4343</v>
      </c>
      <c r="P163" t="s">
        <v>179</v>
      </c>
      <c r="Q163" t="s">
        <v>4344</v>
      </c>
      <c r="R163" t="b">
        <v>0</v>
      </c>
      <c r="S163" t="s">
        <v>4025</v>
      </c>
    </row>
    <row r="164" spans="1:19" ht="11.25" customHeight="1" x14ac:dyDescent="0.15">
      <c r="A164">
        <v>2655</v>
      </c>
      <c r="B164" t="s">
        <v>114</v>
      </c>
      <c r="C164">
        <v>26852793</v>
      </c>
      <c r="D164" t="s">
        <v>4345</v>
      </c>
      <c r="E164" t="s">
        <v>4346</v>
      </c>
      <c r="F164" t="s">
        <v>4347</v>
      </c>
      <c r="G164" t="s">
        <v>3599</v>
      </c>
      <c r="H164" t="s">
        <v>4348</v>
      </c>
      <c r="I164" t="s">
        <v>4349</v>
      </c>
      <c r="J164" t="s">
        <v>156</v>
      </c>
      <c r="K164" t="s">
        <v>4031</v>
      </c>
      <c r="L164" t="s">
        <v>4031</v>
      </c>
      <c r="M164" t="s">
        <v>4350</v>
      </c>
      <c r="N164" t="s">
        <v>4351</v>
      </c>
      <c r="O164" t="s">
        <v>4352</v>
      </c>
      <c r="P164" t="s">
        <v>179</v>
      </c>
      <c r="Q164" t="s">
        <v>190</v>
      </c>
      <c r="R164" t="b">
        <v>0</v>
      </c>
      <c r="S164" t="s">
        <v>4025</v>
      </c>
    </row>
    <row r="165" spans="1:19" ht="11.25" customHeight="1" x14ac:dyDescent="0.15">
      <c r="A165">
        <v>2655</v>
      </c>
      <c r="B165" t="s">
        <v>114</v>
      </c>
      <c r="C165">
        <v>28141966</v>
      </c>
      <c r="D165" t="s">
        <v>4353</v>
      </c>
      <c r="E165" t="s">
        <v>4354</v>
      </c>
      <c r="F165" t="s">
        <v>4355</v>
      </c>
      <c r="G165" t="s">
        <v>3480</v>
      </c>
      <c r="H165" t="s">
        <v>4356</v>
      </c>
      <c r="I165" t="s">
        <v>4357</v>
      </c>
      <c r="J165" t="s">
        <v>156</v>
      </c>
      <c r="K165" t="s">
        <v>4358</v>
      </c>
      <c r="L165" t="s">
        <v>4359</v>
      </c>
      <c r="M165" t="s">
        <v>4360</v>
      </c>
      <c r="N165" t="s">
        <v>4361</v>
      </c>
      <c r="O165" t="s">
        <v>4362</v>
      </c>
      <c r="P165" t="s">
        <v>179</v>
      </c>
      <c r="Q165" t="s">
        <v>4363</v>
      </c>
      <c r="R165" t="b">
        <v>0</v>
      </c>
      <c r="S165" t="s">
        <v>4025</v>
      </c>
    </row>
    <row r="166" spans="1:19" ht="11.25" customHeight="1" x14ac:dyDescent="0.15">
      <c r="A166">
        <v>2655</v>
      </c>
      <c r="B166" t="s">
        <v>114</v>
      </c>
      <c r="C166">
        <v>31424033</v>
      </c>
      <c r="D166" t="s">
        <v>3713</v>
      </c>
      <c r="E166" t="s">
        <v>3714</v>
      </c>
      <c r="F166" t="s">
        <v>3715</v>
      </c>
      <c r="G166" t="s">
        <v>3716</v>
      </c>
      <c r="H166" t="s">
        <v>3717</v>
      </c>
      <c r="I166" t="s">
        <v>247</v>
      </c>
      <c r="J166" t="s">
        <v>156</v>
      </c>
      <c r="K166" t="s">
        <v>247</v>
      </c>
      <c r="L166" t="s">
        <v>247</v>
      </c>
      <c r="M166" t="s">
        <v>247</v>
      </c>
      <c r="N166" t="s">
        <v>247</v>
      </c>
      <c r="O166" t="s">
        <v>247</v>
      </c>
      <c r="P166" t="s">
        <v>247</v>
      </c>
      <c r="Q166" t="s">
        <v>247</v>
      </c>
      <c r="R166" t="b">
        <v>0</v>
      </c>
      <c r="S166" t="s">
        <v>4025</v>
      </c>
    </row>
    <row r="167" spans="1:19" ht="11.25" customHeight="1" x14ac:dyDescent="0.15">
      <c r="A167">
        <v>2655</v>
      </c>
      <c r="B167" t="s">
        <v>114</v>
      </c>
      <c r="C167">
        <v>27838991</v>
      </c>
      <c r="D167" t="s">
        <v>3998</v>
      </c>
      <c r="E167" t="s">
        <v>3999</v>
      </c>
      <c r="F167" t="s">
        <v>4000</v>
      </c>
      <c r="G167" t="s">
        <v>3379</v>
      </c>
      <c r="H167" t="s">
        <v>4001</v>
      </c>
      <c r="I167" t="s">
        <v>4002</v>
      </c>
      <c r="J167" t="s">
        <v>156</v>
      </c>
      <c r="K167" t="s">
        <v>4003</v>
      </c>
      <c r="L167" t="s">
        <v>4004</v>
      </c>
      <c r="M167" t="s">
        <v>4005</v>
      </c>
      <c r="N167" t="s">
        <v>4006</v>
      </c>
      <c r="O167" t="s">
        <v>4007</v>
      </c>
      <c r="P167" t="s">
        <v>179</v>
      </c>
      <c r="Q167" t="s">
        <v>247</v>
      </c>
      <c r="R167" t="b">
        <v>0</v>
      </c>
      <c r="S167" t="s">
        <v>4025</v>
      </c>
    </row>
    <row r="168" spans="1:19" ht="11.25" customHeight="1" x14ac:dyDescent="0.15">
      <c r="A168">
        <v>2655</v>
      </c>
      <c r="B168" t="s">
        <v>114</v>
      </c>
      <c r="C168">
        <v>26356931</v>
      </c>
      <c r="D168" t="s">
        <v>4364</v>
      </c>
      <c r="E168" t="s">
        <v>4365</v>
      </c>
      <c r="F168" t="s">
        <v>4366</v>
      </c>
      <c r="G168" t="s">
        <v>3656</v>
      </c>
      <c r="H168" t="s">
        <v>4367</v>
      </c>
      <c r="I168" t="s">
        <v>4368</v>
      </c>
      <c r="J168" t="s">
        <v>156</v>
      </c>
      <c r="K168" t="s">
        <v>4369</v>
      </c>
      <c r="L168" t="s">
        <v>4369</v>
      </c>
      <c r="M168" t="s">
        <v>4370</v>
      </c>
      <c r="N168" t="s">
        <v>4371</v>
      </c>
      <c r="O168" t="s">
        <v>4372</v>
      </c>
      <c r="P168" t="s">
        <v>3488</v>
      </c>
      <c r="Q168" t="s">
        <v>190</v>
      </c>
      <c r="R168" t="b">
        <v>1</v>
      </c>
      <c r="S168" t="s">
        <v>4025</v>
      </c>
    </row>
    <row r="169" spans="1:19" ht="11.25" customHeight="1" x14ac:dyDescent="0.15">
      <c r="A169">
        <v>2655</v>
      </c>
      <c r="B169" t="s">
        <v>114</v>
      </c>
      <c r="C169">
        <v>28151808</v>
      </c>
      <c r="D169" t="s">
        <v>3727</v>
      </c>
      <c r="E169" t="s">
        <v>3728</v>
      </c>
      <c r="F169" t="s">
        <v>3729</v>
      </c>
      <c r="G169" t="s">
        <v>3434</v>
      </c>
      <c r="H169" t="s">
        <v>3730</v>
      </c>
      <c r="I169" t="s">
        <v>3731</v>
      </c>
      <c r="J169" t="s">
        <v>156</v>
      </c>
      <c r="K169" t="s">
        <v>3732</v>
      </c>
      <c r="L169" t="s">
        <v>3733</v>
      </c>
      <c r="M169" t="s">
        <v>3734</v>
      </c>
      <c r="N169" t="s">
        <v>3735</v>
      </c>
      <c r="O169" t="s">
        <v>3736</v>
      </c>
      <c r="P169" t="s">
        <v>179</v>
      </c>
      <c r="Q169" t="s">
        <v>247</v>
      </c>
      <c r="R169" t="b">
        <v>1</v>
      </c>
      <c r="S169" t="s">
        <v>4025</v>
      </c>
    </row>
    <row r="170" spans="1:19" ht="11.25" customHeight="1" x14ac:dyDescent="0.15">
      <c r="A170">
        <v>2655</v>
      </c>
      <c r="B170" t="s">
        <v>114</v>
      </c>
      <c r="C170">
        <v>31739633</v>
      </c>
      <c r="D170" t="s">
        <v>3737</v>
      </c>
      <c r="E170" t="s">
        <v>3738</v>
      </c>
      <c r="F170" t="s">
        <v>3739</v>
      </c>
      <c r="G170" t="s">
        <v>3740</v>
      </c>
      <c r="H170" t="s">
        <v>3741</v>
      </c>
      <c r="I170" t="s">
        <v>3742</v>
      </c>
      <c r="K170" t="s">
        <v>3743</v>
      </c>
      <c r="L170" t="s">
        <v>3743</v>
      </c>
      <c r="M170" t="s">
        <v>3744</v>
      </c>
      <c r="N170" t="s">
        <v>3745</v>
      </c>
      <c r="O170" t="s">
        <v>3746</v>
      </c>
      <c r="P170" t="s">
        <v>3451</v>
      </c>
      <c r="Q170" t="s">
        <v>247</v>
      </c>
      <c r="R170" t="b">
        <v>0</v>
      </c>
      <c r="S170" t="s">
        <v>4025</v>
      </c>
    </row>
    <row r="171" spans="1:19" ht="11.25" customHeight="1" x14ac:dyDescent="0.15">
      <c r="A171">
        <v>2655</v>
      </c>
      <c r="B171" t="s">
        <v>114</v>
      </c>
      <c r="C171">
        <v>30433806</v>
      </c>
      <c r="D171" t="s">
        <v>4373</v>
      </c>
      <c r="E171" t="s">
        <v>4374</v>
      </c>
      <c r="F171" t="s">
        <v>4375</v>
      </c>
      <c r="G171" t="s">
        <v>3569</v>
      </c>
      <c r="H171" t="s">
        <v>4376</v>
      </c>
      <c r="I171" t="s">
        <v>4377</v>
      </c>
      <c r="J171" t="s">
        <v>156</v>
      </c>
      <c r="K171" t="s">
        <v>4378</v>
      </c>
      <c r="L171" t="s">
        <v>4378</v>
      </c>
      <c r="M171" t="s">
        <v>4379</v>
      </c>
      <c r="N171" t="s">
        <v>4380</v>
      </c>
      <c r="O171" t="s">
        <v>4381</v>
      </c>
      <c r="P171" t="s">
        <v>3488</v>
      </c>
      <c r="Q171" t="s">
        <v>190</v>
      </c>
      <c r="R171" t="b">
        <v>0</v>
      </c>
      <c r="S171" t="s">
        <v>4025</v>
      </c>
    </row>
    <row r="172" spans="1:19" ht="11.25" customHeight="1" x14ac:dyDescent="0.15">
      <c r="A172">
        <v>2655</v>
      </c>
      <c r="B172" t="s">
        <v>114</v>
      </c>
      <c r="C172">
        <v>31743966</v>
      </c>
      <c r="D172" t="s">
        <v>4382</v>
      </c>
      <c r="E172" t="s">
        <v>4383</v>
      </c>
      <c r="F172" t="s">
        <v>4384</v>
      </c>
      <c r="G172" t="s">
        <v>149</v>
      </c>
      <c r="H172" t="s">
        <v>4385</v>
      </c>
      <c r="I172" t="s">
        <v>4386</v>
      </c>
      <c r="K172" t="s">
        <v>4387</v>
      </c>
      <c r="L172" t="s">
        <v>4387</v>
      </c>
      <c r="M172" t="s">
        <v>4388</v>
      </c>
      <c r="N172" t="s">
        <v>4389</v>
      </c>
      <c r="O172" t="s">
        <v>4390</v>
      </c>
      <c r="P172" t="s">
        <v>179</v>
      </c>
      <c r="Q172" t="s">
        <v>4391</v>
      </c>
      <c r="R172" t="b">
        <v>1</v>
      </c>
      <c r="S172" t="s">
        <v>4025</v>
      </c>
    </row>
    <row r="173" spans="1:19" ht="11.25" customHeight="1" x14ac:dyDescent="0.15">
      <c r="A173">
        <v>2655</v>
      </c>
      <c r="B173" t="s">
        <v>114</v>
      </c>
      <c r="C173">
        <v>30874454</v>
      </c>
      <c r="D173" t="s">
        <v>4392</v>
      </c>
      <c r="E173" t="s">
        <v>4393</v>
      </c>
      <c r="F173" t="s">
        <v>4394</v>
      </c>
      <c r="G173" t="s">
        <v>3716</v>
      </c>
      <c r="H173" t="s">
        <v>4395</v>
      </c>
      <c r="I173" t="s">
        <v>4396</v>
      </c>
      <c r="J173" t="s">
        <v>156</v>
      </c>
      <c r="K173" t="s">
        <v>4397</v>
      </c>
      <c r="L173" t="s">
        <v>4398</v>
      </c>
      <c r="M173" t="s">
        <v>4399</v>
      </c>
      <c r="N173" t="s">
        <v>4361</v>
      </c>
      <c r="O173" t="s">
        <v>4400</v>
      </c>
      <c r="P173" t="s">
        <v>3451</v>
      </c>
      <c r="Q173" t="s">
        <v>4401</v>
      </c>
      <c r="R173" t="b">
        <v>0</v>
      </c>
      <c r="S173" t="s">
        <v>4025</v>
      </c>
    </row>
    <row r="174" spans="1:19" ht="11.25" customHeight="1" x14ac:dyDescent="0.15">
      <c r="A174">
        <v>2655</v>
      </c>
      <c r="B174" t="s">
        <v>114</v>
      </c>
      <c r="C174">
        <v>26356987</v>
      </c>
      <c r="D174" t="s">
        <v>3757</v>
      </c>
      <c r="E174" t="s">
        <v>3758</v>
      </c>
      <c r="F174" t="s">
        <v>3759</v>
      </c>
      <c r="G174" t="s">
        <v>3760</v>
      </c>
      <c r="H174" t="s">
        <v>3761</v>
      </c>
      <c r="I174" t="s">
        <v>3762</v>
      </c>
      <c r="J174" t="s">
        <v>156</v>
      </c>
      <c r="K174" t="s">
        <v>3763</v>
      </c>
      <c r="L174" t="s">
        <v>3763</v>
      </c>
      <c r="M174" t="s">
        <v>3764</v>
      </c>
      <c r="N174" t="s">
        <v>3765</v>
      </c>
      <c r="O174" t="s">
        <v>3766</v>
      </c>
      <c r="P174" t="s">
        <v>3451</v>
      </c>
      <c r="Q174" t="s">
        <v>3767</v>
      </c>
      <c r="R174" t="b">
        <v>0</v>
      </c>
      <c r="S174" t="s">
        <v>4025</v>
      </c>
    </row>
    <row r="175" spans="1:19" ht="11.25" customHeight="1" x14ac:dyDescent="0.15">
      <c r="A175">
        <v>2655</v>
      </c>
      <c r="B175" t="s">
        <v>114</v>
      </c>
      <c r="C175">
        <v>30856223</v>
      </c>
      <c r="D175" t="s">
        <v>4402</v>
      </c>
      <c r="E175" t="s">
        <v>4403</v>
      </c>
      <c r="F175" t="s">
        <v>4404</v>
      </c>
      <c r="G175" t="s">
        <v>3379</v>
      </c>
      <c r="H175" t="s">
        <v>4405</v>
      </c>
      <c r="I175" t="s">
        <v>4406</v>
      </c>
      <c r="J175" t="s">
        <v>156</v>
      </c>
      <c r="K175" t="s">
        <v>4407</v>
      </c>
      <c r="L175" t="s">
        <v>4407</v>
      </c>
      <c r="M175" t="s">
        <v>4408</v>
      </c>
      <c r="N175" t="s">
        <v>4409</v>
      </c>
      <c r="O175" t="s">
        <v>4410</v>
      </c>
      <c r="P175" t="s">
        <v>179</v>
      </c>
      <c r="Q175" t="s">
        <v>4411</v>
      </c>
      <c r="R175" t="b">
        <v>0</v>
      </c>
      <c r="S175" t="s">
        <v>4025</v>
      </c>
    </row>
    <row r="176" spans="1:19" ht="11.25" customHeight="1" x14ac:dyDescent="0.15">
      <c r="A176">
        <v>2655</v>
      </c>
      <c r="B176" t="s">
        <v>114</v>
      </c>
      <c r="C176">
        <v>31373026</v>
      </c>
      <c r="D176" t="s">
        <v>4402</v>
      </c>
      <c r="E176" t="s">
        <v>4403</v>
      </c>
      <c r="F176" t="s">
        <v>4412</v>
      </c>
      <c r="G176" t="s">
        <v>3740</v>
      </c>
      <c r="H176" t="s">
        <v>4413</v>
      </c>
      <c r="I176" t="s">
        <v>4414</v>
      </c>
      <c r="J176" t="s">
        <v>156</v>
      </c>
      <c r="K176" t="s">
        <v>4415</v>
      </c>
      <c r="L176" t="s">
        <v>4416</v>
      </c>
      <c r="M176" t="s">
        <v>4417</v>
      </c>
      <c r="N176" t="s">
        <v>4418</v>
      </c>
      <c r="O176" t="s">
        <v>4419</v>
      </c>
      <c r="P176" t="s">
        <v>4420</v>
      </c>
      <c r="Q176" t="s">
        <v>4421</v>
      </c>
      <c r="R176" t="b">
        <v>1</v>
      </c>
      <c r="S176" t="s">
        <v>4025</v>
      </c>
    </row>
    <row r="177" spans="1:19" ht="11.25" customHeight="1" x14ac:dyDescent="0.15">
      <c r="A177">
        <v>2655</v>
      </c>
      <c r="B177" t="s">
        <v>114</v>
      </c>
      <c r="C177">
        <v>31579609</v>
      </c>
      <c r="D177" t="s">
        <v>4422</v>
      </c>
      <c r="E177" t="s">
        <v>4423</v>
      </c>
      <c r="F177" t="s">
        <v>4424</v>
      </c>
      <c r="G177" t="s">
        <v>3434</v>
      </c>
      <c r="H177" t="s">
        <v>4425</v>
      </c>
      <c r="I177" t="s">
        <v>4426</v>
      </c>
      <c r="K177" t="s">
        <v>4427</v>
      </c>
      <c r="L177" t="s">
        <v>4427</v>
      </c>
      <c r="M177" t="s">
        <v>4428</v>
      </c>
      <c r="N177" t="s">
        <v>4429</v>
      </c>
      <c r="O177" t="s">
        <v>4430</v>
      </c>
      <c r="P177" t="s">
        <v>179</v>
      </c>
      <c r="Q177" t="s">
        <v>247</v>
      </c>
      <c r="R177" t="b">
        <v>1</v>
      </c>
      <c r="S177" t="s">
        <v>4025</v>
      </c>
    </row>
    <row r="178" spans="1:19" ht="11.25" customHeight="1" x14ac:dyDescent="0.15">
      <c r="A178">
        <v>2655</v>
      </c>
      <c r="B178" t="s">
        <v>114</v>
      </c>
      <c r="C178">
        <v>26356891</v>
      </c>
      <c r="D178" t="s">
        <v>3768</v>
      </c>
      <c r="E178" t="s">
        <v>3769</v>
      </c>
      <c r="F178" t="s">
        <v>3770</v>
      </c>
      <c r="G178" t="s">
        <v>3580</v>
      </c>
      <c r="H178" t="s">
        <v>3771</v>
      </c>
      <c r="I178" t="s">
        <v>3772</v>
      </c>
      <c r="J178" t="s">
        <v>156</v>
      </c>
      <c r="K178" t="s">
        <v>3773</v>
      </c>
      <c r="L178" t="s">
        <v>3773</v>
      </c>
      <c r="M178" t="s">
        <v>3774</v>
      </c>
      <c r="N178" t="s">
        <v>3775</v>
      </c>
      <c r="O178" t="s">
        <v>3776</v>
      </c>
      <c r="P178" t="s">
        <v>3488</v>
      </c>
      <c r="Q178" t="s">
        <v>247</v>
      </c>
      <c r="R178" t="b">
        <v>0</v>
      </c>
      <c r="S178" t="s">
        <v>4025</v>
      </c>
    </row>
    <row r="179" spans="1:19" ht="11.25" customHeight="1" x14ac:dyDescent="0.15">
      <c r="A179">
        <v>2655</v>
      </c>
      <c r="B179" t="s">
        <v>114</v>
      </c>
      <c r="C179">
        <v>27566835</v>
      </c>
      <c r="D179" t="s">
        <v>4431</v>
      </c>
      <c r="E179" t="s">
        <v>4432</v>
      </c>
      <c r="F179" t="s">
        <v>4433</v>
      </c>
      <c r="G179" t="s">
        <v>3580</v>
      </c>
      <c r="H179" t="s">
        <v>4434</v>
      </c>
      <c r="I179" t="s">
        <v>4435</v>
      </c>
      <c r="J179" t="s">
        <v>156</v>
      </c>
      <c r="K179" t="s">
        <v>4436</v>
      </c>
      <c r="L179" t="s">
        <v>4436</v>
      </c>
      <c r="M179" t="s">
        <v>4437</v>
      </c>
      <c r="N179" t="s">
        <v>3594</v>
      </c>
      <c r="O179" t="s">
        <v>4438</v>
      </c>
      <c r="P179" t="s">
        <v>3488</v>
      </c>
      <c r="Q179" t="s">
        <v>190</v>
      </c>
      <c r="R179" t="b">
        <v>0</v>
      </c>
      <c r="S179" t="s">
        <v>4025</v>
      </c>
    </row>
    <row r="180" spans="1:19" ht="11.25" customHeight="1" x14ac:dyDescent="0.15">
      <c r="A180">
        <v>2655</v>
      </c>
      <c r="B180" t="s">
        <v>114</v>
      </c>
      <c r="C180">
        <v>31229342</v>
      </c>
      <c r="D180" t="s">
        <v>4439</v>
      </c>
      <c r="E180" t="s">
        <v>4440</v>
      </c>
      <c r="F180" t="s">
        <v>4441</v>
      </c>
      <c r="G180" t="s">
        <v>3599</v>
      </c>
      <c r="H180" t="s">
        <v>4442</v>
      </c>
      <c r="I180" t="s">
        <v>4443</v>
      </c>
      <c r="J180" t="s">
        <v>156</v>
      </c>
      <c r="K180" t="s">
        <v>4444</v>
      </c>
      <c r="L180" t="s">
        <v>4444</v>
      </c>
      <c r="M180" t="s">
        <v>4445</v>
      </c>
      <c r="N180" t="s">
        <v>4446</v>
      </c>
      <c r="O180" t="s">
        <v>4447</v>
      </c>
      <c r="P180" t="s">
        <v>179</v>
      </c>
      <c r="Q180" t="s">
        <v>247</v>
      </c>
      <c r="R180" t="b">
        <v>0</v>
      </c>
      <c r="S180" t="s">
        <v>4025</v>
      </c>
    </row>
    <row r="181" spans="1:19" ht="11.25" customHeight="1" x14ac:dyDescent="0.15">
      <c r="A181">
        <v>2655</v>
      </c>
      <c r="B181" t="s">
        <v>114</v>
      </c>
      <c r="C181">
        <v>31690080</v>
      </c>
      <c r="D181" t="s">
        <v>4448</v>
      </c>
      <c r="E181" t="s">
        <v>4449</v>
      </c>
      <c r="F181" t="s">
        <v>4450</v>
      </c>
      <c r="G181" t="s">
        <v>3599</v>
      </c>
      <c r="H181" t="s">
        <v>4451</v>
      </c>
      <c r="I181" t="s">
        <v>4452</v>
      </c>
      <c r="K181" t="s">
        <v>4453</v>
      </c>
      <c r="L181" t="s">
        <v>4453</v>
      </c>
      <c r="M181" t="s">
        <v>4454</v>
      </c>
      <c r="N181" t="s">
        <v>4455</v>
      </c>
      <c r="O181" t="s">
        <v>4456</v>
      </c>
      <c r="P181" t="s">
        <v>3488</v>
      </c>
      <c r="Q181" t="s">
        <v>247</v>
      </c>
      <c r="R181" t="b">
        <v>1</v>
      </c>
      <c r="S181" t="s">
        <v>4025</v>
      </c>
    </row>
    <row r="182" spans="1:19" ht="11.25" customHeight="1" x14ac:dyDescent="0.15">
      <c r="A182">
        <v>2655</v>
      </c>
      <c r="B182" t="s">
        <v>114</v>
      </c>
      <c r="C182">
        <v>31539720</v>
      </c>
      <c r="D182" t="s">
        <v>4448</v>
      </c>
      <c r="E182" t="s">
        <v>4457</v>
      </c>
      <c r="F182" t="s">
        <v>4458</v>
      </c>
      <c r="G182" t="s">
        <v>3599</v>
      </c>
      <c r="H182" t="s">
        <v>4459</v>
      </c>
      <c r="I182" t="s">
        <v>4460</v>
      </c>
      <c r="K182" t="s">
        <v>4461</v>
      </c>
      <c r="L182" t="s">
        <v>4461</v>
      </c>
      <c r="M182" t="s">
        <v>4462</v>
      </c>
      <c r="N182" t="s">
        <v>247</v>
      </c>
      <c r="O182" t="s">
        <v>4463</v>
      </c>
      <c r="P182" t="s">
        <v>3364</v>
      </c>
      <c r="Q182" t="s">
        <v>4464</v>
      </c>
      <c r="R182" t="b">
        <v>0</v>
      </c>
      <c r="S182" t="s">
        <v>4025</v>
      </c>
    </row>
    <row r="183" spans="1:19" ht="11.25" customHeight="1" x14ac:dyDescent="0.15">
      <c r="A183">
        <v>2655</v>
      </c>
      <c r="B183" t="s">
        <v>114</v>
      </c>
      <c r="C183">
        <v>30872315</v>
      </c>
      <c r="D183" t="s">
        <v>4465</v>
      </c>
      <c r="E183" t="s">
        <v>4466</v>
      </c>
      <c r="F183" t="s">
        <v>4467</v>
      </c>
      <c r="G183" t="s">
        <v>149</v>
      </c>
      <c r="H183" t="s">
        <v>4468</v>
      </c>
      <c r="I183" t="s">
        <v>4469</v>
      </c>
      <c r="J183" t="s">
        <v>156</v>
      </c>
      <c r="K183" t="s">
        <v>4470</v>
      </c>
      <c r="L183" t="s">
        <v>4470</v>
      </c>
      <c r="M183" t="s">
        <v>4471</v>
      </c>
      <c r="N183" t="s">
        <v>4472</v>
      </c>
      <c r="O183" t="s">
        <v>4473</v>
      </c>
      <c r="P183" t="s">
        <v>3488</v>
      </c>
      <c r="Q183" t="s">
        <v>247</v>
      </c>
      <c r="R183" t="b">
        <v>0</v>
      </c>
      <c r="S183" t="s">
        <v>4025</v>
      </c>
    </row>
    <row r="184" spans="1:19" ht="11.25" customHeight="1" x14ac:dyDescent="0.15">
      <c r="A184">
        <v>2655</v>
      </c>
      <c r="B184" t="s">
        <v>114</v>
      </c>
      <c r="C184">
        <v>30856253</v>
      </c>
      <c r="D184" t="s">
        <v>4474</v>
      </c>
      <c r="E184" t="s">
        <v>4475</v>
      </c>
      <c r="F184" t="s">
        <v>4476</v>
      </c>
      <c r="G184" t="s">
        <v>3434</v>
      </c>
      <c r="H184" t="s">
        <v>4477</v>
      </c>
      <c r="I184" t="s">
        <v>4478</v>
      </c>
      <c r="J184" t="s">
        <v>156</v>
      </c>
      <c r="K184" t="s">
        <v>4479</v>
      </c>
      <c r="L184" t="s">
        <v>4479</v>
      </c>
      <c r="M184" t="s">
        <v>4480</v>
      </c>
      <c r="N184" t="s">
        <v>4481</v>
      </c>
      <c r="O184" t="s">
        <v>4482</v>
      </c>
      <c r="P184" t="s">
        <v>3488</v>
      </c>
      <c r="Q184" t="s">
        <v>247</v>
      </c>
      <c r="R184" t="b">
        <v>0</v>
      </c>
      <c r="S184" t="s">
        <v>4025</v>
      </c>
    </row>
    <row r="185" spans="1:19" ht="11.25" customHeight="1" x14ac:dyDescent="0.15">
      <c r="A185">
        <v>2655</v>
      </c>
      <c r="B185" t="s">
        <v>114</v>
      </c>
      <c r="C185">
        <v>33000042</v>
      </c>
      <c r="D185" t="s">
        <v>4483</v>
      </c>
      <c r="E185" t="s">
        <v>4484</v>
      </c>
      <c r="F185" t="s">
        <v>4485</v>
      </c>
      <c r="G185" t="s">
        <v>3684</v>
      </c>
      <c r="H185" t="s">
        <v>4486</v>
      </c>
      <c r="I185" t="s">
        <v>4487</v>
      </c>
      <c r="K185" t="s">
        <v>4488</v>
      </c>
      <c r="L185" t="s">
        <v>4489</v>
      </c>
      <c r="M185" t="s">
        <v>4490</v>
      </c>
      <c r="N185" t="s">
        <v>4491</v>
      </c>
      <c r="O185" t="s">
        <v>3691</v>
      </c>
      <c r="P185" t="s">
        <v>4492</v>
      </c>
      <c r="Q185" t="s">
        <v>247</v>
      </c>
      <c r="R185" t="b">
        <v>0</v>
      </c>
      <c r="S185" t="s">
        <v>4025</v>
      </c>
    </row>
    <row r="186" spans="1:19" ht="11.25" customHeight="1" x14ac:dyDescent="0.15">
      <c r="A186">
        <v>2655</v>
      </c>
      <c r="B186" t="s">
        <v>114</v>
      </c>
      <c r="C186">
        <v>26517842</v>
      </c>
      <c r="D186" t="s">
        <v>4493</v>
      </c>
      <c r="E186" t="s">
        <v>4494</v>
      </c>
      <c r="F186" t="s">
        <v>4495</v>
      </c>
      <c r="G186" t="s">
        <v>3580</v>
      </c>
      <c r="H186" t="s">
        <v>4496</v>
      </c>
      <c r="I186" t="s">
        <v>4497</v>
      </c>
      <c r="J186" t="s">
        <v>156</v>
      </c>
      <c r="K186" t="s">
        <v>4498</v>
      </c>
      <c r="L186" t="s">
        <v>3360</v>
      </c>
      <c r="M186" t="s">
        <v>4499</v>
      </c>
      <c r="N186" t="s">
        <v>4500</v>
      </c>
      <c r="O186" t="s">
        <v>4501</v>
      </c>
      <c r="P186" t="s">
        <v>179</v>
      </c>
      <c r="Q186" t="s">
        <v>247</v>
      </c>
      <c r="R186" t="b">
        <v>0</v>
      </c>
      <c r="S186" t="s">
        <v>4025</v>
      </c>
    </row>
    <row r="187" spans="1:19" ht="11.25" customHeight="1" x14ac:dyDescent="0.15">
      <c r="A187">
        <v>2655</v>
      </c>
      <c r="B187" t="s">
        <v>114</v>
      </c>
      <c r="C187">
        <v>26356937</v>
      </c>
      <c r="D187" t="s">
        <v>3785</v>
      </c>
      <c r="E187" t="s">
        <v>3786</v>
      </c>
      <c r="F187" t="s">
        <v>3787</v>
      </c>
      <c r="G187" t="s">
        <v>3656</v>
      </c>
      <c r="H187" t="s">
        <v>3788</v>
      </c>
      <c r="I187" t="s">
        <v>3789</v>
      </c>
      <c r="J187" t="s">
        <v>156</v>
      </c>
      <c r="K187" t="s">
        <v>3790</v>
      </c>
      <c r="L187" t="s">
        <v>3790</v>
      </c>
      <c r="M187" t="s">
        <v>3791</v>
      </c>
      <c r="N187" t="s">
        <v>3792</v>
      </c>
      <c r="O187" t="s">
        <v>3793</v>
      </c>
      <c r="P187" t="s">
        <v>3451</v>
      </c>
      <c r="Q187" t="s">
        <v>3794</v>
      </c>
      <c r="R187" t="b">
        <v>0</v>
      </c>
      <c r="S187" t="s">
        <v>4025</v>
      </c>
    </row>
    <row r="188" spans="1:19" ht="11.25" customHeight="1" x14ac:dyDescent="0.15">
      <c r="A188">
        <v>2655</v>
      </c>
      <c r="B188" t="s">
        <v>114</v>
      </c>
      <c r="C188">
        <v>31473621</v>
      </c>
      <c r="D188" t="s">
        <v>4502</v>
      </c>
      <c r="E188" t="s">
        <v>4503</v>
      </c>
      <c r="F188" t="s">
        <v>4504</v>
      </c>
      <c r="G188" t="s">
        <v>3523</v>
      </c>
      <c r="H188" t="s">
        <v>4505</v>
      </c>
      <c r="I188" t="s">
        <v>4506</v>
      </c>
      <c r="J188" t="s">
        <v>156</v>
      </c>
      <c r="K188" t="s">
        <v>4507</v>
      </c>
      <c r="L188" t="s">
        <v>4507</v>
      </c>
      <c r="M188" t="s">
        <v>4508</v>
      </c>
      <c r="N188" t="s">
        <v>4509</v>
      </c>
      <c r="O188" t="s">
        <v>4510</v>
      </c>
      <c r="P188" t="s">
        <v>179</v>
      </c>
      <c r="Q188" t="s">
        <v>4511</v>
      </c>
      <c r="R188" t="b">
        <v>0</v>
      </c>
      <c r="S188" t="s">
        <v>4025</v>
      </c>
    </row>
    <row r="189" spans="1:19" ht="11.25" customHeight="1" x14ac:dyDescent="0.15">
      <c r="A189">
        <v>2655</v>
      </c>
      <c r="B189" t="s">
        <v>114</v>
      </c>
      <c r="C189">
        <v>31004851</v>
      </c>
      <c r="D189" t="s">
        <v>4512</v>
      </c>
      <c r="E189" t="s">
        <v>4513</v>
      </c>
      <c r="F189" t="s">
        <v>4514</v>
      </c>
      <c r="G189" t="s">
        <v>3379</v>
      </c>
      <c r="H189" t="s">
        <v>4515</v>
      </c>
      <c r="I189" t="s">
        <v>4516</v>
      </c>
      <c r="J189" t="s">
        <v>156</v>
      </c>
      <c r="K189" t="s">
        <v>4517</v>
      </c>
      <c r="L189" t="s">
        <v>4518</v>
      </c>
      <c r="M189" t="s">
        <v>4519</v>
      </c>
      <c r="N189" t="s">
        <v>4520</v>
      </c>
      <c r="O189" t="s">
        <v>4521</v>
      </c>
      <c r="P189" t="s">
        <v>247</v>
      </c>
      <c r="Q189" t="s">
        <v>247</v>
      </c>
      <c r="R189" t="b">
        <v>0</v>
      </c>
      <c r="S189" t="s">
        <v>4025</v>
      </c>
    </row>
    <row r="190" spans="1:19" ht="11.25" customHeight="1" x14ac:dyDescent="0.15">
      <c r="A190">
        <v>2655</v>
      </c>
      <c r="B190" t="s">
        <v>114</v>
      </c>
      <c r="C190">
        <v>26356976</v>
      </c>
      <c r="D190" t="s">
        <v>4522</v>
      </c>
      <c r="E190" t="s">
        <v>4523</v>
      </c>
      <c r="F190" t="s">
        <v>4524</v>
      </c>
      <c r="G190" t="s">
        <v>3750</v>
      </c>
      <c r="H190" t="s">
        <v>4525</v>
      </c>
      <c r="I190" t="s">
        <v>4526</v>
      </c>
      <c r="J190" t="s">
        <v>156</v>
      </c>
      <c r="K190" t="s">
        <v>4527</v>
      </c>
      <c r="L190" t="s">
        <v>4527</v>
      </c>
      <c r="M190" t="s">
        <v>4528</v>
      </c>
      <c r="N190" t="s">
        <v>4529</v>
      </c>
      <c r="O190" t="s">
        <v>4530</v>
      </c>
      <c r="P190" t="s">
        <v>3397</v>
      </c>
      <c r="Q190" t="s">
        <v>4531</v>
      </c>
      <c r="R190" t="b">
        <v>0</v>
      </c>
      <c r="S190" t="s">
        <v>4025</v>
      </c>
    </row>
    <row r="191" spans="1:19" ht="11.25" customHeight="1" x14ac:dyDescent="0.15">
      <c r="A191">
        <v>2655</v>
      </c>
      <c r="B191" t="s">
        <v>114</v>
      </c>
      <c r="C191">
        <v>28274482</v>
      </c>
      <c r="D191" t="s">
        <v>4532</v>
      </c>
      <c r="E191" t="s">
        <v>4533</v>
      </c>
      <c r="F191" t="s">
        <v>4534</v>
      </c>
      <c r="G191" t="s">
        <v>3434</v>
      </c>
      <c r="H191" t="s">
        <v>4535</v>
      </c>
      <c r="I191" t="s">
        <v>4536</v>
      </c>
      <c r="J191" t="s">
        <v>156</v>
      </c>
      <c r="K191" t="s">
        <v>4537</v>
      </c>
      <c r="L191" t="s">
        <v>4538</v>
      </c>
      <c r="M191" t="s">
        <v>3734</v>
      </c>
      <c r="N191" t="s">
        <v>4539</v>
      </c>
      <c r="O191" t="s">
        <v>3736</v>
      </c>
      <c r="P191" t="s">
        <v>3488</v>
      </c>
      <c r="Q191" t="s">
        <v>247</v>
      </c>
      <c r="R191" t="b">
        <v>0</v>
      </c>
      <c r="S191" t="s">
        <v>4025</v>
      </c>
    </row>
    <row r="192" spans="1:19" ht="11.25" customHeight="1" x14ac:dyDescent="0.15">
      <c r="A192">
        <v>2655</v>
      </c>
      <c r="B192" t="s">
        <v>114</v>
      </c>
      <c r="C192">
        <v>31224454</v>
      </c>
      <c r="D192" t="s">
        <v>4540</v>
      </c>
      <c r="E192" t="s">
        <v>4541</v>
      </c>
      <c r="F192" t="s">
        <v>4542</v>
      </c>
      <c r="G192" t="s">
        <v>3379</v>
      </c>
      <c r="H192" t="s">
        <v>4543</v>
      </c>
      <c r="I192" t="s">
        <v>4544</v>
      </c>
      <c r="J192" t="s">
        <v>156</v>
      </c>
      <c r="K192" t="s">
        <v>4545</v>
      </c>
      <c r="L192" t="s">
        <v>4545</v>
      </c>
      <c r="M192" t="s">
        <v>4546</v>
      </c>
      <c r="N192" t="s">
        <v>4547</v>
      </c>
      <c r="O192" t="s">
        <v>4548</v>
      </c>
      <c r="P192" t="s">
        <v>179</v>
      </c>
      <c r="Q192" t="s">
        <v>247</v>
      </c>
      <c r="R192" t="b">
        <v>0</v>
      </c>
      <c r="S192" t="s">
        <v>4025</v>
      </c>
    </row>
    <row r="193" spans="1:19" ht="11.25" customHeight="1" x14ac:dyDescent="0.15">
      <c r="A193">
        <v>2655</v>
      </c>
      <c r="B193" t="s">
        <v>114</v>
      </c>
      <c r="C193">
        <v>27997410</v>
      </c>
      <c r="D193" t="s">
        <v>4549</v>
      </c>
      <c r="E193" t="s">
        <v>4550</v>
      </c>
      <c r="F193" t="s">
        <v>4551</v>
      </c>
      <c r="G193" t="s">
        <v>3551</v>
      </c>
      <c r="H193" t="s">
        <v>4552</v>
      </c>
      <c r="I193" t="s">
        <v>4553</v>
      </c>
      <c r="J193" t="s">
        <v>156</v>
      </c>
      <c r="K193" t="s">
        <v>4554</v>
      </c>
      <c r="L193" t="s">
        <v>4554</v>
      </c>
      <c r="M193" t="s">
        <v>4555</v>
      </c>
      <c r="N193" t="s">
        <v>4556</v>
      </c>
      <c r="O193" t="s">
        <v>4557</v>
      </c>
      <c r="P193" t="s">
        <v>3488</v>
      </c>
      <c r="Q193" t="s">
        <v>4558</v>
      </c>
      <c r="R193" t="b">
        <v>1</v>
      </c>
      <c r="S193" t="s">
        <v>4025</v>
      </c>
    </row>
    <row r="194" spans="1:19" ht="11.25" customHeight="1" x14ac:dyDescent="0.15">
      <c r="A194">
        <v>2655</v>
      </c>
      <c r="B194" t="s">
        <v>114</v>
      </c>
      <c r="C194">
        <v>26852692</v>
      </c>
      <c r="D194" t="s">
        <v>4559</v>
      </c>
      <c r="E194" t="s">
        <v>4560</v>
      </c>
      <c r="F194" t="s">
        <v>4561</v>
      </c>
      <c r="G194" t="s">
        <v>3750</v>
      </c>
      <c r="H194" t="s">
        <v>4562</v>
      </c>
      <c r="I194" t="s">
        <v>4563</v>
      </c>
      <c r="K194" t="s">
        <v>4564</v>
      </c>
      <c r="L194" t="s">
        <v>4564</v>
      </c>
      <c r="M194" t="s">
        <v>4555</v>
      </c>
      <c r="N194" t="s">
        <v>4556</v>
      </c>
      <c r="O194" t="s">
        <v>4565</v>
      </c>
      <c r="P194" t="s">
        <v>3488</v>
      </c>
      <c r="Q194" t="s">
        <v>247</v>
      </c>
      <c r="R194" t="b">
        <v>1</v>
      </c>
      <c r="S194" t="s">
        <v>4025</v>
      </c>
    </row>
    <row r="195" spans="1:19" ht="11.25" customHeight="1" x14ac:dyDescent="0.15">
      <c r="A195">
        <v>2655</v>
      </c>
      <c r="B195" t="s">
        <v>114</v>
      </c>
      <c r="C195">
        <v>31534676</v>
      </c>
      <c r="D195" t="s">
        <v>4566</v>
      </c>
      <c r="E195" t="s">
        <v>4567</v>
      </c>
      <c r="F195" t="s">
        <v>4568</v>
      </c>
      <c r="G195" t="s">
        <v>3523</v>
      </c>
      <c r="H195" t="s">
        <v>4569</v>
      </c>
      <c r="I195" t="s">
        <v>4570</v>
      </c>
      <c r="K195" t="s">
        <v>4571</v>
      </c>
      <c r="L195" t="s">
        <v>4572</v>
      </c>
      <c r="M195" t="s">
        <v>4573</v>
      </c>
      <c r="N195" t="s">
        <v>4574</v>
      </c>
      <c r="O195" t="s">
        <v>4575</v>
      </c>
      <c r="P195" t="s">
        <v>3488</v>
      </c>
      <c r="Q195" t="s">
        <v>247</v>
      </c>
      <c r="R195" t="b">
        <v>0</v>
      </c>
      <c r="S195" t="s">
        <v>4025</v>
      </c>
    </row>
    <row r="196" spans="1:19" ht="11.25" customHeight="1" x14ac:dyDescent="0.15">
      <c r="A196">
        <v>2655</v>
      </c>
      <c r="B196" t="s">
        <v>114</v>
      </c>
      <c r="C196">
        <v>26356899</v>
      </c>
      <c r="D196" t="s">
        <v>4576</v>
      </c>
      <c r="E196" t="s">
        <v>4577</v>
      </c>
      <c r="F196" t="s">
        <v>4578</v>
      </c>
      <c r="G196" t="s">
        <v>4579</v>
      </c>
      <c r="H196" t="s">
        <v>4580</v>
      </c>
      <c r="I196" t="s">
        <v>247</v>
      </c>
      <c r="J196" t="s">
        <v>156</v>
      </c>
      <c r="K196" t="s">
        <v>3838</v>
      </c>
      <c r="L196" t="s">
        <v>3838</v>
      </c>
      <c r="M196" t="s">
        <v>4581</v>
      </c>
      <c r="N196" t="s">
        <v>247</v>
      </c>
      <c r="O196" t="s">
        <v>3840</v>
      </c>
      <c r="P196" t="s">
        <v>3488</v>
      </c>
      <c r="Q196" t="s">
        <v>247</v>
      </c>
      <c r="R196" t="b">
        <v>0</v>
      </c>
      <c r="S196" t="s">
        <v>4025</v>
      </c>
    </row>
    <row r="197" spans="1:19" ht="11.25" customHeight="1" x14ac:dyDescent="0.15">
      <c r="A197">
        <v>2655</v>
      </c>
      <c r="B197" t="s">
        <v>114</v>
      </c>
      <c r="C197">
        <v>31224507</v>
      </c>
      <c r="D197" t="s">
        <v>4582</v>
      </c>
      <c r="E197" t="s">
        <v>4583</v>
      </c>
      <c r="F197" t="s">
        <v>4584</v>
      </c>
      <c r="G197" t="s">
        <v>4585</v>
      </c>
      <c r="H197" t="s">
        <v>4586</v>
      </c>
      <c r="I197" t="s">
        <v>4587</v>
      </c>
      <c r="J197" t="s">
        <v>156</v>
      </c>
      <c r="K197" t="s">
        <v>4588</v>
      </c>
      <c r="L197" t="s">
        <v>4588</v>
      </c>
      <c r="M197" t="s">
        <v>4589</v>
      </c>
      <c r="N197" t="s">
        <v>4590</v>
      </c>
      <c r="O197" t="s">
        <v>4548</v>
      </c>
      <c r="P197" t="s">
        <v>179</v>
      </c>
      <c r="Q197" t="s">
        <v>247</v>
      </c>
      <c r="R197" t="b">
        <v>0</v>
      </c>
      <c r="S197" t="s">
        <v>4025</v>
      </c>
    </row>
    <row r="198" spans="1:19" ht="11.25" customHeight="1" x14ac:dyDescent="0.15">
      <c r="A198">
        <v>2655</v>
      </c>
      <c r="B198" t="s">
        <v>114</v>
      </c>
      <c r="C198">
        <v>27968109</v>
      </c>
      <c r="D198" t="s">
        <v>133</v>
      </c>
      <c r="E198" t="s">
        <v>136</v>
      </c>
      <c r="F198" t="s">
        <v>146</v>
      </c>
      <c r="G198" t="s">
        <v>149</v>
      </c>
      <c r="H198" t="s">
        <v>143</v>
      </c>
      <c r="I198" t="s">
        <v>152</v>
      </c>
      <c r="J198" t="s">
        <v>156</v>
      </c>
      <c r="K198" t="s">
        <v>4591</v>
      </c>
      <c r="L198" t="s">
        <v>4591</v>
      </c>
      <c r="M198" t="s">
        <v>4592</v>
      </c>
      <c r="N198" t="s">
        <v>171</v>
      </c>
      <c r="O198" t="s">
        <v>175</v>
      </c>
      <c r="P198" t="s">
        <v>179</v>
      </c>
      <c r="Q198" t="s">
        <v>183</v>
      </c>
      <c r="R198" t="b">
        <v>0</v>
      </c>
      <c r="S198" t="s">
        <v>4025</v>
      </c>
    </row>
    <row r="199" spans="1:19" ht="11.25" customHeight="1" x14ac:dyDescent="0.15">
      <c r="A199">
        <v>2655</v>
      </c>
      <c r="B199" t="s">
        <v>114</v>
      </c>
      <c r="C199">
        <v>26356932</v>
      </c>
      <c r="D199" t="s">
        <v>4593</v>
      </c>
      <c r="E199" t="s">
        <v>4594</v>
      </c>
      <c r="F199" t="s">
        <v>4595</v>
      </c>
      <c r="G199" t="s">
        <v>3656</v>
      </c>
      <c r="H199" t="s">
        <v>4596</v>
      </c>
      <c r="I199" t="s">
        <v>4597</v>
      </c>
      <c r="J199" t="s">
        <v>156</v>
      </c>
      <c r="K199" t="s">
        <v>4598</v>
      </c>
      <c r="L199" t="s">
        <v>4598</v>
      </c>
      <c r="M199" t="s">
        <v>4599</v>
      </c>
      <c r="N199" t="s">
        <v>4600</v>
      </c>
      <c r="O199" t="s">
        <v>4601</v>
      </c>
      <c r="P199" t="s">
        <v>3488</v>
      </c>
      <c r="Q199" t="s">
        <v>247</v>
      </c>
      <c r="R199" t="b">
        <v>1</v>
      </c>
      <c r="S199" t="s">
        <v>4025</v>
      </c>
    </row>
    <row r="200" spans="1:19" ht="11.25" customHeight="1" x14ac:dyDescent="0.15">
      <c r="A200">
        <v>2655</v>
      </c>
      <c r="B200" t="s">
        <v>114</v>
      </c>
      <c r="C200">
        <v>28270293</v>
      </c>
      <c r="D200" t="s">
        <v>3814</v>
      </c>
      <c r="E200" t="s">
        <v>3815</v>
      </c>
      <c r="F200" t="s">
        <v>3816</v>
      </c>
      <c r="G200" t="s">
        <v>3580</v>
      </c>
      <c r="H200" t="s">
        <v>3817</v>
      </c>
      <c r="I200" t="s">
        <v>3818</v>
      </c>
      <c r="J200" t="s">
        <v>156</v>
      </c>
      <c r="K200" t="s">
        <v>3819</v>
      </c>
      <c r="L200" t="s">
        <v>3819</v>
      </c>
      <c r="M200" t="s">
        <v>3820</v>
      </c>
      <c r="N200" t="s">
        <v>3821</v>
      </c>
      <c r="O200" t="s">
        <v>3822</v>
      </c>
      <c r="P200" t="s">
        <v>179</v>
      </c>
      <c r="Q200" t="s">
        <v>247</v>
      </c>
      <c r="R200" t="b">
        <v>0</v>
      </c>
      <c r="S200" t="s">
        <v>4025</v>
      </c>
    </row>
    <row r="201" spans="1:19" ht="11.25" customHeight="1" x14ac:dyDescent="0.15">
      <c r="A201">
        <v>2655</v>
      </c>
      <c r="B201" t="s">
        <v>114</v>
      </c>
      <c r="C201">
        <v>28873362</v>
      </c>
      <c r="D201" t="s">
        <v>3823</v>
      </c>
      <c r="E201" t="s">
        <v>3824</v>
      </c>
      <c r="F201" t="s">
        <v>3825</v>
      </c>
      <c r="G201" t="s">
        <v>149</v>
      </c>
      <c r="H201" t="s">
        <v>3826</v>
      </c>
      <c r="I201" t="s">
        <v>3827</v>
      </c>
      <c r="J201" t="s">
        <v>156</v>
      </c>
      <c r="K201" t="s">
        <v>3828</v>
      </c>
      <c r="L201" t="s">
        <v>3828</v>
      </c>
      <c r="M201" t="s">
        <v>3829</v>
      </c>
      <c r="N201" t="s">
        <v>3830</v>
      </c>
      <c r="O201" t="s">
        <v>3831</v>
      </c>
      <c r="P201" t="s">
        <v>3488</v>
      </c>
      <c r="Q201" t="s">
        <v>3832</v>
      </c>
      <c r="R201" t="b">
        <v>0</v>
      </c>
      <c r="S201" t="s">
        <v>4025</v>
      </c>
    </row>
    <row r="202" spans="1:19" ht="11.25" customHeight="1" x14ac:dyDescent="0.15">
      <c r="A202">
        <v>2655</v>
      </c>
      <c r="B202" t="s">
        <v>114</v>
      </c>
      <c r="C202">
        <v>31774768</v>
      </c>
      <c r="D202" t="s">
        <v>4602</v>
      </c>
      <c r="E202" t="s">
        <v>4603</v>
      </c>
      <c r="F202" t="s">
        <v>4604</v>
      </c>
      <c r="G202" t="s">
        <v>3599</v>
      </c>
      <c r="H202" t="s">
        <v>4605</v>
      </c>
      <c r="I202" t="s">
        <v>4606</v>
      </c>
      <c r="K202" t="s">
        <v>4607</v>
      </c>
      <c r="L202" t="s">
        <v>4607</v>
      </c>
      <c r="M202" t="s">
        <v>247</v>
      </c>
      <c r="N202" t="s">
        <v>4608</v>
      </c>
      <c r="O202" t="s">
        <v>4609</v>
      </c>
      <c r="P202" t="s">
        <v>3364</v>
      </c>
      <c r="Q202" t="s">
        <v>247</v>
      </c>
      <c r="R202" t="b">
        <v>1</v>
      </c>
      <c r="S202" t="s">
        <v>4025</v>
      </c>
    </row>
    <row r="203" spans="1:19" ht="11.25" customHeight="1" x14ac:dyDescent="0.15">
      <c r="A203">
        <v>2655</v>
      </c>
      <c r="B203" t="s">
        <v>114</v>
      </c>
      <c r="C203">
        <v>30992391</v>
      </c>
      <c r="D203" t="s">
        <v>3841</v>
      </c>
      <c r="E203" t="s">
        <v>3842</v>
      </c>
      <c r="F203" t="s">
        <v>3843</v>
      </c>
      <c r="G203" t="s">
        <v>3480</v>
      </c>
      <c r="H203" t="s">
        <v>3844</v>
      </c>
      <c r="I203" t="s">
        <v>3845</v>
      </c>
      <c r="J203" t="s">
        <v>156</v>
      </c>
      <c r="K203" t="s">
        <v>3846</v>
      </c>
      <c r="L203" t="s">
        <v>3847</v>
      </c>
      <c r="M203" t="s">
        <v>3848</v>
      </c>
      <c r="N203" t="s">
        <v>3849</v>
      </c>
      <c r="O203" t="s">
        <v>3850</v>
      </c>
      <c r="P203" t="s">
        <v>3488</v>
      </c>
      <c r="Q203" t="s">
        <v>3851</v>
      </c>
      <c r="R203" t="b">
        <v>0</v>
      </c>
      <c r="S203" t="s">
        <v>4025</v>
      </c>
    </row>
    <row r="204" spans="1:19" ht="11.25" customHeight="1" x14ac:dyDescent="0.15">
      <c r="A204">
        <v>2655</v>
      </c>
      <c r="B204" t="s">
        <v>114</v>
      </c>
      <c r="C204">
        <v>31491836</v>
      </c>
      <c r="D204" t="s">
        <v>4610</v>
      </c>
      <c r="E204" t="s">
        <v>4611</v>
      </c>
      <c r="F204" t="s">
        <v>4612</v>
      </c>
      <c r="G204" t="s">
        <v>149</v>
      </c>
      <c r="H204" t="s">
        <v>4613</v>
      </c>
      <c r="I204" t="s">
        <v>4614</v>
      </c>
      <c r="J204" t="s">
        <v>156</v>
      </c>
      <c r="K204" t="s">
        <v>4615</v>
      </c>
      <c r="L204" t="s">
        <v>4616</v>
      </c>
      <c r="M204" t="s">
        <v>4617</v>
      </c>
      <c r="N204" t="s">
        <v>4618</v>
      </c>
      <c r="O204" t="s">
        <v>4619</v>
      </c>
      <c r="P204" t="s">
        <v>3451</v>
      </c>
      <c r="Q204" t="s">
        <v>247</v>
      </c>
      <c r="R204" t="b">
        <v>1</v>
      </c>
      <c r="S204" t="s">
        <v>4025</v>
      </c>
    </row>
    <row r="205" spans="1:19" ht="11.25" customHeight="1" x14ac:dyDescent="0.15">
      <c r="A205">
        <v>2655</v>
      </c>
      <c r="B205" t="s">
        <v>114</v>
      </c>
      <c r="C205">
        <v>26356974</v>
      </c>
      <c r="D205" t="s">
        <v>4620</v>
      </c>
      <c r="E205" t="s">
        <v>4621</v>
      </c>
      <c r="F205" t="s">
        <v>4622</v>
      </c>
      <c r="G205" t="s">
        <v>4623</v>
      </c>
      <c r="H205" t="s">
        <v>4624</v>
      </c>
      <c r="I205" t="s">
        <v>4625</v>
      </c>
      <c r="J205" t="s">
        <v>156</v>
      </c>
      <c r="K205" t="s">
        <v>4626</v>
      </c>
      <c r="L205" t="s">
        <v>4626</v>
      </c>
      <c r="M205" t="s">
        <v>4627</v>
      </c>
      <c r="N205" t="s">
        <v>4628</v>
      </c>
      <c r="O205" t="s">
        <v>4629</v>
      </c>
      <c r="P205" t="s">
        <v>3488</v>
      </c>
      <c r="Q205" t="s">
        <v>4630</v>
      </c>
      <c r="R205" t="b">
        <v>0</v>
      </c>
      <c r="S205" t="s">
        <v>4025</v>
      </c>
    </row>
    <row r="206" spans="1:19" ht="11.25" customHeight="1" x14ac:dyDescent="0.15">
      <c r="A206">
        <v>2655</v>
      </c>
      <c r="B206" t="s">
        <v>114</v>
      </c>
      <c r="C206">
        <v>31365968</v>
      </c>
      <c r="D206" t="s">
        <v>4631</v>
      </c>
      <c r="E206" t="s">
        <v>4632</v>
      </c>
      <c r="F206" t="s">
        <v>4633</v>
      </c>
      <c r="G206" t="s">
        <v>3551</v>
      </c>
      <c r="H206" t="s">
        <v>4634</v>
      </c>
      <c r="I206" t="s">
        <v>4635</v>
      </c>
      <c r="J206" t="s">
        <v>156</v>
      </c>
      <c r="K206" t="s">
        <v>4636</v>
      </c>
      <c r="L206" t="s">
        <v>4636</v>
      </c>
      <c r="M206" t="s">
        <v>4637</v>
      </c>
      <c r="N206" t="s">
        <v>4638</v>
      </c>
      <c r="O206" t="s">
        <v>4639</v>
      </c>
      <c r="P206" t="s">
        <v>179</v>
      </c>
      <c r="Q206" t="s">
        <v>247</v>
      </c>
      <c r="R206" t="b">
        <v>0</v>
      </c>
      <c r="S206" t="s">
        <v>4025</v>
      </c>
    </row>
    <row r="207" spans="1:19" ht="11.25" customHeight="1" x14ac:dyDescent="0.15">
      <c r="A207">
        <v>2655</v>
      </c>
      <c r="B207" t="s">
        <v>114</v>
      </c>
      <c r="C207">
        <v>31038861</v>
      </c>
      <c r="D207" t="s">
        <v>4640</v>
      </c>
      <c r="E207" t="s">
        <v>4641</v>
      </c>
      <c r="F207" t="s">
        <v>4642</v>
      </c>
      <c r="G207" t="s">
        <v>3379</v>
      </c>
      <c r="H207" t="s">
        <v>4643</v>
      </c>
      <c r="I207" t="s">
        <v>4644</v>
      </c>
      <c r="J207" t="s">
        <v>156</v>
      </c>
      <c r="K207" t="s">
        <v>4645</v>
      </c>
      <c r="L207" t="s">
        <v>4646</v>
      </c>
      <c r="M207" t="s">
        <v>4647</v>
      </c>
      <c r="N207" t="s">
        <v>4648</v>
      </c>
      <c r="O207" t="s">
        <v>4649</v>
      </c>
      <c r="P207" t="s">
        <v>179</v>
      </c>
      <c r="Q207" t="s">
        <v>247</v>
      </c>
      <c r="R207" t="b">
        <v>0</v>
      </c>
      <c r="S207" t="s">
        <v>4025</v>
      </c>
    </row>
    <row r="208" spans="1:19" ht="11.25" customHeight="1" x14ac:dyDescent="0.15">
      <c r="A208">
        <v>2655</v>
      </c>
      <c r="B208" t="s">
        <v>114</v>
      </c>
      <c r="C208">
        <v>26519663</v>
      </c>
      <c r="D208" t="s">
        <v>4650</v>
      </c>
      <c r="E208" t="s">
        <v>4651</v>
      </c>
      <c r="F208" t="s">
        <v>4652</v>
      </c>
      <c r="G208" t="s">
        <v>3542</v>
      </c>
      <c r="H208" t="s">
        <v>4653</v>
      </c>
      <c r="I208" t="s">
        <v>4654</v>
      </c>
      <c r="J208" t="s">
        <v>3426</v>
      </c>
      <c r="K208" t="s">
        <v>4655</v>
      </c>
      <c r="L208" t="s">
        <v>4655</v>
      </c>
      <c r="M208" t="s">
        <v>4656</v>
      </c>
      <c r="N208" t="s">
        <v>4657</v>
      </c>
      <c r="O208" t="s">
        <v>4658</v>
      </c>
      <c r="P208" t="s">
        <v>3397</v>
      </c>
      <c r="Q208" t="s">
        <v>4659</v>
      </c>
      <c r="R208" t="b">
        <v>0</v>
      </c>
      <c r="S208" t="s">
        <v>4025</v>
      </c>
    </row>
    <row r="209" spans="1:19" ht="11.25" customHeight="1" x14ac:dyDescent="0.15">
      <c r="A209">
        <v>2655</v>
      </c>
      <c r="B209" t="s">
        <v>114</v>
      </c>
      <c r="C209">
        <v>30808511</v>
      </c>
      <c r="D209" t="s">
        <v>3852</v>
      </c>
      <c r="E209" t="s">
        <v>3852</v>
      </c>
      <c r="F209" t="s">
        <v>3853</v>
      </c>
      <c r="G209" t="s">
        <v>3854</v>
      </c>
      <c r="H209" t="s">
        <v>3855</v>
      </c>
      <c r="I209" t="s">
        <v>3856</v>
      </c>
      <c r="J209" t="s">
        <v>3857</v>
      </c>
      <c r="K209" t="s">
        <v>3858</v>
      </c>
      <c r="L209" t="s">
        <v>3859</v>
      </c>
      <c r="M209" t="s">
        <v>3860</v>
      </c>
      <c r="N209" t="s">
        <v>247</v>
      </c>
      <c r="O209" t="s">
        <v>3861</v>
      </c>
      <c r="P209" t="s">
        <v>3488</v>
      </c>
      <c r="Q209" t="s">
        <v>3862</v>
      </c>
      <c r="R209" t="b">
        <v>0</v>
      </c>
      <c r="S209" t="s">
        <v>4025</v>
      </c>
    </row>
    <row r="210" spans="1:19" ht="11.25" customHeight="1" x14ac:dyDescent="0.15">
      <c r="A210">
        <v>2655</v>
      </c>
      <c r="B210" t="s">
        <v>114</v>
      </c>
      <c r="C210">
        <v>30829962</v>
      </c>
      <c r="D210" t="s">
        <v>4660</v>
      </c>
      <c r="E210" t="s">
        <v>4661</v>
      </c>
      <c r="F210" t="s">
        <v>3853</v>
      </c>
      <c r="G210" t="s">
        <v>149</v>
      </c>
      <c r="H210" t="s">
        <v>3855</v>
      </c>
      <c r="I210" t="s">
        <v>4662</v>
      </c>
      <c r="J210" t="s">
        <v>3857</v>
      </c>
      <c r="K210" t="s">
        <v>4663</v>
      </c>
      <c r="L210" t="s">
        <v>4663</v>
      </c>
      <c r="M210" t="s">
        <v>4664</v>
      </c>
      <c r="N210" t="s">
        <v>4665</v>
      </c>
      <c r="O210" t="s">
        <v>4666</v>
      </c>
      <c r="P210" t="s">
        <v>3451</v>
      </c>
      <c r="Q210" t="s">
        <v>247</v>
      </c>
      <c r="R210" t="b">
        <v>0</v>
      </c>
      <c r="S210" t="s">
        <v>4025</v>
      </c>
    </row>
    <row r="211" spans="1:19" ht="11.25" customHeight="1" x14ac:dyDescent="0.15">
      <c r="A211">
        <v>2655</v>
      </c>
      <c r="B211" t="s">
        <v>114</v>
      </c>
      <c r="C211">
        <v>28977129</v>
      </c>
      <c r="D211" t="s">
        <v>4667</v>
      </c>
      <c r="E211" t="s">
        <v>4668</v>
      </c>
      <c r="F211" t="s">
        <v>3853</v>
      </c>
      <c r="G211" t="s">
        <v>4669</v>
      </c>
      <c r="H211" t="s">
        <v>3855</v>
      </c>
      <c r="I211" t="s">
        <v>3870</v>
      </c>
      <c r="J211" t="s">
        <v>3857</v>
      </c>
      <c r="K211" t="s">
        <v>4670</v>
      </c>
      <c r="L211" t="s">
        <v>4671</v>
      </c>
      <c r="M211" t="s">
        <v>4672</v>
      </c>
      <c r="N211" t="s">
        <v>247</v>
      </c>
      <c r="O211" t="s">
        <v>4673</v>
      </c>
      <c r="P211" t="s">
        <v>3488</v>
      </c>
      <c r="Q211" t="s">
        <v>247</v>
      </c>
      <c r="R211" t="b">
        <v>0</v>
      </c>
      <c r="S211" t="s">
        <v>4025</v>
      </c>
    </row>
    <row r="212" spans="1:19" ht="11.25" customHeight="1" x14ac:dyDescent="0.15">
      <c r="A212">
        <v>2655</v>
      </c>
      <c r="B212" t="s">
        <v>114</v>
      </c>
      <c r="C212">
        <v>30914574</v>
      </c>
      <c r="D212" t="s">
        <v>4674</v>
      </c>
      <c r="E212" t="s">
        <v>4675</v>
      </c>
      <c r="F212" t="s">
        <v>4676</v>
      </c>
      <c r="G212" t="s">
        <v>4677</v>
      </c>
      <c r="H212" t="s">
        <v>4678</v>
      </c>
      <c r="I212" t="s">
        <v>4679</v>
      </c>
      <c r="J212" t="s">
        <v>4680</v>
      </c>
      <c r="K212" t="s">
        <v>247</v>
      </c>
      <c r="L212" t="s">
        <v>4681</v>
      </c>
      <c r="M212" t="s">
        <v>4682</v>
      </c>
      <c r="N212" t="s">
        <v>4683</v>
      </c>
      <c r="O212" t="s">
        <v>4684</v>
      </c>
      <c r="P212" t="s">
        <v>4685</v>
      </c>
      <c r="Q212" t="s">
        <v>247</v>
      </c>
      <c r="R212" t="b">
        <v>0</v>
      </c>
      <c r="S212" t="s">
        <v>4025</v>
      </c>
    </row>
    <row r="213" spans="1:19" ht="11.25" customHeight="1" x14ac:dyDescent="0.15">
      <c r="A213">
        <v>2655</v>
      </c>
      <c r="B213" t="s">
        <v>114</v>
      </c>
      <c r="C213">
        <v>26356915</v>
      </c>
      <c r="D213" t="s">
        <v>3889</v>
      </c>
      <c r="E213" t="s">
        <v>3890</v>
      </c>
      <c r="F213" t="s">
        <v>3891</v>
      </c>
      <c r="G213" t="s">
        <v>3569</v>
      </c>
      <c r="H213" t="s">
        <v>3892</v>
      </c>
      <c r="I213" t="s">
        <v>3893</v>
      </c>
      <c r="J213" t="s">
        <v>3345</v>
      </c>
      <c r="K213" t="s">
        <v>3894</v>
      </c>
      <c r="L213" t="s">
        <v>3894</v>
      </c>
      <c r="M213" t="s">
        <v>3895</v>
      </c>
      <c r="N213" t="s">
        <v>3896</v>
      </c>
      <c r="O213" t="s">
        <v>3897</v>
      </c>
      <c r="P213" t="s">
        <v>179</v>
      </c>
      <c r="Q213" t="s">
        <v>190</v>
      </c>
      <c r="R213" t="b">
        <v>0</v>
      </c>
      <c r="S213" t="s">
        <v>4686</v>
      </c>
    </row>
    <row r="214" spans="1:19" ht="11.25" customHeight="1" x14ac:dyDescent="0.15">
      <c r="A214">
        <v>2655</v>
      </c>
      <c r="B214" t="s">
        <v>114</v>
      </c>
      <c r="C214">
        <v>26357007</v>
      </c>
      <c r="D214" t="s">
        <v>4026</v>
      </c>
      <c r="E214" t="s">
        <v>4027</v>
      </c>
      <c r="F214" t="s">
        <v>4028</v>
      </c>
      <c r="G214" t="s">
        <v>3599</v>
      </c>
      <c r="H214" t="s">
        <v>4029</v>
      </c>
      <c r="I214" t="s">
        <v>4030</v>
      </c>
      <c r="J214" t="s">
        <v>3345</v>
      </c>
      <c r="K214" t="s">
        <v>4031</v>
      </c>
      <c r="L214" t="s">
        <v>4031</v>
      </c>
      <c r="M214" t="s">
        <v>4032</v>
      </c>
      <c r="N214" t="s">
        <v>4033</v>
      </c>
      <c r="O214" t="s">
        <v>4034</v>
      </c>
      <c r="P214" t="s">
        <v>179</v>
      </c>
      <c r="Q214" t="s">
        <v>4035</v>
      </c>
      <c r="R214" t="b">
        <v>0</v>
      </c>
      <c r="S214" t="s">
        <v>4686</v>
      </c>
    </row>
    <row r="215" spans="1:19" ht="11.25" customHeight="1" x14ac:dyDescent="0.15">
      <c r="A215">
        <v>2655</v>
      </c>
      <c r="B215" t="s">
        <v>114</v>
      </c>
      <c r="C215">
        <v>27804990</v>
      </c>
      <c r="D215" t="s">
        <v>3354</v>
      </c>
      <c r="E215" t="s">
        <v>3355</v>
      </c>
      <c r="F215" t="s">
        <v>3356</v>
      </c>
      <c r="G215" t="s">
        <v>149</v>
      </c>
      <c r="H215" t="s">
        <v>3357</v>
      </c>
      <c r="I215" t="s">
        <v>3358</v>
      </c>
      <c r="J215" t="s">
        <v>3345</v>
      </c>
      <c r="K215" t="s">
        <v>3359</v>
      </c>
      <c r="L215" t="s">
        <v>3360</v>
      </c>
      <c r="M215" t="s">
        <v>3361</v>
      </c>
      <c r="N215" t="s">
        <v>3362</v>
      </c>
      <c r="O215" t="s">
        <v>3363</v>
      </c>
      <c r="P215" t="s">
        <v>3364</v>
      </c>
      <c r="Q215" t="s">
        <v>3365</v>
      </c>
      <c r="R215" t="b">
        <v>0</v>
      </c>
      <c r="S215" t="s">
        <v>4686</v>
      </c>
    </row>
    <row r="216" spans="1:19" ht="11.25" customHeight="1" x14ac:dyDescent="0.15">
      <c r="A216">
        <v>2655</v>
      </c>
      <c r="B216" t="s">
        <v>114</v>
      </c>
      <c r="C216">
        <v>28048296</v>
      </c>
      <c r="D216" t="s">
        <v>4036</v>
      </c>
      <c r="E216" t="s">
        <v>4037</v>
      </c>
      <c r="F216" t="s">
        <v>4038</v>
      </c>
      <c r="G216" t="s">
        <v>149</v>
      </c>
      <c r="H216" t="s">
        <v>4039</v>
      </c>
      <c r="I216" t="s">
        <v>4040</v>
      </c>
      <c r="J216" t="s">
        <v>3345</v>
      </c>
      <c r="K216" t="s">
        <v>4041</v>
      </c>
      <c r="L216" t="s">
        <v>3360</v>
      </c>
      <c r="M216" t="s">
        <v>4042</v>
      </c>
      <c r="N216" t="s">
        <v>4043</v>
      </c>
      <c r="O216" t="s">
        <v>4044</v>
      </c>
      <c r="P216" t="s">
        <v>3364</v>
      </c>
      <c r="Q216" t="s">
        <v>3365</v>
      </c>
      <c r="R216" t="b">
        <v>0</v>
      </c>
      <c r="S216" t="s">
        <v>4686</v>
      </c>
    </row>
    <row r="217" spans="1:19" ht="11.25" customHeight="1" x14ac:dyDescent="0.15">
      <c r="A217">
        <v>2655</v>
      </c>
      <c r="B217" t="s">
        <v>114</v>
      </c>
      <c r="C217">
        <v>27804826</v>
      </c>
      <c r="D217" t="s">
        <v>3366</v>
      </c>
      <c r="E217" t="s">
        <v>3367</v>
      </c>
      <c r="F217" t="s">
        <v>3368</v>
      </c>
      <c r="G217" t="s">
        <v>3369</v>
      </c>
      <c r="H217" t="s">
        <v>3370</v>
      </c>
      <c r="I217" t="s">
        <v>3371</v>
      </c>
      <c r="J217" t="s">
        <v>3345</v>
      </c>
      <c r="K217" t="s">
        <v>3372</v>
      </c>
      <c r="L217" t="s">
        <v>3360</v>
      </c>
      <c r="M217" t="s">
        <v>247</v>
      </c>
      <c r="N217" t="s">
        <v>3373</v>
      </c>
      <c r="O217" t="s">
        <v>3374</v>
      </c>
      <c r="P217" t="s">
        <v>3364</v>
      </c>
      <c r="Q217" t="s">
        <v>3375</v>
      </c>
      <c r="R217" t="b">
        <v>0</v>
      </c>
      <c r="S217" t="s">
        <v>4686</v>
      </c>
    </row>
    <row r="218" spans="1:19" ht="11.25" customHeight="1" x14ac:dyDescent="0.15">
      <c r="A218">
        <v>2655</v>
      </c>
      <c r="B218" t="s">
        <v>114</v>
      </c>
      <c r="C218">
        <v>27804896</v>
      </c>
      <c r="D218" t="s">
        <v>4045</v>
      </c>
      <c r="E218" t="s">
        <v>4046</v>
      </c>
      <c r="F218" t="s">
        <v>4047</v>
      </c>
      <c r="G218" t="s">
        <v>149</v>
      </c>
      <c r="H218" t="s">
        <v>4048</v>
      </c>
      <c r="I218" t="s">
        <v>4049</v>
      </c>
      <c r="J218" t="s">
        <v>3345</v>
      </c>
      <c r="K218" t="s">
        <v>4050</v>
      </c>
      <c r="L218" t="s">
        <v>3360</v>
      </c>
      <c r="M218" t="s">
        <v>4051</v>
      </c>
      <c r="N218" t="s">
        <v>4052</v>
      </c>
      <c r="O218" t="s">
        <v>4053</v>
      </c>
      <c r="P218" t="s">
        <v>3364</v>
      </c>
      <c r="Q218" t="s">
        <v>3365</v>
      </c>
      <c r="R218" t="b">
        <v>0</v>
      </c>
      <c r="S218" t="s">
        <v>4686</v>
      </c>
    </row>
    <row r="219" spans="1:19" ht="11.25" customHeight="1" x14ac:dyDescent="0.15">
      <c r="A219">
        <v>2655</v>
      </c>
      <c r="B219" t="s">
        <v>114</v>
      </c>
      <c r="C219">
        <v>27820148</v>
      </c>
      <c r="D219" t="s">
        <v>3912</v>
      </c>
      <c r="E219" t="s">
        <v>3913</v>
      </c>
      <c r="F219" t="s">
        <v>3914</v>
      </c>
      <c r="G219" t="s">
        <v>3656</v>
      </c>
      <c r="H219" t="s">
        <v>3915</v>
      </c>
      <c r="I219" t="s">
        <v>3916</v>
      </c>
      <c r="J219" t="s">
        <v>3345</v>
      </c>
      <c r="K219" t="s">
        <v>3917</v>
      </c>
      <c r="L219" t="s">
        <v>3917</v>
      </c>
      <c r="M219" t="s">
        <v>3918</v>
      </c>
      <c r="N219" t="s">
        <v>3919</v>
      </c>
      <c r="O219" t="s">
        <v>3920</v>
      </c>
      <c r="P219" t="s">
        <v>3921</v>
      </c>
      <c r="Q219" t="s">
        <v>3922</v>
      </c>
      <c r="R219" t="b">
        <v>0</v>
      </c>
      <c r="S219" t="s">
        <v>4686</v>
      </c>
    </row>
    <row r="220" spans="1:19" ht="11.25" customHeight="1" x14ac:dyDescent="0.15">
      <c r="A220">
        <v>2655</v>
      </c>
      <c r="B220" t="s">
        <v>114</v>
      </c>
      <c r="C220">
        <v>26356905</v>
      </c>
      <c r="D220" t="s">
        <v>3399</v>
      </c>
      <c r="E220" t="s">
        <v>3400</v>
      </c>
      <c r="F220" t="s">
        <v>3401</v>
      </c>
      <c r="G220" t="s">
        <v>149</v>
      </c>
      <c r="H220" t="s">
        <v>3402</v>
      </c>
      <c r="I220" t="s">
        <v>3403</v>
      </c>
      <c r="J220" t="s">
        <v>3345</v>
      </c>
      <c r="K220" t="s">
        <v>3404</v>
      </c>
      <c r="L220" t="s">
        <v>3404</v>
      </c>
      <c r="M220" t="s">
        <v>3405</v>
      </c>
      <c r="N220" t="s">
        <v>3406</v>
      </c>
      <c r="O220" t="s">
        <v>3407</v>
      </c>
      <c r="P220" t="s">
        <v>3408</v>
      </c>
      <c r="Q220" t="s">
        <v>3409</v>
      </c>
      <c r="R220" t="b">
        <v>0</v>
      </c>
      <c r="S220" t="s">
        <v>4686</v>
      </c>
    </row>
    <row r="221" spans="1:19" ht="11.25" customHeight="1" x14ac:dyDescent="0.15">
      <c r="A221">
        <v>2655</v>
      </c>
      <c r="B221" t="s">
        <v>114</v>
      </c>
      <c r="C221">
        <v>30808700</v>
      </c>
      <c r="D221" t="s">
        <v>3500</v>
      </c>
      <c r="E221" t="s">
        <v>3501</v>
      </c>
      <c r="F221" t="s">
        <v>3502</v>
      </c>
      <c r="G221" t="s">
        <v>3434</v>
      </c>
      <c r="H221" t="s">
        <v>3503</v>
      </c>
      <c r="I221" t="s">
        <v>3504</v>
      </c>
      <c r="J221" t="s">
        <v>3495</v>
      </c>
      <c r="K221" t="s">
        <v>3505</v>
      </c>
      <c r="L221" t="s">
        <v>3506</v>
      </c>
      <c r="M221" t="s">
        <v>3507</v>
      </c>
      <c r="N221" t="s">
        <v>3508</v>
      </c>
      <c r="O221" t="s">
        <v>3509</v>
      </c>
      <c r="P221" t="s">
        <v>3451</v>
      </c>
      <c r="Q221" t="s">
        <v>247</v>
      </c>
      <c r="R221" t="b">
        <v>1</v>
      </c>
      <c r="S221" t="s">
        <v>4686</v>
      </c>
    </row>
    <row r="222" spans="1:19" ht="11.25" customHeight="1" x14ac:dyDescent="0.15">
      <c r="A222">
        <v>2655</v>
      </c>
      <c r="B222" t="s">
        <v>114</v>
      </c>
      <c r="C222">
        <v>31343443</v>
      </c>
      <c r="D222" t="s">
        <v>3531</v>
      </c>
      <c r="E222" t="s">
        <v>3532</v>
      </c>
      <c r="F222" t="s">
        <v>3533</v>
      </c>
      <c r="G222" t="s">
        <v>3434</v>
      </c>
      <c r="H222" t="s">
        <v>3534</v>
      </c>
      <c r="I222" t="s">
        <v>3535</v>
      </c>
      <c r="J222" t="s">
        <v>3483</v>
      </c>
      <c r="K222" t="s">
        <v>3536</v>
      </c>
      <c r="L222" t="s">
        <v>3536</v>
      </c>
      <c r="N222" t="s">
        <v>3537</v>
      </c>
      <c r="O222" t="s">
        <v>3538</v>
      </c>
      <c r="P222" t="s">
        <v>3451</v>
      </c>
      <c r="R222" t="b">
        <v>0</v>
      </c>
      <c r="S222" t="s">
        <v>4686</v>
      </c>
    </row>
    <row r="223" spans="1:19" ht="11.25" customHeight="1" x14ac:dyDescent="0.15">
      <c r="A223">
        <v>2655</v>
      </c>
      <c r="B223" t="s">
        <v>114</v>
      </c>
      <c r="C223">
        <v>31087651</v>
      </c>
      <c r="D223" t="s">
        <v>3548</v>
      </c>
      <c r="E223" t="s">
        <v>3549</v>
      </c>
      <c r="F223" t="s">
        <v>3550</v>
      </c>
      <c r="G223" t="s">
        <v>3551</v>
      </c>
      <c r="H223" t="s">
        <v>3552</v>
      </c>
      <c r="I223" t="s">
        <v>3553</v>
      </c>
      <c r="J223" t="s">
        <v>3483</v>
      </c>
      <c r="K223" t="s">
        <v>3554</v>
      </c>
      <c r="L223" t="s">
        <v>3554</v>
      </c>
      <c r="M223" t="s">
        <v>3555</v>
      </c>
      <c r="N223" t="s">
        <v>3556</v>
      </c>
      <c r="O223" t="s">
        <v>3557</v>
      </c>
      <c r="R223" t="b">
        <v>0</v>
      </c>
      <c r="S223" t="s">
        <v>4686</v>
      </c>
    </row>
    <row r="224" spans="1:19" ht="11.25" customHeight="1" x14ac:dyDescent="0.15">
      <c r="A224">
        <v>2655</v>
      </c>
      <c r="B224" t="s">
        <v>114</v>
      </c>
      <c r="C224">
        <v>31085797</v>
      </c>
      <c r="D224" t="s">
        <v>4126</v>
      </c>
      <c r="E224" t="s">
        <v>4127</v>
      </c>
      <c r="F224" t="s">
        <v>4128</v>
      </c>
      <c r="G224" t="s">
        <v>3369</v>
      </c>
      <c r="H224" t="s">
        <v>4129</v>
      </c>
      <c r="I224" t="s">
        <v>4130</v>
      </c>
      <c r="J224" t="s">
        <v>3495</v>
      </c>
      <c r="K224" t="s">
        <v>4131</v>
      </c>
      <c r="L224" t="s">
        <v>4132</v>
      </c>
      <c r="M224" t="s">
        <v>4133</v>
      </c>
      <c r="N224" t="s">
        <v>4134</v>
      </c>
      <c r="O224" t="s">
        <v>4135</v>
      </c>
      <c r="P224" t="s">
        <v>3488</v>
      </c>
      <c r="Q224" t="s">
        <v>247</v>
      </c>
      <c r="R224" t="b">
        <v>1</v>
      </c>
      <c r="S224" t="s">
        <v>4686</v>
      </c>
    </row>
    <row r="225" spans="1:19" ht="11.25" customHeight="1" x14ac:dyDescent="0.15">
      <c r="A225">
        <v>2655</v>
      </c>
      <c r="B225" t="s">
        <v>114</v>
      </c>
      <c r="C225">
        <v>31187282</v>
      </c>
      <c r="D225" t="s">
        <v>4136</v>
      </c>
      <c r="E225" t="s">
        <v>4137</v>
      </c>
      <c r="F225" t="s">
        <v>4138</v>
      </c>
      <c r="G225" t="s">
        <v>3379</v>
      </c>
      <c r="H225" t="s">
        <v>4139</v>
      </c>
      <c r="I225" t="s">
        <v>4140</v>
      </c>
      <c r="J225" t="s">
        <v>3495</v>
      </c>
      <c r="K225" t="s">
        <v>4141</v>
      </c>
      <c r="L225" t="s">
        <v>4141</v>
      </c>
      <c r="M225" t="s">
        <v>247</v>
      </c>
      <c r="N225" t="s">
        <v>4142</v>
      </c>
      <c r="O225" t="s">
        <v>4143</v>
      </c>
      <c r="P225" t="s">
        <v>3488</v>
      </c>
      <c r="Q225" t="s">
        <v>247</v>
      </c>
      <c r="R225" t="b">
        <v>0</v>
      </c>
      <c r="S225" t="s">
        <v>4686</v>
      </c>
    </row>
    <row r="226" spans="1:19" ht="11.25" customHeight="1" x14ac:dyDescent="0.15">
      <c r="A226">
        <v>2655</v>
      </c>
      <c r="B226" t="s">
        <v>114</v>
      </c>
      <c r="C226">
        <v>31284269</v>
      </c>
      <c r="D226" t="s">
        <v>3606</v>
      </c>
      <c r="E226" t="s">
        <v>3607</v>
      </c>
      <c r="F226" t="s">
        <v>3608</v>
      </c>
      <c r="G226" t="s">
        <v>3551</v>
      </c>
      <c r="H226" t="s">
        <v>3609</v>
      </c>
      <c r="I226" t="s">
        <v>3610</v>
      </c>
      <c r="J226" t="s">
        <v>3495</v>
      </c>
      <c r="K226" t="s">
        <v>3611</v>
      </c>
      <c r="L226" t="s">
        <v>3612</v>
      </c>
      <c r="M226" t="s">
        <v>3613</v>
      </c>
      <c r="N226" t="s">
        <v>3614</v>
      </c>
      <c r="O226" t="s">
        <v>3615</v>
      </c>
      <c r="P226" t="s">
        <v>247</v>
      </c>
      <c r="Q226" t="s">
        <v>247</v>
      </c>
      <c r="R226" t="b">
        <v>0</v>
      </c>
      <c r="S226" t="s">
        <v>4686</v>
      </c>
    </row>
    <row r="227" spans="1:19" ht="11.25" customHeight="1" x14ac:dyDescent="0.15">
      <c r="A227">
        <v>2655</v>
      </c>
      <c r="B227" t="s">
        <v>114</v>
      </c>
      <c r="C227">
        <v>31159389</v>
      </c>
      <c r="D227" t="s">
        <v>4144</v>
      </c>
      <c r="E227" t="s">
        <v>4145</v>
      </c>
      <c r="F227" t="s">
        <v>4146</v>
      </c>
      <c r="G227" t="s">
        <v>3523</v>
      </c>
      <c r="H227" t="s">
        <v>4147</v>
      </c>
      <c r="I227" t="s">
        <v>4148</v>
      </c>
      <c r="J227" t="s">
        <v>3495</v>
      </c>
      <c r="K227" t="s">
        <v>4149</v>
      </c>
      <c r="L227" t="s">
        <v>4150</v>
      </c>
      <c r="M227" t="s">
        <v>4151</v>
      </c>
      <c r="N227" t="s">
        <v>4152</v>
      </c>
      <c r="O227" t="s">
        <v>4153</v>
      </c>
      <c r="P227" t="s">
        <v>3488</v>
      </c>
      <c r="Q227" t="s">
        <v>247</v>
      </c>
      <c r="R227" t="b">
        <v>0</v>
      </c>
      <c r="S227" t="s">
        <v>4686</v>
      </c>
    </row>
    <row r="228" spans="1:19" ht="11.25" customHeight="1" x14ac:dyDescent="0.15">
      <c r="A228">
        <v>2655</v>
      </c>
      <c r="B228" t="s">
        <v>114</v>
      </c>
      <c r="C228">
        <v>30843704</v>
      </c>
      <c r="D228" t="s">
        <v>4162</v>
      </c>
      <c r="E228" t="s">
        <v>4163</v>
      </c>
      <c r="F228" t="s">
        <v>4164</v>
      </c>
      <c r="G228" t="s">
        <v>149</v>
      </c>
      <c r="H228" t="s">
        <v>4165</v>
      </c>
      <c r="I228" t="s">
        <v>4166</v>
      </c>
      <c r="J228" t="s">
        <v>156</v>
      </c>
      <c r="K228" t="s">
        <v>4167</v>
      </c>
      <c r="L228" t="s">
        <v>4168</v>
      </c>
      <c r="M228" t="s">
        <v>247</v>
      </c>
      <c r="N228" t="s">
        <v>4169</v>
      </c>
      <c r="O228" t="s">
        <v>4170</v>
      </c>
      <c r="P228" t="s">
        <v>179</v>
      </c>
      <c r="Q228" t="s">
        <v>247</v>
      </c>
      <c r="R228" t="b">
        <v>0</v>
      </c>
      <c r="S228" t="s">
        <v>4686</v>
      </c>
    </row>
    <row r="229" spans="1:19" ht="11.25" customHeight="1" x14ac:dyDescent="0.15">
      <c r="A229">
        <v>2655</v>
      </c>
      <c r="B229" t="s">
        <v>114</v>
      </c>
      <c r="C229">
        <v>28869965</v>
      </c>
      <c r="D229" t="s">
        <v>3663</v>
      </c>
      <c r="E229" t="s">
        <v>3664</v>
      </c>
      <c r="F229" t="s">
        <v>3665</v>
      </c>
      <c r="G229" t="s">
        <v>3480</v>
      </c>
      <c r="H229" t="s">
        <v>3666</v>
      </c>
      <c r="I229" t="s">
        <v>247</v>
      </c>
      <c r="J229" t="s">
        <v>156</v>
      </c>
      <c r="K229" t="s">
        <v>3667</v>
      </c>
      <c r="L229" t="s">
        <v>3667</v>
      </c>
      <c r="M229" t="s">
        <v>3668</v>
      </c>
      <c r="N229" t="s">
        <v>3669</v>
      </c>
      <c r="O229" t="s">
        <v>3670</v>
      </c>
      <c r="P229" t="s">
        <v>179</v>
      </c>
      <c r="Q229" t="s">
        <v>3671</v>
      </c>
      <c r="R229" t="b">
        <v>0</v>
      </c>
      <c r="S229" t="s">
        <v>4686</v>
      </c>
    </row>
    <row r="230" spans="1:19" ht="11.25" customHeight="1" x14ac:dyDescent="0.15">
      <c r="A230">
        <v>2655</v>
      </c>
      <c r="B230" t="s">
        <v>114</v>
      </c>
      <c r="C230">
        <v>31245446</v>
      </c>
      <c r="D230" t="s">
        <v>4198</v>
      </c>
      <c r="E230" t="s">
        <v>4199</v>
      </c>
      <c r="F230" t="s">
        <v>4200</v>
      </c>
      <c r="G230" t="s">
        <v>3684</v>
      </c>
      <c r="H230" t="s">
        <v>4201</v>
      </c>
      <c r="I230" t="s">
        <v>4202</v>
      </c>
      <c r="J230" t="s">
        <v>156</v>
      </c>
      <c r="K230" t="s">
        <v>247</v>
      </c>
      <c r="L230" t="s">
        <v>4203</v>
      </c>
      <c r="M230" t="s">
        <v>247</v>
      </c>
      <c r="N230" t="s">
        <v>4204</v>
      </c>
      <c r="O230" t="s">
        <v>4205</v>
      </c>
      <c r="P230" t="s">
        <v>3488</v>
      </c>
      <c r="Q230" t="s">
        <v>247</v>
      </c>
      <c r="R230" t="b">
        <v>0</v>
      </c>
      <c r="S230" t="s">
        <v>4686</v>
      </c>
    </row>
    <row r="231" spans="1:19" ht="11.25" customHeight="1" x14ac:dyDescent="0.15">
      <c r="A231">
        <v>2655</v>
      </c>
      <c r="B231" t="s">
        <v>114</v>
      </c>
      <c r="C231">
        <v>30950350</v>
      </c>
      <c r="D231" t="s">
        <v>4225</v>
      </c>
      <c r="E231" t="s">
        <v>4226</v>
      </c>
      <c r="F231" t="s">
        <v>4227</v>
      </c>
      <c r="G231" t="s">
        <v>3599</v>
      </c>
      <c r="H231" t="s">
        <v>4228</v>
      </c>
      <c r="I231" t="s">
        <v>4229</v>
      </c>
      <c r="J231" t="s">
        <v>156</v>
      </c>
      <c r="K231" t="s">
        <v>4230</v>
      </c>
      <c r="L231" t="s">
        <v>4230</v>
      </c>
      <c r="M231" t="s">
        <v>4231</v>
      </c>
      <c r="N231" t="s">
        <v>4232</v>
      </c>
      <c r="O231" t="s">
        <v>4233</v>
      </c>
      <c r="P231" t="s">
        <v>3488</v>
      </c>
      <c r="Q231" t="s">
        <v>190</v>
      </c>
      <c r="R231" t="b">
        <v>0</v>
      </c>
      <c r="S231" t="s">
        <v>4686</v>
      </c>
    </row>
    <row r="232" spans="1:19" ht="11.25" customHeight="1" x14ac:dyDescent="0.15">
      <c r="A232">
        <v>2655</v>
      </c>
      <c r="B232" t="s">
        <v>114</v>
      </c>
      <c r="C232">
        <v>31874557</v>
      </c>
      <c r="D232" t="s">
        <v>4243</v>
      </c>
      <c r="E232" t="s">
        <v>4244</v>
      </c>
      <c r="F232" t="s">
        <v>4245</v>
      </c>
      <c r="G232" t="s">
        <v>3599</v>
      </c>
      <c r="H232" t="s">
        <v>4246</v>
      </c>
      <c r="I232" t="s">
        <v>4247</v>
      </c>
      <c r="K232" t="s">
        <v>4248</v>
      </c>
      <c r="L232" t="s">
        <v>4248</v>
      </c>
      <c r="M232" t="s">
        <v>4249</v>
      </c>
      <c r="N232" t="s">
        <v>4250</v>
      </c>
      <c r="O232" t="s">
        <v>4251</v>
      </c>
      <c r="P232" t="s">
        <v>179</v>
      </c>
      <c r="Q232" t="s">
        <v>247</v>
      </c>
      <c r="R232" t="b">
        <v>1</v>
      </c>
      <c r="S232" t="s">
        <v>4686</v>
      </c>
    </row>
    <row r="233" spans="1:19" ht="11.25" customHeight="1" x14ac:dyDescent="0.15">
      <c r="A233">
        <v>2655</v>
      </c>
      <c r="B233" t="s">
        <v>114</v>
      </c>
      <c r="C233">
        <v>31656254</v>
      </c>
      <c r="D233" t="s">
        <v>3701</v>
      </c>
      <c r="E233" t="s">
        <v>3702</v>
      </c>
      <c r="F233" t="s">
        <v>3703</v>
      </c>
      <c r="G233" t="s">
        <v>3704</v>
      </c>
      <c r="H233" t="s">
        <v>3705</v>
      </c>
      <c r="I233" t="s">
        <v>3706</v>
      </c>
      <c r="K233" t="s">
        <v>3707</v>
      </c>
      <c r="L233" t="s">
        <v>3708</v>
      </c>
      <c r="M233" t="s">
        <v>3709</v>
      </c>
      <c r="N233" t="s">
        <v>3710</v>
      </c>
      <c r="O233" t="s">
        <v>3711</v>
      </c>
      <c r="P233" t="s">
        <v>3488</v>
      </c>
      <c r="Q233" t="s">
        <v>3712</v>
      </c>
      <c r="R233" t="b">
        <v>0</v>
      </c>
      <c r="S233" t="s">
        <v>4686</v>
      </c>
    </row>
    <row r="234" spans="1:19" ht="11.25" customHeight="1" x14ac:dyDescent="0.15">
      <c r="A234">
        <v>2655</v>
      </c>
      <c r="B234" t="s">
        <v>114</v>
      </c>
      <c r="C234">
        <v>31519209</v>
      </c>
      <c r="D234" t="s">
        <v>4316</v>
      </c>
      <c r="E234" t="s">
        <v>4317</v>
      </c>
      <c r="F234" t="s">
        <v>4318</v>
      </c>
      <c r="G234" t="s">
        <v>3656</v>
      </c>
      <c r="H234" t="s">
        <v>4319</v>
      </c>
      <c r="I234" t="s">
        <v>4320</v>
      </c>
      <c r="J234" t="s">
        <v>156</v>
      </c>
      <c r="K234" t="s">
        <v>4321</v>
      </c>
      <c r="L234" t="s">
        <v>4322</v>
      </c>
      <c r="M234" t="s">
        <v>4323</v>
      </c>
      <c r="N234" t="s">
        <v>4324</v>
      </c>
      <c r="O234" t="s">
        <v>4325</v>
      </c>
      <c r="P234" t="s">
        <v>3364</v>
      </c>
      <c r="Q234" t="s">
        <v>247</v>
      </c>
      <c r="R234" t="b">
        <v>0</v>
      </c>
      <c r="S234" t="s">
        <v>4686</v>
      </c>
    </row>
    <row r="235" spans="1:19" ht="11.25" customHeight="1" x14ac:dyDescent="0.15">
      <c r="A235">
        <v>2655</v>
      </c>
      <c r="B235" t="s">
        <v>114</v>
      </c>
      <c r="C235">
        <v>31424033</v>
      </c>
      <c r="D235" t="s">
        <v>3713</v>
      </c>
      <c r="E235" t="s">
        <v>3714</v>
      </c>
      <c r="F235" t="s">
        <v>3715</v>
      </c>
      <c r="G235" t="s">
        <v>3716</v>
      </c>
      <c r="H235" t="s">
        <v>3717</v>
      </c>
      <c r="I235" t="s">
        <v>247</v>
      </c>
      <c r="J235" t="s">
        <v>156</v>
      </c>
      <c r="K235" t="s">
        <v>247</v>
      </c>
      <c r="L235" t="s">
        <v>247</v>
      </c>
      <c r="M235" t="s">
        <v>247</v>
      </c>
      <c r="N235" t="s">
        <v>247</v>
      </c>
      <c r="O235" t="s">
        <v>247</v>
      </c>
      <c r="P235" t="s">
        <v>247</v>
      </c>
      <c r="Q235" t="s">
        <v>247</v>
      </c>
      <c r="R235" t="b">
        <v>0</v>
      </c>
      <c r="S235" t="s">
        <v>4686</v>
      </c>
    </row>
    <row r="236" spans="1:19" ht="11.25" customHeight="1" x14ac:dyDescent="0.15">
      <c r="A236">
        <v>2655</v>
      </c>
      <c r="B236" t="s">
        <v>114</v>
      </c>
      <c r="C236">
        <v>28151808</v>
      </c>
      <c r="D236" t="s">
        <v>3727</v>
      </c>
      <c r="E236" t="s">
        <v>3728</v>
      </c>
      <c r="F236" t="s">
        <v>3729</v>
      </c>
      <c r="G236" t="s">
        <v>3434</v>
      </c>
      <c r="H236" t="s">
        <v>3730</v>
      </c>
      <c r="I236" t="s">
        <v>3731</v>
      </c>
      <c r="J236" t="s">
        <v>156</v>
      </c>
      <c r="K236" t="s">
        <v>3732</v>
      </c>
      <c r="L236" t="s">
        <v>3733</v>
      </c>
      <c r="M236" t="s">
        <v>3734</v>
      </c>
      <c r="N236" t="s">
        <v>3735</v>
      </c>
      <c r="O236" t="s">
        <v>3736</v>
      </c>
      <c r="P236" t="s">
        <v>179</v>
      </c>
      <c r="Q236" t="s">
        <v>247</v>
      </c>
      <c r="R236" t="b">
        <v>1</v>
      </c>
      <c r="S236" t="s">
        <v>4686</v>
      </c>
    </row>
    <row r="237" spans="1:19" ht="11.25" customHeight="1" x14ac:dyDescent="0.15">
      <c r="A237">
        <v>2655</v>
      </c>
      <c r="B237" t="s">
        <v>114</v>
      </c>
      <c r="C237">
        <v>30433806</v>
      </c>
      <c r="D237" t="s">
        <v>4373</v>
      </c>
      <c r="E237" t="s">
        <v>4374</v>
      </c>
      <c r="F237" t="s">
        <v>4375</v>
      </c>
      <c r="G237" t="s">
        <v>3569</v>
      </c>
      <c r="H237" t="s">
        <v>4376</v>
      </c>
      <c r="I237" t="s">
        <v>4377</v>
      </c>
      <c r="J237" t="s">
        <v>156</v>
      </c>
      <c r="K237" t="s">
        <v>4378</v>
      </c>
      <c r="L237" t="s">
        <v>4378</v>
      </c>
      <c r="M237" t="s">
        <v>4379</v>
      </c>
      <c r="N237" t="s">
        <v>4380</v>
      </c>
      <c r="O237" t="s">
        <v>4381</v>
      </c>
      <c r="P237" t="s">
        <v>3488</v>
      </c>
      <c r="Q237" t="s">
        <v>190</v>
      </c>
      <c r="R237" t="b">
        <v>0</v>
      </c>
      <c r="S237" t="s">
        <v>4686</v>
      </c>
    </row>
    <row r="238" spans="1:19" ht="11.25" customHeight="1" x14ac:dyDescent="0.15">
      <c r="A238">
        <v>2655</v>
      </c>
      <c r="B238" t="s">
        <v>114</v>
      </c>
      <c r="C238">
        <v>31743966</v>
      </c>
      <c r="D238" t="s">
        <v>4382</v>
      </c>
      <c r="E238" t="s">
        <v>4383</v>
      </c>
      <c r="F238" t="s">
        <v>4384</v>
      </c>
      <c r="G238" t="s">
        <v>149</v>
      </c>
      <c r="H238" t="s">
        <v>4385</v>
      </c>
      <c r="I238" t="s">
        <v>4386</v>
      </c>
      <c r="K238" t="s">
        <v>4387</v>
      </c>
      <c r="L238" t="s">
        <v>4387</v>
      </c>
      <c r="M238" t="s">
        <v>4388</v>
      </c>
      <c r="N238" t="s">
        <v>4389</v>
      </c>
      <c r="O238" t="s">
        <v>4390</v>
      </c>
      <c r="P238" t="s">
        <v>179</v>
      </c>
      <c r="Q238" t="s">
        <v>4391</v>
      </c>
      <c r="R238" t="b">
        <v>1</v>
      </c>
      <c r="S238" t="s">
        <v>4686</v>
      </c>
    </row>
    <row r="239" spans="1:19" ht="11.25" customHeight="1" x14ac:dyDescent="0.15">
      <c r="A239">
        <v>2655</v>
      </c>
      <c r="B239" t="s">
        <v>114</v>
      </c>
      <c r="C239">
        <v>30874454</v>
      </c>
      <c r="D239" t="s">
        <v>4392</v>
      </c>
      <c r="E239" t="s">
        <v>4393</v>
      </c>
      <c r="F239" t="s">
        <v>4394</v>
      </c>
      <c r="G239" t="s">
        <v>3716</v>
      </c>
      <c r="H239" t="s">
        <v>4395</v>
      </c>
      <c r="I239" t="s">
        <v>4396</v>
      </c>
      <c r="J239" t="s">
        <v>156</v>
      </c>
      <c r="K239" t="s">
        <v>4397</v>
      </c>
      <c r="L239" t="s">
        <v>4398</v>
      </c>
      <c r="M239" t="s">
        <v>4399</v>
      </c>
      <c r="N239" t="s">
        <v>4361</v>
      </c>
      <c r="O239" t="s">
        <v>4400</v>
      </c>
      <c r="P239" t="s">
        <v>3451</v>
      </c>
      <c r="Q239" t="s">
        <v>4401</v>
      </c>
      <c r="R239" t="b">
        <v>0</v>
      </c>
      <c r="S239" t="s">
        <v>4686</v>
      </c>
    </row>
    <row r="240" spans="1:19" ht="11.25" customHeight="1" x14ac:dyDescent="0.15">
      <c r="A240">
        <v>2655</v>
      </c>
      <c r="B240" t="s">
        <v>114</v>
      </c>
      <c r="C240">
        <v>26356987</v>
      </c>
      <c r="D240" t="s">
        <v>3757</v>
      </c>
      <c r="E240" t="s">
        <v>3758</v>
      </c>
      <c r="F240" t="s">
        <v>3759</v>
      </c>
      <c r="G240" t="s">
        <v>3760</v>
      </c>
      <c r="H240" t="s">
        <v>3761</v>
      </c>
      <c r="I240" t="s">
        <v>3762</v>
      </c>
      <c r="J240" t="s">
        <v>156</v>
      </c>
      <c r="K240" t="s">
        <v>3763</v>
      </c>
      <c r="L240" t="s">
        <v>3763</v>
      </c>
      <c r="M240" t="s">
        <v>3764</v>
      </c>
      <c r="N240" t="s">
        <v>3765</v>
      </c>
      <c r="O240" t="s">
        <v>3766</v>
      </c>
      <c r="P240" t="s">
        <v>3451</v>
      </c>
      <c r="Q240" t="s">
        <v>3767</v>
      </c>
      <c r="R240" t="b">
        <v>0</v>
      </c>
      <c r="S240" t="s">
        <v>4686</v>
      </c>
    </row>
    <row r="241" spans="1:19" ht="11.25" customHeight="1" x14ac:dyDescent="0.15">
      <c r="A241">
        <v>2655</v>
      </c>
      <c r="B241" t="s">
        <v>114</v>
      </c>
      <c r="C241">
        <v>30856223</v>
      </c>
      <c r="D241" t="s">
        <v>4402</v>
      </c>
      <c r="E241" t="s">
        <v>4403</v>
      </c>
      <c r="F241" t="s">
        <v>4404</v>
      </c>
      <c r="G241" t="s">
        <v>3379</v>
      </c>
      <c r="H241" t="s">
        <v>4405</v>
      </c>
      <c r="I241" t="s">
        <v>4406</v>
      </c>
      <c r="J241" t="s">
        <v>156</v>
      </c>
      <c r="K241" t="s">
        <v>4407</v>
      </c>
      <c r="L241" t="s">
        <v>4407</v>
      </c>
      <c r="M241" t="s">
        <v>4408</v>
      </c>
      <c r="N241" t="s">
        <v>4409</v>
      </c>
      <c r="O241" t="s">
        <v>4410</v>
      </c>
      <c r="P241" t="s">
        <v>179</v>
      </c>
      <c r="Q241" t="s">
        <v>4411</v>
      </c>
      <c r="R241" t="b">
        <v>0</v>
      </c>
      <c r="S241" t="s">
        <v>4686</v>
      </c>
    </row>
    <row r="242" spans="1:19" ht="11.25" customHeight="1" x14ac:dyDescent="0.15">
      <c r="A242">
        <v>2655</v>
      </c>
      <c r="B242" t="s">
        <v>114</v>
      </c>
      <c r="C242">
        <v>27566835</v>
      </c>
      <c r="D242" t="s">
        <v>4431</v>
      </c>
      <c r="E242" t="s">
        <v>4432</v>
      </c>
      <c r="F242" t="s">
        <v>4433</v>
      </c>
      <c r="G242" t="s">
        <v>3580</v>
      </c>
      <c r="H242" t="s">
        <v>4434</v>
      </c>
      <c r="I242" t="s">
        <v>4435</v>
      </c>
      <c r="J242" t="s">
        <v>156</v>
      </c>
      <c r="K242" t="s">
        <v>4436</v>
      </c>
      <c r="L242" t="s">
        <v>4436</v>
      </c>
      <c r="M242" t="s">
        <v>4437</v>
      </c>
      <c r="N242" t="s">
        <v>3594</v>
      </c>
      <c r="O242" t="s">
        <v>4438</v>
      </c>
      <c r="P242" t="s">
        <v>3488</v>
      </c>
      <c r="Q242" t="s">
        <v>190</v>
      </c>
      <c r="R242" t="b">
        <v>0</v>
      </c>
      <c r="S242" t="s">
        <v>4686</v>
      </c>
    </row>
    <row r="243" spans="1:19" ht="11.25" customHeight="1" x14ac:dyDescent="0.15">
      <c r="A243">
        <v>2655</v>
      </c>
      <c r="B243" t="s">
        <v>114</v>
      </c>
      <c r="C243">
        <v>31229342</v>
      </c>
      <c r="D243" t="s">
        <v>4439</v>
      </c>
      <c r="E243" t="s">
        <v>4440</v>
      </c>
      <c r="F243" t="s">
        <v>4441</v>
      </c>
      <c r="G243" t="s">
        <v>3599</v>
      </c>
      <c r="H243" t="s">
        <v>4442</v>
      </c>
      <c r="I243" t="s">
        <v>4443</v>
      </c>
      <c r="J243" t="s">
        <v>156</v>
      </c>
      <c r="K243" t="s">
        <v>4444</v>
      </c>
      <c r="L243" t="s">
        <v>4444</v>
      </c>
      <c r="M243" t="s">
        <v>4445</v>
      </c>
      <c r="N243" t="s">
        <v>4446</v>
      </c>
      <c r="O243" t="s">
        <v>4447</v>
      </c>
      <c r="P243" t="s">
        <v>179</v>
      </c>
      <c r="Q243" t="s">
        <v>247</v>
      </c>
      <c r="R243" t="b">
        <v>0</v>
      </c>
      <c r="S243" t="s">
        <v>4686</v>
      </c>
    </row>
    <row r="244" spans="1:19" ht="11.25" customHeight="1" x14ac:dyDescent="0.15">
      <c r="A244">
        <v>2655</v>
      </c>
      <c r="B244" t="s">
        <v>114</v>
      </c>
      <c r="C244">
        <v>31690080</v>
      </c>
      <c r="D244" t="s">
        <v>4448</v>
      </c>
      <c r="E244" t="s">
        <v>4449</v>
      </c>
      <c r="F244" t="s">
        <v>4450</v>
      </c>
      <c r="G244" t="s">
        <v>3599</v>
      </c>
      <c r="H244" t="s">
        <v>4451</v>
      </c>
      <c r="I244" t="s">
        <v>4452</v>
      </c>
      <c r="K244" t="s">
        <v>4453</v>
      </c>
      <c r="L244" t="s">
        <v>4453</v>
      </c>
      <c r="M244" t="s">
        <v>4454</v>
      </c>
      <c r="N244" t="s">
        <v>4455</v>
      </c>
      <c r="O244" t="s">
        <v>4456</v>
      </c>
      <c r="P244" t="s">
        <v>3488</v>
      </c>
      <c r="Q244" t="s">
        <v>247</v>
      </c>
      <c r="R244" t="b">
        <v>1</v>
      </c>
      <c r="S244" t="s">
        <v>4686</v>
      </c>
    </row>
    <row r="245" spans="1:19" ht="11.25" customHeight="1" x14ac:dyDescent="0.15">
      <c r="A245">
        <v>2655</v>
      </c>
      <c r="B245" t="s">
        <v>114</v>
      </c>
      <c r="C245">
        <v>30856253</v>
      </c>
      <c r="D245" t="s">
        <v>4474</v>
      </c>
      <c r="E245" t="s">
        <v>4475</v>
      </c>
      <c r="F245" t="s">
        <v>4476</v>
      </c>
      <c r="G245" t="s">
        <v>3434</v>
      </c>
      <c r="H245" t="s">
        <v>4477</v>
      </c>
      <c r="I245" t="s">
        <v>4478</v>
      </c>
      <c r="J245" t="s">
        <v>156</v>
      </c>
      <c r="K245" t="s">
        <v>4479</v>
      </c>
      <c r="L245" t="s">
        <v>4479</v>
      </c>
      <c r="M245" t="s">
        <v>4480</v>
      </c>
      <c r="N245" t="s">
        <v>4481</v>
      </c>
      <c r="O245" t="s">
        <v>4482</v>
      </c>
      <c r="P245" t="s">
        <v>3488</v>
      </c>
      <c r="Q245" t="s">
        <v>247</v>
      </c>
      <c r="R245" t="b">
        <v>0</v>
      </c>
      <c r="S245" t="s">
        <v>4686</v>
      </c>
    </row>
    <row r="246" spans="1:19" ht="11.25" customHeight="1" x14ac:dyDescent="0.15">
      <c r="A246">
        <v>2655</v>
      </c>
      <c r="B246" t="s">
        <v>114</v>
      </c>
      <c r="C246">
        <v>33000042</v>
      </c>
      <c r="D246" t="s">
        <v>4483</v>
      </c>
      <c r="E246" t="s">
        <v>4484</v>
      </c>
      <c r="F246" t="s">
        <v>4485</v>
      </c>
      <c r="G246" t="s">
        <v>3684</v>
      </c>
      <c r="H246" t="s">
        <v>4486</v>
      </c>
      <c r="I246" t="s">
        <v>4487</v>
      </c>
      <c r="K246" t="s">
        <v>4488</v>
      </c>
      <c r="L246" t="s">
        <v>4489</v>
      </c>
      <c r="M246" t="s">
        <v>4490</v>
      </c>
      <c r="N246" t="s">
        <v>4491</v>
      </c>
      <c r="O246" t="s">
        <v>3691</v>
      </c>
      <c r="P246" t="s">
        <v>4492</v>
      </c>
      <c r="Q246" t="s">
        <v>247</v>
      </c>
      <c r="R246" t="b">
        <v>0</v>
      </c>
      <c r="S246" t="s">
        <v>4686</v>
      </c>
    </row>
    <row r="247" spans="1:19" ht="11.25" customHeight="1" x14ac:dyDescent="0.15">
      <c r="A247">
        <v>2655</v>
      </c>
      <c r="B247" t="s">
        <v>114</v>
      </c>
      <c r="C247">
        <v>26517842</v>
      </c>
      <c r="D247" t="s">
        <v>4493</v>
      </c>
      <c r="E247" t="s">
        <v>4494</v>
      </c>
      <c r="F247" t="s">
        <v>4495</v>
      </c>
      <c r="G247" t="s">
        <v>3580</v>
      </c>
      <c r="H247" t="s">
        <v>4496</v>
      </c>
      <c r="I247" t="s">
        <v>4497</v>
      </c>
      <c r="J247" t="s">
        <v>156</v>
      </c>
      <c r="K247" t="s">
        <v>4498</v>
      </c>
      <c r="L247" t="s">
        <v>3360</v>
      </c>
      <c r="M247" t="s">
        <v>4499</v>
      </c>
      <c r="N247" t="s">
        <v>4500</v>
      </c>
      <c r="O247" t="s">
        <v>4501</v>
      </c>
      <c r="P247" t="s">
        <v>179</v>
      </c>
      <c r="Q247" t="s">
        <v>247</v>
      </c>
      <c r="R247" t="b">
        <v>0</v>
      </c>
      <c r="S247" t="s">
        <v>4686</v>
      </c>
    </row>
    <row r="248" spans="1:19" ht="11.25" customHeight="1" x14ac:dyDescent="0.15">
      <c r="A248">
        <v>2655</v>
      </c>
      <c r="B248" t="s">
        <v>114</v>
      </c>
      <c r="C248">
        <v>31473621</v>
      </c>
      <c r="D248" t="s">
        <v>4502</v>
      </c>
      <c r="E248" t="s">
        <v>4503</v>
      </c>
      <c r="F248" t="s">
        <v>4504</v>
      </c>
      <c r="G248" t="s">
        <v>3523</v>
      </c>
      <c r="H248" t="s">
        <v>4505</v>
      </c>
      <c r="I248" t="s">
        <v>4506</v>
      </c>
      <c r="J248" t="s">
        <v>156</v>
      </c>
      <c r="K248" t="s">
        <v>4507</v>
      </c>
      <c r="L248" t="s">
        <v>4507</v>
      </c>
      <c r="M248" t="s">
        <v>4508</v>
      </c>
      <c r="N248" t="s">
        <v>4509</v>
      </c>
      <c r="O248" t="s">
        <v>4510</v>
      </c>
      <c r="P248" t="s">
        <v>179</v>
      </c>
      <c r="Q248" t="s">
        <v>4511</v>
      </c>
      <c r="R248" t="b">
        <v>0</v>
      </c>
      <c r="S248" t="s">
        <v>4686</v>
      </c>
    </row>
    <row r="249" spans="1:19" ht="11.25" customHeight="1" x14ac:dyDescent="0.15">
      <c r="A249">
        <v>2655</v>
      </c>
      <c r="B249" t="s">
        <v>114</v>
      </c>
      <c r="C249">
        <v>31004851</v>
      </c>
      <c r="D249" t="s">
        <v>4512</v>
      </c>
      <c r="E249" t="s">
        <v>4513</v>
      </c>
      <c r="F249" t="s">
        <v>4514</v>
      </c>
      <c r="G249" t="s">
        <v>3379</v>
      </c>
      <c r="H249" t="s">
        <v>4515</v>
      </c>
      <c r="I249" t="s">
        <v>4516</v>
      </c>
      <c r="J249" t="s">
        <v>156</v>
      </c>
      <c r="K249" t="s">
        <v>4517</v>
      </c>
      <c r="L249" t="s">
        <v>4518</v>
      </c>
      <c r="M249" t="s">
        <v>4519</v>
      </c>
      <c r="N249" t="s">
        <v>4520</v>
      </c>
      <c r="O249" t="s">
        <v>4521</v>
      </c>
      <c r="P249" t="s">
        <v>247</v>
      </c>
      <c r="Q249" t="s">
        <v>247</v>
      </c>
      <c r="R249" t="b">
        <v>0</v>
      </c>
      <c r="S249" t="s">
        <v>4686</v>
      </c>
    </row>
    <row r="250" spans="1:19" ht="11.25" customHeight="1" x14ac:dyDescent="0.15">
      <c r="A250">
        <v>2655</v>
      </c>
      <c r="B250" t="s">
        <v>114</v>
      </c>
      <c r="C250">
        <v>26356976</v>
      </c>
      <c r="D250" t="s">
        <v>4522</v>
      </c>
      <c r="E250" t="s">
        <v>4523</v>
      </c>
      <c r="F250" t="s">
        <v>4524</v>
      </c>
      <c r="G250" t="s">
        <v>3750</v>
      </c>
      <c r="H250" t="s">
        <v>4525</v>
      </c>
      <c r="I250" t="s">
        <v>4526</v>
      </c>
      <c r="J250" t="s">
        <v>156</v>
      </c>
      <c r="K250" t="s">
        <v>4527</v>
      </c>
      <c r="L250" t="s">
        <v>4527</v>
      </c>
      <c r="M250" t="s">
        <v>4528</v>
      </c>
      <c r="N250" t="s">
        <v>4529</v>
      </c>
      <c r="O250" t="s">
        <v>4530</v>
      </c>
      <c r="P250" t="s">
        <v>3397</v>
      </c>
      <c r="Q250" t="s">
        <v>4531</v>
      </c>
      <c r="R250" t="b">
        <v>0</v>
      </c>
      <c r="S250" t="s">
        <v>4686</v>
      </c>
    </row>
    <row r="251" spans="1:19" ht="11.25" customHeight="1" x14ac:dyDescent="0.15">
      <c r="A251">
        <v>2655</v>
      </c>
      <c r="B251" t="s">
        <v>114</v>
      </c>
      <c r="C251">
        <v>28274482</v>
      </c>
      <c r="D251" t="s">
        <v>4532</v>
      </c>
      <c r="E251" t="s">
        <v>4533</v>
      </c>
      <c r="F251" t="s">
        <v>4534</v>
      </c>
      <c r="G251" t="s">
        <v>3434</v>
      </c>
      <c r="H251" t="s">
        <v>4535</v>
      </c>
      <c r="I251" t="s">
        <v>4536</v>
      </c>
      <c r="J251" t="s">
        <v>156</v>
      </c>
      <c r="K251" t="s">
        <v>4537</v>
      </c>
      <c r="L251" t="s">
        <v>4538</v>
      </c>
      <c r="M251" t="s">
        <v>3734</v>
      </c>
      <c r="N251" t="s">
        <v>4539</v>
      </c>
      <c r="O251" t="s">
        <v>3736</v>
      </c>
      <c r="P251" t="s">
        <v>3488</v>
      </c>
      <c r="Q251" t="s">
        <v>247</v>
      </c>
      <c r="R251" t="b">
        <v>0</v>
      </c>
      <c r="S251" t="s">
        <v>4686</v>
      </c>
    </row>
    <row r="252" spans="1:19" ht="11.25" customHeight="1" x14ac:dyDescent="0.15">
      <c r="A252">
        <v>2655</v>
      </c>
      <c r="B252" t="s">
        <v>114</v>
      </c>
      <c r="C252">
        <v>31224454</v>
      </c>
      <c r="D252" t="s">
        <v>4540</v>
      </c>
      <c r="E252" t="s">
        <v>4541</v>
      </c>
      <c r="F252" t="s">
        <v>4542</v>
      </c>
      <c r="G252" t="s">
        <v>3379</v>
      </c>
      <c r="H252" t="s">
        <v>4543</v>
      </c>
      <c r="I252" t="s">
        <v>4544</v>
      </c>
      <c r="J252" t="s">
        <v>156</v>
      </c>
      <c r="K252" t="s">
        <v>4545</v>
      </c>
      <c r="L252" t="s">
        <v>4545</v>
      </c>
      <c r="M252" t="s">
        <v>4546</v>
      </c>
      <c r="N252" t="s">
        <v>4547</v>
      </c>
      <c r="O252" t="s">
        <v>4548</v>
      </c>
      <c r="P252" t="s">
        <v>179</v>
      </c>
      <c r="Q252" t="s">
        <v>247</v>
      </c>
      <c r="R252" t="b">
        <v>0</v>
      </c>
      <c r="S252" t="s">
        <v>4686</v>
      </c>
    </row>
    <row r="253" spans="1:19" ht="11.25" customHeight="1" x14ac:dyDescent="0.15">
      <c r="A253">
        <v>2655</v>
      </c>
      <c r="B253" t="s">
        <v>114</v>
      </c>
      <c r="C253">
        <v>31534676</v>
      </c>
      <c r="D253" t="s">
        <v>4566</v>
      </c>
      <c r="E253" t="s">
        <v>4567</v>
      </c>
      <c r="F253" t="s">
        <v>4568</v>
      </c>
      <c r="G253" t="s">
        <v>3523</v>
      </c>
      <c r="H253" t="s">
        <v>4569</v>
      </c>
      <c r="I253" t="s">
        <v>4570</v>
      </c>
      <c r="K253" t="s">
        <v>4571</v>
      </c>
      <c r="L253" t="s">
        <v>4572</v>
      </c>
      <c r="M253" t="s">
        <v>4573</v>
      </c>
      <c r="N253" t="s">
        <v>4574</v>
      </c>
      <c r="O253" t="s">
        <v>4575</v>
      </c>
      <c r="P253" t="s">
        <v>3488</v>
      </c>
      <c r="Q253" t="s">
        <v>247</v>
      </c>
      <c r="R253" t="b">
        <v>0</v>
      </c>
      <c r="S253" t="s">
        <v>4686</v>
      </c>
    </row>
    <row r="254" spans="1:19" ht="11.25" customHeight="1" x14ac:dyDescent="0.15">
      <c r="A254">
        <v>2655</v>
      </c>
      <c r="B254" t="s">
        <v>114</v>
      </c>
      <c r="C254">
        <v>26356899</v>
      </c>
      <c r="D254" t="s">
        <v>4576</v>
      </c>
      <c r="E254" t="s">
        <v>4577</v>
      </c>
      <c r="F254" t="s">
        <v>4578</v>
      </c>
      <c r="G254" t="s">
        <v>4579</v>
      </c>
      <c r="H254" t="s">
        <v>4580</v>
      </c>
      <c r="I254" t="s">
        <v>247</v>
      </c>
      <c r="J254" t="s">
        <v>156</v>
      </c>
      <c r="K254" t="s">
        <v>3838</v>
      </c>
      <c r="L254" t="s">
        <v>3838</v>
      </c>
      <c r="M254" t="s">
        <v>4581</v>
      </c>
      <c r="N254" t="s">
        <v>247</v>
      </c>
      <c r="O254" t="s">
        <v>3840</v>
      </c>
      <c r="P254" t="s">
        <v>3488</v>
      </c>
      <c r="Q254" t="s">
        <v>247</v>
      </c>
      <c r="R254" t="b">
        <v>0</v>
      </c>
      <c r="S254" t="s">
        <v>4686</v>
      </c>
    </row>
    <row r="255" spans="1:19" ht="11.25" customHeight="1" x14ac:dyDescent="0.15">
      <c r="A255">
        <v>2655</v>
      </c>
      <c r="B255" t="s">
        <v>114</v>
      </c>
      <c r="C255">
        <v>31224507</v>
      </c>
      <c r="D255" t="s">
        <v>4582</v>
      </c>
      <c r="E255" t="s">
        <v>4583</v>
      </c>
      <c r="F255" t="s">
        <v>4584</v>
      </c>
      <c r="G255" t="s">
        <v>4585</v>
      </c>
      <c r="H255" t="s">
        <v>4586</v>
      </c>
      <c r="I255" t="s">
        <v>4587</v>
      </c>
      <c r="J255" t="s">
        <v>156</v>
      </c>
      <c r="K255" t="s">
        <v>4588</v>
      </c>
      <c r="L255" t="s">
        <v>4588</v>
      </c>
      <c r="M255" t="s">
        <v>4589</v>
      </c>
      <c r="N255" t="s">
        <v>4590</v>
      </c>
      <c r="O255" t="s">
        <v>4548</v>
      </c>
      <c r="P255" t="s">
        <v>179</v>
      </c>
      <c r="Q255" t="s">
        <v>247</v>
      </c>
      <c r="R255" t="b">
        <v>0</v>
      </c>
      <c r="S255" t="s">
        <v>4686</v>
      </c>
    </row>
    <row r="256" spans="1:19" ht="11.25" customHeight="1" x14ac:dyDescent="0.15">
      <c r="A256">
        <v>2655</v>
      </c>
      <c r="B256" t="s">
        <v>114</v>
      </c>
      <c r="C256">
        <v>27968109</v>
      </c>
      <c r="D256" t="s">
        <v>133</v>
      </c>
      <c r="E256" t="s">
        <v>136</v>
      </c>
      <c r="F256" t="s">
        <v>146</v>
      </c>
      <c r="G256" t="s">
        <v>149</v>
      </c>
      <c r="H256" t="s">
        <v>143</v>
      </c>
      <c r="I256" t="s">
        <v>152</v>
      </c>
      <c r="J256" t="s">
        <v>156</v>
      </c>
      <c r="K256" t="s">
        <v>4591</v>
      </c>
      <c r="L256" t="s">
        <v>4591</v>
      </c>
      <c r="M256" t="s">
        <v>4592</v>
      </c>
      <c r="N256" t="s">
        <v>171</v>
      </c>
      <c r="O256" t="s">
        <v>175</v>
      </c>
      <c r="P256" t="s">
        <v>179</v>
      </c>
      <c r="Q256" t="s">
        <v>183</v>
      </c>
      <c r="R256" t="b">
        <v>0</v>
      </c>
      <c r="S256" t="s">
        <v>4686</v>
      </c>
    </row>
    <row r="257" spans="1:19" ht="11.25" customHeight="1" x14ac:dyDescent="0.15">
      <c r="A257">
        <v>2655</v>
      </c>
      <c r="B257" t="s">
        <v>114</v>
      </c>
      <c r="C257">
        <v>28270293</v>
      </c>
      <c r="D257" t="s">
        <v>3814</v>
      </c>
      <c r="E257" t="s">
        <v>3815</v>
      </c>
      <c r="F257" t="s">
        <v>3816</v>
      </c>
      <c r="G257" t="s">
        <v>3580</v>
      </c>
      <c r="H257" t="s">
        <v>3817</v>
      </c>
      <c r="I257" t="s">
        <v>3818</v>
      </c>
      <c r="J257" t="s">
        <v>156</v>
      </c>
      <c r="K257" t="s">
        <v>3819</v>
      </c>
      <c r="L257" t="s">
        <v>3819</v>
      </c>
      <c r="M257" t="s">
        <v>3820</v>
      </c>
      <c r="N257" t="s">
        <v>3821</v>
      </c>
      <c r="O257" t="s">
        <v>3822</v>
      </c>
      <c r="P257" t="s">
        <v>179</v>
      </c>
      <c r="Q257" t="s">
        <v>247</v>
      </c>
      <c r="R257" t="b">
        <v>0</v>
      </c>
      <c r="S257" t="s">
        <v>4686</v>
      </c>
    </row>
    <row r="258" spans="1:19" ht="11.25" customHeight="1" x14ac:dyDescent="0.15">
      <c r="A258">
        <v>2655</v>
      </c>
      <c r="B258" t="s">
        <v>114</v>
      </c>
      <c r="C258">
        <v>28873362</v>
      </c>
      <c r="D258" t="s">
        <v>3823</v>
      </c>
      <c r="E258" t="s">
        <v>3824</v>
      </c>
      <c r="F258" t="s">
        <v>3825</v>
      </c>
      <c r="G258" t="s">
        <v>149</v>
      </c>
      <c r="H258" t="s">
        <v>3826</v>
      </c>
      <c r="I258" t="s">
        <v>3827</v>
      </c>
      <c r="J258" t="s">
        <v>156</v>
      </c>
      <c r="K258" t="s">
        <v>3828</v>
      </c>
      <c r="L258" t="s">
        <v>3828</v>
      </c>
      <c r="M258" t="s">
        <v>3829</v>
      </c>
      <c r="N258" t="s">
        <v>3830</v>
      </c>
      <c r="O258" t="s">
        <v>3831</v>
      </c>
      <c r="P258" t="s">
        <v>3488</v>
      </c>
      <c r="Q258" t="s">
        <v>3832</v>
      </c>
      <c r="R258" t="b">
        <v>0</v>
      </c>
      <c r="S258" t="s">
        <v>4686</v>
      </c>
    </row>
    <row r="259" spans="1:19" ht="11.25" customHeight="1" x14ac:dyDescent="0.15">
      <c r="A259">
        <v>2655</v>
      </c>
      <c r="B259" t="s">
        <v>114</v>
      </c>
      <c r="C259">
        <v>30992391</v>
      </c>
      <c r="D259" t="s">
        <v>3841</v>
      </c>
      <c r="E259" t="s">
        <v>3842</v>
      </c>
      <c r="F259" t="s">
        <v>3843</v>
      </c>
      <c r="G259" t="s">
        <v>3480</v>
      </c>
      <c r="H259" t="s">
        <v>3844</v>
      </c>
      <c r="I259" t="s">
        <v>3845</v>
      </c>
      <c r="J259" t="s">
        <v>156</v>
      </c>
      <c r="K259" t="s">
        <v>3846</v>
      </c>
      <c r="L259" t="s">
        <v>3847</v>
      </c>
      <c r="M259" t="s">
        <v>3848</v>
      </c>
      <c r="N259" t="s">
        <v>3849</v>
      </c>
      <c r="O259" t="s">
        <v>3850</v>
      </c>
      <c r="P259" t="s">
        <v>3488</v>
      </c>
      <c r="Q259" t="s">
        <v>3851</v>
      </c>
      <c r="R259" t="b">
        <v>0</v>
      </c>
      <c r="S259" t="s">
        <v>4686</v>
      </c>
    </row>
    <row r="260" spans="1:19" ht="11.25" customHeight="1" x14ac:dyDescent="0.15">
      <c r="A260">
        <v>2655</v>
      </c>
      <c r="B260" t="s">
        <v>114</v>
      </c>
      <c r="C260">
        <v>26356974</v>
      </c>
      <c r="D260" t="s">
        <v>4620</v>
      </c>
      <c r="E260" t="s">
        <v>4621</v>
      </c>
      <c r="F260" t="s">
        <v>4622</v>
      </c>
      <c r="G260" t="s">
        <v>4623</v>
      </c>
      <c r="H260" t="s">
        <v>4624</v>
      </c>
      <c r="I260" t="s">
        <v>4625</v>
      </c>
      <c r="J260" t="s">
        <v>156</v>
      </c>
      <c r="K260" t="s">
        <v>4626</v>
      </c>
      <c r="L260" t="s">
        <v>4626</v>
      </c>
      <c r="M260" t="s">
        <v>4627</v>
      </c>
      <c r="N260" t="s">
        <v>4628</v>
      </c>
      <c r="O260" t="s">
        <v>4629</v>
      </c>
      <c r="P260" t="s">
        <v>3488</v>
      </c>
      <c r="Q260" t="s">
        <v>4630</v>
      </c>
      <c r="R260" t="b">
        <v>0</v>
      </c>
      <c r="S260" t="s">
        <v>4686</v>
      </c>
    </row>
    <row r="261" spans="1:19" ht="11.25" customHeight="1" x14ac:dyDescent="0.15">
      <c r="A261">
        <v>2655</v>
      </c>
      <c r="B261" t="s">
        <v>114</v>
      </c>
      <c r="C261">
        <v>31038861</v>
      </c>
      <c r="D261" t="s">
        <v>4640</v>
      </c>
      <c r="E261" t="s">
        <v>4641</v>
      </c>
      <c r="F261" t="s">
        <v>4642</v>
      </c>
      <c r="G261" t="s">
        <v>3379</v>
      </c>
      <c r="H261" t="s">
        <v>4643</v>
      </c>
      <c r="I261" t="s">
        <v>4644</v>
      </c>
      <c r="J261" t="s">
        <v>156</v>
      </c>
      <c r="K261" t="s">
        <v>4645</v>
      </c>
      <c r="L261" t="s">
        <v>4646</v>
      </c>
      <c r="M261" t="s">
        <v>4647</v>
      </c>
      <c r="N261" t="s">
        <v>4648</v>
      </c>
      <c r="O261" t="s">
        <v>4649</v>
      </c>
      <c r="P261" t="s">
        <v>179</v>
      </c>
      <c r="Q261" t="s">
        <v>247</v>
      </c>
      <c r="R261" t="b">
        <v>0</v>
      </c>
      <c r="S261" t="s">
        <v>4686</v>
      </c>
    </row>
    <row r="262" spans="1:19" ht="11.25" customHeight="1" x14ac:dyDescent="0.15">
      <c r="A262">
        <v>2655</v>
      </c>
      <c r="B262" t="s">
        <v>114</v>
      </c>
      <c r="C262">
        <v>26519663</v>
      </c>
      <c r="D262" t="s">
        <v>4650</v>
      </c>
      <c r="E262" t="s">
        <v>4651</v>
      </c>
      <c r="F262" t="s">
        <v>4652</v>
      </c>
      <c r="G262" t="s">
        <v>3542</v>
      </c>
      <c r="H262" t="s">
        <v>4653</v>
      </c>
      <c r="I262" t="s">
        <v>4654</v>
      </c>
      <c r="J262" t="s">
        <v>3426</v>
      </c>
      <c r="K262" t="s">
        <v>4655</v>
      </c>
      <c r="L262" t="s">
        <v>4655</v>
      </c>
      <c r="M262" t="s">
        <v>4656</v>
      </c>
      <c r="N262" t="s">
        <v>4657</v>
      </c>
      <c r="O262" t="s">
        <v>4658</v>
      </c>
      <c r="P262" t="s">
        <v>3397</v>
      </c>
      <c r="Q262" t="s">
        <v>4659</v>
      </c>
      <c r="R262" t="b">
        <v>0</v>
      </c>
      <c r="S262" t="s">
        <v>4686</v>
      </c>
    </row>
    <row r="263" spans="1:19" ht="11.25" customHeight="1" x14ac:dyDescent="0.15">
      <c r="A263">
        <v>2655</v>
      </c>
      <c r="B263" t="s">
        <v>114</v>
      </c>
      <c r="C263">
        <v>28977129</v>
      </c>
      <c r="D263" t="s">
        <v>4667</v>
      </c>
      <c r="E263" t="s">
        <v>4668</v>
      </c>
      <c r="F263" t="s">
        <v>3853</v>
      </c>
      <c r="G263" t="s">
        <v>4669</v>
      </c>
      <c r="H263" t="s">
        <v>3855</v>
      </c>
      <c r="I263" t="s">
        <v>3870</v>
      </c>
      <c r="J263" t="s">
        <v>3857</v>
      </c>
      <c r="K263" t="s">
        <v>4670</v>
      </c>
      <c r="L263" t="s">
        <v>4671</v>
      </c>
      <c r="M263" t="s">
        <v>4672</v>
      </c>
      <c r="N263" t="s">
        <v>247</v>
      </c>
      <c r="O263" t="s">
        <v>4673</v>
      </c>
      <c r="P263" t="s">
        <v>3488</v>
      </c>
      <c r="Q263" t="s">
        <v>247</v>
      </c>
      <c r="R263" t="b">
        <v>0</v>
      </c>
      <c r="S263" t="s">
        <v>4686</v>
      </c>
    </row>
    <row r="264" spans="1:19" ht="11.25" customHeight="1" x14ac:dyDescent="0.15">
      <c r="A264">
        <v>2655</v>
      </c>
      <c r="B264" t="s">
        <v>114</v>
      </c>
      <c r="C264">
        <v>30914574</v>
      </c>
      <c r="D264" t="s">
        <v>4674</v>
      </c>
      <c r="E264" t="s">
        <v>4675</v>
      </c>
      <c r="F264" t="s">
        <v>4676</v>
      </c>
      <c r="G264" t="s">
        <v>4677</v>
      </c>
      <c r="H264" t="s">
        <v>4678</v>
      </c>
      <c r="I264" t="s">
        <v>4679</v>
      </c>
      <c r="J264" t="s">
        <v>4680</v>
      </c>
      <c r="K264" t="s">
        <v>247</v>
      </c>
      <c r="L264" t="s">
        <v>4681</v>
      </c>
      <c r="M264" t="s">
        <v>4682</v>
      </c>
      <c r="N264" t="s">
        <v>4683</v>
      </c>
      <c r="O264" t="s">
        <v>4684</v>
      </c>
      <c r="P264" t="s">
        <v>4685</v>
      </c>
      <c r="Q264" t="s">
        <v>247</v>
      </c>
      <c r="R264" t="b">
        <v>0</v>
      </c>
      <c r="S264" t="s">
        <v>4686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5CCF8-E357-8A8C-8E98-E639907F29F8}">
  <sheetPr>
    <tabColor theme="3" tint="0.59999389629810485"/>
    <pageSetUpPr fitToPage="1"/>
  </sheetPr>
  <dimension ref="A1:BE217"/>
  <sheetViews>
    <sheetView showGridLines="0" topLeftCell="AC196" workbookViewId="0">
      <selection activeCell="AE205" sqref="AE205"/>
    </sheetView>
  </sheetViews>
  <sheetFormatPr defaultColWidth="9.140625" defaultRowHeight="19.5" customHeight="1" x14ac:dyDescent="0.15"/>
  <cols>
    <col min="1" max="1" width="3.5703125" style="1150" hidden="1" customWidth="1"/>
    <col min="2" max="2" width="8.5703125" style="773" hidden="1" customWidth="1"/>
    <col min="3" max="4" width="3.5703125" style="1150" hidden="1" customWidth="1"/>
    <col min="5" max="5" width="8.42578125" style="772" hidden="1" customWidth="1"/>
    <col min="6" max="6" width="3.5703125" style="804" hidden="1" customWidth="1"/>
    <col min="7" max="7" width="8.140625" style="1150" hidden="1" customWidth="1"/>
    <col min="8" max="13" width="3.5703125" style="1150" hidden="1" customWidth="1"/>
    <col min="14" max="14" width="6.42578125" style="1150" hidden="1" customWidth="1"/>
    <col min="15" max="18" width="3.5703125" style="1150" hidden="1" customWidth="1"/>
    <col min="19" max="19" width="25.28515625" style="1048" hidden="1" customWidth="1"/>
    <col min="20" max="20" width="12.5703125" style="1049" hidden="1" customWidth="1"/>
    <col min="21" max="22" width="3.5703125" style="1150" hidden="1" customWidth="1"/>
    <col min="23" max="23" width="7.85546875" style="1150" hidden="1" customWidth="1"/>
    <col min="24" max="24" width="7.7109375" style="1150" hidden="1" customWidth="1"/>
    <col min="25" max="25" width="6.28515625" style="1150" hidden="1" customWidth="1"/>
    <col min="26" max="26" width="7" style="1150" hidden="1" customWidth="1"/>
    <col min="27" max="27" width="3" style="691" customWidth="1"/>
    <col min="28" max="28" width="12.140625" style="804" customWidth="1"/>
    <col min="29" max="29" width="18.140625" style="804" customWidth="1"/>
    <col min="30" max="30" width="57" style="804" customWidth="1"/>
    <col min="31" max="31" width="48.140625" style="804" customWidth="1"/>
    <col min="32" max="32" width="3" style="356" customWidth="1"/>
    <col min="33" max="33" width="59.42578125" style="1153" hidden="1" customWidth="1"/>
    <col min="34" max="36" width="16.7109375" style="1153" hidden="1" customWidth="1"/>
    <col min="37" max="37" width="8.42578125" style="1153" hidden="1" customWidth="1"/>
    <col min="38" max="38" width="10.28515625" style="1153" hidden="1" customWidth="1"/>
    <col min="39" max="40" width="9.140625" style="1153" hidden="1"/>
    <col min="41" max="57" width="9.140625" style="1050" hidden="1"/>
  </cols>
  <sheetData>
    <row r="1" spans="1:57" s="1150" customFormat="1" ht="12" hidden="1" customHeight="1" x14ac:dyDescent="0.15">
      <c r="B1" s="659"/>
      <c r="E1" s="659"/>
      <c r="F1" s="161"/>
      <c r="N1" s="690" t="s">
        <v>83</v>
      </c>
      <c r="S1" s="1038" t="s">
        <v>84</v>
      </c>
      <c r="T1" s="1038" t="s">
        <v>85</v>
      </c>
      <c r="W1" s="690" t="s">
        <v>86</v>
      </c>
      <c r="X1" s="679" t="s">
        <v>87</v>
      </c>
      <c r="Y1" s="679" t="s">
        <v>88</v>
      </c>
      <c r="Z1" s="690" t="s">
        <v>89</v>
      </c>
      <c r="AA1" s="690" t="s">
        <v>90</v>
      </c>
      <c r="AD1" s="679" t="s">
        <v>91</v>
      </c>
      <c r="AE1" s="679" t="s">
        <v>92</v>
      </c>
      <c r="AF1" s="690" t="s">
        <v>93</v>
      </c>
      <c r="AO1" s="1039" t="s">
        <v>94</v>
      </c>
      <c r="AP1" s="1039" t="s">
        <v>95</v>
      </c>
      <c r="AQ1" s="1039" t="s">
        <v>96</v>
      </c>
      <c r="AR1" s="1039" t="s">
        <v>97</v>
      </c>
      <c r="AS1" s="1039" t="s">
        <v>98</v>
      </c>
      <c r="AT1" s="1039" t="s">
        <v>99</v>
      </c>
      <c r="AU1" s="1039" t="s">
        <v>100</v>
      </c>
      <c r="AV1" s="1039" t="s">
        <v>101</v>
      </c>
      <c r="AW1" s="1039" t="s">
        <v>102</v>
      </c>
      <c r="AX1" s="1039" t="s">
        <v>103</v>
      </c>
      <c r="AY1" s="1039" t="s">
        <v>104</v>
      </c>
      <c r="AZ1" s="1039" t="s">
        <v>105</v>
      </c>
      <c r="BA1" s="1039" t="s">
        <v>106</v>
      </c>
      <c r="BB1" s="1039" t="s">
        <v>107</v>
      </c>
      <c r="BC1" s="1039" t="s">
        <v>108</v>
      </c>
      <c r="BD1" s="1039" t="s">
        <v>109</v>
      </c>
      <c r="BE1" s="1039" t="s">
        <v>110</v>
      </c>
    </row>
    <row r="2" spans="1:57" s="773" customFormat="1" ht="12" hidden="1" customHeight="1" x14ac:dyDescent="0.15">
      <c r="B2" s="759" t="s">
        <v>15</v>
      </c>
      <c r="F2" s="776"/>
      <c r="S2" s="1040"/>
      <c r="T2" s="1040"/>
      <c r="Z2" s="126"/>
      <c r="AO2" s="1041"/>
      <c r="AP2" s="1041"/>
      <c r="AQ2" s="1041"/>
      <c r="AR2" s="1041"/>
      <c r="AS2" s="1041"/>
      <c r="AT2" s="1041"/>
      <c r="AU2" s="1041"/>
      <c r="AV2" s="1041"/>
      <c r="AW2" s="1041"/>
      <c r="AX2" s="1041"/>
      <c r="AY2" s="1041"/>
      <c r="AZ2" s="1041"/>
      <c r="BA2" s="1041"/>
      <c r="BB2" s="1041"/>
      <c r="BC2" s="1041"/>
      <c r="BD2" s="1041"/>
      <c r="BE2" s="1041"/>
    </row>
    <row r="3" spans="1:57" s="1150" customFormat="1" ht="12" hidden="1" customHeight="1" x14ac:dyDescent="0.15">
      <c r="B3" s="659"/>
      <c r="E3" s="659"/>
      <c r="F3" s="161"/>
      <c r="S3" s="1038"/>
      <c r="T3" s="1038"/>
      <c r="AO3" s="1039"/>
      <c r="AP3" s="1039"/>
      <c r="AQ3" s="1039"/>
      <c r="AR3" s="1039"/>
      <c r="AS3" s="1039"/>
      <c r="AT3" s="1039"/>
      <c r="AU3" s="1039"/>
      <c r="AV3" s="1039"/>
      <c r="AW3" s="1039"/>
      <c r="AX3" s="1039"/>
      <c r="AY3" s="1039"/>
      <c r="AZ3" s="1039"/>
      <c r="BA3" s="1039"/>
      <c r="BB3" s="1039"/>
      <c r="BC3" s="1039"/>
      <c r="BD3" s="1039"/>
      <c r="BE3" s="1039"/>
    </row>
    <row r="4" spans="1:57" s="1150" customFormat="1" ht="12" hidden="1" customHeight="1" x14ac:dyDescent="0.15">
      <c r="B4" s="659"/>
      <c r="E4" s="659"/>
      <c r="F4" s="161"/>
      <c r="S4" s="1038"/>
      <c r="T4" s="1038"/>
      <c r="AO4" s="1039"/>
      <c r="AP4" s="1039"/>
      <c r="AQ4" s="1039"/>
      <c r="AR4" s="1039"/>
      <c r="AS4" s="1039"/>
      <c r="AT4" s="1039"/>
      <c r="AU4" s="1039"/>
      <c r="AV4" s="1039"/>
      <c r="AW4" s="1039"/>
      <c r="AX4" s="1039"/>
      <c r="AY4" s="1039"/>
      <c r="AZ4" s="1039"/>
      <c r="BA4" s="1039"/>
      <c r="BB4" s="1039"/>
      <c r="BC4" s="1039"/>
      <c r="BD4" s="1039"/>
      <c r="BE4" s="1039"/>
    </row>
    <row r="5" spans="1:57" s="772" customFormat="1" ht="12" hidden="1" customHeight="1" x14ac:dyDescent="0.15">
      <c r="A5" s="659"/>
      <c r="B5" s="659"/>
      <c r="C5" s="659"/>
      <c r="D5" s="659"/>
      <c r="E5" s="668" t="s">
        <v>16</v>
      </c>
      <c r="F5" s="777"/>
      <c r="S5" s="1040"/>
      <c r="T5" s="1040"/>
      <c r="Z5" s="760"/>
      <c r="AA5" s="668">
        <v>3</v>
      </c>
      <c r="AB5" s="668">
        <v>12.13</v>
      </c>
      <c r="AC5" s="668">
        <v>18.13</v>
      </c>
      <c r="AD5" s="668">
        <v>57</v>
      </c>
      <c r="AE5" s="668">
        <v>48.13</v>
      </c>
      <c r="AF5" s="668">
        <v>3</v>
      </c>
      <c r="AO5" s="1041"/>
      <c r="AP5" s="1041"/>
      <c r="AQ5" s="1041"/>
      <c r="AR5" s="1041"/>
      <c r="AS5" s="1041"/>
      <c r="AT5" s="1041"/>
      <c r="AU5" s="1041"/>
      <c r="AV5" s="1041"/>
      <c r="AW5" s="1041"/>
      <c r="AX5" s="1041"/>
      <c r="AY5" s="1041"/>
      <c r="AZ5" s="1041"/>
      <c r="BA5" s="1041"/>
      <c r="BB5" s="1041"/>
      <c r="BC5" s="1041"/>
      <c r="BD5" s="1041"/>
      <c r="BE5" s="1041"/>
    </row>
    <row r="6" spans="1:57" s="1150" customFormat="1" ht="12" hidden="1" customHeight="1" x14ac:dyDescent="0.15">
      <c r="B6" s="659"/>
      <c r="E6" s="668"/>
      <c r="F6" s="161"/>
      <c r="S6" s="1038"/>
      <c r="T6" s="1038"/>
      <c r="AO6" s="1039"/>
      <c r="AP6" s="1039"/>
      <c r="AQ6" s="1039"/>
      <c r="AR6" s="1039"/>
      <c r="AS6" s="1039"/>
      <c r="AT6" s="1039"/>
      <c r="AU6" s="1039"/>
      <c r="AV6" s="1039"/>
      <c r="AW6" s="1039"/>
      <c r="AX6" s="1039"/>
      <c r="AY6" s="1039"/>
      <c r="AZ6" s="1039"/>
      <c r="BA6" s="1039"/>
      <c r="BB6" s="1039"/>
      <c r="BC6" s="1039"/>
      <c r="BD6" s="1039"/>
      <c r="BE6" s="1039"/>
    </row>
    <row r="7" spans="1:57" s="804" customFormat="1" ht="12" hidden="1" customHeight="1" x14ac:dyDescent="0.15">
      <c r="A7" s="126"/>
      <c r="B7" s="659"/>
      <c r="C7" s="126"/>
      <c r="D7" s="126"/>
      <c r="E7" s="668"/>
      <c r="S7" s="1038"/>
      <c r="T7" s="1038"/>
      <c r="AO7" s="1039"/>
      <c r="AP7" s="1039"/>
      <c r="AQ7" s="1039"/>
      <c r="AR7" s="1039"/>
      <c r="AS7" s="1039"/>
      <c r="AT7" s="1039"/>
      <c r="AU7" s="1039"/>
      <c r="AV7" s="1039"/>
      <c r="AW7" s="1039"/>
      <c r="AX7" s="1039"/>
      <c r="AY7" s="1039"/>
      <c r="AZ7" s="1039"/>
      <c r="BA7" s="1039"/>
      <c r="BB7" s="1039"/>
      <c r="BC7" s="1039"/>
      <c r="BD7" s="1039"/>
      <c r="BE7" s="1039"/>
    </row>
    <row r="8" spans="1:57" s="804" customFormat="1" ht="12" hidden="1" customHeight="1" x14ac:dyDescent="0.15">
      <c r="A8" s="126"/>
      <c r="B8" s="659"/>
      <c r="C8" s="126"/>
      <c r="D8" s="126"/>
      <c r="E8" s="668"/>
      <c r="S8" s="1038"/>
      <c r="T8" s="1038"/>
      <c r="AO8" s="1039"/>
      <c r="AP8" s="1039"/>
      <c r="AQ8" s="1039"/>
      <c r="AR8" s="1039"/>
      <c r="AS8" s="1039"/>
      <c r="AT8" s="1039"/>
      <c r="AU8" s="1039"/>
      <c r="AV8" s="1039"/>
      <c r="AW8" s="1039"/>
      <c r="AX8" s="1039"/>
      <c r="AY8" s="1039"/>
      <c r="AZ8" s="1039"/>
      <c r="BA8" s="1039"/>
      <c r="BB8" s="1039"/>
      <c r="BC8" s="1039"/>
      <c r="BD8" s="1039"/>
      <c r="BE8" s="1039"/>
    </row>
    <row r="9" spans="1:57" s="1150" customFormat="1" ht="12" hidden="1" customHeight="1" x14ac:dyDescent="0.15">
      <c r="B9" s="659"/>
      <c r="E9" s="668"/>
      <c r="F9" s="161"/>
      <c r="S9" s="1038"/>
      <c r="T9" s="1038"/>
      <c r="AO9" s="1039"/>
      <c r="AP9" s="1039"/>
      <c r="AQ9" s="1039"/>
      <c r="AR9" s="1039"/>
      <c r="AS9" s="1039"/>
      <c r="AT9" s="1039"/>
      <c r="AU9" s="1039"/>
      <c r="AV9" s="1039"/>
      <c r="AW9" s="1039"/>
      <c r="AX9" s="1039"/>
      <c r="AY9" s="1039"/>
      <c r="AZ9" s="1039"/>
      <c r="BA9" s="1039"/>
      <c r="BB9" s="1039"/>
      <c r="BC9" s="1039"/>
      <c r="BD9" s="1039"/>
      <c r="BE9" s="1039"/>
    </row>
    <row r="10" spans="1:57" s="1150" customFormat="1" ht="12" hidden="1" customHeight="1" x14ac:dyDescent="0.15">
      <c r="B10" s="659"/>
      <c r="E10" s="668"/>
      <c r="F10" s="161"/>
      <c r="S10" s="1038"/>
      <c r="T10" s="1038"/>
      <c r="AO10" s="1039"/>
      <c r="AP10" s="1039"/>
      <c r="AQ10" s="1039"/>
      <c r="AR10" s="1039"/>
      <c r="AS10" s="1039"/>
      <c r="AT10" s="1039"/>
      <c r="AU10" s="1039"/>
      <c r="AV10" s="1039"/>
      <c r="AW10" s="1039"/>
      <c r="AX10" s="1039"/>
      <c r="AY10" s="1039"/>
      <c r="AZ10" s="1039"/>
      <c r="BA10" s="1039"/>
      <c r="BB10" s="1039"/>
      <c r="BC10" s="1039"/>
      <c r="BD10" s="1039"/>
      <c r="BE10" s="1039"/>
    </row>
    <row r="11" spans="1:57" s="1150" customFormat="1" ht="12" hidden="1" customHeight="1" x14ac:dyDescent="0.15">
      <c r="B11" s="659"/>
      <c r="E11" s="668"/>
      <c r="F11" s="161"/>
      <c r="S11" s="1038"/>
      <c r="T11" s="1038"/>
      <c r="AO11" s="1039"/>
      <c r="AP11" s="1039"/>
      <c r="AQ11" s="1039"/>
      <c r="AR11" s="1039"/>
      <c r="AS11" s="1039"/>
      <c r="AT11" s="1039"/>
      <c r="AU11" s="1039"/>
      <c r="AV11" s="1039"/>
      <c r="AW11" s="1039"/>
      <c r="AX11" s="1039"/>
      <c r="AY11" s="1039"/>
      <c r="AZ11" s="1039"/>
      <c r="BA11" s="1039"/>
      <c r="BB11" s="1039"/>
      <c r="BC11" s="1039"/>
      <c r="BD11" s="1039"/>
      <c r="BE11" s="1039"/>
    </row>
    <row r="12" spans="1:57" s="1150" customFormat="1" ht="12" hidden="1" customHeight="1" x14ac:dyDescent="0.15">
      <c r="B12" s="659"/>
      <c r="E12" s="668"/>
      <c r="F12" s="161"/>
      <c r="S12" s="1038"/>
      <c r="T12" s="1038"/>
      <c r="AO12" s="1039"/>
      <c r="AP12" s="1039"/>
      <c r="AQ12" s="1039"/>
      <c r="AR12" s="1039"/>
      <c r="AS12" s="1039"/>
      <c r="AT12" s="1039"/>
      <c r="AU12" s="1039"/>
      <c r="AV12" s="1039"/>
      <c r="AW12" s="1039"/>
      <c r="AX12" s="1039"/>
      <c r="AY12" s="1039"/>
      <c r="AZ12" s="1039"/>
      <c r="BA12" s="1039"/>
      <c r="BB12" s="1039"/>
      <c r="BC12" s="1039"/>
      <c r="BD12" s="1039"/>
      <c r="BE12" s="1039"/>
    </row>
    <row r="13" spans="1:57" s="1150" customFormat="1" ht="12" hidden="1" customHeight="1" x14ac:dyDescent="0.15">
      <c r="B13" s="659"/>
      <c r="E13" s="668"/>
      <c r="F13" s="161"/>
      <c r="S13" s="1038"/>
      <c r="T13" s="1038"/>
      <c r="AO13" s="1039"/>
      <c r="AP13" s="1039"/>
      <c r="AQ13" s="1039"/>
      <c r="AR13" s="1039"/>
      <c r="AS13" s="1039"/>
      <c r="AT13" s="1039"/>
      <c r="AU13" s="1039"/>
      <c r="AV13" s="1039"/>
      <c r="AW13" s="1039"/>
      <c r="AX13" s="1039"/>
      <c r="AY13" s="1039"/>
      <c r="AZ13" s="1039"/>
      <c r="BA13" s="1039"/>
      <c r="BB13" s="1039"/>
      <c r="BC13" s="1039"/>
      <c r="BD13" s="1039"/>
      <c r="BE13" s="1039"/>
    </row>
    <row r="14" spans="1:57" s="1150" customFormat="1" ht="12" hidden="1" customHeight="1" x14ac:dyDescent="0.15">
      <c r="B14" s="659"/>
      <c r="E14" s="668"/>
      <c r="F14" s="161"/>
      <c r="S14" s="1038"/>
      <c r="T14" s="1038"/>
      <c r="AO14" s="1039"/>
      <c r="AP14" s="1039"/>
      <c r="AQ14" s="1039"/>
      <c r="AR14" s="1039"/>
      <c r="AS14" s="1039"/>
      <c r="AT14" s="1039"/>
      <c r="AU14" s="1039"/>
      <c r="AV14" s="1039"/>
      <c r="AW14" s="1039"/>
      <c r="AX14" s="1039"/>
      <c r="AY14" s="1039"/>
      <c r="AZ14" s="1039"/>
      <c r="BA14" s="1039"/>
      <c r="BB14" s="1039"/>
      <c r="BC14" s="1039"/>
      <c r="BD14" s="1039"/>
      <c r="BE14" s="1039"/>
    </row>
    <row r="15" spans="1:57" s="1150" customFormat="1" ht="12" hidden="1" customHeight="1" x14ac:dyDescent="0.15">
      <c r="B15" s="659"/>
      <c r="E15" s="668"/>
      <c r="F15" s="161"/>
      <c r="S15" s="1038"/>
      <c r="T15" s="1038"/>
      <c r="AO15" s="1039"/>
      <c r="AP15" s="1039"/>
      <c r="AQ15" s="1039"/>
      <c r="AR15" s="1039"/>
      <c r="AS15" s="1039"/>
      <c r="AT15" s="1039"/>
      <c r="AU15" s="1039"/>
      <c r="AV15" s="1039"/>
      <c r="AW15" s="1039"/>
      <c r="AX15" s="1039"/>
      <c r="AY15" s="1039"/>
      <c r="AZ15" s="1039"/>
      <c r="BA15" s="1039"/>
      <c r="BB15" s="1039"/>
      <c r="BC15" s="1039"/>
      <c r="BD15" s="1039"/>
      <c r="BE15" s="1039"/>
    </row>
    <row r="16" spans="1:57" s="1150" customFormat="1" ht="12" hidden="1" customHeight="1" x14ac:dyDescent="0.15">
      <c r="B16" s="659"/>
      <c r="E16" s="668"/>
      <c r="F16" s="161"/>
      <c r="S16" s="1038"/>
      <c r="T16" s="1038"/>
      <c r="AO16" s="1039"/>
      <c r="AP16" s="1039"/>
      <c r="AQ16" s="1039"/>
      <c r="AR16" s="1039"/>
      <c r="AS16" s="1039"/>
      <c r="AT16" s="1039"/>
      <c r="AU16" s="1039"/>
      <c r="AV16" s="1039"/>
      <c r="AW16" s="1039"/>
      <c r="AX16" s="1039"/>
      <c r="AY16" s="1039"/>
      <c r="AZ16" s="1039"/>
      <c r="BA16" s="1039"/>
      <c r="BB16" s="1039"/>
      <c r="BC16" s="1039"/>
      <c r="BD16" s="1039"/>
      <c r="BE16" s="1039"/>
    </row>
    <row r="17" spans="1:57" s="1150" customFormat="1" ht="12" hidden="1" customHeight="1" x14ac:dyDescent="0.15">
      <c r="B17" s="659"/>
      <c r="E17" s="668"/>
      <c r="F17" s="161"/>
      <c r="S17" s="1038"/>
      <c r="T17" s="1038"/>
      <c r="AO17" s="1039"/>
      <c r="AP17" s="1039"/>
      <c r="AQ17" s="1039"/>
      <c r="AR17" s="1039"/>
      <c r="AS17" s="1039"/>
      <c r="AT17" s="1039"/>
      <c r="AU17" s="1039"/>
      <c r="AV17" s="1039"/>
      <c r="AW17" s="1039"/>
      <c r="AX17" s="1039"/>
      <c r="AY17" s="1039"/>
      <c r="AZ17" s="1039"/>
      <c r="BA17" s="1039"/>
      <c r="BB17" s="1039"/>
      <c r="BC17" s="1039"/>
      <c r="BD17" s="1039"/>
      <c r="BE17" s="1039"/>
    </row>
    <row r="18" spans="1:57" s="1150" customFormat="1" ht="12" hidden="1" customHeight="1" x14ac:dyDescent="0.15">
      <c r="B18" s="659"/>
      <c r="E18" s="668"/>
      <c r="F18" s="161"/>
      <c r="S18" s="1038"/>
      <c r="T18" s="1038"/>
      <c r="AO18" s="1039"/>
      <c r="AP18" s="1039"/>
      <c r="AQ18" s="1039"/>
      <c r="AR18" s="1039"/>
      <c r="AS18" s="1039"/>
      <c r="AT18" s="1039"/>
      <c r="AU18" s="1039"/>
      <c r="AV18" s="1039"/>
      <c r="AW18" s="1039"/>
      <c r="AX18" s="1039"/>
      <c r="AY18" s="1039"/>
      <c r="AZ18" s="1039"/>
      <c r="BA18" s="1039"/>
      <c r="BB18" s="1039"/>
      <c r="BC18" s="1039"/>
      <c r="BD18" s="1039"/>
      <c r="BE18" s="1039"/>
    </row>
    <row r="19" spans="1:57" s="1150" customFormat="1" ht="12" hidden="1" customHeight="1" x14ac:dyDescent="0.15">
      <c r="B19" s="659"/>
      <c r="E19" s="668"/>
      <c r="F19" s="161"/>
      <c r="S19" s="1038"/>
      <c r="T19" s="1038"/>
      <c r="AO19" s="1039"/>
      <c r="AP19" s="1039"/>
      <c r="AQ19" s="1039"/>
      <c r="AR19" s="1039"/>
      <c r="AS19" s="1039"/>
      <c r="AT19" s="1039"/>
      <c r="AU19" s="1039"/>
      <c r="AV19" s="1039"/>
      <c r="AW19" s="1039"/>
      <c r="AX19" s="1039"/>
      <c r="AY19" s="1039"/>
      <c r="AZ19" s="1039"/>
      <c r="BA19" s="1039"/>
      <c r="BB19" s="1039"/>
      <c r="BC19" s="1039"/>
      <c r="BD19" s="1039"/>
      <c r="BE19" s="1039"/>
    </row>
    <row r="20" spans="1:57" s="1150" customFormat="1" ht="12" hidden="1" customHeight="1" x14ac:dyDescent="0.15">
      <c r="B20" s="659"/>
      <c r="E20" s="668"/>
      <c r="F20" s="161"/>
      <c r="S20" s="1038"/>
      <c r="T20" s="1038"/>
      <c r="AO20" s="1039"/>
      <c r="AP20" s="1039"/>
      <c r="AQ20" s="1039"/>
      <c r="AR20" s="1039"/>
      <c r="AS20" s="1039"/>
      <c r="AT20" s="1039"/>
      <c r="AU20" s="1039"/>
      <c r="AV20" s="1039"/>
      <c r="AW20" s="1039"/>
      <c r="AX20" s="1039"/>
      <c r="AY20" s="1039"/>
      <c r="AZ20" s="1039"/>
      <c r="BA20" s="1039"/>
      <c r="BB20" s="1039"/>
      <c r="BC20" s="1039"/>
      <c r="BD20" s="1039"/>
      <c r="BE20" s="1039"/>
    </row>
    <row r="21" spans="1:57" s="804" customFormat="1" ht="11.1" customHeight="1" x14ac:dyDescent="0.15">
      <c r="A21" s="126"/>
      <c r="B21" s="659"/>
      <c r="C21" s="126"/>
      <c r="D21" s="126"/>
      <c r="E21" s="668">
        <v>11.4</v>
      </c>
      <c r="G21" s="126"/>
      <c r="H21" s="126"/>
      <c r="I21" s="126"/>
      <c r="J21" s="126"/>
      <c r="K21" s="126"/>
      <c r="L21" s="126"/>
      <c r="M21" s="126"/>
      <c r="N21" s="126"/>
      <c r="O21" s="126"/>
      <c r="P21" s="126"/>
      <c r="Q21" s="126"/>
      <c r="R21" s="126"/>
      <c r="S21" s="1038"/>
      <c r="T21" s="1038"/>
      <c r="U21" s="126"/>
      <c r="V21" s="126"/>
      <c r="W21" s="126"/>
      <c r="X21" s="126"/>
      <c r="Y21" s="126"/>
      <c r="Z21" s="126"/>
      <c r="AA21" s="691"/>
      <c r="AO21" s="1039"/>
      <c r="AP21" s="1039"/>
      <c r="AQ21" s="1039"/>
      <c r="AR21" s="1039"/>
      <c r="AS21" s="1039"/>
      <c r="AT21" s="1039"/>
      <c r="AU21" s="1039"/>
      <c r="AV21" s="1039"/>
      <c r="AW21" s="1039"/>
      <c r="AX21" s="1039"/>
      <c r="AY21" s="1039"/>
      <c r="AZ21" s="1039"/>
      <c r="BA21" s="1039"/>
      <c r="BB21" s="1039"/>
      <c r="BC21" s="1039"/>
      <c r="BD21" s="1039"/>
      <c r="BE21" s="1039"/>
    </row>
    <row r="22" spans="1:57" ht="19.899999999999999" customHeight="1" x14ac:dyDescent="0.15">
      <c r="E22" s="668">
        <v>20.399999999999999</v>
      </c>
      <c r="S22" s="1042" t="s">
        <v>111</v>
      </c>
      <c r="T22" s="1043" t="s">
        <v>112</v>
      </c>
      <c r="AB22" s="1451" t="s">
        <v>113</v>
      </c>
      <c r="AC22" s="1452"/>
      <c r="AD22" s="1453"/>
      <c r="AE22" s="395" t="s">
        <v>114</v>
      </c>
      <c r="AF22" s="355" t="str">
        <f>IFERROR(INDEX(TEHSHEET!B1:B86,MATCH(region_name,REGION,0)),"")</f>
        <v>RU42</v>
      </c>
      <c r="AO22" s="1044"/>
      <c r="AP22" s="1044" t="s">
        <v>115</v>
      </c>
      <c r="AQ22" s="1044"/>
      <c r="AR22" s="1044"/>
      <c r="AS22" s="1044"/>
      <c r="AT22" s="1044"/>
      <c r="AU22" s="1044"/>
      <c r="AV22" s="1044"/>
      <c r="AW22" s="1044"/>
      <c r="AX22" s="1044"/>
      <c r="AY22" s="1044"/>
      <c r="AZ22" s="1044"/>
      <c r="BA22" s="1044"/>
      <c r="BB22" s="1044"/>
      <c r="BC22" s="1044"/>
      <c r="BD22" s="1044"/>
      <c r="BE22" s="1044"/>
    </row>
    <row r="23" spans="1:57" ht="18.399999999999999" customHeight="1" x14ac:dyDescent="0.15">
      <c r="E23" s="668">
        <v>18.8</v>
      </c>
      <c r="S23" s="1042" t="s">
        <v>111</v>
      </c>
      <c r="T23" s="1043" t="s">
        <v>112</v>
      </c>
      <c r="AB23" s="128"/>
      <c r="AC23" s="129"/>
      <c r="AD23" s="622" t="s">
        <v>116</v>
      </c>
      <c r="AE23" s="415" t="s">
        <v>117</v>
      </c>
      <c r="AF23" s="355"/>
      <c r="AH23" s="10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63"/>
      <c r="AO23" s="1044"/>
      <c r="AP23" s="1044"/>
      <c r="AQ23" s="1044" t="s">
        <v>118</v>
      </c>
      <c r="AR23" s="1044"/>
      <c r="AS23" s="1044"/>
      <c r="AT23" s="1044"/>
      <c r="AU23" s="1044"/>
      <c r="AV23" s="1044"/>
      <c r="AW23" s="1044"/>
      <c r="AX23" s="1044"/>
      <c r="AY23" s="1044"/>
      <c r="AZ23" s="1044"/>
      <c r="BA23" s="1044"/>
      <c r="BB23" s="1044"/>
      <c r="BC23" s="1044"/>
      <c r="BD23" s="1044"/>
      <c r="BE23" s="1044"/>
    </row>
    <row r="24" spans="1:57" ht="19.899999999999999" customHeight="1" x14ac:dyDescent="0.15">
      <c r="E24" s="668">
        <v>20.399999999999999</v>
      </c>
      <c r="S24" s="1042" t="s">
        <v>119</v>
      </c>
      <c r="T24" s="1043" t="s">
        <v>120</v>
      </c>
      <c r="AB24" s="1451" t="s">
        <v>121</v>
      </c>
      <c r="AC24" s="1452"/>
      <c r="AD24" s="1453"/>
      <c r="AE24" s="1121">
        <v>2026</v>
      </c>
      <c r="AF24" s="357"/>
      <c r="AL24" s="1463"/>
      <c r="AO24" s="1044"/>
      <c r="AP24" s="1044"/>
      <c r="AQ24" s="1044"/>
      <c r="AR24" s="1044"/>
      <c r="AS24" s="1044" t="s">
        <v>122</v>
      </c>
      <c r="AT24" s="1044"/>
      <c r="AU24" s="1044"/>
      <c r="AV24" s="1044"/>
      <c r="AW24" s="1044"/>
      <c r="AX24" s="1044"/>
      <c r="AY24" s="1044"/>
      <c r="AZ24" s="1044"/>
      <c r="BA24" s="1044"/>
      <c r="BB24" s="1044"/>
      <c r="BC24" s="1044"/>
      <c r="BD24" s="1044"/>
      <c r="BE24" s="1044"/>
    </row>
    <row r="25" spans="1:57" ht="19.899999999999999" customHeight="1" x14ac:dyDescent="0.15">
      <c r="B25" s="759" t="b">
        <f>method_reg&lt;&gt;"Метод экономически обоснованных расходов"</f>
        <v>1</v>
      </c>
      <c r="E25" s="668">
        <v>20.399999999999999</v>
      </c>
      <c r="S25" s="1042" t="s">
        <v>119</v>
      </c>
      <c r="T25" s="1043" t="s">
        <v>120</v>
      </c>
      <c r="AB25" s="1451" t="s">
        <v>123</v>
      </c>
      <c r="AC25" s="1452"/>
      <c r="AD25" s="1453"/>
      <c r="AE25" s="1121">
        <v>2024</v>
      </c>
      <c r="AF25" s="358">
        <f>first_year+PERIOD_LENGTH-1</f>
        <v>2028</v>
      </c>
      <c r="AG25" s="198" cm="1">
        <f t="array" ref="AG25">IF(CorrectionOnlyForRegPeriod="да",god,last_year)</f>
        <v>2026</v>
      </c>
      <c r="AL25" s="1463"/>
      <c r="AO25" s="1044"/>
      <c r="AP25" s="1044"/>
      <c r="AQ25" s="1044"/>
      <c r="AR25" s="1044"/>
      <c r="AS25" s="1044" t="s">
        <v>124</v>
      </c>
      <c r="AT25" s="1044"/>
      <c r="AU25" s="1044"/>
      <c r="AV25" s="1044"/>
      <c r="AW25" s="1044"/>
      <c r="AX25" s="1044"/>
      <c r="AY25" s="1044"/>
      <c r="AZ25" s="1044"/>
      <c r="BA25" s="1044"/>
      <c r="BB25" s="1044"/>
      <c r="BC25" s="1044"/>
      <c r="BD25" s="1044"/>
      <c r="BE25" s="1044"/>
    </row>
    <row r="26" spans="1:57" ht="19.899999999999999" customHeight="1" x14ac:dyDescent="0.15">
      <c r="B26" s="759" t="b">
        <f>method_reg&lt;&gt;"Метод экономически обоснованных расходов"</f>
        <v>1</v>
      </c>
      <c r="E26" s="668">
        <v>20.399999999999999</v>
      </c>
      <c r="S26" s="1042" t="s">
        <v>125</v>
      </c>
      <c r="T26" s="1043" t="s">
        <v>126</v>
      </c>
      <c r="AB26" s="1451" t="s">
        <v>127</v>
      </c>
      <c r="AC26" s="1452"/>
      <c r="AD26" s="1453"/>
      <c r="AE26" s="1121">
        <v>5</v>
      </c>
      <c r="AF26" s="357"/>
      <c r="AL26" s="1463"/>
      <c r="AO26" s="1044"/>
      <c r="AP26" s="1044"/>
      <c r="AQ26" s="1044"/>
      <c r="AR26" s="1044"/>
      <c r="AS26" s="1044" t="s">
        <v>128</v>
      </c>
      <c r="AT26" s="1044"/>
      <c r="AU26" s="1044"/>
      <c r="AV26" s="1044"/>
      <c r="AW26" s="1044"/>
      <c r="AX26" s="1044"/>
      <c r="AY26" s="1044"/>
      <c r="AZ26" s="1044"/>
      <c r="BA26" s="1044"/>
      <c r="BB26" s="1044"/>
      <c r="BC26" s="1044"/>
      <c r="BD26" s="1044"/>
      <c r="BE26" s="1044"/>
    </row>
    <row r="27" spans="1:57" ht="16.5" hidden="1" customHeight="1" x14ac:dyDescent="0.15">
      <c r="E27" s="668">
        <v>0</v>
      </c>
      <c r="AB27" s="1451" t="s">
        <v>129</v>
      </c>
      <c r="AC27" s="1452"/>
      <c r="AD27" s="1453"/>
      <c r="AE27" s="366">
        <f>IF(OR(PERIOD_LENGTH-god+first_year&lt;=0,PERIOD_LENGTH-god+first_year&gt;10),"",PERIOD_LENGTH-god+first_year)</f>
        <v>3</v>
      </c>
      <c r="AF27" s="357"/>
    </row>
    <row r="28" spans="1:57" ht="7.35" customHeight="1" x14ac:dyDescent="0.15">
      <c r="E28" s="668">
        <v>7.5</v>
      </c>
    </row>
    <row r="29" spans="1:57" ht="7.35" customHeight="1" x14ac:dyDescent="0.15">
      <c r="E29" s="668">
        <v>7.5</v>
      </c>
    </row>
    <row r="30" spans="1:57" ht="19.899999999999999" customHeight="1" x14ac:dyDescent="0.15">
      <c r="E30" s="668">
        <v>20.399999999999999</v>
      </c>
      <c r="AB30" s="1454" t="s">
        <v>130</v>
      </c>
      <c r="AC30" s="1454"/>
      <c r="AD30" s="1454"/>
      <c r="AE30" s="1454"/>
      <c r="AF30" s="359"/>
      <c r="AG30" s="138"/>
      <c r="AH30" s="138"/>
      <c r="AI30" s="138"/>
      <c r="AJ30" s="138"/>
      <c r="AK30" s="138"/>
      <c r="AL30" s="138"/>
    </row>
    <row r="31" spans="1:57" ht="19.899999999999999" customHeight="1" x14ac:dyDescent="0.15">
      <c r="E31" s="668">
        <v>20.399999999999999</v>
      </c>
      <c r="AB31" s="1455" t="s">
        <v>131</v>
      </c>
      <c r="AC31" s="1455"/>
      <c r="AD31" s="1455"/>
      <c r="AE31" s="1455"/>
      <c r="AF31" s="359"/>
      <c r="AG31" s="138"/>
      <c r="AH31" s="138"/>
      <c r="AI31" s="138"/>
      <c r="AJ31" s="138"/>
      <c r="AK31" s="138"/>
      <c r="AL31" s="138"/>
    </row>
    <row r="32" spans="1:57" ht="19.899999999999999" customHeight="1" x14ac:dyDescent="0.15">
      <c r="E32" s="668">
        <v>20.399999999999999</v>
      </c>
      <c r="AB32" s="1454" t="s">
        <v>132</v>
      </c>
      <c r="AC32" s="1454"/>
      <c r="AD32" s="1454"/>
      <c r="AE32" s="1454"/>
      <c r="AF32" s="359"/>
      <c r="AG32" s="138"/>
      <c r="AH32" s="138"/>
      <c r="AI32" s="138"/>
      <c r="AJ32" s="138"/>
      <c r="AK32" s="138"/>
      <c r="AL32" s="138"/>
    </row>
    <row r="33" spans="5:57" ht="19.899999999999999" customHeight="1" x14ac:dyDescent="0.15">
      <c r="E33" s="668">
        <v>20.399999999999999</v>
      </c>
      <c r="Z33" s="1150">
        <v>27968109</v>
      </c>
      <c r="AB33" s="1456" t="s">
        <v>133</v>
      </c>
      <c r="AC33" s="1457"/>
      <c r="AD33" s="1457"/>
      <c r="AE33" s="1457"/>
      <c r="AF33" s="360"/>
      <c r="AG33" s="138"/>
      <c r="AH33" s="138"/>
      <c r="AI33" s="138"/>
      <c r="AJ33" s="138"/>
      <c r="AK33" s="138"/>
      <c r="AL33" s="198" t="str">
        <f>IFERROR(region_name&amp;" / "&amp;god&amp;" / "&amp;org&amp;" (ИНН:"&amp;inn&amp;", КПП:"&amp;kpp&amp;IF(method_reg="Метод экономически обоснованных расходов",")",") / ДПР: "&amp;first_year&amp;"-"&amp;last_year),"")</f>
        <v>Кемеровская область / 2026 / ООО ХК "СДС - Энерго" (ИНН:4250003450, КПП:420501001) / ДПР: 2024-2028</v>
      </c>
    </row>
    <row r="34" spans="5:57" ht="30.75" customHeight="1" x14ac:dyDescent="0.15">
      <c r="E34" s="668">
        <v>31.5</v>
      </c>
      <c r="AB34" s="1458"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58"/>
      <c r="AD34" s="1458"/>
      <c r="AE34" s="1458"/>
      <c r="AF34" s="360"/>
      <c r="AG34" s="138"/>
      <c r="AH34" s="138"/>
      <c r="AI34" s="138"/>
      <c r="AJ34" s="138"/>
      <c r="AK34" s="138"/>
      <c r="AL34" s="138"/>
    </row>
    <row r="35" spans="5:57" ht="19.899999999999999" customHeight="1" x14ac:dyDescent="0.15">
      <c r="E35" s="668">
        <v>20.399999999999999</v>
      </c>
      <c r="AB35" s="145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59"/>
      <c r="AD35" s="1459"/>
      <c r="AE35" s="1459"/>
      <c r="AF35" s="361"/>
      <c r="AG35" s="138"/>
      <c r="AH35" s="138"/>
      <c r="AI35" s="138"/>
      <c r="AJ35" s="138"/>
      <c r="AK35" s="138"/>
      <c r="AL35" s="138"/>
    </row>
    <row r="36" spans="5:57" ht="11.1" customHeight="1" x14ac:dyDescent="0.15">
      <c r="E36" s="668">
        <v>11.3</v>
      </c>
      <c r="AB36" s="1460"/>
      <c r="AC36" s="1461"/>
      <c r="AD36" s="1461"/>
      <c r="AE36" s="1462"/>
      <c r="AF36" s="362"/>
      <c r="AG36" s="139"/>
      <c r="AH36" s="130"/>
      <c r="AI36" s="1449"/>
      <c r="AJ36" s="1449"/>
      <c r="AK36" s="130"/>
      <c r="AL36" s="139"/>
    </row>
    <row r="37" spans="5:57" ht="19.899999999999999" customHeight="1" x14ac:dyDescent="0.15">
      <c r="E37" s="668">
        <v>20.399999999999999</v>
      </c>
      <c r="AB37" s="1450" t="s">
        <v>134</v>
      </c>
      <c r="AC37" s="1450"/>
      <c r="AD37" s="1450"/>
      <c r="AE37" s="1450"/>
      <c r="AF37" s="363"/>
      <c r="AG37" s="127"/>
      <c r="AH37" s="127"/>
      <c r="AI37" s="127"/>
      <c r="AJ37" s="127"/>
      <c r="AK37" s="127"/>
      <c r="AL37" s="137"/>
    </row>
    <row r="38" spans="5:57" ht="24" customHeight="1" x14ac:dyDescent="0.15">
      <c r="E38" s="668">
        <v>24.6</v>
      </c>
      <c r="S38" s="1042" t="s">
        <v>111</v>
      </c>
      <c r="T38" s="1043" t="s">
        <v>112</v>
      </c>
      <c r="AB38" s="1431" t="s">
        <v>135</v>
      </c>
      <c r="AC38" s="1431"/>
      <c r="AD38" s="1431"/>
      <c r="AE38" s="910" t="s">
        <v>136</v>
      </c>
      <c r="AF38" s="364"/>
      <c r="AG38" s="137"/>
      <c r="AH38" s="137"/>
      <c r="AI38" s="137"/>
      <c r="AO38" s="1044"/>
      <c r="AP38" s="1044"/>
      <c r="AQ38" s="1044"/>
      <c r="AR38" s="1044"/>
      <c r="AS38" s="1044"/>
      <c r="AT38" s="1044" t="s">
        <v>137</v>
      </c>
      <c r="AU38" s="1044"/>
      <c r="AV38" s="1044"/>
      <c r="AW38" s="1044"/>
      <c r="AX38" s="1044"/>
      <c r="AY38" s="1044"/>
      <c r="AZ38" s="1044"/>
      <c r="BA38" s="1044"/>
      <c r="BB38" s="1044"/>
      <c r="BC38" s="1044"/>
      <c r="BD38" s="1044"/>
      <c r="BE38" s="1044"/>
    </row>
    <row r="39" spans="5:57" ht="24" customHeight="1" x14ac:dyDescent="0.15">
      <c r="E39" s="668">
        <v>24.6</v>
      </c>
      <c r="S39" s="1042" t="s">
        <v>111</v>
      </c>
      <c r="T39" s="1043" t="s">
        <v>112</v>
      </c>
      <c r="AB39" s="1431" t="s">
        <v>138</v>
      </c>
      <c r="AC39" s="1431"/>
      <c r="AD39" s="1431"/>
      <c r="AE39" s="910" t="s">
        <v>133</v>
      </c>
      <c r="AF39" s="364"/>
      <c r="AO39" s="1044"/>
      <c r="AP39" s="1044"/>
      <c r="AQ39" s="1044"/>
      <c r="AR39" s="1044"/>
      <c r="AS39" s="1044"/>
      <c r="AT39" s="1044" t="s">
        <v>139</v>
      </c>
      <c r="AU39" s="1044"/>
      <c r="AV39" s="1044"/>
      <c r="AW39" s="1044"/>
      <c r="AX39" s="1044"/>
      <c r="AY39" s="1044"/>
      <c r="AZ39" s="1044"/>
      <c r="BA39" s="1044"/>
      <c r="BB39" s="1044"/>
      <c r="BC39" s="1044"/>
      <c r="BD39" s="1044"/>
      <c r="BE39" s="1044"/>
    </row>
    <row r="40" spans="5:57" ht="19.899999999999999" customHeight="1" x14ac:dyDescent="0.15">
      <c r="E40" s="668">
        <v>20.399999999999999</v>
      </c>
      <c r="S40" s="1042" t="s">
        <v>111</v>
      </c>
      <c r="T40" s="1043" t="s">
        <v>112</v>
      </c>
      <c r="AB40" s="1431" t="s">
        <v>140</v>
      </c>
      <c r="AC40" s="1431"/>
      <c r="AD40" s="1431"/>
      <c r="AE40" s="1142"/>
      <c r="AF40" s="354"/>
      <c r="AO40" s="1044"/>
      <c r="AP40" s="1044"/>
      <c r="AQ40" s="1044"/>
      <c r="AR40" s="1044"/>
      <c r="AS40" s="1044"/>
      <c r="AT40" s="1044" t="s">
        <v>141</v>
      </c>
      <c r="AU40" s="1044"/>
      <c r="AV40" s="1044"/>
      <c r="AW40" s="1044"/>
      <c r="AX40" s="1044"/>
      <c r="AY40" s="1044"/>
      <c r="AZ40" s="1044"/>
      <c r="BA40" s="1044"/>
      <c r="BB40" s="1044"/>
      <c r="BC40" s="1044"/>
      <c r="BD40" s="1044"/>
      <c r="BE40" s="1044"/>
    </row>
    <row r="41" spans="5:57" ht="19.899999999999999" customHeight="1" x14ac:dyDescent="0.15">
      <c r="E41" s="668">
        <v>20.399999999999999</v>
      </c>
      <c r="S41" s="1042" t="s">
        <v>111</v>
      </c>
      <c r="T41" s="1043" t="s">
        <v>112</v>
      </c>
      <c r="AB41" s="1431" t="s">
        <v>142</v>
      </c>
      <c r="AC41" s="1431"/>
      <c r="AD41" s="1431"/>
      <c r="AE41" s="911" t="s">
        <v>143</v>
      </c>
      <c r="AF41" s="354"/>
      <c r="AO41" s="1044"/>
      <c r="AP41" s="1044"/>
      <c r="AQ41" s="1044"/>
      <c r="AR41" s="1044"/>
      <c r="AS41" s="1044"/>
      <c r="AT41" s="1044" t="s">
        <v>144</v>
      </c>
      <c r="AU41" s="1044"/>
      <c r="AV41" s="1044"/>
      <c r="AW41" s="1044"/>
      <c r="AX41" s="1044"/>
      <c r="AY41" s="1044"/>
      <c r="AZ41" s="1044"/>
      <c r="BA41" s="1044"/>
      <c r="BB41" s="1044"/>
      <c r="BC41" s="1044"/>
      <c r="BD41" s="1044"/>
      <c r="BE41" s="1044"/>
    </row>
    <row r="42" spans="5:57" ht="19.899999999999999" customHeight="1" x14ac:dyDescent="0.15">
      <c r="E42" s="668">
        <v>20.399999999999999</v>
      </c>
      <c r="S42" s="1042" t="s">
        <v>111</v>
      </c>
      <c r="T42" s="1043" t="s">
        <v>112</v>
      </c>
      <c r="AB42" s="1431" t="s">
        <v>145</v>
      </c>
      <c r="AC42" s="1431"/>
      <c r="AD42" s="1431"/>
      <c r="AE42" s="911" t="s">
        <v>146</v>
      </c>
      <c r="AF42" s="354"/>
      <c r="AO42" s="1044"/>
      <c r="AP42" s="1044"/>
      <c r="AQ42" s="1044"/>
      <c r="AR42" s="1044"/>
      <c r="AS42" s="1044"/>
      <c r="AT42" s="1044" t="s">
        <v>147</v>
      </c>
      <c r="AU42" s="1044"/>
      <c r="AV42" s="1044"/>
      <c r="AW42" s="1044"/>
      <c r="AX42" s="1044"/>
      <c r="AY42" s="1044"/>
      <c r="AZ42" s="1044"/>
      <c r="BA42" s="1044"/>
      <c r="BB42" s="1044"/>
      <c r="BC42" s="1044"/>
      <c r="BD42" s="1044"/>
      <c r="BE42" s="1044"/>
    </row>
    <row r="43" spans="5:57" ht="19.899999999999999" customHeight="1" x14ac:dyDescent="0.15">
      <c r="E43" s="668">
        <v>20.399999999999999</v>
      </c>
      <c r="S43" s="1042" t="s">
        <v>111</v>
      </c>
      <c r="T43" s="1043" t="s">
        <v>112</v>
      </c>
      <c r="AB43" s="1431" t="s">
        <v>148</v>
      </c>
      <c r="AC43" s="1431"/>
      <c r="AD43" s="1431"/>
      <c r="AE43" s="911" t="s">
        <v>149</v>
      </c>
      <c r="AF43" s="354"/>
      <c r="AO43" s="1044"/>
      <c r="AP43" s="1044"/>
      <c r="AQ43" s="1044"/>
      <c r="AR43" s="1044"/>
      <c r="AS43" s="1044"/>
      <c r="AT43" s="1044" t="s">
        <v>150</v>
      </c>
      <c r="AU43" s="1044"/>
      <c r="AV43" s="1044"/>
      <c r="AW43" s="1044"/>
      <c r="AX43" s="1044"/>
      <c r="AY43" s="1044"/>
      <c r="AZ43" s="1044"/>
      <c r="BA43" s="1044"/>
      <c r="BB43" s="1044"/>
      <c r="BC43" s="1044"/>
      <c r="BD43" s="1044"/>
      <c r="BE43" s="1044"/>
    </row>
    <row r="44" spans="5:57" ht="19.899999999999999" customHeight="1" x14ac:dyDescent="0.15">
      <c r="E44" s="668">
        <v>20.399999999999999</v>
      </c>
      <c r="S44" s="1042" t="s">
        <v>111</v>
      </c>
      <c r="T44" s="1043" t="s">
        <v>112</v>
      </c>
      <c r="AB44" s="1431" t="s">
        <v>151</v>
      </c>
      <c r="AC44" s="1431"/>
      <c r="AD44" s="1431"/>
      <c r="AE44" s="384" t="s">
        <v>152</v>
      </c>
      <c r="AF44" s="354"/>
      <c r="AG44" s="103" t="s">
        <v>153</v>
      </c>
      <c r="AO44" s="1044"/>
      <c r="AP44" s="1044"/>
      <c r="AQ44" s="1044"/>
      <c r="AR44" s="1044"/>
      <c r="AS44" s="1044"/>
      <c r="AT44" s="1044" t="s">
        <v>154</v>
      </c>
      <c r="AU44" s="1044"/>
      <c r="AV44" s="1044"/>
      <c r="AW44" s="1044"/>
      <c r="AX44" s="1044"/>
      <c r="AY44" s="1044"/>
      <c r="AZ44" s="1044"/>
      <c r="BA44" s="1044"/>
      <c r="BB44" s="1044"/>
      <c r="BC44" s="1044"/>
      <c r="BD44" s="1044"/>
      <c r="BE44" s="1044"/>
    </row>
    <row r="45" spans="5:57" ht="19.899999999999999" customHeight="1" x14ac:dyDescent="0.15">
      <c r="E45" s="668">
        <v>20.399999999999999</v>
      </c>
      <c r="S45" s="1042" t="s">
        <v>111</v>
      </c>
      <c r="T45" s="1043" t="s">
        <v>112</v>
      </c>
      <c r="AB45" s="1431" t="s">
        <v>155</v>
      </c>
      <c r="AC45" s="1431"/>
      <c r="AD45" s="1431"/>
      <c r="AE45" s="367" t="s">
        <v>156</v>
      </c>
      <c r="AF45" s="354"/>
      <c r="AG45" s="103" t="s">
        <v>157</v>
      </c>
      <c r="AO45" s="1044"/>
      <c r="AP45" s="1044"/>
      <c r="AQ45" s="1044"/>
      <c r="AR45" s="1044"/>
      <c r="AS45" s="1044"/>
      <c r="AT45" s="1044" t="s">
        <v>158</v>
      </c>
      <c r="AU45" s="1044"/>
      <c r="AV45" s="1044"/>
      <c r="AW45" s="1044"/>
      <c r="AX45" s="1044"/>
      <c r="AY45" s="1044"/>
      <c r="AZ45" s="1044"/>
      <c r="BA45" s="1044"/>
      <c r="BB45" s="1044"/>
      <c r="BC45" s="1044"/>
      <c r="BD45" s="1044"/>
      <c r="BE45" s="1044"/>
    </row>
    <row r="46" spans="5:57" ht="19.899999999999999" customHeight="1" x14ac:dyDescent="0.15">
      <c r="E46" s="668">
        <v>20.399999999999999</v>
      </c>
      <c r="S46" s="1042" t="s">
        <v>111</v>
      </c>
      <c r="T46" s="1043" t="s">
        <v>112</v>
      </c>
      <c r="AB46" s="1431" t="s">
        <v>159</v>
      </c>
      <c r="AC46" s="1431"/>
      <c r="AD46" s="1431"/>
      <c r="AE46" s="367" t="s">
        <v>160</v>
      </c>
      <c r="AF46" s="360"/>
      <c r="AG46" s="103" t="s">
        <v>161</v>
      </c>
      <c r="AO46" s="1044"/>
      <c r="AP46" s="1044"/>
      <c r="AQ46" s="1044"/>
      <c r="AR46" s="1044"/>
      <c r="AS46" s="1044"/>
      <c r="AT46" s="1044" t="s">
        <v>162</v>
      </c>
      <c r="AU46" s="1044"/>
      <c r="AV46" s="1044"/>
      <c r="AW46" s="1044"/>
      <c r="AX46" s="1044"/>
      <c r="AY46" s="1044"/>
      <c r="AZ46" s="1044"/>
      <c r="BA46" s="1044"/>
      <c r="BB46" s="1044"/>
      <c r="BC46" s="1044"/>
      <c r="BD46" s="1044"/>
      <c r="BE46" s="1044"/>
    </row>
    <row r="47" spans="5:57" ht="19.899999999999999" customHeight="1" x14ac:dyDescent="0.15">
      <c r="E47" s="668">
        <v>20.399999999999999</v>
      </c>
      <c r="S47" s="1042" t="s">
        <v>111</v>
      </c>
      <c r="T47" s="1043" t="s">
        <v>112</v>
      </c>
      <c r="AB47" s="1431" t="s">
        <v>163</v>
      </c>
      <c r="AC47" s="1431"/>
      <c r="AD47" s="1431"/>
      <c r="AE47" s="367" t="s">
        <v>160</v>
      </c>
      <c r="AF47" s="360"/>
      <c r="AG47" s="103" t="s">
        <v>164</v>
      </c>
      <c r="AO47" s="1044"/>
      <c r="AP47" s="1044"/>
      <c r="AQ47" s="1044"/>
      <c r="AR47" s="1044"/>
      <c r="AS47" s="1044"/>
      <c r="AT47" s="1044" t="s">
        <v>165</v>
      </c>
      <c r="AU47" s="1044"/>
      <c r="AV47" s="1044"/>
      <c r="AW47" s="1044"/>
      <c r="AX47" s="1044"/>
      <c r="AY47" s="1044"/>
      <c r="AZ47" s="1044"/>
      <c r="BA47" s="1044"/>
      <c r="BB47" s="1044"/>
      <c r="BC47" s="1044"/>
      <c r="BD47" s="1044"/>
      <c r="BE47" s="1044"/>
    </row>
    <row r="48" spans="5:57" ht="19.899999999999999" customHeight="1" x14ac:dyDescent="0.15">
      <c r="E48" s="668">
        <v>20.399999999999999</v>
      </c>
      <c r="S48" s="1042" t="s">
        <v>111</v>
      </c>
      <c r="T48" s="1043" t="s">
        <v>112</v>
      </c>
      <c r="AB48" s="1431" t="s">
        <v>166</v>
      </c>
      <c r="AC48" s="1431"/>
      <c r="AD48" s="1431"/>
      <c r="AE48" s="353" t="s">
        <v>167</v>
      </c>
      <c r="AF48" s="360"/>
      <c r="AG48" s="103" t="s">
        <v>168</v>
      </c>
      <c r="AO48" s="1044"/>
      <c r="AP48" s="1044"/>
      <c r="AQ48" s="1044"/>
      <c r="AR48" s="1044"/>
      <c r="AS48" s="1044"/>
      <c r="AT48" s="1044" t="s">
        <v>169</v>
      </c>
      <c r="AU48" s="1044"/>
      <c r="AV48" s="1044"/>
      <c r="AW48" s="1044"/>
      <c r="AX48" s="1044"/>
      <c r="AY48" s="1044"/>
      <c r="AZ48" s="1044"/>
      <c r="BA48" s="1044"/>
      <c r="BB48" s="1044"/>
      <c r="BC48" s="1044"/>
      <c r="BD48" s="1044"/>
      <c r="BE48" s="1044"/>
    </row>
    <row r="49" spans="2:57" ht="19.899999999999999" customHeight="1" x14ac:dyDescent="0.15">
      <c r="E49" s="668">
        <v>20.399999999999999</v>
      </c>
      <c r="S49" s="1042" t="s">
        <v>111</v>
      </c>
      <c r="T49" s="1043" t="s">
        <v>112</v>
      </c>
      <c r="AB49" s="1431" t="s">
        <v>170</v>
      </c>
      <c r="AC49" s="1431"/>
      <c r="AD49" s="1431"/>
      <c r="AE49" s="368" t="s">
        <v>171</v>
      </c>
      <c r="AF49" s="360"/>
      <c r="AG49" s="103" t="s">
        <v>172</v>
      </c>
      <c r="AO49" s="1044"/>
      <c r="AP49" s="1044"/>
      <c r="AQ49" s="1044"/>
      <c r="AR49" s="1044"/>
      <c r="AS49" s="1044"/>
      <c r="AT49" s="1044" t="s">
        <v>173</v>
      </c>
      <c r="AU49" s="1044"/>
      <c r="AV49" s="1044"/>
      <c r="AW49" s="1044"/>
      <c r="AX49" s="1044"/>
      <c r="AY49" s="1044"/>
      <c r="AZ49" s="1044"/>
      <c r="BA49" s="1044"/>
      <c r="BB49" s="1044"/>
      <c r="BC49" s="1044"/>
      <c r="BD49" s="1044"/>
      <c r="BE49" s="1044"/>
    </row>
    <row r="50" spans="2:57" ht="19.899999999999999" customHeight="1" x14ac:dyDescent="0.15">
      <c r="E50" s="668">
        <v>20.399999999999999</v>
      </c>
      <c r="S50" s="1042" t="s">
        <v>111</v>
      </c>
      <c r="T50" s="1043" t="s">
        <v>112</v>
      </c>
      <c r="AB50" s="1431" t="s">
        <v>174</v>
      </c>
      <c r="AC50" s="1431"/>
      <c r="AD50" s="1431"/>
      <c r="AE50" s="367" t="s">
        <v>175</v>
      </c>
      <c r="AF50" s="360"/>
      <c r="AG50" s="103" t="s">
        <v>176</v>
      </c>
      <c r="AO50" s="1044"/>
      <c r="AP50" s="1044"/>
      <c r="AQ50" s="1044"/>
      <c r="AR50" s="1044"/>
      <c r="AS50" s="1044"/>
      <c r="AT50" s="1044" t="s">
        <v>177</v>
      </c>
      <c r="AU50" s="1044"/>
      <c r="AV50" s="1044"/>
      <c r="AW50" s="1044"/>
      <c r="AX50" s="1044"/>
      <c r="AY50" s="1044"/>
      <c r="AZ50" s="1044"/>
      <c r="BA50" s="1044"/>
      <c r="BB50" s="1044"/>
      <c r="BC50" s="1044"/>
      <c r="BD50" s="1044"/>
      <c r="BE50" s="1044"/>
    </row>
    <row r="51" spans="2:57" ht="19.899999999999999" customHeight="1" x14ac:dyDescent="0.15">
      <c r="E51" s="668">
        <v>20.399999999999999</v>
      </c>
      <c r="S51" s="1042" t="s">
        <v>111</v>
      </c>
      <c r="T51" s="1043" t="s">
        <v>112</v>
      </c>
      <c r="AB51" s="1431" t="s">
        <v>178</v>
      </c>
      <c r="AC51" s="1431"/>
      <c r="AD51" s="1431"/>
      <c r="AE51" s="367" t="s">
        <v>179</v>
      </c>
      <c r="AF51" s="360"/>
      <c r="AG51" s="103" t="s">
        <v>180</v>
      </c>
      <c r="AO51" s="1044"/>
      <c r="AP51" s="1044"/>
      <c r="AQ51" s="1044"/>
      <c r="AR51" s="1044"/>
      <c r="AS51" s="1044"/>
      <c r="AT51" s="1044" t="s">
        <v>181</v>
      </c>
      <c r="AU51" s="1044"/>
      <c r="AV51" s="1044"/>
      <c r="AW51" s="1044"/>
      <c r="AX51" s="1044"/>
      <c r="AY51" s="1044"/>
      <c r="AZ51" s="1044"/>
      <c r="BA51" s="1044"/>
      <c r="BB51" s="1044"/>
      <c r="BC51" s="1044"/>
      <c r="BD51" s="1044"/>
      <c r="BE51" s="1044"/>
    </row>
    <row r="52" spans="2:57" ht="19.899999999999999" customHeight="1" x14ac:dyDescent="0.15">
      <c r="E52" s="668">
        <v>20.399999999999999</v>
      </c>
      <c r="S52" s="1042" t="s">
        <v>111</v>
      </c>
      <c r="T52" s="1043" t="s">
        <v>112</v>
      </c>
      <c r="AB52" s="1431" t="s">
        <v>182</v>
      </c>
      <c r="AC52" s="1431"/>
      <c r="AD52" s="1431"/>
      <c r="AE52" s="369" t="s">
        <v>183</v>
      </c>
      <c r="AF52" s="360"/>
      <c r="AG52" s="103" t="s">
        <v>184</v>
      </c>
      <c r="AO52" s="1044"/>
      <c r="AP52" s="1044"/>
      <c r="AQ52" s="1044"/>
      <c r="AR52" s="1044"/>
      <c r="AS52" s="1044"/>
      <c r="AT52" s="1044" t="s">
        <v>185</v>
      </c>
      <c r="AU52" s="1044"/>
      <c r="AV52" s="1044"/>
      <c r="AW52" s="1044"/>
      <c r="AX52" s="1044"/>
      <c r="AY52" s="1044"/>
      <c r="AZ52" s="1044"/>
      <c r="BA52" s="1044"/>
      <c r="BB52" s="1044"/>
      <c r="BC52" s="1044"/>
      <c r="BD52" s="1044"/>
      <c r="BE52" s="1044"/>
    </row>
    <row r="53" spans="2:57" ht="19.899999999999999" customHeight="1" x14ac:dyDescent="0.15">
      <c r="E53" s="668">
        <v>20.399999999999999</v>
      </c>
      <c r="S53" s="1042" t="s">
        <v>186</v>
      </c>
      <c r="T53" s="1043" t="s">
        <v>187</v>
      </c>
      <c r="AB53" s="1431" t="s">
        <v>188</v>
      </c>
      <c r="AC53" s="1431"/>
      <c r="AD53" s="132" t="s">
        <v>189</v>
      </c>
      <c r="AE53" s="370" t="s">
        <v>190</v>
      </c>
      <c r="AF53" s="360"/>
      <c r="AG53" s="103" t="s">
        <v>191</v>
      </c>
      <c r="AO53" s="1044"/>
      <c r="AP53" s="1044"/>
      <c r="AQ53" s="1044"/>
      <c r="AR53" s="1044"/>
      <c r="AS53" s="1044"/>
      <c r="AT53" s="1044" t="s">
        <v>192</v>
      </c>
      <c r="AU53" s="1044"/>
      <c r="AV53" s="1044"/>
      <c r="AW53" s="1044"/>
      <c r="AX53" s="1044"/>
      <c r="AY53" s="1044"/>
      <c r="AZ53" s="1044"/>
      <c r="BA53" s="1044"/>
      <c r="BB53" s="1044"/>
      <c r="BC53" s="1044"/>
      <c r="BD53" s="1044"/>
      <c r="BE53" s="1044"/>
    </row>
    <row r="54" spans="2:57" ht="19.899999999999999" hidden="1" customHeight="1" x14ac:dyDescent="0.15">
      <c r="B54" s="759" t="b">
        <f>STATE_SHARE_EXISTENCE&lt;&gt;"нет"</f>
        <v>0</v>
      </c>
      <c r="E54" s="668">
        <v>20.399999999999999</v>
      </c>
      <c r="S54" s="1042" t="s">
        <v>111</v>
      </c>
      <c r="T54" s="1043" t="s">
        <v>112</v>
      </c>
      <c r="AB54" s="1431"/>
      <c r="AC54" s="1431"/>
      <c r="AD54" s="132" t="s">
        <v>193</v>
      </c>
      <c r="AE54" s="1154"/>
      <c r="AF54" s="360"/>
      <c r="AG54" s="103" t="s">
        <v>194</v>
      </c>
      <c r="AO54" s="1044"/>
      <c r="AP54" s="1044"/>
      <c r="AQ54" s="1044"/>
      <c r="AR54" s="1044"/>
      <c r="AS54" s="1044"/>
      <c r="AT54" s="1044" t="s">
        <v>195</v>
      </c>
      <c r="AU54" s="1044"/>
      <c r="AV54" s="1044"/>
      <c r="AW54" s="1044"/>
      <c r="AX54" s="1044"/>
      <c r="AY54" s="1044"/>
      <c r="AZ54" s="1044"/>
      <c r="BA54" s="1044"/>
      <c r="BB54" s="1044"/>
      <c r="BC54" s="1044"/>
      <c r="BD54" s="1044"/>
      <c r="BE54" s="1044"/>
    </row>
    <row r="55" spans="2:57" ht="19.899999999999999" hidden="1" customHeight="1" x14ac:dyDescent="0.15">
      <c r="B55" s="759" t="b">
        <f>STATE_SHARE_EXISTENCE&lt;&gt;"нет"</f>
        <v>0</v>
      </c>
      <c r="E55" s="668">
        <v>20.399999999999999</v>
      </c>
      <c r="S55" s="1042" t="s">
        <v>111</v>
      </c>
      <c r="T55" s="1043" t="s">
        <v>112</v>
      </c>
      <c r="AB55" s="1431"/>
      <c r="AC55" s="1431"/>
      <c r="AD55" s="132" t="s">
        <v>196</v>
      </c>
      <c r="AE55" s="1154"/>
      <c r="AF55" s="360"/>
      <c r="AG55" s="103" t="s">
        <v>197</v>
      </c>
      <c r="AO55" s="1044"/>
      <c r="AP55" s="1044"/>
      <c r="AQ55" s="1044"/>
      <c r="AR55" s="1044"/>
      <c r="AS55" s="1044"/>
      <c r="AT55" s="1044" t="s">
        <v>198</v>
      </c>
      <c r="AU55" s="1044"/>
      <c r="AV55" s="1044"/>
      <c r="AW55" s="1044"/>
      <c r="AX55" s="1044"/>
      <c r="AY55" s="1044"/>
      <c r="AZ55" s="1044"/>
      <c r="BA55" s="1044"/>
      <c r="BB55" s="1044"/>
      <c r="BC55" s="1044"/>
      <c r="BD55" s="1044"/>
      <c r="BE55" s="1044"/>
    </row>
    <row r="56" spans="2:57" ht="24" customHeight="1" x14ac:dyDescent="0.15">
      <c r="E56" s="668">
        <v>24.6</v>
      </c>
      <c r="S56" s="1042" t="s">
        <v>186</v>
      </c>
      <c r="T56" s="1043" t="s">
        <v>187</v>
      </c>
      <c r="AB56" s="1431" t="s">
        <v>199</v>
      </c>
      <c r="AC56" s="1431"/>
      <c r="AD56" s="1431"/>
      <c r="AE56" s="370" t="s">
        <v>200</v>
      </c>
      <c r="AF56" s="365"/>
      <c r="AG56" s="103" t="s">
        <v>201</v>
      </c>
      <c r="AO56" s="1044"/>
      <c r="AP56" s="1044"/>
      <c r="AQ56" s="1044"/>
      <c r="AR56" s="1044"/>
      <c r="AS56" s="1044"/>
      <c r="AT56" s="1044" t="s">
        <v>202</v>
      </c>
      <c r="AU56" s="1044"/>
      <c r="AV56" s="1044"/>
      <c r="AW56" s="1044"/>
      <c r="AX56" s="1044"/>
      <c r="AY56" s="1044"/>
      <c r="AZ56" s="1044"/>
      <c r="BA56" s="1044"/>
      <c r="BB56" s="1044"/>
      <c r="BC56" s="1044"/>
      <c r="BD56" s="1044"/>
      <c r="BE56" s="1044"/>
    </row>
    <row r="57" spans="2:57" ht="24" customHeight="1" x14ac:dyDescent="0.15">
      <c r="E57" s="668">
        <v>24.6</v>
      </c>
      <c r="S57" s="1042" t="s">
        <v>111</v>
      </c>
      <c r="T57" s="1043" t="s">
        <v>112</v>
      </c>
      <c r="AB57" s="1431" t="s">
        <v>203</v>
      </c>
      <c r="AC57" s="1431"/>
      <c r="AD57" s="1431"/>
      <c r="AE57" s="370" t="s">
        <v>204</v>
      </c>
      <c r="AF57" s="365"/>
      <c r="AO57" s="1044"/>
      <c r="AP57" s="1044"/>
      <c r="AQ57" s="1044"/>
      <c r="AR57" s="1044"/>
      <c r="AS57" s="1044"/>
      <c r="AT57" s="1044" t="s">
        <v>205</v>
      </c>
      <c r="AU57" s="1044"/>
      <c r="AV57" s="1044"/>
      <c r="AW57" s="1044"/>
      <c r="AX57" s="1044"/>
      <c r="AY57" s="1044"/>
      <c r="AZ57" s="1044"/>
      <c r="BA57" s="1044"/>
      <c r="BB57" s="1044"/>
      <c r="BC57" s="1044"/>
      <c r="BD57" s="1044"/>
      <c r="BE57" s="1044"/>
    </row>
    <row r="58" spans="2:57" ht="19.899999999999999" customHeight="1" x14ac:dyDescent="0.15">
      <c r="E58" s="668">
        <v>20.399999999999999</v>
      </c>
      <c r="S58" s="1042" t="s">
        <v>186</v>
      </c>
      <c r="T58" s="1043" t="s">
        <v>187</v>
      </c>
      <c r="AB58" s="1431" t="s">
        <v>206</v>
      </c>
      <c r="AC58" s="1431"/>
      <c r="AD58" s="1431"/>
      <c r="AE58" s="370" t="s">
        <v>200</v>
      </c>
      <c r="AF58" s="360"/>
      <c r="AG58" s="103" t="s">
        <v>207</v>
      </c>
      <c r="AO58" s="1044"/>
      <c r="AP58" s="1044"/>
      <c r="AQ58" s="1044"/>
      <c r="AR58" s="1044"/>
      <c r="AS58" s="1044"/>
      <c r="AT58" s="1044" t="s">
        <v>205</v>
      </c>
      <c r="AU58" s="1044"/>
      <c r="AV58" s="1044"/>
      <c r="AW58" s="1044"/>
      <c r="AX58" s="1044"/>
      <c r="AY58" s="1044"/>
      <c r="AZ58" s="1044"/>
      <c r="BA58" s="1044"/>
      <c r="BB58" s="1044"/>
      <c r="BC58" s="1044"/>
      <c r="BD58" s="1044"/>
      <c r="BE58" s="1044"/>
    </row>
    <row r="59" spans="2:57" ht="24" customHeight="1" x14ac:dyDescent="0.15">
      <c r="E59" s="668">
        <v>24.6</v>
      </c>
      <c r="S59" s="1042" t="s">
        <v>186</v>
      </c>
      <c r="T59" s="1043" t="s">
        <v>187</v>
      </c>
      <c r="AB59" s="1431" t="s">
        <v>208</v>
      </c>
      <c r="AC59" s="1431"/>
      <c r="AD59" s="1431"/>
      <c r="AE59" s="370" t="s">
        <v>190</v>
      </c>
      <c r="AF59" s="365"/>
      <c r="AG59" s="103" t="s">
        <v>209</v>
      </c>
      <c r="AO59" s="1044"/>
      <c r="AP59" s="1044"/>
      <c r="AQ59" s="1044"/>
      <c r="AR59" s="1044"/>
      <c r="AS59" s="1044"/>
      <c r="AT59" s="1044" t="s">
        <v>210</v>
      </c>
      <c r="AU59" s="1044"/>
      <c r="AV59" s="1044"/>
      <c r="AW59" s="1044"/>
      <c r="AX59" s="1044"/>
      <c r="AY59" s="1044"/>
      <c r="AZ59" s="1044"/>
      <c r="BA59" s="1044"/>
      <c r="BB59" s="1044"/>
      <c r="BC59" s="1044"/>
      <c r="BD59" s="1044"/>
      <c r="BE59" s="1044"/>
    </row>
    <row r="60" spans="2:57" ht="19.899999999999999" customHeight="1" x14ac:dyDescent="0.15">
      <c r="E60" s="668">
        <v>20.399999999999999</v>
      </c>
      <c r="F60" s="161" t="s">
        <v>211</v>
      </c>
      <c r="S60" s="1042" t="s">
        <v>186</v>
      </c>
      <c r="T60" s="1043" t="s">
        <v>187</v>
      </c>
      <c r="AB60" s="1431" t="s">
        <v>212</v>
      </c>
      <c r="AC60" s="1431"/>
      <c r="AD60" s="1431"/>
      <c r="AE60" s="370" t="s">
        <v>200</v>
      </c>
      <c r="AF60" s="360"/>
      <c r="AG60" s="103" t="s">
        <v>213</v>
      </c>
      <c r="AO60" s="1044"/>
      <c r="AP60" s="1044"/>
      <c r="AQ60" s="1044"/>
      <c r="AR60" s="1044"/>
      <c r="AS60" s="1044"/>
      <c r="AT60" s="1044" t="s">
        <v>214</v>
      </c>
      <c r="AU60" s="1044"/>
      <c r="AV60" s="1044"/>
      <c r="AW60" s="1044"/>
      <c r="AX60" s="1044"/>
      <c r="AY60" s="1044"/>
      <c r="AZ60" s="1044"/>
      <c r="BA60" s="1044"/>
      <c r="BB60" s="1044"/>
      <c r="BC60" s="1044"/>
      <c r="BD60" s="1044"/>
      <c r="BE60" s="1044"/>
    </row>
    <row r="61" spans="2:57" ht="19.899999999999999" customHeight="1" x14ac:dyDescent="0.15">
      <c r="E61" s="668">
        <v>20.399999999999999</v>
      </c>
      <c r="S61" s="1042" t="s">
        <v>215</v>
      </c>
      <c r="T61" s="1043" t="s">
        <v>216</v>
      </c>
      <c r="AB61" s="1431" t="s">
        <v>217</v>
      </c>
      <c r="AC61" s="1431"/>
      <c r="AD61" s="1431"/>
      <c r="AE61" s="383"/>
      <c r="AF61" s="360"/>
      <c r="AO61" s="1044"/>
      <c r="AP61" s="1044"/>
      <c r="AQ61" s="1044"/>
      <c r="AR61" s="1044"/>
      <c r="AS61" s="1044"/>
      <c r="AT61" s="1044" t="s">
        <v>214</v>
      </c>
      <c r="AU61" s="1044"/>
      <c r="AV61" s="1044"/>
      <c r="AW61" s="1044"/>
      <c r="AX61" s="1044"/>
      <c r="AY61" s="1044"/>
      <c r="AZ61" s="1044"/>
      <c r="BA61" s="1044"/>
      <c r="BB61" s="1044"/>
      <c r="BC61" s="1044"/>
      <c r="BD61" s="1044"/>
      <c r="BE61" s="1044"/>
    </row>
    <row r="62" spans="2:57" ht="20.25" hidden="1" customHeight="1" x14ac:dyDescent="0.15">
      <c r="E62" s="668">
        <v>0</v>
      </c>
      <c r="S62" s="1042"/>
      <c r="T62" s="1043"/>
      <c r="W62" s="796"/>
      <c r="X62" s="796"/>
      <c r="Y62" s="796"/>
      <c r="Z62" s="796"/>
      <c r="AA62" s="761" t="s">
        <v>218</v>
      </c>
      <c r="AB62" s="1468" t="s">
        <v>217</v>
      </c>
      <c r="AC62" s="1468"/>
      <c r="AD62" s="1468"/>
      <c r="AE62" s="696"/>
      <c r="AF62" s="697"/>
      <c r="AO62" s="1044"/>
      <c r="AP62" s="1044"/>
      <c r="AQ62" s="1044"/>
      <c r="AR62" s="1044"/>
      <c r="AS62" s="1044"/>
      <c r="AT62" s="1044"/>
      <c r="AU62" s="1044"/>
      <c r="AV62" s="1044"/>
      <c r="AW62" s="1044"/>
      <c r="AX62" s="1044"/>
      <c r="AY62" s="1044"/>
      <c r="AZ62" s="1044"/>
      <c r="BA62" s="1044"/>
      <c r="BB62" s="1044"/>
      <c r="BC62" s="1044"/>
      <c r="BD62" s="1044"/>
      <c r="BE62" s="1044"/>
    </row>
    <row r="63" spans="2:57" ht="15" hidden="1" customHeight="1" x14ac:dyDescent="0.15">
      <c r="E63" s="668">
        <v>0</v>
      </c>
      <c r="F63" s="161" t="s">
        <v>219</v>
      </c>
      <c r="S63" s="1042"/>
      <c r="T63" s="1043"/>
      <c r="W63" s="796"/>
      <c r="X63" s="796"/>
      <c r="Y63" s="798"/>
      <c r="Z63" s="796"/>
      <c r="AA63" s="762"/>
      <c r="AB63" s="698"/>
      <c r="AC63" s="699"/>
      <c r="AD63" s="699"/>
      <c r="AE63" s="700"/>
      <c r="AF63" s="697"/>
      <c r="AO63" s="1044"/>
      <c r="AP63" s="1044"/>
      <c r="AQ63" s="1044"/>
      <c r="AR63" s="1044"/>
      <c r="AS63" s="1044"/>
      <c r="AT63" s="1044"/>
      <c r="AU63" s="1044"/>
      <c r="AV63" s="1044"/>
      <c r="AW63" s="1044"/>
      <c r="AX63" s="1044"/>
      <c r="AY63" s="1044"/>
      <c r="AZ63" s="1044"/>
      <c r="BA63" s="1044"/>
      <c r="BB63" s="1044"/>
      <c r="BC63" s="1044"/>
      <c r="BD63" s="1044"/>
      <c r="BE63" s="1044"/>
    </row>
    <row r="64" spans="2:57" ht="19.899999999999999" customHeight="1" x14ac:dyDescent="0.15">
      <c r="E64" s="668">
        <v>20.399999999999999</v>
      </c>
      <c r="F64" s="161" t="s">
        <v>220</v>
      </c>
      <c r="S64" s="1042" t="s">
        <v>186</v>
      </c>
      <c r="T64" s="1043" t="s">
        <v>187</v>
      </c>
      <c r="AB64" s="1431" t="s">
        <v>221</v>
      </c>
      <c r="AC64" s="1431"/>
      <c r="AD64" s="1431"/>
      <c r="AE64" s="370" t="s">
        <v>200</v>
      </c>
      <c r="AF64" s="360"/>
      <c r="AG64" s="103" t="s">
        <v>222</v>
      </c>
      <c r="AO64" s="1044"/>
      <c r="AP64" s="1044"/>
      <c r="AQ64" s="1044"/>
      <c r="AR64" s="1044"/>
      <c r="AS64" s="1044"/>
      <c r="AT64" s="1044" t="s">
        <v>223</v>
      </c>
      <c r="AU64" s="1044"/>
      <c r="AV64" s="1044"/>
      <c r="AW64" s="1044"/>
      <c r="AX64" s="1044"/>
      <c r="AY64" s="1044"/>
      <c r="AZ64" s="1044"/>
      <c r="BA64" s="1044"/>
      <c r="BB64" s="1044"/>
      <c r="BC64" s="1044"/>
      <c r="BD64" s="1044"/>
      <c r="BE64" s="1044"/>
    </row>
    <row r="65" spans="2:57" ht="19.5" hidden="1" customHeight="1" x14ac:dyDescent="0.15">
      <c r="E65" s="668">
        <v>0</v>
      </c>
      <c r="S65" s="1042"/>
      <c r="T65" s="1043"/>
      <c r="AB65" s="1431"/>
      <c r="AC65" s="1431"/>
      <c r="AD65" s="1431"/>
      <c r="AE65" s="399"/>
      <c r="AF65" s="360"/>
      <c r="AO65" s="1044"/>
      <c r="AP65" s="1044"/>
      <c r="AQ65" s="1044"/>
      <c r="AR65" s="1044"/>
      <c r="AS65" s="1044"/>
      <c r="AT65" s="1044"/>
      <c r="AU65" s="1044"/>
      <c r="AV65" s="1044"/>
      <c r="AW65" s="1044"/>
      <c r="AX65" s="1044"/>
      <c r="AY65" s="1044"/>
      <c r="AZ65" s="1044"/>
      <c r="BA65" s="1044"/>
      <c r="BB65" s="1044"/>
      <c r="BC65" s="1044"/>
      <c r="BD65" s="1044"/>
      <c r="BE65" s="1044"/>
    </row>
    <row r="66" spans="2:57" ht="19.5" hidden="1" customHeight="1" x14ac:dyDescent="0.15">
      <c r="E66" s="668">
        <v>0</v>
      </c>
      <c r="S66" s="1042"/>
      <c r="T66" s="1043"/>
      <c r="AB66" s="1430"/>
      <c r="AC66" s="1431"/>
      <c r="AD66" s="1431"/>
      <c r="AE66" s="396"/>
      <c r="AF66" s="360"/>
      <c r="AO66" s="1044"/>
      <c r="AP66" s="1044"/>
      <c r="AQ66" s="1044"/>
      <c r="AR66" s="1044"/>
      <c r="AS66" s="1044"/>
      <c r="AT66" s="1044"/>
      <c r="AU66" s="1044"/>
      <c r="AV66" s="1044"/>
      <c r="AW66" s="1044"/>
      <c r="AX66" s="1044"/>
      <c r="AY66" s="1044"/>
      <c r="AZ66" s="1044"/>
      <c r="BA66" s="1044"/>
      <c r="BB66" s="1044"/>
      <c r="BC66" s="1044"/>
      <c r="BD66" s="1044"/>
      <c r="BE66" s="1044"/>
    </row>
    <row r="67" spans="2:57" ht="19.5" hidden="1" customHeight="1" x14ac:dyDescent="0.15">
      <c r="E67" s="668">
        <v>0</v>
      </c>
      <c r="S67" s="1042"/>
      <c r="T67" s="1043"/>
      <c r="AB67" s="1430"/>
      <c r="AC67" s="1431"/>
      <c r="AD67" s="1431"/>
      <c r="AE67" s="396"/>
      <c r="AF67" s="360"/>
      <c r="AO67" s="1044"/>
      <c r="AP67" s="1044"/>
      <c r="AQ67" s="1044"/>
      <c r="AR67" s="1044"/>
      <c r="AS67" s="1044"/>
      <c r="AT67" s="1044"/>
      <c r="AU67" s="1044"/>
      <c r="AV67" s="1044"/>
      <c r="AW67" s="1044"/>
      <c r="AX67" s="1044"/>
      <c r="AY67" s="1044"/>
      <c r="AZ67" s="1044"/>
      <c r="BA67" s="1044"/>
      <c r="BB67" s="1044"/>
      <c r="BC67" s="1044"/>
      <c r="BD67" s="1044"/>
      <c r="BE67" s="1044"/>
    </row>
    <row r="68" spans="2:57" ht="19.5" hidden="1" customHeight="1" x14ac:dyDescent="0.15">
      <c r="E68" s="668">
        <v>0</v>
      </c>
      <c r="S68" s="1042"/>
      <c r="T68" s="1043"/>
      <c r="AB68" s="1430"/>
      <c r="AC68" s="1431"/>
      <c r="AD68" s="1431"/>
      <c r="AE68" s="396"/>
      <c r="AF68" s="360"/>
      <c r="AO68" s="1044"/>
      <c r="AP68" s="1044"/>
      <c r="AQ68" s="1044"/>
      <c r="AR68" s="1044"/>
      <c r="AS68" s="1044"/>
      <c r="AT68" s="1044"/>
      <c r="AU68" s="1044"/>
      <c r="AV68" s="1044"/>
      <c r="AW68" s="1044"/>
      <c r="AX68" s="1044"/>
      <c r="AY68" s="1044"/>
      <c r="AZ68" s="1044"/>
      <c r="BA68" s="1044"/>
      <c r="BB68" s="1044"/>
      <c r="BC68" s="1044"/>
      <c r="BD68" s="1044"/>
      <c r="BE68" s="1044"/>
    </row>
    <row r="69" spans="2:57" ht="19.5" hidden="1" customHeight="1" x14ac:dyDescent="0.15">
      <c r="E69" s="668">
        <v>0</v>
      </c>
      <c r="S69" s="1042"/>
      <c r="T69" s="1043"/>
      <c r="AB69" s="1430"/>
      <c r="AC69" s="1431"/>
      <c r="AD69" s="1431"/>
      <c r="AE69" s="397"/>
      <c r="AF69" s="360"/>
      <c r="AO69" s="1044"/>
      <c r="AP69" s="1044"/>
      <c r="AQ69" s="1044"/>
      <c r="AR69" s="1044"/>
      <c r="AS69" s="1044"/>
      <c r="AT69" s="1044"/>
      <c r="AU69" s="1044"/>
      <c r="AV69" s="1044"/>
      <c r="AW69" s="1044"/>
      <c r="AX69" s="1044"/>
      <c r="AY69" s="1044"/>
      <c r="AZ69" s="1044"/>
      <c r="BA69" s="1044"/>
      <c r="BB69" s="1044"/>
      <c r="BC69" s="1044"/>
      <c r="BD69" s="1044"/>
      <c r="BE69" s="1044"/>
    </row>
    <row r="70" spans="2:57" ht="19.5" hidden="1" customHeight="1" x14ac:dyDescent="0.15">
      <c r="E70" s="668">
        <v>0</v>
      </c>
      <c r="S70" s="1042"/>
      <c r="T70" s="1043"/>
      <c r="AB70" s="1430"/>
      <c r="AC70" s="1431"/>
      <c r="AD70" s="1431"/>
      <c r="AE70" s="398"/>
      <c r="AF70" s="360"/>
      <c r="AG70" s="140"/>
      <c r="AO70" s="1044"/>
      <c r="AP70" s="1044"/>
      <c r="AQ70" s="1044"/>
      <c r="AR70" s="1044"/>
      <c r="AS70" s="1044"/>
      <c r="AT70" s="1044"/>
      <c r="AU70" s="1044"/>
      <c r="AV70" s="1044"/>
      <c r="AW70" s="1044"/>
      <c r="AX70" s="1044"/>
      <c r="AY70" s="1044"/>
      <c r="AZ70" s="1044"/>
      <c r="BA70" s="1044"/>
      <c r="BB70" s="1044"/>
      <c r="BC70" s="1044"/>
      <c r="BD70" s="1044"/>
      <c r="BE70" s="1044"/>
    </row>
    <row r="71" spans="2:57" ht="15" hidden="1" customHeight="1" x14ac:dyDescent="0.15">
      <c r="E71" s="668">
        <v>0</v>
      </c>
      <c r="S71" s="1042"/>
      <c r="T71" s="1043"/>
      <c r="AB71" s="400"/>
      <c r="AC71" s="401"/>
      <c r="AD71" s="401"/>
      <c r="AE71" s="402"/>
      <c r="AF71" s="360"/>
      <c r="AG71" s="140"/>
      <c r="AO71" s="1044"/>
      <c r="AP71" s="1044"/>
      <c r="AQ71" s="1044"/>
      <c r="AR71" s="1044"/>
      <c r="AS71" s="1044"/>
      <c r="AT71" s="1044"/>
      <c r="AU71" s="1044"/>
      <c r="AV71" s="1044"/>
      <c r="AW71" s="1044"/>
      <c r="AX71" s="1044"/>
      <c r="AY71" s="1044"/>
      <c r="AZ71" s="1044"/>
      <c r="BA71" s="1044"/>
      <c r="BB71" s="1044"/>
      <c r="BC71" s="1044"/>
      <c r="BD71" s="1044"/>
      <c r="BE71" s="1044"/>
    </row>
    <row r="72" spans="2:57" ht="19.5" hidden="1" customHeight="1" x14ac:dyDescent="0.15">
      <c r="E72" s="668">
        <v>0</v>
      </c>
      <c r="S72" s="1042"/>
      <c r="T72" s="1043"/>
      <c r="AB72" s="1431"/>
      <c r="AC72" s="1431"/>
      <c r="AD72" s="1431"/>
      <c r="AE72" s="399"/>
      <c r="AF72" s="360"/>
      <c r="AO72" s="1044"/>
      <c r="AP72" s="1044"/>
      <c r="AQ72" s="1044"/>
      <c r="AR72" s="1044"/>
      <c r="AS72" s="1044"/>
      <c r="AT72" s="1044"/>
      <c r="AU72" s="1044"/>
      <c r="AV72" s="1044"/>
      <c r="AW72" s="1044"/>
      <c r="AX72" s="1044"/>
      <c r="AY72" s="1044"/>
      <c r="AZ72" s="1044"/>
      <c r="BA72" s="1044"/>
      <c r="BB72" s="1044"/>
      <c r="BC72" s="1044"/>
      <c r="BD72" s="1044"/>
      <c r="BE72" s="1044"/>
    </row>
    <row r="73" spans="2:57" ht="19.899999999999999" customHeight="1" x14ac:dyDescent="0.15">
      <c r="B73" s="759" t="b">
        <f t="shared" ref="B73:B83" si="0">HAS_DOC3="да"</f>
        <v>1</v>
      </c>
      <c r="E73" s="668">
        <v>20.399999999999999</v>
      </c>
      <c r="S73" s="1042" t="s">
        <v>111</v>
      </c>
      <c r="T73" s="1043" t="s">
        <v>112</v>
      </c>
      <c r="AB73" s="1430" t="s">
        <v>224</v>
      </c>
      <c r="AC73" s="1431" t="s">
        <v>225</v>
      </c>
      <c r="AD73" s="1431"/>
      <c r="AE73" s="352" t="s">
        <v>226</v>
      </c>
      <c r="AF73" s="360"/>
      <c r="AO73" s="1044"/>
      <c r="AP73" s="1044"/>
      <c r="AQ73" s="1044"/>
      <c r="AR73" s="1044"/>
      <c r="AS73" s="1044"/>
      <c r="AT73" s="1044" t="s">
        <v>223</v>
      </c>
      <c r="AU73" s="1044" t="s">
        <v>227</v>
      </c>
      <c r="AV73" s="1044"/>
      <c r="AW73" s="1044"/>
      <c r="AX73" s="1044"/>
      <c r="AY73" s="1044"/>
      <c r="AZ73" s="1044"/>
      <c r="BA73" s="1044"/>
      <c r="BB73" s="1044"/>
      <c r="BC73" s="1044"/>
      <c r="BD73" s="1044"/>
      <c r="BE73" s="1044"/>
    </row>
    <row r="74" spans="2:57" ht="19.899999999999999" customHeight="1" x14ac:dyDescent="0.15">
      <c r="B74" s="759" t="b">
        <f t="shared" si="0"/>
        <v>1</v>
      </c>
      <c r="E74" s="668">
        <v>20.399999999999999</v>
      </c>
      <c r="S74" s="1042" t="s">
        <v>111</v>
      </c>
      <c r="T74" s="1043" t="s">
        <v>112</v>
      </c>
      <c r="AB74" s="1430"/>
      <c r="AC74" s="1431" t="s">
        <v>228</v>
      </c>
      <c r="AD74" s="1431"/>
      <c r="AE74" s="353" t="s">
        <v>229</v>
      </c>
      <c r="AF74" s="360"/>
      <c r="AO74" s="1044"/>
      <c r="AP74" s="1044"/>
      <c r="AQ74" s="1044"/>
      <c r="AR74" s="1044"/>
      <c r="AS74" s="1044"/>
      <c r="AT74" s="1044" t="s">
        <v>223</v>
      </c>
      <c r="AU74" s="1044" t="s">
        <v>230</v>
      </c>
      <c r="AV74" s="1044"/>
      <c r="AW74" s="1044"/>
      <c r="AX74" s="1044"/>
      <c r="AY74" s="1044"/>
      <c r="AZ74" s="1044"/>
      <c r="BA74" s="1044"/>
      <c r="BB74" s="1044"/>
      <c r="BC74" s="1044"/>
      <c r="BD74" s="1044"/>
      <c r="BE74" s="1044"/>
    </row>
    <row r="75" spans="2:57" ht="19.899999999999999" customHeight="1" x14ac:dyDescent="0.15">
      <c r="B75" s="759" t="b">
        <f t="shared" si="0"/>
        <v>1</v>
      </c>
      <c r="E75" s="668">
        <v>20.399999999999999</v>
      </c>
      <c r="S75" s="1042" t="s">
        <v>111</v>
      </c>
      <c r="T75" s="1043" t="s">
        <v>112</v>
      </c>
      <c r="AB75" s="1430"/>
      <c r="AC75" s="1431" t="s">
        <v>231</v>
      </c>
      <c r="AD75" s="1431"/>
      <c r="AE75" s="352"/>
      <c r="AF75" s="360"/>
      <c r="AO75" s="1044"/>
      <c r="AP75" s="1044"/>
      <c r="AQ75" s="1044"/>
      <c r="AR75" s="1044"/>
      <c r="AS75" s="1044"/>
      <c r="AT75" s="1044" t="s">
        <v>223</v>
      </c>
      <c r="AU75" s="1044" t="s">
        <v>232</v>
      </c>
      <c r="AV75" s="1044"/>
      <c r="AW75" s="1044"/>
      <c r="AX75" s="1044"/>
      <c r="AY75" s="1044"/>
      <c r="AZ75" s="1044"/>
      <c r="BA75" s="1044"/>
      <c r="BB75" s="1044"/>
      <c r="BC75" s="1044"/>
      <c r="BD75" s="1044"/>
      <c r="BE75" s="1044"/>
    </row>
    <row r="76" spans="2:57" ht="19.899999999999999" customHeight="1" x14ac:dyDescent="0.15">
      <c r="B76" s="759" t="b">
        <f t="shared" si="0"/>
        <v>1</v>
      </c>
      <c r="E76" s="668">
        <v>20.399999999999999</v>
      </c>
      <c r="S76" s="1042" t="s">
        <v>111</v>
      </c>
      <c r="T76" s="1043" t="s">
        <v>112</v>
      </c>
      <c r="AB76" s="1430"/>
      <c r="AC76" s="1431" t="s">
        <v>233</v>
      </c>
      <c r="AD76" s="1431"/>
      <c r="AE76" s="754">
        <v>44995.646793981483</v>
      </c>
      <c r="AF76" s="360"/>
      <c r="AO76" s="1044"/>
      <c r="AP76" s="1044"/>
      <c r="AQ76" s="1044"/>
      <c r="AR76" s="1044"/>
      <c r="AS76" s="1044"/>
      <c r="AT76" s="1044" t="s">
        <v>223</v>
      </c>
      <c r="AU76" s="1044" t="s">
        <v>234</v>
      </c>
      <c r="AV76" s="1044"/>
      <c r="AW76" s="1044"/>
      <c r="AX76" s="1044"/>
      <c r="AY76" s="1044"/>
      <c r="AZ76" s="1044"/>
      <c r="BA76" s="1044"/>
      <c r="BB76" s="1044"/>
      <c r="BC76" s="1044"/>
      <c r="BD76" s="1044"/>
      <c r="BE76" s="1044"/>
    </row>
    <row r="77" spans="2:57" ht="19.899999999999999" customHeight="1" x14ac:dyDescent="0.15">
      <c r="B77" s="759" t="b">
        <f t="shared" si="0"/>
        <v>1</v>
      </c>
      <c r="E77" s="668">
        <v>20.399999999999999</v>
      </c>
      <c r="S77" s="1042" t="s">
        <v>215</v>
      </c>
      <c r="T77" s="1043" t="s">
        <v>216</v>
      </c>
      <c r="AB77" s="1430"/>
      <c r="AC77" s="1431" t="s">
        <v>215</v>
      </c>
      <c r="AD77" s="1431"/>
      <c r="AE77" s="383" t="s">
        <v>235</v>
      </c>
      <c r="AF77" s="360"/>
      <c r="AG77" s="140"/>
      <c r="AO77" s="1044"/>
      <c r="AP77" s="1044"/>
      <c r="AQ77" s="1044"/>
      <c r="AR77" s="1044"/>
      <c r="AS77" s="1044"/>
      <c r="AT77" s="1044" t="s">
        <v>223</v>
      </c>
      <c r="AU77" s="1044" t="s">
        <v>236</v>
      </c>
      <c r="AV77" s="1044"/>
      <c r="AW77" s="1044"/>
      <c r="AX77" s="1044"/>
      <c r="AY77" s="1044"/>
      <c r="AZ77" s="1044"/>
      <c r="BA77" s="1044"/>
      <c r="BB77" s="1044"/>
      <c r="BC77" s="1044"/>
      <c r="BD77" s="1044"/>
      <c r="BE77" s="1044"/>
    </row>
    <row r="78" spans="2:57" ht="19.899999999999999" hidden="1" customHeight="1" x14ac:dyDescent="0.15">
      <c r="B78" s="759" t="b">
        <f t="shared" si="0"/>
        <v>1</v>
      </c>
      <c r="E78" s="668">
        <v>20.399999999999999</v>
      </c>
      <c r="S78" s="1042" t="s">
        <v>111</v>
      </c>
      <c r="T78" s="1043" t="s">
        <v>112</v>
      </c>
      <c r="W78" s="690" t="b">
        <f>ROW(Y78)&gt;ROW(Y$78)</f>
        <v>0</v>
      </c>
      <c r="Y78" s="126" t="s">
        <v>237</v>
      </c>
      <c r="AA78" s="1432" t="s">
        <v>218</v>
      </c>
      <c r="AB78" s="1430" t="s">
        <v>224</v>
      </c>
      <c r="AC78" s="1431" t="s">
        <v>225</v>
      </c>
      <c r="AD78" s="1431"/>
      <c r="AE78" s="1155"/>
      <c r="AF78" s="360"/>
      <c r="AG78" s="140"/>
      <c r="AO78" s="1051" cm="1">
        <f t="array" ref="AO78">AE78</f>
        <v>0</v>
      </c>
      <c r="AP78" s="1044"/>
      <c r="AQ78" s="1044"/>
      <c r="AR78" s="1044"/>
      <c r="AS78" s="1044"/>
      <c r="AT78" s="1044" t="s">
        <v>223</v>
      </c>
      <c r="AU78" s="1044" t="s">
        <v>227</v>
      </c>
      <c r="AV78" s="1044"/>
      <c r="AW78" s="1044"/>
      <c r="AX78" s="1044"/>
      <c r="AY78" s="1044"/>
      <c r="AZ78" s="1044"/>
      <c r="BA78" s="1044"/>
      <c r="BB78" s="1044"/>
      <c r="BC78" s="1044"/>
      <c r="BD78" s="1044"/>
      <c r="BE78" s="1044"/>
    </row>
    <row r="79" spans="2:57" ht="19.899999999999999" hidden="1" customHeight="1" x14ac:dyDescent="0.15">
      <c r="B79" s="759" t="b">
        <f t="shared" si="0"/>
        <v>1</v>
      </c>
      <c r="E79" s="668">
        <v>20.399999999999999</v>
      </c>
      <c r="S79" s="1042" t="s">
        <v>111</v>
      </c>
      <c r="T79" s="1043" t="s">
        <v>112</v>
      </c>
      <c r="W79" s="690" t="b" cm="1">
        <f t="array" ref="W79">W78</f>
        <v>0</v>
      </c>
      <c r="AA79" s="1432"/>
      <c r="AB79" s="1430"/>
      <c r="AC79" s="1431" t="s">
        <v>228</v>
      </c>
      <c r="AD79" s="1431"/>
      <c r="AE79" s="1156"/>
      <c r="AF79" s="360"/>
      <c r="AG79" s="140"/>
      <c r="AO79" s="1044" cm="1">
        <f t="array" ref="AO79">AO78</f>
        <v>0</v>
      </c>
      <c r="AP79" s="1044"/>
      <c r="AQ79" s="1044"/>
      <c r="AR79" s="1044"/>
      <c r="AS79" s="1044"/>
      <c r="AT79" s="1044" t="s">
        <v>223</v>
      </c>
      <c r="AU79" s="1044" t="s">
        <v>230</v>
      </c>
      <c r="AV79" s="1044"/>
      <c r="AW79" s="1044"/>
      <c r="AX79" s="1044"/>
      <c r="AY79" s="1044"/>
      <c r="AZ79" s="1044"/>
      <c r="BA79" s="1044"/>
      <c r="BB79" s="1044"/>
      <c r="BC79" s="1044"/>
      <c r="BD79" s="1044"/>
      <c r="BE79" s="1044"/>
    </row>
    <row r="80" spans="2:57" ht="19.899999999999999" hidden="1" customHeight="1" x14ac:dyDescent="0.15">
      <c r="B80" s="759" t="b">
        <f t="shared" si="0"/>
        <v>1</v>
      </c>
      <c r="E80" s="668">
        <v>20.399999999999999</v>
      </c>
      <c r="S80" s="1042" t="s">
        <v>111</v>
      </c>
      <c r="T80" s="1043" t="s">
        <v>112</v>
      </c>
      <c r="W80" s="690" t="b" cm="1">
        <f t="array" ref="W80">W79</f>
        <v>0</v>
      </c>
      <c r="AA80" s="1432"/>
      <c r="AB80" s="1430"/>
      <c r="AC80" s="1431" t="s">
        <v>231</v>
      </c>
      <c r="AD80" s="1431"/>
      <c r="AE80" s="1155"/>
      <c r="AF80" s="360"/>
      <c r="AG80" s="140"/>
      <c r="AO80" s="1044" cm="1">
        <f t="array" ref="AO80">AO79</f>
        <v>0</v>
      </c>
      <c r="AP80" s="1044"/>
      <c r="AQ80" s="1044"/>
      <c r="AR80" s="1044"/>
      <c r="AS80" s="1044"/>
      <c r="AT80" s="1044" t="s">
        <v>223</v>
      </c>
      <c r="AU80" s="1044" t="s">
        <v>232</v>
      </c>
      <c r="AV80" s="1044"/>
      <c r="AW80" s="1044"/>
      <c r="AX80" s="1044"/>
      <c r="AY80" s="1044"/>
      <c r="AZ80" s="1044"/>
      <c r="BA80" s="1044"/>
      <c r="BB80" s="1044"/>
      <c r="BC80" s="1044"/>
      <c r="BD80" s="1044"/>
      <c r="BE80" s="1044"/>
    </row>
    <row r="81" spans="2:57" ht="19.899999999999999" hidden="1" customHeight="1" x14ac:dyDescent="0.15">
      <c r="B81" s="759" t="b">
        <f t="shared" si="0"/>
        <v>1</v>
      </c>
      <c r="E81" s="668">
        <v>20.399999999999999</v>
      </c>
      <c r="S81" s="1042" t="s">
        <v>111</v>
      </c>
      <c r="T81" s="1043" t="s">
        <v>112</v>
      </c>
      <c r="W81" s="690" t="b" cm="1">
        <f t="array" ref="W81">W80</f>
        <v>0</v>
      </c>
      <c r="AA81" s="1432"/>
      <c r="AB81" s="1430"/>
      <c r="AC81" s="1431" t="s">
        <v>233</v>
      </c>
      <c r="AD81" s="1431"/>
      <c r="AE81" s="1157"/>
      <c r="AF81" s="360"/>
      <c r="AG81" s="140"/>
      <c r="AO81" s="1044" cm="1">
        <f t="array" ref="AO81">AO80</f>
        <v>0</v>
      </c>
      <c r="AP81" s="1044"/>
      <c r="AQ81" s="1044"/>
      <c r="AR81" s="1044"/>
      <c r="AS81" s="1044"/>
      <c r="AT81" s="1044" t="s">
        <v>223</v>
      </c>
      <c r="AU81" s="1044" t="s">
        <v>234</v>
      </c>
      <c r="AV81" s="1044"/>
      <c r="AW81" s="1044"/>
      <c r="AX81" s="1044"/>
      <c r="AY81" s="1044"/>
      <c r="AZ81" s="1044"/>
      <c r="BA81" s="1044"/>
      <c r="BB81" s="1044"/>
      <c r="BC81" s="1044"/>
      <c r="BD81" s="1044"/>
      <c r="BE81" s="1044"/>
    </row>
    <row r="82" spans="2:57" ht="19.899999999999999" hidden="1" customHeight="1" x14ac:dyDescent="0.15">
      <c r="B82" s="759" t="b">
        <f t="shared" si="0"/>
        <v>1</v>
      </c>
      <c r="E82" s="668">
        <v>20.399999999999999</v>
      </c>
      <c r="S82" s="1042" t="s">
        <v>215</v>
      </c>
      <c r="T82" s="1043" t="s">
        <v>216</v>
      </c>
      <c r="W82" s="690" t="b" cm="1">
        <f t="array" ref="W82">W81</f>
        <v>0</v>
      </c>
      <c r="AA82" s="1432"/>
      <c r="AB82" s="1430"/>
      <c r="AC82" s="1431" t="s">
        <v>215</v>
      </c>
      <c r="AD82" s="1431"/>
      <c r="AE82" s="1158"/>
      <c r="AF82" s="360"/>
      <c r="AG82" s="140"/>
      <c r="AO82" s="1044" cm="1">
        <f t="array" ref="AO82">AO81</f>
        <v>0</v>
      </c>
      <c r="AP82" s="1044"/>
      <c r="AQ82" s="1044"/>
      <c r="AR82" s="1044"/>
      <c r="AS82" s="1044"/>
      <c r="AT82" s="1044" t="s">
        <v>223</v>
      </c>
      <c r="AU82" s="1044" t="s">
        <v>236</v>
      </c>
      <c r="AV82" s="1044"/>
      <c r="AW82" s="1044"/>
      <c r="AX82" s="1044"/>
      <c r="AY82" s="1044"/>
      <c r="AZ82" s="1044"/>
      <c r="BA82" s="1044"/>
      <c r="BB82" s="1044"/>
      <c r="BC82" s="1044"/>
      <c r="BD82" s="1044"/>
      <c r="BE82" s="1044"/>
    </row>
    <row r="83" spans="2:57" ht="14.65" customHeight="1" x14ac:dyDescent="0.15">
      <c r="B83" s="759" t="b">
        <f t="shared" si="0"/>
        <v>1</v>
      </c>
      <c r="E83" s="668">
        <v>15</v>
      </c>
      <c r="F83" s="161" t="s">
        <v>220</v>
      </c>
      <c r="Y83" s="312" t="s">
        <v>238</v>
      </c>
      <c r="AB83" s="282"/>
      <c r="AC83" s="281"/>
      <c r="AD83" s="281"/>
      <c r="AE83" s="280" t="s">
        <v>239</v>
      </c>
      <c r="AF83" s="360"/>
      <c r="AG83" s="140"/>
    </row>
    <row r="84" spans="2:57" ht="19.899999999999999" customHeight="1" x14ac:dyDescent="0.15">
      <c r="E84" s="668">
        <v>20.399999999999999</v>
      </c>
      <c r="F84" s="161" t="s">
        <v>240</v>
      </c>
      <c r="S84" s="1042" t="s">
        <v>186</v>
      </c>
      <c r="T84" s="1043" t="s">
        <v>187</v>
      </c>
      <c r="AB84" s="1431" t="s">
        <v>241</v>
      </c>
      <c r="AC84" s="1431"/>
      <c r="AD84" s="1431"/>
      <c r="AE84" s="370" t="s">
        <v>200</v>
      </c>
      <c r="AF84" s="360"/>
      <c r="AG84" s="103" t="s">
        <v>242</v>
      </c>
      <c r="AO84" s="1044"/>
      <c r="AP84" s="1044"/>
      <c r="AQ84" s="1044"/>
      <c r="AR84" s="1044"/>
      <c r="AS84" s="1044"/>
      <c r="AT84" s="1044"/>
      <c r="AU84" s="1044"/>
      <c r="AV84" s="1044" t="s">
        <v>243</v>
      </c>
      <c r="AW84" s="1044"/>
      <c r="AX84" s="1044"/>
      <c r="AY84" s="1044"/>
      <c r="AZ84" s="1044"/>
      <c r="BA84" s="1044"/>
      <c r="BB84" s="1044"/>
      <c r="BC84" s="1044"/>
      <c r="BD84" s="1044"/>
      <c r="BE84" s="1044"/>
    </row>
    <row r="85" spans="2:57" ht="19.899999999999999" customHeight="1" x14ac:dyDescent="0.15">
      <c r="B85" s="759" t="b">
        <f t="shared" ref="B85:B95" si="1">HAS_DOC4="да"</f>
        <v>1</v>
      </c>
      <c r="E85" s="668">
        <v>20.399999999999999</v>
      </c>
      <c r="S85" s="1042" t="s">
        <v>111</v>
      </c>
      <c r="T85" s="1043" t="s">
        <v>112</v>
      </c>
      <c r="AB85" s="1430" t="s">
        <v>224</v>
      </c>
      <c r="AC85" s="1431" t="s">
        <v>225</v>
      </c>
      <c r="AD85" s="1431"/>
      <c r="AE85" s="1159" t="s">
        <v>244</v>
      </c>
      <c r="AF85" s="360"/>
      <c r="AO85" s="1044"/>
      <c r="AP85" s="1044"/>
      <c r="AQ85" s="1044"/>
      <c r="AR85" s="1044"/>
      <c r="AS85" s="1044"/>
      <c r="AT85" s="1044"/>
      <c r="AU85" s="1044" t="s">
        <v>227</v>
      </c>
      <c r="AV85" s="1044" t="s">
        <v>243</v>
      </c>
      <c r="AW85" s="1044"/>
      <c r="AX85" s="1044"/>
      <c r="AY85" s="1044"/>
      <c r="AZ85" s="1044"/>
      <c r="BA85" s="1044"/>
      <c r="BB85" s="1044"/>
      <c r="BC85" s="1044"/>
      <c r="BD85" s="1044"/>
      <c r="BE85" s="1044"/>
    </row>
    <row r="86" spans="2:57" ht="19.899999999999999" customHeight="1" x14ac:dyDescent="0.15">
      <c r="B86" s="759" t="b">
        <f t="shared" si="1"/>
        <v>1</v>
      </c>
      <c r="E86" s="668">
        <v>20.399999999999999</v>
      </c>
      <c r="S86" s="1042" t="s">
        <v>111</v>
      </c>
      <c r="T86" s="1043" t="s">
        <v>112</v>
      </c>
      <c r="AB86" s="1430"/>
      <c r="AC86" s="1431" t="s">
        <v>228</v>
      </c>
      <c r="AD86" s="1431"/>
      <c r="AE86" s="1160" t="s">
        <v>245</v>
      </c>
      <c r="AF86" s="360"/>
      <c r="AO86" s="1044"/>
      <c r="AP86" s="1044"/>
      <c r="AQ86" s="1044"/>
      <c r="AR86" s="1044"/>
      <c r="AS86" s="1044"/>
      <c r="AT86" s="1044"/>
      <c r="AU86" s="1044" t="s">
        <v>230</v>
      </c>
      <c r="AV86" s="1044" t="s">
        <v>243</v>
      </c>
      <c r="AW86" s="1044"/>
      <c r="AX86" s="1044"/>
      <c r="AY86" s="1044"/>
      <c r="AZ86" s="1044"/>
      <c r="BA86" s="1044"/>
      <c r="BB86" s="1044"/>
      <c r="BC86" s="1044"/>
      <c r="BD86" s="1044"/>
      <c r="BE86" s="1044"/>
    </row>
    <row r="87" spans="2:57" ht="19.899999999999999" customHeight="1" x14ac:dyDescent="0.15">
      <c r="B87" s="759" t="b">
        <f t="shared" si="1"/>
        <v>1</v>
      </c>
      <c r="E87" s="668">
        <v>20.399999999999999</v>
      </c>
      <c r="S87" s="1042" t="s">
        <v>111</v>
      </c>
      <c r="T87" s="1043" t="s">
        <v>112</v>
      </c>
      <c r="AB87" s="1430"/>
      <c r="AC87" s="1431" t="s">
        <v>231</v>
      </c>
      <c r="AD87" s="1431"/>
      <c r="AE87" s="1159" t="s">
        <v>246</v>
      </c>
      <c r="AF87" s="360"/>
      <c r="AO87" s="1044"/>
      <c r="AP87" s="1044"/>
      <c r="AQ87" s="1044"/>
      <c r="AR87" s="1044"/>
      <c r="AS87" s="1044"/>
      <c r="AT87" s="1044"/>
      <c r="AU87" s="1044" t="s">
        <v>232</v>
      </c>
      <c r="AV87" s="1044" t="s">
        <v>243</v>
      </c>
      <c r="AW87" s="1044"/>
      <c r="AX87" s="1044"/>
      <c r="AY87" s="1044"/>
      <c r="AZ87" s="1044"/>
      <c r="BA87" s="1044"/>
      <c r="BB87" s="1044"/>
      <c r="BC87" s="1044"/>
      <c r="BD87" s="1044"/>
      <c r="BE87" s="1044"/>
    </row>
    <row r="88" spans="2:57" ht="19.899999999999999" customHeight="1" x14ac:dyDescent="0.15">
      <c r="B88" s="759" t="b">
        <f t="shared" si="1"/>
        <v>1</v>
      </c>
      <c r="E88" s="668">
        <v>20.399999999999999</v>
      </c>
      <c r="S88" s="1042" t="s">
        <v>111</v>
      </c>
      <c r="T88" s="1043" t="s">
        <v>112</v>
      </c>
      <c r="AB88" s="1430"/>
      <c r="AC88" s="1431" t="s">
        <v>233</v>
      </c>
      <c r="AD88" s="1431"/>
      <c r="AE88" s="1161">
        <v>44015.648472222223</v>
      </c>
      <c r="AF88" s="360"/>
      <c r="AO88" s="1044"/>
      <c r="AP88" s="1044"/>
      <c r="AQ88" s="1044"/>
      <c r="AR88" s="1044"/>
      <c r="AS88" s="1044"/>
      <c r="AT88" s="1044"/>
      <c r="AU88" s="1044" t="s">
        <v>234</v>
      </c>
      <c r="AV88" s="1044" t="s">
        <v>243</v>
      </c>
      <c r="AW88" s="1044"/>
      <c r="AX88" s="1044"/>
      <c r="AY88" s="1044"/>
      <c r="AZ88" s="1044"/>
      <c r="BA88" s="1044"/>
      <c r="BB88" s="1044"/>
      <c r="BC88" s="1044"/>
      <c r="BD88" s="1044"/>
      <c r="BE88" s="1044"/>
    </row>
    <row r="89" spans="2:57" ht="19.899999999999999" customHeight="1" x14ac:dyDescent="0.15">
      <c r="B89" s="759" t="b">
        <f t="shared" si="1"/>
        <v>1</v>
      </c>
      <c r="E89" s="668">
        <v>20.399999999999999</v>
      </c>
      <c r="S89" s="1042" t="s">
        <v>215</v>
      </c>
      <c r="T89" s="1043" t="s">
        <v>216</v>
      </c>
      <c r="AB89" s="1430"/>
      <c r="AC89" s="1431" t="s">
        <v>215</v>
      </c>
      <c r="AD89" s="1431"/>
      <c r="AE89" s="1162" t="s">
        <v>247</v>
      </c>
      <c r="AF89" s="360"/>
      <c r="AG89" s="140"/>
      <c r="AO89" s="1044"/>
      <c r="AP89" s="1044"/>
      <c r="AQ89" s="1044"/>
      <c r="AR89" s="1044"/>
      <c r="AS89" s="1044"/>
      <c r="AT89" s="1044"/>
      <c r="AU89" s="1044" t="s">
        <v>236</v>
      </c>
      <c r="AV89" s="1044" t="s">
        <v>243</v>
      </c>
      <c r="AW89" s="1044"/>
      <c r="AX89" s="1044"/>
      <c r="AY89" s="1044"/>
      <c r="AZ89" s="1044"/>
      <c r="BA89" s="1044"/>
      <c r="BB89" s="1044"/>
      <c r="BC89" s="1044"/>
      <c r="BD89" s="1044"/>
      <c r="BE89" s="1044"/>
    </row>
    <row r="90" spans="2:57" ht="19.899999999999999" hidden="1" customHeight="1" x14ac:dyDescent="0.15">
      <c r="B90" s="759" t="b">
        <f t="shared" si="1"/>
        <v>1</v>
      </c>
      <c r="E90" s="668">
        <v>20.399999999999999</v>
      </c>
      <c r="S90" s="1042" t="s">
        <v>111</v>
      </c>
      <c r="T90" s="1043" t="s">
        <v>112</v>
      </c>
      <c r="W90" s="690" t="b">
        <f>ROW(Y90)&gt;ROW(Y$90)</f>
        <v>0</v>
      </c>
      <c r="Y90" s="126" t="s">
        <v>237</v>
      </c>
      <c r="AA90" s="1432" t="s">
        <v>218</v>
      </c>
      <c r="AB90" s="1430" t="s">
        <v>224</v>
      </c>
      <c r="AC90" s="1431" t="s">
        <v>225</v>
      </c>
      <c r="AD90" s="1431"/>
      <c r="AE90" s="393"/>
      <c r="AF90" s="360"/>
      <c r="AO90" s="1051" cm="1">
        <f t="array" ref="AO90">AE90</f>
        <v>0</v>
      </c>
      <c r="AP90" s="1044"/>
      <c r="AQ90" s="1044"/>
      <c r="AR90" s="1044"/>
      <c r="AS90" s="1044"/>
      <c r="AT90" s="1044"/>
      <c r="AU90" s="1044" t="s">
        <v>227</v>
      </c>
      <c r="AV90" s="1044" t="s">
        <v>243</v>
      </c>
      <c r="AW90" s="1044"/>
      <c r="AX90" s="1044"/>
      <c r="AY90" s="1044"/>
      <c r="AZ90" s="1044"/>
      <c r="BA90" s="1044"/>
      <c r="BB90" s="1044"/>
      <c r="BC90" s="1044"/>
      <c r="BD90" s="1044"/>
      <c r="BE90" s="1044"/>
    </row>
    <row r="91" spans="2:57" ht="19.899999999999999" hidden="1" customHeight="1" x14ac:dyDescent="0.15">
      <c r="B91" s="759" t="b">
        <f t="shared" si="1"/>
        <v>1</v>
      </c>
      <c r="E91" s="668">
        <v>20.399999999999999</v>
      </c>
      <c r="S91" s="1042" t="s">
        <v>111</v>
      </c>
      <c r="T91" s="1043" t="s">
        <v>112</v>
      </c>
      <c r="W91" s="690" t="b" cm="1">
        <f t="array" ref="W91">W90</f>
        <v>0</v>
      </c>
      <c r="AA91" s="1432"/>
      <c r="AB91" s="1430"/>
      <c r="AC91" s="1431" t="s">
        <v>228</v>
      </c>
      <c r="AD91" s="1431"/>
      <c r="AE91" s="394" t="s">
        <v>247</v>
      </c>
      <c r="AF91" s="360"/>
      <c r="AO91" s="1051" cm="1">
        <f t="array" ref="AO91">AO90</f>
        <v>0</v>
      </c>
      <c r="AP91" s="1044"/>
      <c r="AQ91" s="1044"/>
      <c r="AR91" s="1044"/>
      <c r="AS91" s="1044"/>
      <c r="AT91" s="1044"/>
      <c r="AU91" s="1044" t="s">
        <v>230</v>
      </c>
      <c r="AV91" s="1044" t="s">
        <v>243</v>
      </c>
      <c r="AW91" s="1044"/>
      <c r="AX91" s="1044"/>
      <c r="AY91" s="1044"/>
      <c r="AZ91" s="1044"/>
      <c r="BA91" s="1044"/>
      <c r="BB91" s="1044"/>
      <c r="BC91" s="1044"/>
      <c r="BD91" s="1044"/>
      <c r="BE91" s="1044"/>
    </row>
    <row r="92" spans="2:57" ht="19.899999999999999" hidden="1" customHeight="1" x14ac:dyDescent="0.15">
      <c r="B92" s="759" t="b">
        <f t="shared" si="1"/>
        <v>1</v>
      </c>
      <c r="E92" s="668">
        <v>20.399999999999999</v>
      </c>
      <c r="S92" s="1042" t="s">
        <v>111</v>
      </c>
      <c r="T92" s="1043" t="s">
        <v>112</v>
      </c>
      <c r="W92" s="690" t="b" cm="1">
        <f t="array" ref="W92">W91</f>
        <v>0</v>
      </c>
      <c r="AA92" s="1432"/>
      <c r="AB92" s="1430"/>
      <c r="AC92" s="1431" t="s">
        <v>231</v>
      </c>
      <c r="AD92" s="1431"/>
      <c r="AE92" s="393" t="s">
        <v>247</v>
      </c>
      <c r="AF92" s="360"/>
      <c r="AO92" s="1051" cm="1">
        <f t="array" ref="AO92">AO91</f>
        <v>0</v>
      </c>
      <c r="AP92" s="1044"/>
      <c r="AQ92" s="1044"/>
      <c r="AR92" s="1044"/>
      <c r="AS92" s="1044"/>
      <c r="AT92" s="1044"/>
      <c r="AU92" s="1044" t="s">
        <v>232</v>
      </c>
      <c r="AV92" s="1044" t="s">
        <v>243</v>
      </c>
      <c r="AW92" s="1044"/>
      <c r="AX92" s="1044"/>
      <c r="AY92" s="1044"/>
      <c r="AZ92" s="1044"/>
      <c r="BA92" s="1044"/>
      <c r="BB92" s="1044"/>
      <c r="BC92" s="1044"/>
      <c r="BD92" s="1044"/>
      <c r="BE92" s="1044"/>
    </row>
    <row r="93" spans="2:57" ht="19.899999999999999" hidden="1" customHeight="1" x14ac:dyDescent="0.15">
      <c r="B93" s="759" t="b">
        <f t="shared" si="1"/>
        <v>1</v>
      </c>
      <c r="E93" s="668">
        <v>20.399999999999999</v>
      </c>
      <c r="S93" s="1042" t="s">
        <v>111</v>
      </c>
      <c r="T93" s="1043" t="s">
        <v>112</v>
      </c>
      <c r="W93" s="690" t="b" cm="1">
        <f t="array" ref="W93">W92</f>
        <v>0</v>
      </c>
      <c r="AA93" s="1432"/>
      <c r="AB93" s="1430"/>
      <c r="AC93" s="1431" t="s">
        <v>233</v>
      </c>
      <c r="AD93" s="1431"/>
      <c r="AE93" s="755" t="s">
        <v>247</v>
      </c>
      <c r="AF93" s="360"/>
      <c r="AO93" s="1051" cm="1">
        <f t="array" ref="AO93">AO92</f>
        <v>0</v>
      </c>
      <c r="AP93" s="1044"/>
      <c r="AQ93" s="1044"/>
      <c r="AR93" s="1044"/>
      <c r="AS93" s="1044"/>
      <c r="AT93" s="1044"/>
      <c r="AU93" s="1044" t="s">
        <v>234</v>
      </c>
      <c r="AV93" s="1044" t="s">
        <v>243</v>
      </c>
      <c r="AW93" s="1044"/>
      <c r="AX93" s="1044"/>
      <c r="AY93" s="1044"/>
      <c r="AZ93" s="1044"/>
      <c r="BA93" s="1044"/>
      <c r="BB93" s="1044"/>
      <c r="BC93" s="1044"/>
      <c r="BD93" s="1044"/>
      <c r="BE93" s="1044"/>
    </row>
    <row r="94" spans="2:57" ht="19.899999999999999" hidden="1" customHeight="1" x14ac:dyDescent="0.15">
      <c r="B94" s="759" t="b">
        <f t="shared" si="1"/>
        <v>1</v>
      </c>
      <c r="E94" s="668">
        <v>20.399999999999999</v>
      </c>
      <c r="S94" s="1042" t="s">
        <v>215</v>
      </c>
      <c r="T94" s="1043" t="s">
        <v>216</v>
      </c>
      <c r="W94" s="690" t="b" cm="1">
        <f t="array" ref="W94">W93</f>
        <v>0</v>
      </c>
      <c r="AA94" s="1432"/>
      <c r="AB94" s="1430"/>
      <c r="AC94" s="1431" t="s">
        <v>215</v>
      </c>
      <c r="AD94" s="1431"/>
      <c r="AE94" s="392" t="s">
        <v>247</v>
      </c>
      <c r="AF94" s="360"/>
      <c r="AG94" s="140"/>
      <c r="AO94" s="1051" cm="1">
        <f t="array" ref="AO94">AO93</f>
        <v>0</v>
      </c>
      <c r="AP94" s="1044"/>
      <c r="AQ94" s="1044"/>
      <c r="AR94" s="1044"/>
      <c r="AS94" s="1044"/>
      <c r="AT94" s="1044"/>
      <c r="AU94" s="1044" t="s">
        <v>236</v>
      </c>
      <c r="AV94" s="1044" t="s">
        <v>243</v>
      </c>
      <c r="AW94" s="1044"/>
      <c r="AX94" s="1044"/>
      <c r="AY94" s="1044"/>
      <c r="AZ94" s="1044"/>
      <c r="BA94" s="1044"/>
      <c r="BB94" s="1044"/>
      <c r="BC94" s="1044"/>
      <c r="BD94" s="1044"/>
      <c r="BE94" s="1044"/>
    </row>
    <row r="95" spans="2:57" ht="14.65" customHeight="1" x14ac:dyDescent="0.15">
      <c r="B95" s="759" t="b">
        <f t="shared" si="1"/>
        <v>1</v>
      </c>
      <c r="E95" s="668">
        <v>15</v>
      </c>
      <c r="F95" s="161" t="s">
        <v>240</v>
      </c>
      <c r="Y95" s="312" t="s">
        <v>238</v>
      </c>
      <c r="AB95" s="282"/>
      <c r="AC95" s="281"/>
      <c r="AD95" s="281"/>
      <c r="AE95" s="280" t="s">
        <v>239</v>
      </c>
      <c r="AF95" s="360"/>
      <c r="AG95" s="140"/>
    </row>
    <row r="96" spans="2:57" ht="24" customHeight="1" x14ac:dyDescent="0.15">
      <c r="E96" s="668">
        <v>24.6</v>
      </c>
      <c r="F96" s="161" t="s">
        <v>248</v>
      </c>
      <c r="S96" s="1042" t="s">
        <v>186</v>
      </c>
      <c r="T96" s="1043" t="s">
        <v>187</v>
      </c>
      <c r="AB96" s="143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31"/>
      <c r="AD96" s="1431"/>
      <c r="AE96" s="370" t="s">
        <v>200</v>
      </c>
      <c r="AF96" s="365"/>
      <c r="AG96" s="103" t="s">
        <v>249</v>
      </c>
      <c r="AO96" s="1044"/>
      <c r="AP96" s="1044"/>
      <c r="AQ96" s="1044"/>
      <c r="AR96" s="1044"/>
      <c r="AS96" s="1044"/>
      <c r="AT96" s="1044"/>
      <c r="AU96" s="1044"/>
      <c r="AV96" s="1044"/>
      <c r="AW96" s="1044" t="s">
        <v>250</v>
      </c>
      <c r="AX96" s="1044" t="s">
        <v>251</v>
      </c>
      <c r="AY96" s="1044"/>
      <c r="AZ96" s="1044"/>
      <c r="BA96" s="1044"/>
      <c r="BB96" s="1044"/>
      <c r="BC96" s="1044"/>
      <c r="BD96" s="1044"/>
      <c r="BE96" s="1044"/>
    </row>
    <row r="97" spans="2:57" ht="19.899999999999999" customHeight="1" x14ac:dyDescent="0.15">
      <c r="B97" s="759" t="b">
        <f t="shared" ref="B97:B109" si="2">HAS_DOC5="да"</f>
        <v>1</v>
      </c>
      <c r="E97" s="668">
        <v>20.399999999999999</v>
      </c>
      <c r="S97" s="1042" t="s">
        <v>111</v>
      </c>
      <c r="T97" s="1043" t="s">
        <v>112</v>
      </c>
      <c r="AB97" s="1430" t="s">
        <v>224</v>
      </c>
      <c r="AC97" s="1431" t="s">
        <v>225</v>
      </c>
      <c r="AD97" s="1431"/>
      <c r="AE97" s="352" t="s">
        <v>252</v>
      </c>
      <c r="AF97" s="360"/>
      <c r="AO97" s="1044"/>
      <c r="AP97" s="1044"/>
      <c r="AQ97" s="1044"/>
      <c r="AR97" s="1044"/>
      <c r="AS97" s="1044"/>
      <c r="AT97" s="1044"/>
      <c r="AU97" s="1044" t="s">
        <v>227</v>
      </c>
      <c r="AV97" s="1044"/>
      <c r="AW97" s="1044" t="s">
        <v>250</v>
      </c>
      <c r="AX97" s="1044" t="s">
        <v>251</v>
      </c>
      <c r="AY97" s="1044"/>
      <c r="AZ97" s="1044"/>
      <c r="BA97" s="1044"/>
      <c r="BB97" s="1044"/>
      <c r="BC97" s="1044"/>
      <c r="BD97" s="1044"/>
      <c r="BE97" s="1044"/>
    </row>
    <row r="98" spans="2:57" ht="19.899999999999999" customHeight="1" x14ac:dyDescent="0.15">
      <c r="B98" s="759" t="b">
        <f t="shared" si="2"/>
        <v>1</v>
      </c>
      <c r="E98" s="668">
        <v>20.399999999999999</v>
      </c>
      <c r="S98" s="1042" t="s">
        <v>111</v>
      </c>
      <c r="T98" s="1043" t="s">
        <v>112</v>
      </c>
      <c r="AB98" s="1430"/>
      <c r="AC98" s="1431" t="s">
        <v>228</v>
      </c>
      <c r="AD98" s="1431"/>
      <c r="AE98" s="353" t="s">
        <v>253</v>
      </c>
      <c r="AF98" s="360"/>
      <c r="AO98" s="1044"/>
      <c r="AP98" s="1044"/>
      <c r="AQ98" s="1044"/>
      <c r="AR98" s="1044"/>
      <c r="AS98" s="1044"/>
      <c r="AT98" s="1044"/>
      <c r="AU98" s="1044" t="s">
        <v>230</v>
      </c>
      <c r="AV98" s="1044"/>
      <c r="AW98" s="1044" t="s">
        <v>250</v>
      </c>
      <c r="AX98" s="1044" t="s">
        <v>251</v>
      </c>
      <c r="AY98" s="1044"/>
      <c r="AZ98" s="1044"/>
      <c r="BA98" s="1044"/>
      <c r="BB98" s="1044"/>
      <c r="BC98" s="1044"/>
      <c r="BD98" s="1044"/>
      <c r="BE98" s="1044"/>
    </row>
    <row r="99" spans="2:57" ht="19.899999999999999" customHeight="1" x14ac:dyDescent="0.15">
      <c r="B99" s="759" t="b">
        <f t="shared" si="2"/>
        <v>1</v>
      </c>
      <c r="E99" s="668">
        <v>20.399999999999999</v>
      </c>
      <c r="S99" s="1042" t="s">
        <v>111</v>
      </c>
      <c r="T99" s="1043" t="s">
        <v>112</v>
      </c>
      <c r="AB99" s="1430"/>
      <c r="AC99" s="1431" t="s">
        <v>231</v>
      </c>
      <c r="AD99" s="1431"/>
      <c r="AE99" s="352" t="s">
        <v>254</v>
      </c>
      <c r="AF99" s="360"/>
      <c r="AO99" s="1044"/>
      <c r="AP99" s="1044"/>
      <c r="AQ99" s="1044"/>
      <c r="AR99" s="1044"/>
      <c r="AS99" s="1044"/>
      <c r="AT99" s="1044"/>
      <c r="AU99" s="1044" t="s">
        <v>232</v>
      </c>
      <c r="AV99" s="1044"/>
      <c r="AW99" s="1044" t="s">
        <v>250</v>
      </c>
      <c r="AX99" s="1044" t="s">
        <v>251</v>
      </c>
      <c r="AY99" s="1044"/>
      <c r="AZ99" s="1044"/>
      <c r="BA99" s="1044"/>
      <c r="BB99" s="1044"/>
      <c r="BC99" s="1044"/>
      <c r="BD99" s="1044"/>
      <c r="BE99" s="1044"/>
    </row>
    <row r="100" spans="2:57" ht="19.899999999999999" customHeight="1" x14ac:dyDescent="0.15">
      <c r="B100" s="759" t="b">
        <f t="shared" si="2"/>
        <v>1</v>
      </c>
      <c r="E100" s="668">
        <v>20.399999999999999</v>
      </c>
      <c r="S100" s="1042" t="s">
        <v>111</v>
      </c>
      <c r="T100" s="1043" t="s">
        <v>112</v>
      </c>
      <c r="AB100" s="1430"/>
      <c r="AC100" s="1431" t="s">
        <v>233</v>
      </c>
      <c r="AD100" s="1431"/>
      <c r="AE100" s="754">
        <v>45233.649780092594</v>
      </c>
      <c r="AF100" s="360"/>
      <c r="AO100" s="1044"/>
      <c r="AP100" s="1044"/>
      <c r="AQ100" s="1044"/>
      <c r="AR100" s="1044"/>
      <c r="AS100" s="1044"/>
      <c r="AT100" s="1044"/>
      <c r="AU100" s="1044" t="s">
        <v>234</v>
      </c>
      <c r="AV100" s="1044"/>
      <c r="AW100" s="1044" t="s">
        <v>250</v>
      </c>
      <c r="AX100" s="1044" t="s">
        <v>251</v>
      </c>
      <c r="AY100" s="1044"/>
      <c r="AZ100" s="1044"/>
      <c r="BA100" s="1044"/>
      <c r="BB100" s="1044"/>
      <c r="BC100" s="1044"/>
      <c r="BD100" s="1044"/>
      <c r="BE100" s="1044"/>
    </row>
    <row r="101" spans="2:57" ht="19.899999999999999" customHeight="1" x14ac:dyDescent="0.15">
      <c r="B101" s="759" t="b">
        <f t="shared" si="2"/>
        <v>1</v>
      </c>
      <c r="E101" s="668">
        <v>20.399999999999999</v>
      </c>
      <c r="S101" s="1042" t="s">
        <v>111</v>
      </c>
      <c r="T101" s="1043" t="s">
        <v>112</v>
      </c>
      <c r="AB101" s="1430"/>
      <c r="AC101" s="1431" t="s">
        <v>255</v>
      </c>
      <c r="AD101" s="1431"/>
      <c r="AE101" s="754">
        <v>45292.649918981479</v>
      </c>
      <c r="AF101" s="360"/>
      <c r="AO101" s="1044"/>
      <c r="AP101" s="1044"/>
      <c r="AQ101" s="1044"/>
      <c r="AR101" s="1044"/>
      <c r="AS101" s="1044"/>
      <c r="AT101" s="1044"/>
      <c r="AU101" s="1044" t="s">
        <v>256</v>
      </c>
      <c r="AV101" s="1044"/>
      <c r="AW101" s="1044" t="s">
        <v>250</v>
      </c>
      <c r="AX101" s="1044" t="s">
        <v>251</v>
      </c>
      <c r="AY101" s="1044"/>
      <c r="AZ101" s="1044"/>
      <c r="BA101" s="1044"/>
      <c r="BB101" s="1044"/>
      <c r="BC101" s="1044"/>
      <c r="BD101" s="1044"/>
      <c r="BE101" s="1044"/>
    </row>
    <row r="102" spans="2:57" ht="19.899999999999999" customHeight="1" x14ac:dyDescent="0.15">
      <c r="B102" s="759" t="b">
        <f t="shared" si="2"/>
        <v>1</v>
      </c>
      <c r="E102" s="668">
        <v>20.399999999999999</v>
      </c>
      <c r="S102" s="1042" t="s">
        <v>111</v>
      </c>
      <c r="T102" s="1043" t="s">
        <v>112</v>
      </c>
      <c r="AB102" s="1430"/>
      <c r="AC102" s="1431" t="s">
        <v>257</v>
      </c>
      <c r="AD102" s="1431"/>
      <c r="AE102" s="754">
        <v>47118.650081018517</v>
      </c>
      <c r="AF102" s="360"/>
      <c r="AO102" s="1044"/>
      <c r="AP102" s="1044"/>
      <c r="AQ102" s="1044"/>
      <c r="AR102" s="1044"/>
      <c r="AS102" s="1044"/>
      <c r="AT102" s="1044"/>
      <c r="AU102" s="1044" t="s">
        <v>258</v>
      </c>
      <c r="AV102" s="1044"/>
      <c r="AW102" s="1044" t="s">
        <v>250</v>
      </c>
      <c r="AX102" s="1044" t="s">
        <v>251</v>
      </c>
      <c r="AY102" s="1044"/>
      <c r="AZ102" s="1044"/>
      <c r="BA102" s="1044"/>
      <c r="BB102" s="1044"/>
      <c r="BC102" s="1044"/>
      <c r="BD102" s="1044"/>
      <c r="BE102" s="1044"/>
    </row>
    <row r="103" spans="2:57" ht="19.899999999999999" hidden="1" customHeight="1" x14ac:dyDescent="0.15">
      <c r="B103" s="759" t="b">
        <f t="shared" si="2"/>
        <v>1</v>
      </c>
      <c r="E103" s="668">
        <v>20.399999999999999</v>
      </c>
      <c r="S103" s="1042" t="s">
        <v>111</v>
      </c>
      <c r="T103" s="1043" t="s">
        <v>112</v>
      </c>
      <c r="W103" s="690" t="b">
        <f>ROW(Y103)&gt;ROW(Y$103)</f>
        <v>0</v>
      </c>
      <c r="Y103" s="126" t="s">
        <v>237</v>
      </c>
      <c r="AA103" s="1432" t="s">
        <v>218</v>
      </c>
      <c r="AB103" s="1430" t="s">
        <v>224</v>
      </c>
      <c r="AC103" s="1431" t="s">
        <v>225</v>
      </c>
      <c r="AD103" s="1431"/>
      <c r="AE103" s="1163"/>
      <c r="AF103" s="360"/>
      <c r="AO103" s="1051" cm="1">
        <f t="array" ref="AO103">AE103</f>
        <v>0</v>
      </c>
      <c r="AP103" s="1044"/>
      <c r="AQ103" s="1044"/>
      <c r="AR103" s="1044"/>
      <c r="AS103" s="1044"/>
      <c r="AT103" s="1044"/>
      <c r="AU103" s="1044" t="s">
        <v>227</v>
      </c>
      <c r="AV103" s="1044"/>
      <c r="AW103" s="1044" t="s">
        <v>250</v>
      </c>
      <c r="AX103" s="1044" t="s">
        <v>251</v>
      </c>
      <c r="AY103" s="1044"/>
      <c r="AZ103" s="1044"/>
      <c r="BA103" s="1044"/>
      <c r="BB103" s="1044"/>
      <c r="BC103" s="1044"/>
      <c r="BD103" s="1044"/>
      <c r="BE103" s="1044"/>
    </row>
    <row r="104" spans="2:57" ht="19.899999999999999" hidden="1" customHeight="1" x14ac:dyDescent="0.15">
      <c r="B104" s="759" t="b">
        <f t="shared" si="2"/>
        <v>1</v>
      </c>
      <c r="E104" s="668">
        <v>20.399999999999999</v>
      </c>
      <c r="S104" s="1042" t="s">
        <v>111</v>
      </c>
      <c r="T104" s="1043" t="s">
        <v>112</v>
      </c>
      <c r="W104" s="690" t="b" cm="1">
        <f t="array" ref="W104">W103</f>
        <v>0</v>
      </c>
      <c r="AA104" s="1432"/>
      <c r="AB104" s="1430"/>
      <c r="AC104" s="1431" t="s">
        <v>228</v>
      </c>
      <c r="AD104" s="1431"/>
      <c r="AE104" s="1164"/>
      <c r="AF104" s="360"/>
      <c r="AO104" s="1051" cm="1">
        <f t="array" ref="AO104">AO103</f>
        <v>0</v>
      </c>
      <c r="AP104" s="1044"/>
      <c r="AQ104" s="1044"/>
      <c r="AR104" s="1044"/>
      <c r="AS104" s="1044"/>
      <c r="AT104" s="1044"/>
      <c r="AU104" s="1044" t="s">
        <v>230</v>
      </c>
      <c r="AV104" s="1044"/>
      <c r="AW104" s="1044" t="s">
        <v>250</v>
      </c>
      <c r="AX104" s="1044" t="s">
        <v>251</v>
      </c>
      <c r="AY104" s="1044"/>
      <c r="AZ104" s="1044"/>
      <c r="BA104" s="1044"/>
      <c r="BB104" s="1044"/>
      <c r="BC104" s="1044"/>
      <c r="BD104" s="1044"/>
      <c r="BE104" s="1044"/>
    </row>
    <row r="105" spans="2:57" ht="19.899999999999999" hidden="1" customHeight="1" x14ac:dyDescent="0.15">
      <c r="B105" s="759" t="b">
        <f t="shared" si="2"/>
        <v>1</v>
      </c>
      <c r="E105" s="668">
        <v>20.399999999999999</v>
      </c>
      <c r="S105" s="1042" t="s">
        <v>111</v>
      </c>
      <c r="T105" s="1043" t="s">
        <v>112</v>
      </c>
      <c r="W105" s="690" t="b" cm="1">
        <f t="array" ref="W105">W104</f>
        <v>0</v>
      </c>
      <c r="AA105" s="1432"/>
      <c r="AB105" s="1430"/>
      <c r="AC105" s="1431" t="s">
        <v>231</v>
      </c>
      <c r="AD105" s="1431"/>
      <c r="AE105" s="1163"/>
      <c r="AF105" s="360"/>
      <c r="AO105" s="1051" cm="1">
        <f t="array" ref="AO105">AO104</f>
        <v>0</v>
      </c>
      <c r="AP105" s="1044"/>
      <c r="AQ105" s="1044"/>
      <c r="AR105" s="1044"/>
      <c r="AS105" s="1044"/>
      <c r="AT105" s="1044"/>
      <c r="AU105" s="1044" t="s">
        <v>232</v>
      </c>
      <c r="AV105" s="1044"/>
      <c r="AW105" s="1044" t="s">
        <v>250</v>
      </c>
      <c r="AX105" s="1044" t="s">
        <v>251</v>
      </c>
      <c r="AY105" s="1044"/>
      <c r="AZ105" s="1044"/>
      <c r="BA105" s="1044"/>
      <c r="BB105" s="1044"/>
      <c r="BC105" s="1044"/>
      <c r="BD105" s="1044"/>
      <c r="BE105" s="1044"/>
    </row>
    <row r="106" spans="2:57" ht="19.899999999999999" hidden="1" customHeight="1" x14ac:dyDescent="0.15">
      <c r="B106" s="759" t="b">
        <f t="shared" si="2"/>
        <v>1</v>
      </c>
      <c r="E106" s="668">
        <v>20.399999999999999</v>
      </c>
      <c r="S106" s="1042" t="s">
        <v>111</v>
      </c>
      <c r="T106" s="1043" t="s">
        <v>112</v>
      </c>
      <c r="W106" s="690" t="b" cm="1">
        <f t="array" ref="W106">W105</f>
        <v>0</v>
      </c>
      <c r="AA106" s="1432"/>
      <c r="AB106" s="1430"/>
      <c r="AC106" s="1431" t="s">
        <v>233</v>
      </c>
      <c r="AD106" s="1431"/>
      <c r="AE106" s="1165"/>
      <c r="AF106" s="360"/>
      <c r="AO106" s="1051" cm="1">
        <f t="array" ref="AO106">AO105</f>
        <v>0</v>
      </c>
      <c r="AP106" s="1044"/>
      <c r="AQ106" s="1044"/>
      <c r="AR106" s="1044"/>
      <c r="AS106" s="1044"/>
      <c r="AT106" s="1044"/>
      <c r="AU106" s="1044" t="s">
        <v>234</v>
      </c>
      <c r="AV106" s="1044"/>
      <c r="AW106" s="1044" t="s">
        <v>250</v>
      </c>
      <c r="AX106" s="1044" t="s">
        <v>251</v>
      </c>
      <c r="AY106" s="1044"/>
      <c r="AZ106" s="1044"/>
      <c r="BA106" s="1044"/>
      <c r="BB106" s="1044"/>
      <c r="BC106" s="1044"/>
      <c r="BD106" s="1044"/>
      <c r="BE106" s="1044"/>
    </row>
    <row r="107" spans="2:57" ht="19.899999999999999" hidden="1" customHeight="1" x14ac:dyDescent="0.15">
      <c r="B107" s="759" t="b">
        <f t="shared" si="2"/>
        <v>1</v>
      </c>
      <c r="E107" s="668">
        <v>20.399999999999999</v>
      </c>
      <c r="S107" s="1042" t="s">
        <v>111</v>
      </c>
      <c r="T107" s="1043" t="s">
        <v>112</v>
      </c>
      <c r="W107" s="690" t="b" cm="1">
        <f t="array" ref="W107">W106</f>
        <v>0</v>
      </c>
      <c r="AA107" s="1432"/>
      <c r="AB107" s="1430"/>
      <c r="AC107" s="1431" t="s">
        <v>255</v>
      </c>
      <c r="AD107" s="1431"/>
      <c r="AE107" s="1165"/>
      <c r="AF107" s="360"/>
      <c r="AO107" s="1051" cm="1">
        <f t="array" ref="AO107">AO106</f>
        <v>0</v>
      </c>
      <c r="AP107" s="1044"/>
      <c r="AQ107" s="1044"/>
      <c r="AR107" s="1044"/>
      <c r="AS107" s="1044"/>
      <c r="AT107" s="1044"/>
      <c r="AU107" s="1044" t="s">
        <v>256</v>
      </c>
      <c r="AV107" s="1044"/>
      <c r="AW107" s="1044" t="s">
        <v>250</v>
      </c>
      <c r="AX107" s="1044" t="s">
        <v>251</v>
      </c>
      <c r="AY107" s="1044"/>
      <c r="AZ107" s="1044"/>
      <c r="BA107" s="1044"/>
      <c r="BB107" s="1044"/>
      <c r="BC107" s="1044"/>
      <c r="BD107" s="1044"/>
      <c r="BE107" s="1044"/>
    </row>
    <row r="108" spans="2:57" ht="19.899999999999999" hidden="1" customHeight="1" x14ac:dyDescent="0.15">
      <c r="B108" s="759" t="b">
        <f t="shared" si="2"/>
        <v>1</v>
      </c>
      <c r="E108" s="668">
        <v>20.399999999999999</v>
      </c>
      <c r="S108" s="1042" t="s">
        <v>111</v>
      </c>
      <c r="T108" s="1043" t="s">
        <v>112</v>
      </c>
      <c r="W108" s="690" t="b" cm="1">
        <f t="array" ref="W108">W107</f>
        <v>0</v>
      </c>
      <c r="AA108" s="1432"/>
      <c r="AB108" s="1430"/>
      <c r="AC108" s="1431" t="s">
        <v>257</v>
      </c>
      <c r="AD108" s="1431"/>
      <c r="AE108" s="1165"/>
      <c r="AF108" s="360"/>
      <c r="AO108" s="1051" cm="1">
        <f t="array" ref="AO108">AO107</f>
        <v>0</v>
      </c>
      <c r="AP108" s="1044"/>
      <c r="AQ108" s="1044"/>
      <c r="AR108" s="1044"/>
      <c r="AS108" s="1044"/>
      <c r="AT108" s="1044"/>
      <c r="AU108" s="1044" t="s">
        <v>258</v>
      </c>
      <c r="AV108" s="1044"/>
      <c r="AW108" s="1044" t="s">
        <v>250</v>
      </c>
      <c r="AX108" s="1044" t="s">
        <v>251</v>
      </c>
      <c r="AY108" s="1044"/>
      <c r="AZ108" s="1044"/>
      <c r="BA108" s="1044"/>
      <c r="BB108" s="1044"/>
      <c r="BC108" s="1044"/>
      <c r="BD108" s="1044"/>
      <c r="BE108" s="1044"/>
    </row>
    <row r="109" spans="2:57" ht="14.65" customHeight="1" x14ac:dyDescent="0.15">
      <c r="B109" s="759" t="b">
        <f t="shared" si="2"/>
        <v>1</v>
      </c>
      <c r="E109" s="668">
        <v>15</v>
      </c>
      <c r="F109" s="161" t="s">
        <v>248</v>
      </c>
      <c r="Y109" s="312" t="s">
        <v>238</v>
      </c>
      <c r="AB109" s="282"/>
      <c r="AC109" s="281"/>
      <c r="AD109" s="281"/>
      <c r="AE109" s="280" t="s">
        <v>239</v>
      </c>
      <c r="AF109" s="360"/>
      <c r="AG109" s="140"/>
    </row>
    <row r="110" spans="2:57" ht="24" customHeight="1" x14ac:dyDescent="0.15">
      <c r="E110" s="668">
        <v>24.6</v>
      </c>
      <c r="F110" s="161" t="s">
        <v>259</v>
      </c>
      <c r="S110" s="1042" t="s">
        <v>186</v>
      </c>
      <c r="T110" s="1043" t="s">
        <v>187</v>
      </c>
      <c r="AB110" s="143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31"/>
      <c r="AD110" s="1431"/>
      <c r="AE110" s="370" t="s">
        <v>200</v>
      </c>
      <c r="AF110" s="365"/>
      <c r="AG110" s="103" t="s">
        <v>260</v>
      </c>
      <c r="AO110" s="1044"/>
      <c r="AP110" s="1044"/>
      <c r="AQ110" s="1044"/>
      <c r="AR110" s="1044"/>
      <c r="AS110" s="1044"/>
      <c r="AT110" s="1044"/>
      <c r="AU110" s="1044"/>
      <c r="AV110" s="1044"/>
      <c r="AW110" s="1044" t="s">
        <v>250</v>
      </c>
      <c r="AX110" s="1044" t="s">
        <v>261</v>
      </c>
      <c r="AY110" s="1044"/>
      <c r="AZ110" s="1044"/>
      <c r="BA110" s="1044"/>
      <c r="BB110" s="1044"/>
      <c r="BC110" s="1044"/>
      <c r="BD110" s="1044"/>
      <c r="BE110" s="1044"/>
    </row>
    <row r="111" spans="2:57" ht="19.899999999999999" customHeight="1" x14ac:dyDescent="0.15">
      <c r="B111" s="759" t="b">
        <f t="shared" ref="B111:B123" si="3">HAS_DOC6="да"</f>
        <v>1</v>
      </c>
      <c r="E111" s="668">
        <v>20.399999999999999</v>
      </c>
      <c r="S111" s="1042" t="s">
        <v>111</v>
      </c>
      <c r="T111" s="1043" t="s">
        <v>112</v>
      </c>
      <c r="AB111" s="1430" t="s">
        <v>224</v>
      </c>
      <c r="AC111" s="1431" t="s">
        <v>225</v>
      </c>
      <c r="AD111" s="1431"/>
      <c r="AE111" s="1159" t="s">
        <v>262</v>
      </c>
      <c r="AF111" s="360"/>
      <c r="AO111" s="1044"/>
      <c r="AP111" s="1044"/>
      <c r="AQ111" s="1044"/>
      <c r="AR111" s="1044"/>
      <c r="AS111" s="1044"/>
      <c r="AT111" s="1044"/>
      <c r="AU111" s="1044" t="s">
        <v>227</v>
      </c>
      <c r="AV111" s="1044"/>
      <c r="AW111" s="1044" t="s">
        <v>250</v>
      </c>
      <c r="AX111" s="1044" t="s">
        <v>261</v>
      </c>
      <c r="AY111" s="1044"/>
      <c r="AZ111" s="1044"/>
      <c r="BA111" s="1044"/>
      <c r="BB111" s="1044"/>
      <c r="BC111" s="1044"/>
      <c r="BD111" s="1044"/>
      <c r="BE111" s="1044"/>
    </row>
    <row r="112" spans="2:57" ht="19.899999999999999" customHeight="1" x14ac:dyDescent="0.15">
      <c r="B112" s="759" t="b">
        <f t="shared" si="3"/>
        <v>1</v>
      </c>
      <c r="E112" s="668">
        <v>20.399999999999999</v>
      </c>
      <c r="S112" s="1042" t="s">
        <v>111</v>
      </c>
      <c r="T112" s="1043" t="s">
        <v>112</v>
      </c>
      <c r="AB112" s="1430"/>
      <c r="AC112" s="1431" t="s">
        <v>228</v>
      </c>
      <c r="AD112" s="1431"/>
      <c r="AE112" s="1160" t="s">
        <v>253</v>
      </c>
      <c r="AF112" s="360"/>
      <c r="AO112" s="1044"/>
      <c r="AP112" s="1044"/>
      <c r="AQ112" s="1044"/>
      <c r="AR112" s="1044"/>
      <c r="AS112" s="1044"/>
      <c r="AT112" s="1044"/>
      <c r="AU112" s="1044" t="s">
        <v>230</v>
      </c>
      <c r="AV112" s="1044"/>
      <c r="AW112" s="1044" t="s">
        <v>250</v>
      </c>
      <c r="AX112" s="1044" t="s">
        <v>261</v>
      </c>
      <c r="AY112" s="1044"/>
      <c r="AZ112" s="1044"/>
      <c r="BA112" s="1044"/>
      <c r="BB112" s="1044"/>
      <c r="BC112" s="1044"/>
      <c r="BD112" s="1044"/>
      <c r="BE112" s="1044"/>
    </row>
    <row r="113" spans="2:57" ht="19.899999999999999" customHeight="1" x14ac:dyDescent="0.15">
      <c r="B113" s="759" t="b">
        <f t="shared" si="3"/>
        <v>1</v>
      </c>
      <c r="E113" s="668">
        <v>20.399999999999999</v>
      </c>
      <c r="S113" s="1042" t="s">
        <v>111</v>
      </c>
      <c r="T113" s="1043" t="s">
        <v>112</v>
      </c>
      <c r="AB113" s="1430"/>
      <c r="AC113" s="1431" t="s">
        <v>231</v>
      </c>
      <c r="AD113" s="1431"/>
      <c r="AE113" s="1159" t="s">
        <v>263</v>
      </c>
      <c r="AF113" s="360"/>
      <c r="AO113" s="1044"/>
      <c r="AP113" s="1044"/>
      <c r="AQ113" s="1044"/>
      <c r="AR113" s="1044"/>
      <c r="AS113" s="1044"/>
      <c r="AT113" s="1044"/>
      <c r="AU113" s="1044" t="s">
        <v>232</v>
      </c>
      <c r="AV113" s="1044"/>
      <c r="AW113" s="1044" t="s">
        <v>250</v>
      </c>
      <c r="AX113" s="1044" t="s">
        <v>261</v>
      </c>
      <c r="AY113" s="1044"/>
      <c r="AZ113" s="1044"/>
      <c r="BA113" s="1044"/>
      <c r="BB113" s="1044"/>
      <c r="BC113" s="1044"/>
      <c r="BD113" s="1044"/>
      <c r="BE113" s="1044"/>
    </row>
    <row r="114" spans="2:57" ht="19.899999999999999" customHeight="1" x14ac:dyDescent="0.15">
      <c r="B114" s="759" t="b">
        <f t="shared" si="3"/>
        <v>1</v>
      </c>
      <c r="E114" s="668">
        <v>20.399999999999999</v>
      </c>
      <c r="S114" s="1042" t="s">
        <v>111</v>
      </c>
      <c r="T114" s="1043" t="s">
        <v>112</v>
      </c>
      <c r="AB114" s="1430"/>
      <c r="AC114" s="1431" t="s">
        <v>233</v>
      </c>
      <c r="AD114" s="1431"/>
      <c r="AE114" s="1161">
        <v>45981.65420138889</v>
      </c>
      <c r="AF114" s="360"/>
      <c r="AO114" s="1044"/>
      <c r="AP114" s="1044"/>
      <c r="AQ114" s="1044"/>
      <c r="AR114" s="1044"/>
      <c r="AS114" s="1044"/>
      <c r="AT114" s="1044"/>
      <c r="AU114" s="1044" t="s">
        <v>234</v>
      </c>
      <c r="AV114" s="1044"/>
      <c r="AW114" s="1044" t="s">
        <v>250</v>
      </c>
      <c r="AX114" s="1044" t="s">
        <v>261</v>
      </c>
      <c r="AY114" s="1044"/>
      <c r="AZ114" s="1044"/>
      <c r="BA114" s="1044"/>
      <c r="BB114" s="1044"/>
      <c r="BC114" s="1044"/>
      <c r="BD114" s="1044"/>
      <c r="BE114" s="1044"/>
    </row>
    <row r="115" spans="2:57" ht="19.899999999999999" customHeight="1" x14ac:dyDescent="0.15">
      <c r="B115" s="759" t="b">
        <f t="shared" si="3"/>
        <v>1</v>
      </c>
      <c r="E115" s="668">
        <v>20.399999999999999</v>
      </c>
      <c r="S115" s="1042" t="s">
        <v>111</v>
      </c>
      <c r="T115" s="1043" t="s">
        <v>112</v>
      </c>
      <c r="AB115" s="1430"/>
      <c r="AC115" s="1431" t="s">
        <v>255</v>
      </c>
      <c r="AD115" s="1431"/>
      <c r="AE115" s="1161">
        <v>45292.654421296298</v>
      </c>
      <c r="AF115" s="360"/>
      <c r="AO115" s="1044"/>
      <c r="AP115" s="1044"/>
      <c r="AQ115" s="1044"/>
      <c r="AR115" s="1044"/>
      <c r="AS115" s="1044"/>
      <c r="AT115" s="1044"/>
      <c r="AU115" s="1044" t="s">
        <v>256</v>
      </c>
      <c r="AV115" s="1044"/>
      <c r="AW115" s="1044" t="s">
        <v>250</v>
      </c>
      <c r="AX115" s="1044" t="s">
        <v>261</v>
      </c>
      <c r="AY115" s="1044"/>
      <c r="AZ115" s="1044"/>
      <c r="BA115" s="1044"/>
      <c r="BB115" s="1044"/>
      <c r="BC115" s="1044"/>
      <c r="BD115" s="1044"/>
      <c r="BE115" s="1044"/>
    </row>
    <row r="116" spans="2:57" ht="19.899999999999999" customHeight="1" x14ac:dyDescent="0.15">
      <c r="B116" s="759" t="b">
        <f t="shared" si="3"/>
        <v>1</v>
      </c>
      <c r="E116" s="668">
        <v>20.399999999999999</v>
      </c>
      <c r="S116" s="1042" t="s">
        <v>111</v>
      </c>
      <c r="T116" s="1043" t="s">
        <v>112</v>
      </c>
      <c r="AB116" s="1430"/>
      <c r="AC116" s="1431" t="s">
        <v>257</v>
      </c>
      <c r="AD116" s="1431"/>
      <c r="AE116" s="1161">
        <v>47118.65452546296</v>
      </c>
      <c r="AF116" s="360"/>
      <c r="AO116" s="1044"/>
      <c r="AP116" s="1044"/>
      <c r="AQ116" s="1044"/>
      <c r="AR116" s="1044"/>
      <c r="AS116" s="1044"/>
      <c r="AT116" s="1044"/>
      <c r="AU116" s="1044" t="s">
        <v>258</v>
      </c>
      <c r="AV116" s="1044"/>
      <c r="AW116" s="1044" t="s">
        <v>250</v>
      </c>
      <c r="AX116" s="1044" t="s">
        <v>261</v>
      </c>
      <c r="AY116" s="1044"/>
      <c r="AZ116" s="1044"/>
      <c r="BA116" s="1044"/>
      <c r="BB116" s="1044"/>
      <c r="BC116" s="1044"/>
      <c r="BD116" s="1044"/>
      <c r="BE116" s="1044"/>
    </row>
    <row r="117" spans="2:57" ht="19.899999999999999" hidden="1" customHeight="1" x14ac:dyDescent="0.15">
      <c r="B117" s="759" t="b">
        <f t="shared" si="3"/>
        <v>1</v>
      </c>
      <c r="E117" s="668">
        <v>20.399999999999999</v>
      </c>
      <c r="S117" s="1042" t="s">
        <v>111</v>
      </c>
      <c r="T117" s="1043" t="s">
        <v>112</v>
      </c>
      <c r="W117" s="690" t="b">
        <f>ROW(Y117)&gt;ROW(Y$117)</f>
        <v>0</v>
      </c>
      <c r="Y117" s="126" t="s">
        <v>237</v>
      </c>
      <c r="AA117" s="1432" t="s">
        <v>218</v>
      </c>
      <c r="AB117" s="1430" t="s">
        <v>224</v>
      </c>
      <c r="AC117" s="1431" t="s">
        <v>225</v>
      </c>
      <c r="AD117" s="1431"/>
      <c r="AE117" s="393"/>
      <c r="AF117" s="360"/>
      <c r="AO117" s="1051" cm="1">
        <f t="array" ref="AO117">AE117</f>
        <v>0</v>
      </c>
      <c r="AP117" s="1044"/>
      <c r="AQ117" s="1044"/>
      <c r="AR117" s="1044"/>
      <c r="AS117" s="1044"/>
      <c r="AT117" s="1044"/>
      <c r="AU117" s="1044" t="s">
        <v>227</v>
      </c>
      <c r="AV117" s="1044"/>
      <c r="AW117" s="1044" t="s">
        <v>250</v>
      </c>
      <c r="AX117" s="1044" t="s">
        <v>261</v>
      </c>
      <c r="AY117" s="1044"/>
      <c r="AZ117" s="1044"/>
      <c r="BA117" s="1044"/>
      <c r="BB117" s="1044"/>
      <c r="BC117" s="1044"/>
      <c r="BD117" s="1044"/>
      <c r="BE117" s="1044"/>
    </row>
    <row r="118" spans="2:57" ht="19.899999999999999" hidden="1" customHeight="1" x14ac:dyDescent="0.15">
      <c r="B118" s="759" t="b">
        <f t="shared" si="3"/>
        <v>1</v>
      </c>
      <c r="E118" s="668">
        <v>20.399999999999999</v>
      </c>
      <c r="S118" s="1042" t="s">
        <v>111</v>
      </c>
      <c r="T118" s="1043" t="s">
        <v>112</v>
      </c>
      <c r="W118" s="690" t="b" cm="1">
        <f t="array" ref="W118">W117</f>
        <v>0</v>
      </c>
      <c r="AA118" s="1432"/>
      <c r="AB118" s="1430"/>
      <c r="AC118" s="1431" t="s">
        <v>228</v>
      </c>
      <c r="AD118" s="1431"/>
      <c r="AE118" s="394" t="s">
        <v>247</v>
      </c>
      <c r="AF118" s="360"/>
      <c r="AO118" s="1051" cm="1">
        <f t="array" ref="AO118">AO117</f>
        <v>0</v>
      </c>
      <c r="AP118" s="1044"/>
      <c r="AQ118" s="1044"/>
      <c r="AR118" s="1044"/>
      <c r="AS118" s="1044"/>
      <c r="AT118" s="1044"/>
      <c r="AU118" s="1044" t="s">
        <v>230</v>
      </c>
      <c r="AV118" s="1044"/>
      <c r="AW118" s="1044" t="s">
        <v>250</v>
      </c>
      <c r="AX118" s="1044" t="s">
        <v>261</v>
      </c>
      <c r="AY118" s="1044"/>
      <c r="AZ118" s="1044"/>
      <c r="BA118" s="1044"/>
      <c r="BB118" s="1044"/>
      <c r="BC118" s="1044"/>
      <c r="BD118" s="1044"/>
      <c r="BE118" s="1044"/>
    </row>
    <row r="119" spans="2:57" ht="19.899999999999999" hidden="1" customHeight="1" x14ac:dyDescent="0.15">
      <c r="B119" s="759" t="b">
        <f t="shared" si="3"/>
        <v>1</v>
      </c>
      <c r="E119" s="668">
        <v>20.399999999999999</v>
      </c>
      <c r="S119" s="1042" t="s">
        <v>111</v>
      </c>
      <c r="T119" s="1043" t="s">
        <v>112</v>
      </c>
      <c r="W119" s="690" t="b" cm="1">
        <f t="array" ref="W119">W118</f>
        <v>0</v>
      </c>
      <c r="AA119" s="1432"/>
      <c r="AB119" s="1430"/>
      <c r="AC119" s="1431" t="s">
        <v>231</v>
      </c>
      <c r="AD119" s="1431"/>
      <c r="AE119" s="393" t="s">
        <v>247</v>
      </c>
      <c r="AF119" s="360"/>
      <c r="AO119" s="1051" cm="1">
        <f t="array" ref="AO119">AO118</f>
        <v>0</v>
      </c>
      <c r="AP119" s="1044"/>
      <c r="AQ119" s="1044"/>
      <c r="AR119" s="1044"/>
      <c r="AS119" s="1044"/>
      <c r="AT119" s="1044"/>
      <c r="AU119" s="1044" t="s">
        <v>232</v>
      </c>
      <c r="AV119" s="1044"/>
      <c r="AW119" s="1044" t="s">
        <v>250</v>
      </c>
      <c r="AX119" s="1044" t="s">
        <v>261</v>
      </c>
      <c r="AY119" s="1044"/>
      <c r="AZ119" s="1044"/>
      <c r="BA119" s="1044"/>
      <c r="BB119" s="1044"/>
      <c r="BC119" s="1044"/>
      <c r="BD119" s="1044"/>
      <c r="BE119" s="1044"/>
    </row>
    <row r="120" spans="2:57" ht="19.899999999999999" hidden="1" customHeight="1" x14ac:dyDescent="0.15">
      <c r="B120" s="759" t="b">
        <f t="shared" si="3"/>
        <v>1</v>
      </c>
      <c r="E120" s="668">
        <v>20.399999999999999</v>
      </c>
      <c r="S120" s="1042" t="s">
        <v>111</v>
      </c>
      <c r="T120" s="1043" t="s">
        <v>112</v>
      </c>
      <c r="W120" s="690" t="b" cm="1">
        <f t="array" ref="W120">W119</f>
        <v>0</v>
      </c>
      <c r="AA120" s="1432"/>
      <c r="AB120" s="1430"/>
      <c r="AC120" s="1431" t="s">
        <v>233</v>
      </c>
      <c r="AD120" s="1431"/>
      <c r="AE120" s="755" t="s">
        <v>247</v>
      </c>
      <c r="AF120" s="360"/>
      <c r="AO120" s="1051" cm="1">
        <f t="array" ref="AO120">AO119</f>
        <v>0</v>
      </c>
      <c r="AP120" s="1044"/>
      <c r="AQ120" s="1044"/>
      <c r="AR120" s="1044"/>
      <c r="AS120" s="1044"/>
      <c r="AT120" s="1044"/>
      <c r="AU120" s="1044" t="s">
        <v>234</v>
      </c>
      <c r="AV120" s="1044"/>
      <c r="AW120" s="1044" t="s">
        <v>250</v>
      </c>
      <c r="AX120" s="1044" t="s">
        <v>261</v>
      </c>
      <c r="AY120" s="1044"/>
      <c r="AZ120" s="1044"/>
      <c r="BA120" s="1044"/>
      <c r="BB120" s="1044"/>
      <c r="BC120" s="1044"/>
      <c r="BD120" s="1044"/>
      <c r="BE120" s="1044"/>
    </row>
    <row r="121" spans="2:57" ht="19.899999999999999" hidden="1" customHeight="1" x14ac:dyDescent="0.15">
      <c r="B121" s="759" t="b">
        <f t="shared" si="3"/>
        <v>1</v>
      </c>
      <c r="E121" s="668">
        <v>20.399999999999999</v>
      </c>
      <c r="S121" s="1042" t="s">
        <v>111</v>
      </c>
      <c r="T121" s="1043" t="s">
        <v>112</v>
      </c>
      <c r="W121" s="690" t="b" cm="1">
        <f t="array" ref="W121">W120</f>
        <v>0</v>
      </c>
      <c r="AA121" s="1432"/>
      <c r="AB121" s="1430"/>
      <c r="AC121" s="1431" t="s">
        <v>255</v>
      </c>
      <c r="AD121" s="1431"/>
      <c r="AE121" s="755" t="s">
        <v>247</v>
      </c>
      <c r="AF121" s="360"/>
      <c r="AO121" s="1051" cm="1">
        <f t="array" ref="AO121">AO120</f>
        <v>0</v>
      </c>
      <c r="AP121" s="1044"/>
      <c r="AQ121" s="1044"/>
      <c r="AR121" s="1044"/>
      <c r="AS121" s="1044"/>
      <c r="AT121" s="1044"/>
      <c r="AU121" s="1044" t="s">
        <v>256</v>
      </c>
      <c r="AV121" s="1044"/>
      <c r="AW121" s="1044" t="s">
        <v>250</v>
      </c>
      <c r="AX121" s="1044" t="s">
        <v>261</v>
      </c>
      <c r="AY121" s="1044"/>
      <c r="AZ121" s="1044"/>
      <c r="BA121" s="1044"/>
      <c r="BB121" s="1044"/>
      <c r="BC121" s="1044"/>
      <c r="BD121" s="1044"/>
      <c r="BE121" s="1044"/>
    </row>
    <row r="122" spans="2:57" ht="19.899999999999999" hidden="1" customHeight="1" x14ac:dyDescent="0.15">
      <c r="B122" s="759" t="b">
        <f t="shared" si="3"/>
        <v>1</v>
      </c>
      <c r="E122" s="668">
        <v>20.399999999999999</v>
      </c>
      <c r="S122" s="1042" t="s">
        <v>111</v>
      </c>
      <c r="T122" s="1043" t="s">
        <v>112</v>
      </c>
      <c r="W122" s="690" t="b" cm="1">
        <f t="array" ref="W122">W121</f>
        <v>0</v>
      </c>
      <c r="AA122" s="1432"/>
      <c r="AB122" s="1430"/>
      <c r="AC122" s="1431" t="s">
        <v>257</v>
      </c>
      <c r="AD122" s="1431"/>
      <c r="AE122" s="757" t="s">
        <v>247</v>
      </c>
      <c r="AF122" s="360"/>
      <c r="AO122" s="1051" cm="1">
        <f t="array" ref="AO122">AO121</f>
        <v>0</v>
      </c>
      <c r="AP122" s="1044"/>
      <c r="AQ122" s="1044"/>
      <c r="AR122" s="1044"/>
      <c r="AS122" s="1044"/>
      <c r="AT122" s="1044"/>
      <c r="AU122" s="1044" t="s">
        <v>258</v>
      </c>
      <c r="AV122" s="1044"/>
      <c r="AW122" s="1044" t="s">
        <v>250</v>
      </c>
      <c r="AX122" s="1044" t="s">
        <v>261</v>
      </c>
      <c r="AY122" s="1044"/>
      <c r="AZ122" s="1044"/>
      <c r="BA122" s="1044"/>
      <c r="BB122" s="1044"/>
      <c r="BC122" s="1044"/>
      <c r="BD122" s="1044"/>
      <c r="BE122" s="1044"/>
    </row>
    <row r="123" spans="2:57" ht="14.65" customHeight="1" x14ac:dyDescent="0.15">
      <c r="B123" s="759" t="b">
        <f t="shared" si="3"/>
        <v>1</v>
      </c>
      <c r="E123" s="668">
        <v>15</v>
      </c>
      <c r="F123" s="161" t="s">
        <v>259</v>
      </c>
      <c r="Y123" s="312" t="s">
        <v>238</v>
      </c>
      <c r="AB123" s="282"/>
      <c r="AC123" s="281"/>
      <c r="AD123" s="281"/>
      <c r="AE123" s="280" t="s">
        <v>239</v>
      </c>
      <c r="AF123" s="360"/>
      <c r="AG123" s="140"/>
    </row>
    <row r="124" spans="2:57" ht="24" customHeight="1" x14ac:dyDescent="0.15">
      <c r="E124" s="668">
        <v>24.6</v>
      </c>
      <c r="F124" s="161" t="s">
        <v>264</v>
      </c>
      <c r="S124" s="1042" t="s">
        <v>186</v>
      </c>
      <c r="T124" s="1043" t="s">
        <v>187</v>
      </c>
      <c r="AB124" s="143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31"/>
      <c r="AD124" s="1431"/>
      <c r="AE124" s="370" t="s">
        <v>190</v>
      </c>
      <c r="AF124" s="365"/>
      <c r="AG124" s="103" t="s">
        <v>265</v>
      </c>
      <c r="AO124" s="1044"/>
      <c r="AP124" s="1044"/>
      <c r="AQ124" s="1044"/>
      <c r="AR124" s="1044"/>
      <c r="AS124" s="1044"/>
      <c r="AT124" s="1044"/>
      <c r="AU124" s="1044"/>
      <c r="AV124" s="1044"/>
      <c r="AW124" s="1044" t="s">
        <v>266</v>
      </c>
      <c r="AX124" s="1044" t="s">
        <v>261</v>
      </c>
      <c r="AY124" s="1044"/>
      <c r="AZ124" s="1044"/>
      <c r="BA124" s="1044"/>
      <c r="BB124" s="1044"/>
      <c r="BC124" s="1044"/>
      <c r="BD124" s="1044"/>
      <c r="BE124" s="1044"/>
    </row>
    <row r="125" spans="2:57" ht="19.899999999999999" hidden="1" customHeight="1" x14ac:dyDescent="0.15">
      <c r="B125" s="759" t="b">
        <f t="shared" ref="B125:B137" si="4">HAS_DOC7="да"</f>
        <v>0</v>
      </c>
      <c r="E125" s="668">
        <v>20.399999999999999</v>
      </c>
      <c r="S125" s="1042" t="s">
        <v>111</v>
      </c>
      <c r="T125" s="1043" t="s">
        <v>112</v>
      </c>
      <c r="AB125" s="1430" t="s">
        <v>224</v>
      </c>
      <c r="AC125" s="1431" t="s">
        <v>225</v>
      </c>
      <c r="AD125" s="1431"/>
      <c r="AE125" s="1163"/>
      <c r="AF125" s="360"/>
      <c r="AO125" s="1044"/>
      <c r="AP125" s="1044"/>
      <c r="AQ125" s="1044"/>
      <c r="AR125" s="1044"/>
      <c r="AS125" s="1044"/>
      <c r="AT125" s="1044"/>
      <c r="AU125" s="1044" t="s">
        <v>227</v>
      </c>
      <c r="AV125" s="1044"/>
      <c r="AW125" s="1044" t="s">
        <v>266</v>
      </c>
      <c r="AX125" s="1044" t="s">
        <v>261</v>
      </c>
      <c r="AY125" s="1044"/>
      <c r="AZ125" s="1044"/>
      <c r="BA125" s="1044"/>
      <c r="BB125" s="1044"/>
      <c r="BC125" s="1044"/>
      <c r="BD125" s="1044"/>
      <c r="BE125" s="1044"/>
    </row>
    <row r="126" spans="2:57" ht="19.899999999999999" hidden="1" customHeight="1" x14ac:dyDescent="0.15">
      <c r="B126" s="759" t="b">
        <f t="shared" si="4"/>
        <v>0</v>
      </c>
      <c r="E126" s="668">
        <v>20.399999999999999</v>
      </c>
      <c r="S126" s="1042" t="s">
        <v>111</v>
      </c>
      <c r="T126" s="1043" t="s">
        <v>112</v>
      </c>
      <c r="AB126" s="1430"/>
      <c r="AC126" s="1431" t="s">
        <v>228</v>
      </c>
      <c r="AD126" s="1431"/>
      <c r="AE126" s="1163"/>
      <c r="AF126" s="360"/>
      <c r="AO126" s="1044"/>
      <c r="AP126" s="1044"/>
      <c r="AQ126" s="1044"/>
      <c r="AR126" s="1044"/>
      <c r="AS126" s="1044"/>
      <c r="AT126" s="1044"/>
      <c r="AU126" s="1044" t="s">
        <v>230</v>
      </c>
      <c r="AV126" s="1044"/>
      <c r="AW126" s="1044" t="s">
        <v>266</v>
      </c>
      <c r="AX126" s="1044" t="s">
        <v>261</v>
      </c>
      <c r="AY126" s="1044"/>
      <c r="AZ126" s="1044"/>
      <c r="BA126" s="1044"/>
      <c r="BB126" s="1044"/>
      <c r="BC126" s="1044"/>
      <c r="BD126" s="1044"/>
      <c r="BE126" s="1044"/>
    </row>
    <row r="127" spans="2:57" ht="19.899999999999999" hidden="1" customHeight="1" x14ac:dyDescent="0.15">
      <c r="B127" s="759" t="b">
        <f t="shared" si="4"/>
        <v>0</v>
      </c>
      <c r="E127" s="668">
        <v>20.399999999999999</v>
      </c>
      <c r="S127" s="1042" t="s">
        <v>111</v>
      </c>
      <c r="T127" s="1043" t="s">
        <v>112</v>
      </c>
      <c r="AB127" s="1430"/>
      <c r="AC127" s="1431" t="s">
        <v>267</v>
      </c>
      <c r="AD127" s="1431"/>
      <c r="AE127" s="1163"/>
      <c r="AF127" s="360"/>
      <c r="AO127" s="1044"/>
      <c r="AP127" s="1044"/>
      <c r="AQ127" s="1044"/>
      <c r="AR127" s="1044"/>
      <c r="AS127" s="1044"/>
      <c r="AT127" s="1044"/>
      <c r="AU127" s="1044" t="s">
        <v>232</v>
      </c>
      <c r="AV127" s="1044"/>
      <c r="AW127" s="1044" t="s">
        <v>266</v>
      </c>
      <c r="AX127" s="1044" t="s">
        <v>261</v>
      </c>
      <c r="AY127" s="1044"/>
      <c r="AZ127" s="1044"/>
      <c r="BA127" s="1044"/>
      <c r="BB127" s="1044"/>
      <c r="BC127" s="1044"/>
      <c r="BD127" s="1044"/>
      <c r="BE127" s="1044"/>
    </row>
    <row r="128" spans="2:57" ht="19.899999999999999" hidden="1" customHeight="1" x14ac:dyDescent="0.15">
      <c r="B128" s="759" t="b">
        <f t="shared" si="4"/>
        <v>0</v>
      </c>
      <c r="E128" s="668">
        <v>20.399999999999999</v>
      </c>
      <c r="S128" s="1042" t="s">
        <v>111</v>
      </c>
      <c r="T128" s="1043" t="s">
        <v>112</v>
      </c>
      <c r="AB128" s="1430"/>
      <c r="AC128" s="1431" t="s">
        <v>233</v>
      </c>
      <c r="AD128" s="1431"/>
      <c r="AE128" s="1165"/>
      <c r="AF128" s="360"/>
      <c r="AO128" s="1044"/>
      <c r="AP128" s="1044"/>
      <c r="AQ128" s="1044"/>
      <c r="AR128" s="1044"/>
      <c r="AS128" s="1044"/>
      <c r="AT128" s="1044"/>
      <c r="AU128" s="1044" t="s">
        <v>234</v>
      </c>
      <c r="AV128" s="1044"/>
      <c r="AW128" s="1044" t="s">
        <v>266</v>
      </c>
      <c r="AX128" s="1044" t="s">
        <v>261</v>
      </c>
      <c r="AY128" s="1044"/>
      <c r="AZ128" s="1044"/>
      <c r="BA128" s="1044"/>
      <c r="BB128" s="1044"/>
      <c r="BC128" s="1044"/>
      <c r="BD128" s="1044"/>
      <c r="BE128" s="1044"/>
    </row>
    <row r="129" spans="2:57" ht="19.899999999999999" hidden="1" customHeight="1" x14ac:dyDescent="0.15">
      <c r="B129" s="759" t="b">
        <f t="shared" si="4"/>
        <v>0</v>
      </c>
      <c r="E129" s="668">
        <v>20.399999999999999</v>
      </c>
      <c r="S129" s="1042" t="s">
        <v>111</v>
      </c>
      <c r="T129" s="1043" t="s">
        <v>112</v>
      </c>
      <c r="AB129" s="1430"/>
      <c r="AC129" s="1431" t="s">
        <v>268</v>
      </c>
      <c r="AD129" s="1431"/>
      <c r="AE129" s="1165"/>
      <c r="AF129" s="360"/>
      <c r="AO129" s="1044"/>
      <c r="AP129" s="1044"/>
      <c r="AQ129" s="1044"/>
      <c r="AR129" s="1044"/>
      <c r="AS129" s="1044"/>
      <c r="AT129" s="1044"/>
      <c r="AU129" s="1044" t="s">
        <v>256</v>
      </c>
      <c r="AV129" s="1044"/>
      <c r="AW129" s="1044" t="s">
        <v>266</v>
      </c>
      <c r="AX129" s="1044" t="s">
        <v>261</v>
      </c>
      <c r="AY129" s="1044"/>
      <c r="AZ129" s="1044"/>
      <c r="BA129" s="1044"/>
      <c r="BB129" s="1044"/>
      <c r="BC129" s="1044"/>
      <c r="BD129" s="1044"/>
      <c r="BE129" s="1044"/>
    </row>
    <row r="130" spans="2:57" ht="19.899999999999999" hidden="1" customHeight="1" x14ac:dyDescent="0.15">
      <c r="B130" s="759" t="b">
        <f t="shared" si="4"/>
        <v>0</v>
      </c>
      <c r="E130" s="668">
        <v>20.399999999999999</v>
      </c>
      <c r="S130" s="1042" t="s">
        <v>111</v>
      </c>
      <c r="T130" s="1043" t="s">
        <v>112</v>
      </c>
      <c r="AB130" s="1430"/>
      <c r="AC130" s="1431" t="s">
        <v>269</v>
      </c>
      <c r="AD130" s="1431"/>
      <c r="AE130" s="1165"/>
      <c r="AF130" s="360"/>
      <c r="AO130" s="1044"/>
      <c r="AP130" s="1044"/>
      <c r="AQ130" s="1044"/>
      <c r="AR130" s="1044"/>
      <c r="AS130" s="1044"/>
      <c r="AT130" s="1044"/>
      <c r="AU130" s="1044" t="s">
        <v>258</v>
      </c>
      <c r="AV130" s="1044"/>
      <c r="AW130" s="1044" t="s">
        <v>266</v>
      </c>
      <c r="AX130" s="1044" t="s">
        <v>261</v>
      </c>
      <c r="AY130" s="1044"/>
      <c r="AZ130" s="1044"/>
      <c r="BA130" s="1044"/>
      <c r="BB130" s="1044"/>
      <c r="BC130" s="1044"/>
      <c r="BD130" s="1044"/>
      <c r="BE130" s="1044"/>
    </row>
    <row r="131" spans="2:57" ht="19.899999999999999" hidden="1" customHeight="1" x14ac:dyDescent="0.15">
      <c r="B131" s="759" t="b">
        <f t="shared" si="4"/>
        <v>0</v>
      </c>
      <c r="E131" s="668">
        <v>20.399999999999999</v>
      </c>
      <c r="S131" s="1042" t="s">
        <v>111</v>
      </c>
      <c r="T131" s="1043" t="s">
        <v>112</v>
      </c>
      <c r="W131" s="690" t="b">
        <f>ROW(Y131)&gt;ROW(Y$131)</f>
        <v>0</v>
      </c>
      <c r="Y131" s="126" t="s">
        <v>237</v>
      </c>
      <c r="AA131" s="1432" t="s">
        <v>218</v>
      </c>
      <c r="AB131" s="1430" t="s">
        <v>224</v>
      </c>
      <c r="AC131" s="1431" t="s">
        <v>225</v>
      </c>
      <c r="AD131" s="1431"/>
      <c r="AE131" s="1163"/>
      <c r="AF131" s="360"/>
      <c r="AO131" s="1051" cm="1">
        <f t="array" ref="AO131">AE131</f>
        <v>0</v>
      </c>
      <c r="AP131" s="1044"/>
      <c r="AQ131" s="1044"/>
      <c r="AR131" s="1044"/>
      <c r="AS131" s="1044"/>
      <c r="AT131" s="1044"/>
      <c r="AU131" s="1044" t="s">
        <v>227</v>
      </c>
      <c r="AV131" s="1044"/>
      <c r="AW131" s="1044" t="s">
        <v>266</v>
      </c>
      <c r="AX131" s="1044" t="s">
        <v>261</v>
      </c>
      <c r="AY131" s="1044"/>
      <c r="AZ131" s="1044"/>
      <c r="BA131" s="1044"/>
      <c r="BB131" s="1044"/>
      <c r="BC131" s="1044"/>
      <c r="BD131" s="1044"/>
      <c r="BE131" s="1044"/>
    </row>
    <row r="132" spans="2:57" ht="19.899999999999999" hidden="1" customHeight="1" x14ac:dyDescent="0.15">
      <c r="B132" s="759" t="b">
        <f t="shared" si="4"/>
        <v>0</v>
      </c>
      <c r="E132" s="668">
        <v>20.399999999999999</v>
      </c>
      <c r="S132" s="1042" t="s">
        <v>111</v>
      </c>
      <c r="T132" s="1043" t="s">
        <v>112</v>
      </c>
      <c r="W132" s="690" t="b" cm="1">
        <f t="array" ref="W132">W131</f>
        <v>0</v>
      </c>
      <c r="AA132" s="1432"/>
      <c r="AB132" s="1430"/>
      <c r="AC132" s="1431" t="s">
        <v>228</v>
      </c>
      <c r="AD132" s="1431"/>
      <c r="AE132" s="1163"/>
      <c r="AF132" s="360"/>
      <c r="AO132" s="1051" cm="1">
        <f t="array" ref="AO132">AO131</f>
        <v>0</v>
      </c>
      <c r="AP132" s="1044"/>
      <c r="AQ132" s="1044"/>
      <c r="AR132" s="1044"/>
      <c r="AS132" s="1044"/>
      <c r="AT132" s="1044"/>
      <c r="AU132" s="1044" t="s">
        <v>230</v>
      </c>
      <c r="AV132" s="1044"/>
      <c r="AW132" s="1044" t="s">
        <v>266</v>
      </c>
      <c r="AX132" s="1044" t="s">
        <v>261</v>
      </c>
      <c r="AY132" s="1044"/>
      <c r="AZ132" s="1044"/>
      <c r="BA132" s="1044"/>
      <c r="BB132" s="1044"/>
      <c r="BC132" s="1044"/>
      <c r="BD132" s="1044"/>
      <c r="BE132" s="1044"/>
    </row>
    <row r="133" spans="2:57" ht="19.899999999999999" hidden="1" customHeight="1" x14ac:dyDescent="0.15">
      <c r="B133" s="759" t="b">
        <f t="shared" si="4"/>
        <v>0</v>
      </c>
      <c r="E133" s="668">
        <v>20.399999999999999</v>
      </c>
      <c r="S133" s="1042" t="s">
        <v>111</v>
      </c>
      <c r="T133" s="1043" t="s">
        <v>112</v>
      </c>
      <c r="W133" s="690" t="b" cm="1">
        <f t="array" ref="W133">W132</f>
        <v>0</v>
      </c>
      <c r="AA133" s="1432"/>
      <c r="AB133" s="1430"/>
      <c r="AC133" s="1431" t="s">
        <v>267</v>
      </c>
      <c r="AD133" s="1431"/>
      <c r="AE133" s="1163"/>
      <c r="AF133" s="360"/>
      <c r="AO133" s="1051" cm="1">
        <f t="array" ref="AO133">AO132</f>
        <v>0</v>
      </c>
      <c r="AP133" s="1044"/>
      <c r="AQ133" s="1044"/>
      <c r="AR133" s="1044"/>
      <c r="AS133" s="1044"/>
      <c r="AT133" s="1044"/>
      <c r="AU133" s="1044" t="s">
        <v>232</v>
      </c>
      <c r="AV133" s="1044"/>
      <c r="AW133" s="1044" t="s">
        <v>266</v>
      </c>
      <c r="AX133" s="1044" t="s">
        <v>261</v>
      </c>
      <c r="AY133" s="1044"/>
      <c r="AZ133" s="1044"/>
      <c r="BA133" s="1044"/>
      <c r="BB133" s="1044"/>
      <c r="BC133" s="1044"/>
      <c r="BD133" s="1044"/>
      <c r="BE133" s="1044"/>
    </row>
    <row r="134" spans="2:57" ht="19.899999999999999" hidden="1" customHeight="1" x14ac:dyDescent="0.15">
      <c r="B134" s="759" t="b">
        <f t="shared" si="4"/>
        <v>0</v>
      </c>
      <c r="E134" s="668">
        <v>20.399999999999999</v>
      </c>
      <c r="S134" s="1042" t="s">
        <v>111</v>
      </c>
      <c r="T134" s="1043" t="s">
        <v>112</v>
      </c>
      <c r="W134" s="690" t="b" cm="1">
        <f t="array" ref="W134">W133</f>
        <v>0</v>
      </c>
      <c r="AA134" s="1432"/>
      <c r="AB134" s="1430"/>
      <c r="AC134" s="1431" t="s">
        <v>233</v>
      </c>
      <c r="AD134" s="1431"/>
      <c r="AE134" s="1165"/>
      <c r="AF134" s="360"/>
      <c r="AO134" s="1051" cm="1">
        <f t="array" ref="AO134">AO133</f>
        <v>0</v>
      </c>
      <c r="AP134" s="1044"/>
      <c r="AQ134" s="1044"/>
      <c r="AR134" s="1044"/>
      <c r="AS134" s="1044"/>
      <c r="AT134" s="1044"/>
      <c r="AU134" s="1044" t="s">
        <v>234</v>
      </c>
      <c r="AV134" s="1044"/>
      <c r="AW134" s="1044" t="s">
        <v>266</v>
      </c>
      <c r="AX134" s="1044" t="s">
        <v>261</v>
      </c>
      <c r="AY134" s="1044"/>
      <c r="AZ134" s="1044"/>
      <c r="BA134" s="1044"/>
      <c r="BB134" s="1044"/>
      <c r="BC134" s="1044"/>
      <c r="BD134" s="1044"/>
      <c r="BE134" s="1044"/>
    </row>
    <row r="135" spans="2:57" ht="19.899999999999999" hidden="1" customHeight="1" x14ac:dyDescent="0.15">
      <c r="B135" s="759" t="b">
        <f t="shared" si="4"/>
        <v>0</v>
      </c>
      <c r="E135" s="668">
        <v>20.399999999999999</v>
      </c>
      <c r="S135" s="1042" t="s">
        <v>111</v>
      </c>
      <c r="T135" s="1043" t="s">
        <v>112</v>
      </c>
      <c r="W135" s="690" t="b" cm="1">
        <f t="array" ref="W135">W134</f>
        <v>0</v>
      </c>
      <c r="AA135" s="1432"/>
      <c r="AB135" s="1430"/>
      <c r="AC135" s="1431" t="s">
        <v>268</v>
      </c>
      <c r="AD135" s="1431"/>
      <c r="AE135" s="1165"/>
      <c r="AF135" s="360"/>
      <c r="AO135" s="1051" cm="1">
        <f t="array" ref="AO135">AO134</f>
        <v>0</v>
      </c>
      <c r="AP135" s="1044"/>
      <c r="AQ135" s="1044"/>
      <c r="AR135" s="1044"/>
      <c r="AS135" s="1044"/>
      <c r="AT135" s="1044"/>
      <c r="AU135" s="1044" t="s">
        <v>256</v>
      </c>
      <c r="AV135" s="1044"/>
      <c r="AW135" s="1044" t="s">
        <v>266</v>
      </c>
      <c r="AX135" s="1044" t="s">
        <v>261</v>
      </c>
      <c r="AY135" s="1044"/>
      <c r="AZ135" s="1044"/>
      <c r="BA135" s="1044"/>
      <c r="BB135" s="1044"/>
      <c r="BC135" s="1044"/>
      <c r="BD135" s="1044"/>
      <c r="BE135" s="1044"/>
    </row>
    <row r="136" spans="2:57" ht="19.899999999999999" hidden="1" customHeight="1" x14ac:dyDescent="0.15">
      <c r="B136" s="759" t="b">
        <f t="shared" si="4"/>
        <v>0</v>
      </c>
      <c r="E136" s="668">
        <v>20.399999999999999</v>
      </c>
      <c r="S136" s="1042" t="s">
        <v>111</v>
      </c>
      <c r="T136" s="1043" t="s">
        <v>112</v>
      </c>
      <c r="W136" s="690" t="b" cm="1">
        <f t="array" ref="W136">W135</f>
        <v>0</v>
      </c>
      <c r="AA136" s="1432"/>
      <c r="AB136" s="1430"/>
      <c r="AC136" s="1431" t="s">
        <v>269</v>
      </c>
      <c r="AD136" s="1431"/>
      <c r="AE136" s="1165"/>
      <c r="AF136" s="360"/>
      <c r="AO136" s="1051" cm="1">
        <f t="array" ref="AO136">AO135</f>
        <v>0</v>
      </c>
      <c r="AP136" s="1044"/>
      <c r="AQ136" s="1044"/>
      <c r="AR136" s="1044"/>
      <c r="AS136" s="1044"/>
      <c r="AT136" s="1044"/>
      <c r="AU136" s="1044" t="s">
        <v>258</v>
      </c>
      <c r="AV136" s="1044"/>
      <c r="AW136" s="1044" t="s">
        <v>266</v>
      </c>
      <c r="AX136" s="1044" t="s">
        <v>261</v>
      </c>
      <c r="AY136" s="1044"/>
      <c r="AZ136" s="1044"/>
      <c r="BA136" s="1044"/>
      <c r="BB136" s="1044"/>
      <c r="BC136" s="1044"/>
      <c r="BD136" s="1044"/>
      <c r="BE136" s="1044"/>
    </row>
    <row r="137" spans="2:57" ht="14.65" hidden="1" customHeight="1" x14ac:dyDescent="0.15">
      <c r="B137" s="759" t="b">
        <f t="shared" si="4"/>
        <v>0</v>
      </c>
      <c r="E137" s="668">
        <v>15</v>
      </c>
      <c r="F137" s="161" t="s">
        <v>264</v>
      </c>
      <c r="Y137" s="312" t="s">
        <v>238</v>
      </c>
      <c r="AB137" s="282"/>
      <c r="AC137" s="281"/>
      <c r="AD137" s="281"/>
      <c r="AE137" s="280" t="s">
        <v>239</v>
      </c>
      <c r="AF137" s="360"/>
      <c r="AG137" s="140"/>
    </row>
    <row r="138" spans="2:57" ht="19.899999999999999" customHeight="1" x14ac:dyDescent="0.15">
      <c r="E138" s="668">
        <v>20.399999999999999</v>
      </c>
      <c r="S138" s="1042" t="s">
        <v>111</v>
      </c>
      <c r="T138" s="1043" t="s">
        <v>112</v>
      </c>
      <c r="AB138" s="1431" t="s">
        <v>270</v>
      </c>
      <c r="AC138" s="1431"/>
      <c r="AD138" s="1431"/>
      <c r="AE138" s="352"/>
      <c r="AF138" s="360"/>
      <c r="AG138" s="103" t="s">
        <v>271</v>
      </c>
      <c r="AO138" s="1044"/>
      <c r="AP138" s="1044"/>
      <c r="AQ138" s="1044"/>
      <c r="AR138" s="1044"/>
      <c r="AS138" s="1044"/>
      <c r="AT138" s="1044"/>
      <c r="AU138" s="1044"/>
      <c r="AV138" s="1044"/>
      <c r="AW138" s="1044"/>
      <c r="AX138" s="1044"/>
      <c r="AY138" s="1044"/>
      <c r="AZ138" s="1044"/>
      <c r="BA138" s="1044"/>
      <c r="BB138" s="1044"/>
      <c r="BC138" s="1044"/>
      <c r="BD138" s="1044"/>
      <c r="BE138" s="1044"/>
    </row>
    <row r="139" spans="2:57" ht="25.5" hidden="1" customHeight="1" x14ac:dyDescent="0.15">
      <c r="E139" s="668">
        <v>0</v>
      </c>
      <c r="AB139" s="1431"/>
      <c r="AC139" s="1431"/>
      <c r="AD139" s="1431"/>
      <c r="AE139" s="399"/>
      <c r="AF139" s="365"/>
      <c r="AG139" s="103" t="s">
        <v>272</v>
      </c>
    </row>
    <row r="140" spans="2:57" ht="11.1" customHeight="1" x14ac:dyDescent="0.15">
      <c r="E140" s="668">
        <v>11.3</v>
      </c>
      <c r="AE140" s="161" t="s">
        <v>247</v>
      </c>
      <c r="AF140" s="360"/>
    </row>
    <row r="141" spans="2:57" ht="19.899999999999999" customHeight="1" x14ac:dyDescent="0.15">
      <c r="E141" s="668">
        <v>20.399999999999999</v>
      </c>
      <c r="S141" s="1042" t="s">
        <v>111</v>
      </c>
      <c r="T141" s="1043" t="s">
        <v>112</v>
      </c>
      <c r="AB141" s="1431" t="s">
        <v>273</v>
      </c>
      <c r="AC141" s="1431"/>
      <c r="AD141" s="131" t="s">
        <v>274</v>
      </c>
      <c r="AE141" s="352"/>
      <c r="AF141" s="360"/>
      <c r="AG141" s="103" t="s">
        <v>275</v>
      </c>
      <c r="AO141" s="1044"/>
      <c r="AP141" s="1044"/>
      <c r="AQ141" s="1044"/>
      <c r="AR141" s="1044"/>
      <c r="AS141" s="1044"/>
      <c r="AT141" s="1044"/>
      <c r="AU141" s="1044"/>
      <c r="AV141" s="1044"/>
      <c r="AW141" s="1044"/>
      <c r="AX141" s="1044"/>
      <c r="AY141" s="1044" t="s">
        <v>276</v>
      </c>
      <c r="AZ141" s="1044"/>
      <c r="BA141" s="1044"/>
      <c r="BB141" s="1044"/>
      <c r="BC141" s="1044"/>
      <c r="BD141" s="1044"/>
      <c r="BE141" s="1044"/>
    </row>
    <row r="142" spans="2:57" ht="19.899999999999999" customHeight="1" x14ac:dyDescent="0.15">
      <c r="E142" s="668">
        <v>20.399999999999999</v>
      </c>
      <c r="S142" s="1042" t="s">
        <v>111</v>
      </c>
      <c r="T142" s="1043" t="s">
        <v>112</v>
      </c>
      <c r="AB142" s="1431"/>
      <c r="AC142" s="1431"/>
      <c r="AD142" s="132" t="s">
        <v>277</v>
      </c>
      <c r="AE142" s="352"/>
      <c r="AF142" s="360"/>
      <c r="AG142" s="103" t="s">
        <v>278</v>
      </c>
      <c r="AO142" s="1044"/>
      <c r="AP142" s="1044"/>
      <c r="AQ142" s="1044"/>
      <c r="AR142" s="1044"/>
      <c r="AS142" s="1044"/>
      <c r="AT142" s="1044"/>
      <c r="AU142" s="1044"/>
      <c r="AV142" s="1044"/>
      <c r="AW142" s="1044"/>
      <c r="AX142" s="1044"/>
      <c r="AY142" s="1044" t="s">
        <v>279</v>
      </c>
      <c r="AZ142" s="1044"/>
      <c r="BA142" s="1044"/>
      <c r="BB142" s="1044"/>
      <c r="BC142" s="1044"/>
      <c r="BD142" s="1044"/>
      <c r="BE142" s="1044"/>
    </row>
    <row r="143" spans="2:57" ht="19.899999999999999" customHeight="1" x14ac:dyDescent="0.15">
      <c r="E143" s="668">
        <v>20.399999999999999</v>
      </c>
      <c r="S143" s="1042" t="s">
        <v>111</v>
      </c>
      <c r="T143" s="1043" t="s">
        <v>112</v>
      </c>
      <c r="AB143" s="1431"/>
      <c r="AC143" s="1431"/>
      <c r="AD143" s="132" t="s">
        <v>280</v>
      </c>
      <c r="AE143" s="352"/>
      <c r="AF143" s="360"/>
      <c r="AG143" s="103" t="s">
        <v>281</v>
      </c>
      <c r="AO143" s="1044"/>
      <c r="AP143" s="1044"/>
      <c r="AQ143" s="1044"/>
      <c r="AR143" s="1044"/>
      <c r="AS143" s="1044"/>
      <c r="AT143" s="1044"/>
      <c r="AU143" s="1044"/>
      <c r="AV143" s="1044"/>
      <c r="AW143" s="1044"/>
      <c r="AX143" s="1044"/>
      <c r="AY143" s="1044" t="s">
        <v>282</v>
      </c>
      <c r="AZ143" s="1044"/>
      <c r="BA143" s="1044"/>
      <c r="BB143" s="1044"/>
      <c r="BC143" s="1044"/>
      <c r="BD143" s="1044"/>
      <c r="BE143" s="1044"/>
    </row>
    <row r="144" spans="2:57" ht="19.899999999999999" customHeight="1" x14ac:dyDescent="0.15">
      <c r="E144" s="668">
        <v>20.399999999999999</v>
      </c>
      <c r="S144" s="1042" t="s">
        <v>111</v>
      </c>
      <c r="T144" s="1043" t="s">
        <v>112</v>
      </c>
      <c r="AB144" s="1431"/>
      <c r="AC144" s="1431"/>
      <c r="AD144" s="131" t="s">
        <v>283</v>
      </c>
      <c r="AE144" s="1166"/>
      <c r="AF144" s="360"/>
      <c r="AG144" s="103" t="s">
        <v>284</v>
      </c>
      <c r="AO144" s="1044"/>
      <c r="AP144" s="1044"/>
      <c r="AQ144" s="1044"/>
      <c r="AR144" s="1044"/>
      <c r="AS144" s="1044"/>
      <c r="AT144" s="1044"/>
      <c r="AU144" s="1044"/>
      <c r="AV144" s="1044"/>
      <c r="AW144" s="1044"/>
      <c r="AX144" s="1044"/>
      <c r="AY144" s="1044" t="s">
        <v>285</v>
      </c>
      <c r="AZ144" s="1044"/>
      <c r="BA144" s="1044"/>
      <c r="BB144" s="1044"/>
      <c r="BC144" s="1044"/>
      <c r="BD144" s="1044"/>
      <c r="BE144" s="1044"/>
    </row>
    <row r="145" spans="5:38" ht="11.1" customHeight="1" x14ac:dyDescent="0.15">
      <c r="E145" s="668">
        <v>11.3</v>
      </c>
      <c r="AB145" s="311"/>
      <c r="AC145" s="311"/>
      <c r="AD145" s="311"/>
      <c r="AE145" s="312"/>
      <c r="AF145" s="360"/>
    </row>
    <row r="146" spans="5:38" ht="11.1" customHeight="1" x14ac:dyDescent="0.15">
      <c r="E146" s="668">
        <v>11.3</v>
      </c>
      <c r="AB146" s="1467" t="s">
        <v>286</v>
      </c>
      <c r="AC146" s="1467"/>
      <c r="AD146" s="1467"/>
      <c r="AE146" s="1467"/>
      <c r="AF146" s="360"/>
    </row>
    <row r="147" spans="5:38" ht="14.65" customHeight="1" x14ac:dyDescent="0.15">
      <c r="E147" s="668">
        <v>15</v>
      </c>
      <c r="AB147" s="1433" t="s">
        <v>287</v>
      </c>
      <c r="AC147" s="1433"/>
      <c r="AD147" s="1433"/>
      <c r="AE147" s="1433"/>
      <c r="AF147" s="386"/>
    </row>
    <row r="148" spans="5:38" ht="14.65" customHeight="1" x14ac:dyDescent="0.15">
      <c r="E148" s="668">
        <v>15</v>
      </c>
      <c r="AB148" s="1433" t="s">
        <v>288</v>
      </c>
      <c r="AC148" s="1433"/>
      <c r="AD148" s="1433"/>
      <c r="AE148" s="1433"/>
      <c r="AF148" s="386"/>
    </row>
    <row r="149" spans="5:38" ht="14.65" customHeight="1" x14ac:dyDescent="0.15">
      <c r="E149" s="668">
        <v>15</v>
      </c>
      <c r="AB149" s="1433" t="s">
        <v>289</v>
      </c>
      <c r="AC149" s="1433"/>
      <c r="AD149" s="1433"/>
      <c r="AE149" s="1433"/>
      <c r="AF149" s="386"/>
      <c r="AL149" s="1167"/>
    </row>
    <row r="150" spans="5:38" ht="16.899999999999999" customHeight="1" x14ac:dyDescent="0.15">
      <c r="E150" s="668">
        <v>17.3</v>
      </c>
      <c r="AB150" s="1477" t="s">
        <v>290</v>
      </c>
      <c r="AC150" s="1477"/>
      <c r="AD150" s="1477"/>
      <c r="AE150" s="1477"/>
      <c r="AF150" s="130"/>
    </row>
    <row r="151" spans="5:38" ht="16.899999999999999" customHeight="1" x14ac:dyDescent="0.15">
      <c r="E151" s="668">
        <v>17.3</v>
      </c>
      <c r="AB151" s="1473" t="s">
        <v>291</v>
      </c>
      <c r="AC151" s="1473"/>
      <c r="AD151" s="1473"/>
      <c r="AE151" s="1473"/>
      <c r="AF151" s="130"/>
    </row>
    <row r="152" spans="5:38" ht="29.25" customHeight="1" x14ac:dyDescent="0.15">
      <c r="E152" s="668">
        <v>30</v>
      </c>
      <c r="AB152" s="1473" t="s">
        <v>292</v>
      </c>
      <c r="AC152" s="1473"/>
      <c r="AD152" s="1473"/>
      <c r="AE152" s="1473"/>
      <c r="AF152" s="130"/>
    </row>
    <row r="153" spans="5:38" ht="15.4" customHeight="1" x14ac:dyDescent="0.15">
      <c r="E153" s="668">
        <v>15.8</v>
      </c>
      <c r="AB153" s="1473" t="s">
        <v>293</v>
      </c>
      <c r="AC153" s="1473"/>
      <c r="AD153" s="1473"/>
      <c r="AE153" s="1473"/>
      <c r="AF153" s="130"/>
    </row>
    <row r="154" spans="5:38" ht="55.5" customHeight="1" x14ac:dyDescent="0.15">
      <c r="E154" s="668">
        <v>57</v>
      </c>
      <c r="AB154" s="1473" t="s">
        <v>294</v>
      </c>
      <c r="AC154" s="1473"/>
      <c r="AD154" s="1473"/>
      <c r="AE154" s="1473"/>
      <c r="AF154" s="130"/>
    </row>
    <row r="155" spans="5:38" ht="45.4" customHeight="1" x14ac:dyDescent="0.15">
      <c r="E155" s="668">
        <v>46.5</v>
      </c>
      <c r="AB155" s="1473" t="s">
        <v>295</v>
      </c>
      <c r="AC155" s="1473"/>
      <c r="AD155" s="1473"/>
      <c r="AE155" s="1473"/>
      <c r="AF155" s="130"/>
    </row>
    <row r="156" spans="5:38" ht="27.2" customHeight="1" x14ac:dyDescent="0.15">
      <c r="E156" s="668">
        <v>27.8</v>
      </c>
      <c r="AB156" s="1473" t="s">
        <v>296</v>
      </c>
      <c r="AC156" s="1473"/>
      <c r="AD156" s="1473"/>
      <c r="AE156" s="1473"/>
      <c r="AF156" s="130"/>
    </row>
    <row r="157" spans="5:38" ht="26.25" customHeight="1" x14ac:dyDescent="0.15">
      <c r="E157" s="668">
        <v>27</v>
      </c>
      <c r="AB157" s="1473" t="s">
        <v>297</v>
      </c>
      <c r="AC157" s="1473"/>
      <c r="AD157" s="1473"/>
      <c r="AE157" s="1473"/>
      <c r="AF157" s="130"/>
    </row>
    <row r="158" spans="5:38" ht="14.65" customHeight="1" x14ac:dyDescent="0.15">
      <c r="E158" s="668">
        <v>15</v>
      </c>
      <c r="AB158" s="1474" t="s">
        <v>298</v>
      </c>
      <c r="AC158" s="1474"/>
      <c r="AD158" s="1474"/>
      <c r="AE158" s="1474"/>
      <c r="AF158" s="130"/>
    </row>
    <row r="159" spans="5:38" ht="23.45" customHeight="1" x14ac:dyDescent="0.15">
      <c r="E159" s="668">
        <v>24</v>
      </c>
      <c r="AB159" s="1473" t="s">
        <v>299</v>
      </c>
      <c r="AC159" s="1473"/>
      <c r="AD159" s="1473"/>
      <c r="AE159" s="1473"/>
      <c r="AF159" s="386"/>
    </row>
    <row r="160" spans="5:38" ht="17.649999999999999" customHeight="1" x14ac:dyDescent="0.15">
      <c r="E160" s="668">
        <v>18</v>
      </c>
      <c r="AB160" s="1440" t="s">
        <v>300</v>
      </c>
      <c r="AC160" s="1441"/>
      <c r="AD160" s="1441"/>
      <c r="AE160" s="1442"/>
      <c r="AF160" s="386"/>
    </row>
    <row r="161" spans="2:57" ht="16.149999999999999" customHeight="1" x14ac:dyDescent="0.15">
      <c r="E161" s="668">
        <v>16.5</v>
      </c>
      <c r="AB161" s="1474" t="s">
        <v>301</v>
      </c>
      <c r="AC161" s="1474"/>
      <c r="AD161" s="1474"/>
      <c r="AE161" s="1474"/>
      <c r="AF161" s="386"/>
    </row>
    <row r="162" spans="2:57" ht="40.35" customHeight="1" x14ac:dyDescent="0.15">
      <c r="E162" s="668">
        <v>41.3</v>
      </c>
      <c r="AB162" s="1443"/>
      <c r="AC162" s="1443"/>
      <c r="AD162" s="1443"/>
      <c r="AE162" s="1443"/>
      <c r="AF162" s="386"/>
    </row>
    <row r="163" spans="2:57" ht="11.65" customHeight="1" x14ac:dyDescent="0.15">
      <c r="E163" s="668">
        <v>12</v>
      </c>
      <c r="AD163" s="372" t="b">
        <f>COUNTIF(AE169:AE202,"Водоснабжение")-COUNTIF(AE169:AE202,"Транспортировка воды")&gt;0</f>
        <v>0</v>
      </c>
      <c r="AE163" s="372" t="b">
        <f>COUNTIF(AE169:AE202,"Водоотведение")-COUNTIF(AE169:AE202,"Транспортировка сточных вод")&gt;0</f>
        <v>0</v>
      </c>
      <c r="AF163" s="355" t="b">
        <f>COUNTIF(AE169:AE202,"Транспортировка воды")&gt;0</f>
        <v>0</v>
      </c>
      <c r="AG163" s="198" t="b">
        <f>COUNTIF(AE169:AE202,"Транспортировка сточных вод")&gt;0</f>
        <v>0</v>
      </c>
    </row>
    <row r="164" spans="2:57" ht="19.899999999999999" customHeight="1" x14ac:dyDescent="0.15">
      <c r="E164" s="668">
        <v>20.399999999999999</v>
      </c>
      <c r="AB164" s="1475" t="s">
        <v>302</v>
      </c>
      <c r="AC164" s="1475"/>
      <c r="AD164" s="1475"/>
      <c r="AE164" s="1476"/>
      <c r="AF164" s="363"/>
      <c r="AG164" s="127"/>
      <c r="AH164" s="127"/>
      <c r="AI164" s="127"/>
      <c r="AJ164" s="127"/>
      <c r="AK164" s="127"/>
      <c r="AL164" s="137"/>
    </row>
    <row r="165" spans="2:57" ht="24" customHeight="1" x14ac:dyDescent="0.15">
      <c r="E165" s="668">
        <v>24.6</v>
      </c>
      <c r="S165" s="1042" t="s">
        <v>186</v>
      </c>
      <c r="T165" s="1043" t="s">
        <v>187</v>
      </c>
      <c r="AB165" s="1448" t="s">
        <v>303</v>
      </c>
      <c r="AC165" s="1448"/>
      <c r="AD165" s="1448"/>
      <c r="AE165" s="701" t="s">
        <v>190</v>
      </c>
      <c r="AF165" s="365"/>
      <c r="AG165" s="127" t="s">
        <v>304</v>
      </c>
      <c r="AH165" s="127"/>
      <c r="AI165" s="127"/>
      <c r="AJ165" s="127"/>
      <c r="AK165" s="127"/>
      <c r="AL165" s="137"/>
      <c r="AO165" s="1044"/>
      <c r="AP165" s="1044"/>
      <c r="AQ165" s="1044"/>
      <c r="AR165" s="1044"/>
      <c r="AS165" s="1044"/>
      <c r="AT165" s="1044"/>
      <c r="AU165" s="1044"/>
      <c r="AV165" s="1044"/>
      <c r="AW165" s="1044"/>
      <c r="AX165" s="1044"/>
      <c r="AY165" s="1044"/>
      <c r="AZ165" s="1044" t="s">
        <v>305</v>
      </c>
      <c r="BA165" s="1044"/>
      <c r="BB165" s="1044"/>
      <c r="BC165" s="1044"/>
      <c r="BD165" s="1044"/>
      <c r="BE165" s="1044"/>
    </row>
    <row r="166" spans="2:57" ht="19.899999999999999" customHeight="1" x14ac:dyDescent="0.15">
      <c r="B166" s="797" t="b">
        <f>FIRST_TIME_REG&lt;&gt;"да"</f>
        <v>1</v>
      </c>
      <c r="E166" s="668">
        <v>20.399999999999999</v>
      </c>
      <c r="S166" s="1042" t="s">
        <v>111</v>
      </c>
      <c r="T166" s="1043" t="s">
        <v>112</v>
      </c>
      <c r="AB166" s="1444" t="s">
        <v>306</v>
      </c>
      <c r="AC166" s="1445"/>
      <c r="AD166" s="702" t="s">
        <v>228</v>
      </c>
      <c r="AE166" s="385" t="s">
        <v>253</v>
      </c>
      <c r="AF166" s="360"/>
      <c r="AG166" s="127" t="s">
        <v>307</v>
      </c>
      <c r="AH166" s="127"/>
      <c r="AI166" s="127"/>
      <c r="AJ166" s="127"/>
      <c r="AK166" s="127"/>
      <c r="AL166" s="137"/>
      <c r="AO166" s="1044"/>
      <c r="AP166" s="1044"/>
      <c r="AQ166" s="1044"/>
      <c r="AR166" s="1044"/>
      <c r="AS166" s="1044"/>
      <c r="AT166" s="1044"/>
      <c r="AU166" s="1044" t="s">
        <v>230</v>
      </c>
      <c r="AV166" s="1044"/>
      <c r="AW166" s="1044"/>
      <c r="AX166" s="1044"/>
      <c r="AY166" s="1044"/>
      <c r="AZ166" s="1044" t="s">
        <v>305</v>
      </c>
      <c r="BA166" s="1044"/>
      <c r="BB166" s="1044"/>
      <c r="BC166" s="1044"/>
      <c r="BD166" s="1044"/>
      <c r="BE166" s="1044"/>
    </row>
    <row r="167" spans="2:57" ht="19.899999999999999" customHeight="1" x14ac:dyDescent="0.15">
      <c r="B167" s="797" t="b">
        <f>FIRST_TIME_REG&lt;&gt;"да"</f>
        <v>1</v>
      </c>
      <c r="E167" s="668">
        <v>20.399999999999999</v>
      </c>
      <c r="S167" s="1042" t="s">
        <v>111</v>
      </c>
      <c r="T167" s="1043" t="s">
        <v>112</v>
      </c>
      <c r="AB167" s="1444"/>
      <c r="AC167" s="1445"/>
      <c r="AD167" s="373" t="s">
        <v>267</v>
      </c>
      <c r="AE167" s="352" t="s">
        <v>308</v>
      </c>
      <c r="AF167" s="360"/>
      <c r="AG167" s="103" t="s">
        <v>309</v>
      </c>
      <c r="AO167" s="1044"/>
      <c r="AP167" s="1044"/>
      <c r="AQ167" s="1044"/>
      <c r="AR167" s="1044"/>
      <c r="AS167" s="1044"/>
      <c r="AT167" s="1044"/>
      <c r="AU167" s="1044" t="s">
        <v>232</v>
      </c>
      <c r="AV167" s="1044"/>
      <c r="AW167" s="1044"/>
      <c r="AX167" s="1044"/>
      <c r="AY167" s="1044"/>
      <c r="AZ167" s="1044" t="s">
        <v>305</v>
      </c>
      <c r="BA167" s="1044"/>
      <c r="BB167" s="1044"/>
      <c r="BC167" s="1044"/>
      <c r="BD167" s="1044"/>
      <c r="BE167" s="1044"/>
    </row>
    <row r="168" spans="2:57" ht="19.899999999999999" customHeight="1" x14ac:dyDescent="0.15">
      <c r="B168" s="797" t="b">
        <f>FIRST_TIME_REG&lt;&gt;"да"</f>
        <v>1</v>
      </c>
      <c r="E168" s="668">
        <v>20.399999999999999</v>
      </c>
      <c r="S168" s="1042" t="s">
        <v>111</v>
      </c>
      <c r="T168" s="1043" t="s">
        <v>112</v>
      </c>
      <c r="AB168" s="1446"/>
      <c r="AC168" s="1447"/>
      <c r="AD168" s="373" t="s">
        <v>233</v>
      </c>
      <c r="AE168" s="756">
        <v>45260.659386574072</v>
      </c>
      <c r="AF168" s="360"/>
      <c r="AG168" s="103" t="s">
        <v>310</v>
      </c>
      <c r="AO168" s="1044"/>
      <c r="AP168" s="1044"/>
      <c r="AQ168" s="1044"/>
      <c r="AR168" s="1044"/>
      <c r="AS168" s="1044"/>
      <c r="AT168" s="1044"/>
      <c r="AU168" s="1044" t="s">
        <v>234</v>
      </c>
      <c r="AV168" s="1044"/>
      <c r="AW168" s="1044"/>
      <c r="AX168" s="1044"/>
      <c r="AY168" s="1044"/>
      <c r="AZ168" s="1044" t="s">
        <v>305</v>
      </c>
      <c r="BA168" s="1044"/>
      <c r="BB168" s="1044"/>
      <c r="BC168" s="1044"/>
      <c r="BD168" s="1044"/>
      <c r="BE168" s="1044"/>
    </row>
    <row r="169" spans="2:57" ht="14.65" customHeight="1" x14ac:dyDescent="0.15">
      <c r="E169" s="668">
        <v>15</v>
      </c>
      <c r="S169" s="1042"/>
      <c r="T169" s="1043"/>
      <c r="AB169" s="1434" t="str">
        <f>"Заявление организации"</f>
        <v>Заявление организации</v>
      </c>
      <c r="AC169" s="1435"/>
      <c r="AD169" s="374"/>
      <c r="AE169" s="375"/>
      <c r="AF169" s="355"/>
      <c r="AG169" s="1153" t="s">
        <v>311</v>
      </c>
      <c r="AI169" s="184"/>
      <c r="AO169" s="1044"/>
      <c r="AP169" s="1044"/>
      <c r="AQ169" s="1044"/>
      <c r="AR169" s="1044" t="s">
        <v>312</v>
      </c>
      <c r="AS169" s="1044"/>
      <c r="AT169" s="1044"/>
      <c r="AU169" s="1044"/>
      <c r="AV169" s="1044"/>
      <c r="AW169" s="1044"/>
      <c r="AX169" s="1044"/>
      <c r="AY169" s="1044"/>
      <c r="AZ169" s="1044"/>
      <c r="BA169" s="1044"/>
      <c r="BB169" s="1044"/>
      <c r="BC169" s="1044"/>
      <c r="BD169" s="1044"/>
      <c r="BE169" s="1044"/>
    </row>
    <row r="170" spans="2:57" ht="19.899999999999999" hidden="1" customHeight="1" x14ac:dyDescent="0.15">
      <c r="E170" s="668">
        <v>20.399999999999999</v>
      </c>
      <c r="G170" s="769" cm="1">
        <f t="array" ref="G170">Z170</f>
        <v>0</v>
      </c>
      <c r="S170" s="1042" t="s">
        <v>111</v>
      </c>
      <c r="T170" s="1043" t="s">
        <v>112</v>
      </c>
      <c r="W170" s="690" t="b">
        <f>Z170&gt;0</f>
        <v>0</v>
      </c>
      <c r="X170" s="312" t="s">
        <v>313</v>
      </c>
      <c r="Z170" s="1428">
        <v>0</v>
      </c>
      <c r="AB170" s="1436"/>
      <c r="AC170" s="1437"/>
      <c r="AD170" s="380" t="str">
        <f>"Тариф "&amp;Z170</f>
        <v>Тариф 0</v>
      </c>
      <c r="AE170" s="381" t="s">
        <v>314</v>
      </c>
      <c r="AF170" s="1429" t="s">
        <v>218</v>
      </c>
      <c r="AG170" s="103" t="str">
        <f>AD170&amp;" ("&amp;AE170&amp;") - "&amp;AE172&amp;IF(AE178="",""," ("&amp;AE178&amp;")")</f>
        <v xml:space="preserve">Тариф 0 (Теплоснабжение) - </v>
      </c>
      <c r="AH170" s="103" cm="1">
        <f t="array" ref="AH170">AE176</f>
        <v>0</v>
      </c>
      <c r="AI170" s="184" cm="1">
        <f t="array" ref="AI170">AE173</f>
        <v>0</v>
      </c>
      <c r="AJ170" s="103" cm="1">
        <f t="array" ref="AJ170">AE178</f>
        <v>0</v>
      </c>
      <c r="AK170" s="103" cm="1">
        <f t="array" ref="AK170">AE174</f>
        <v>0</v>
      </c>
      <c r="AL170" s="183" cm="1">
        <f t="array" ref="AL170">AE175</f>
        <v>0</v>
      </c>
      <c r="AM170" s="184" cm="1">
        <f t="array" ref="AM170">AE172</f>
        <v>0</v>
      </c>
      <c r="AN170" s="103" t="b">
        <f>IFERROR(FIND("производство тепловой энергии (мощности) в режиме комбинированной выработки",AL170)&gt;0,FALSE)</f>
        <v>0</v>
      </c>
      <c r="AO170" s="1051" cm="1">
        <f t="array" ref="AO170">AE171</f>
        <v>0</v>
      </c>
      <c r="AP170" s="1044"/>
      <c r="AQ170" s="1044"/>
      <c r="AR170" s="1044"/>
      <c r="AS170" s="1044"/>
      <c r="AT170" s="1044"/>
      <c r="AU170" s="1044"/>
      <c r="AV170" s="1044"/>
      <c r="AW170" s="1044"/>
      <c r="AX170" s="1044"/>
      <c r="AY170" s="1044"/>
      <c r="AZ170" s="1044"/>
      <c r="BA170" s="1044"/>
      <c r="BB170" s="1044"/>
      <c r="BC170" s="1044"/>
      <c r="BD170" s="1044" t="s">
        <v>315</v>
      </c>
      <c r="BE170" s="1044"/>
    </row>
    <row r="171" spans="2:57" ht="19.899999999999999" hidden="1" customHeight="1" x14ac:dyDescent="0.15">
      <c r="E171" s="668">
        <v>20.399999999999999</v>
      </c>
      <c r="G171" s="769" cm="1">
        <f t="array" ref="G171">G170</f>
        <v>0</v>
      </c>
      <c r="N171" s="790" cm="1">
        <f t="array" ref="N171">AE171</f>
        <v>0</v>
      </c>
      <c r="S171" s="1042" t="s">
        <v>111</v>
      </c>
      <c r="T171" s="1043" t="s">
        <v>112</v>
      </c>
      <c r="W171" s="690" t="b" cm="1">
        <f t="array" ref="W171">W170</f>
        <v>0</v>
      </c>
      <c r="Z171" s="1428"/>
      <c r="AB171" s="1436"/>
      <c r="AC171" s="1437"/>
      <c r="AD171" s="376" t="s">
        <v>316</v>
      </c>
      <c r="AE171" s="371"/>
      <c r="AF171" s="1429"/>
      <c r="AO171" s="1051" cm="1">
        <f t="array" ref="AO171">AO170</f>
        <v>0</v>
      </c>
      <c r="AP171" s="1044"/>
      <c r="AQ171" s="1044"/>
      <c r="AR171" s="1044" t="s">
        <v>312</v>
      </c>
      <c r="AS171" s="1044"/>
      <c r="AT171" s="1044"/>
      <c r="AU171" s="1044"/>
      <c r="AV171" s="1044"/>
      <c r="AW171" s="1044"/>
      <c r="AX171" s="1044"/>
      <c r="AY171" s="1044"/>
      <c r="AZ171" s="1044"/>
      <c r="BA171" s="1044"/>
      <c r="BB171" s="1044"/>
      <c r="BC171" s="1044"/>
      <c r="BD171" s="1044"/>
      <c r="BE171" s="1044"/>
    </row>
    <row r="172" spans="2:57" ht="29.25" hidden="1" customHeight="1" x14ac:dyDescent="0.15">
      <c r="E172" s="668">
        <v>30</v>
      </c>
      <c r="G172" s="769" cm="1">
        <f t="array" ref="G172">G171</f>
        <v>0</v>
      </c>
      <c r="S172" s="1042" t="s">
        <v>111</v>
      </c>
      <c r="T172" s="1043" t="s">
        <v>112</v>
      </c>
      <c r="W172" s="690" t="b" cm="1">
        <f t="array" ref="W172">W171</f>
        <v>0</v>
      </c>
      <c r="Z172" s="1428"/>
      <c r="AB172" s="1436"/>
      <c r="AC172" s="1437"/>
      <c r="AD172" s="376" t="s">
        <v>317</v>
      </c>
      <c r="AE172" s="1"/>
      <c r="AF172" s="1429"/>
      <c r="AO172" s="1051" cm="1">
        <f t="array" ref="AO172">AO171</f>
        <v>0</v>
      </c>
      <c r="AP172" s="1044"/>
      <c r="AQ172" s="1044"/>
      <c r="AR172" s="1044" t="s">
        <v>318</v>
      </c>
      <c r="AS172" s="1044"/>
      <c r="AT172" s="1044"/>
      <c r="AU172" s="1044"/>
      <c r="AV172" s="1044"/>
      <c r="AW172" s="1044"/>
      <c r="AX172" s="1044"/>
      <c r="AY172" s="1044"/>
      <c r="AZ172" s="1044"/>
      <c r="BA172" s="1044"/>
      <c r="BB172" s="1044"/>
      <c r="BC172" s="1044"/>
      <c r="BD172" s="1044"/>
      <c r="BE172" s="1044"/>
    </row>
    <row r="173" spans="2:57" ht="19.899999999999999" hidden="1" customHeight="1" x14ac:dyDescent="0.15">
      <c r="E173" s="668">
        <v>20.399999999999999</v>
      </c>
      <c r="G173" s="769" cm="1">
        <f t="array" ref="G173">G172</f>
        <v>0</v>
      </c>
      <c r="S173" s="1042" t="s">
        <v>111</v>
      </c>
      <c r="T173" s="1043" t="s">
        <v>112</v>
      </c>
      <c r="W173" s="690" t="b" cm="1">
        <f t="array" ref="W173">W172</f>
        <v>0</v>
      </c>
      <c r="Z173" s="1428"/>
      <c r="AB173" s="1436"/>
      <c r="AC173" s="1437"/>
      <c r="AD173" s="376" t="s">
        <v>319</v>
      </c>
      <c r="AE173" s="2"/>
      <c r="AF173" s="1429"/>
      <c r="AO173" s="1051" cm="1">
        <f t="array" ref="AO173">AO172</f>
        <v>0</v>
      </c>
      <c r="AP173" s="1044"/>
      <c r="AQ173" s="1044"/>
      <c r="AR173" s="1044"/>
      <c r="AS173" s="1044"/>
      <c r="AT173" s="1044"/>
      <c r="AU173" s="1044"/>
      <c r="AV173" s="1044"/>
      <c r="AW173" s="1044"/>
      <c r="AX173" s="1044"/>
      <c r="AY173" s="1044"/>
      <c r="AZ173" s="1044"/>
      <c r="BA173" s="1044" t="s">
        <v>320</v>
      </c>
      <c r="BB173" s="1044"/>
      <c r="BC173" s="1044"/>
      <c r="BD173" s="1044"/>
      <c r="BE173" s="1044"/>
    </row>
    <row r="174" spans="2:57" ht="19.899999999999999" hidden="1" customHeight="1" x14ac:dyDescent="0.15">
      <c r="E174" s="668">
        <v>20.399999999999999</v>
      </c>
      <c r="G174" s="769" cm="1">
        <f t="array" ref="G174">G173</f>
        <v>0</v>
      </c>
      <c r="S174" s="1042" t="s">
        <v>111</v>
      </c>
      <c r="T174" s="1043" t="s">
        <v>112</v>
      </c>
      <c r="W174" s="690" t="b" cm="1">
        <f t="array" ref="W174">W173</f>
        <v>0</v>
      </c>
      <c r="Z174" s="1428"/>
      <c r="AB174" s="1436"/>
      <c r="AC174" s="1437"/>
      <c r="AD174" s="376" t="s">
        <v>321</v>
      </c>
      <c r="AE174" s="3"/>
      <c r="AF174" s="1429"/>
      <c r="AO174" s="1051" cm="1">
        <f t="array" ref="AO174">AO173</f>
        <v>0</v>
      </c>
      <c r="AP174" s="1044"/>
      <c r="AQ174" s="1044"/>
      <c r="AR174" s="1044"/>
      <c r="AS174" s="1044"/>
      <c r="AT174" s="1044"/>
      <c r="AU174" s="1044"/>
      <c r="AV174" s="1044"/>
      <c r="AW174" s="1044"/>
      <c r="AX174" s="1044"/>
      <c r="AY174" s="1044"/>
      <c r="AZ174" s="1044"/>
      <c r="BA174" s="1044"/>
      <c r="BB174" s="1044" t="s">
        <v>322</v>
      </c>
      <c r="BC174" s="1044"/>
      <c r="BD174" s="1044"/>
      <c r="BE174" s="1044"/>
    </row>
    <row r="175" spans="2:57" ht="89.25" hidden="1" customHeight="1" x14ac:dyDescent="0.15">
      <c r="E175" s="668">
        <v>91.5</v>
      </c>
      <c r="G175" s="769" cm="1">
        <f t="array" ref="G175">G174</f>
        <v>0</v>
      </c>
      <c r="S175" s="1042" t="s">
        <v>111</v>
      </c>
      <c r="T175" s="1043" t="s">
        <v>112</v>
      </c>
      <c r="W175" s="690" t="b" cm="1">
        <f t="array" ref="W175">W174</f>
        <v>0</v>
      </c>
      <c r="Z175" s="1428"/>
      <c r="AB175" s="1436"/>
      <c r="AC175" s="1437"/>
      <c r="AD175" s="376" t="s">
        <v>323</v>
      </c>
      <c r="AE175" s="912"/>
      <c r="AF175" s="1429"/>
      <c r="AO175" s="1051" cm="1">
        <f t="array" ref="AO175">AO174</f>
        <v>0</v>
      </c>
      <c r="AP175" s="1044"/>
      <c r="AQ175" s="1044"/>
      <c r="AR175" s="1044"/>
      <c r="AS175" s="1044"/>
      <c r="AT175" s="1044"/>
      <c r="AU175" s="1044"/>
      <c r="AV175" s="1044"/>
      <c r="AW175" s="1044"/>
      <c r="AX175" s="1044"/>
      <c r="AY175" s="1044"/>
      <c r="AZ175" s="1044"/>
      <c r="BA175" s="1044"/>
      <c r="BB175" s="1044"/>
      <c r="BC175" s="1044" t="s">
        <v>324</v>
      </c>
      <c r="BD175" s="1044"/>
      <c r="BE175" s="1044"/>
    </row>
    <row r="176" spans="2:57" ht="26.25" hidden="1" customHeight="1" x14ac:dyDescent="0.15">
      <c r="E176" s="668">
        <v>0</v>
      </c>
      <c r="G176" s="769" cm="1">
        <f t="array" ref="G176">G175</f>
        <v>0</v>
      </c>
      <c r="S176" s="1042" t="s">
        <v>111</v>
      </c>
      <c r="T176" s="1043" t="s">
        <v>112</v>
      </c>
      <c r="W176" s="690" t="b">
        <v>0</v>
      </c>
      <c r="Z176" s="1428"/>
      <c r="AB176" s="1436"/>
      <c r="AC176" s="1437"/>
      <c r="AD176" s="131" t="s">
        <v>325</v>
      </c>
      <c r="AE176" s="399"/>
      <c r="AF176" s="1429"/>
      <c r="AO176" s="1051" cm="1">
        <f t="array" ref="AO176">AO175</f>
        <v>0</v>
      </c>
      <c r="AP176" s="1044"/>
      <c r="AQ176" s="1044"/>
      <c r="AR176" s="1044"/>
      <c r="AS176" s="1044"/>
      <c r="AT176" s="1044"/>
      <c r="AU176" s="1044"/>
      <c r="AV176" s="1044"/>
      <c r="AW176" s="1044"/>
      <c r="AX176" s="1044"/>
      <c r="AY176" s="1044"/>
      <c r="AZ176" s="1044"/>
      <c r="BA176" s="1044"/>
      <c r="BB176" s="1044"/>
      <c r="BC176" s="1044"/>
      <c r="BD176" s="1044"/>
      <c r="BE176" s="1044"/>
    </row>
    <row r="177" spans="1:57" ht="25.7" hidden="1" customHeight="1" x14ac:dyDescent="0.15">
      <c r="E177" s="668">
        <v>26.3</v>
      </c>
      <c r="G177" s="769" cm="1">
        <f t="array" ref="G177">G176</f>
        <v>0</v>
      </c>
      <c r="S177" s="1042" t="s">
        <v>215</v>
      </c>
      <c r="T177" s="1043" t="s">
        <v>216</v>
      </c>
      <c r="W177" s="690" t="b" cm="1">
        <f t="array" ref="W177">W175</f>
        <v>0</v>
      </c>
      <c r="Z177" s="1428"/>
      <c r="AB177" s="1436"/>
      <c r="AC177" s="1437"/>
      <c r="AD177" s="131" t="s">
        <v>326</v>
      </c>
      <c r="AE177" s="392"/>
      <c r="AF177" s="1429"/>
      <c r="AO177" s="1051" cm="1">
        <f t="array" ref="AO177">AO176</f>
        <v>0</v>
      </c>
      <c r="AP177" s="1044"/>
      <c r="AQ177" s="1044"/>
      <c r="AR177" s="1044"/>
      <c r="AS177" s="1044"/>
      <c r="AT177" s="1044"/>
      <c r="AU177" s="1044"/>
      <c r="AV177" s="1044"/>
      <c r="AW177" s="1044"/>
      <c r="AX177" s="1044"/>
      <c r="AY177" s="1044"/>
      <c r="AZ177" s="1044"/>
      <c r="BA177" s="1044"/>
      <c r="BB177" s="1044"/>
      <c r="BC177" s="1044"/>
      <c r="BD177" s="1044"/>
      <c r="BE177" s="1044"/>
    </row>
    <row r="178" spans="1:57" ht="19.899999999999999" hidden="1" customHeight="1" x14ac:dyDescent="0.15">
      <c r="E178" s="668">
        <v>20.399999999999999</v>
      </c>
      <c r="G178" s="769" cm="1">
        <f t="array" ref="G178">G177</f>
        <v>0</v>
      </c>
      <c r="S178" s="1042" t="s">
        <v>111</v>
      </c>
      <c r="T178" s="1043" t="s">
        <v>112</v>
      </c>
      <c r="W178" s="690" t="b" cm="1">
        <f t="array" ref="W178">W177</f>
        <v>0</v>
      </c>
      <c r="Z178" s="1428"/>
      <c r="AB178" s="1436"/>
      <c r="AC178" s="1437"/>
      <c r="AD178" s="131" t="s">
        <v>327</v>
      </c>
      <c r="AE178" s="912"/>
      <c r="AF178" s="1429"/>
      <c r="AO178" s="1051" cm="1">
        <f t="array" ref="AO178">AO177</f>
        <v>0</v>
      </c>
      <c r="AP178" s="1044"/>
      <c r="AQ178" s="1044"/>
      <c r="AR178" s="1044" t="s">
        <v>328</v>
      </c>
      <c r="AS178" s="1044"/>
      <c r="AT178" s="1044"/>
      <c r="AU178" s="1044"/>
      <c r="AV178" s="1044"/>
      <c r="AW178" s="1044"/>
      <c r="AX178" s="1044"/>
      <c r="AY178" s="1044"/>
      <c r="AZ178" s="1044"/>
      <c r="BA178" s="1044"/>
      <c r="BB178" s="1044"/>
      <c r="BC178" s="1044"/>
      <c r="BD178" s="1044"/>
      <c r="BE178" s="1044"/>
    </row>
    <row r="179" spans="1:57" ht="19.899999999999999" hidden="1" customHeight="1" x14ac:dyDescent="0.15">
      <c r="B179" s="797" t="b">
        <f>org_declaration="Заявление организации"</f>
        <v>1</v>
      </c>
      <c r="E179" s="668">
        <v>20.399999999999999</v>
      </c>
      <c r="G179" s="769" cm="1">
        <f t="array" ref="G179">G178</f>
        <v>0</v>
      </c>
      <c r="S179" s="1042" t="s">
        <v>111</v>
      </c>
      <c r="T179" s="1043" t="s">
        <v>112</v>
      </c>
      <c r="W179" s="690" t="b" cm="1">
        <f t="array" ref="W179">W178</f>
        <v>0</v>
      </c>
      <c r="Z179" s="1428"/>
      <c r="AB179" s="1436"/>
      <c r="AC179" s="1437"/>
      <c r="AD179" s="376" t="s">
        <v>329</v>
      </c>
      <c r="AE179" s="4"/>
      <c r="AF179" s="1429"/>
      <c r="AO179" s="1051" cm="1">
        <f t="array" ref="AO179">AO178</f>
        <v>0</v>
      </c>
      <c r="AP179" s="1044"/>
      <c r="AQ179" s="1044"/>
      <c r="AR179" s="1044" t="s">
        <v>330</v>
      </c>
      <c r="AS179" s="1044"/>
      <c r="AT179" s="1044"/>
      <c r="AU179" s="1044"/>
      <c r="AV179" s="1044"/>
      <c r="AW179" s="1044"/>
      <c r="AX179" s="1044"/>
      <c r="AY179" s="1044"/>
      <c r="AZ179" s="1044"/>
      <c r="BA179" s="1044"/>
      <c r="BB179" s="1044"/>
      <c r="BC179" s="1044"/>
      <c r="BD179" s="1044"/>
      <c r="BE179" s="1044"/>
    </row>
    <row r="180" spans="1:57" ht="19.899999999999999" hidden="1" customHeight="1" x14ac:dyDescent="0.15">
      <c r="B180" s="797" t="b">
        <f>org_declaration="Заявление организации"</f>
        <v>1</v>
      </c>
      <c r="E180" s="668">
        <v>20.399999999999999</v>
      </c>
      <c r="G180" s="769" cm="1">
        <f t="array" ref="G180">G179</f>
        <v>0</v>
      </c>
      <c r="S180" s="1042" t="s">
        <v>111</v>
      </c>
      <c r="T180" s="1043" t="s">
        <v>112</v>
      </c>
      <c r="W180" s="690" t="b" cm="1">
        <f t="array" ref="W180">W179</f>
        <v>0</v>
      </c>
      <c r="Z180" s="1428"/>
      <c r="AB180" s="1436"/>
      <c r="AC180" s="1437"/>
      <c r="AD180" s="376" t="s">
        <v>331</v>
      </c>
      <c r="AE180" s="5"/>
      <c r="AF180" s="1429"/>
      <c r="AO180" s="1051" cm="1">
        <f t="array" ref="AO180">AO179</f>
        <v>0</v>
      </c>
      <c r="AP180" s="1044"/>
      <c r="AQ180" s="1044"/>
      <c r="AR180" s="1044" t="s">
        <v>332</v>
      </c>
      <c r="AS180" s="1044"/>
      <c r="AT180" s="1044"/>
      <c r="AU180" s="1044"/>
      <c r="AV180" s="1044"/>
      <c r="AW180" s="1044"/>
      <c r="AX180" s="1044"/>
      <c r="AY180" s="1044"/>
      <c r="AZ180" s="1044"/>
      <c r="BA180" s="1044"/>
      <c r="BB180" s="1044"/>
      <c r="BC180" s="1044"/>
      <c r="BD180" s="1044"/>
      <c r="BE180" s="1044"/>
    </row>
    <row r="181" spans="1:57" ht="19.899999999999999" hidden="1" customHeight="1" x14ac:dyDescent="0.15">
      <c r="B181" s="797" t="b">
        <f>org_declaration="Заявление организации"</f>
        <v>1</v>
      </c>
      <c r="E181" s="668">
        <v>20.399999999999999</v>
      </c>
      <c r="G181" s="769" cm="1">
        <f t="array" ref="G181">G180</f>
        <v>0</v>
      </c>
      <c r="S181" s="1042" t="s">
        <v>111</v>
      </c>
      <c r="T181" s="1043" t="s">
        <v>112</v>
      </c>
      <c r="W181" s="690" t="b" cm="1">
        <f t="array" ref="W181">W180</f>
        <v>0</v>
      </c>
      <c r="Z181" s="1428"/>
      <c r="AB181" s="1436"/>
      <c r="AC181" s="1437"/>
      <c r="AD181" s="376" t="s">
        <v>333</v>
      </c>
      <c r="AE181" s="4"/>
      <c r="AF181" s="1429"/>
      <c r="AO181" s="1051" cm="1">
        <f t="array" ref="AO181">AO180</f>
        <v>0</v>
      </c>
      <c r="AP181" s="1044"/>
      <c r="AQ181" s="1044"/>
      <c r="AR181" s="1044" t="s">
        <v>334</v>
      </c>
      <c r="AS181" s="1044"/>
      <c r="AT181" s="1044"/>
      <c r="AU181" s="1044"/>
      <c r="AV181" s="1044"/>
      <c r="AW181" s="1044"/>
      <c r="AX181" s="1044"/>
      <c r="AY181" s="1044"/>
      <c r="AZ181" s="1044"/>
      <c r="BA181" s="1044"/>
      <c r="BB181" s="1044"/>
      <c r="BC181" s="1044"/>
      <c r="BD181" s="1044"/>
      <c r="BE181" s="1044"/>
    </row>
    <row r="182" spans="1:57" ht="19.899999999999999" hidden="1" customHeight="1" x14ac:dyDescent="0.15">
      <c r="B182" s="797" t="b">
        <f>org_declaration="Заявление организации"</f>
        <v>1</v>
      </c>
      <c r="E182" s="668">
        <v>20.399999999999999</v>
      </c>
      <c r="G182" s="769" cm="1">
        <f t="array" ref="G182">G181</f>
        <v>0</v>
      </c>
      <c r="S182" s="1042" t="s">
        <v>111</v>
      </c>
      <c r="T182" s="1043" t="s">
        <v>112</v>
      </c>
      <c r="W182" s="690" t="b" cm="1">
        <f t="array" ref="W182">W181</f>
        <v>0</v>
      </c>
      <c r="Z182" s="1428"/>
      <c r="AB182" s="1436"/>
      <c r="AC182" s="1437"/>
      <c r="AD182" s="376" t="s">
        <v>335</v>
      </c>
      <c r="AE182" s="755">
        <f>IF(AE$24="","",DATE(AE$24,1,1))</f>
        <v>46023</v>
      </c>
      <c r="AF182" s="1429"/>
      <c r="AO182" s="1051" cm="1">
        <f t="array" ref="AO182">AO181</f>
        <v>0</v>
      </c>
      <c r="AP182" s="1044"/>
      <c r="AQ182" s="1044"/>
      <c r="AR182" s="1044"/>
      <c r="AS182" s="1044"/>
      <c r="AT182" s="1044"/>
      <c r="AU182" s="1044"/>
      <c r="AV182" s="1044"/>
      <c r="AW182" s="1044"/>
      <c r="AX182" s="1044"/>
      <c r="AY182" s="1044"/>
      <c r="AZ182" s="1044" t="s">
        <v>336</v>
      </c>
      <c r="BA182" s="1044"/>
      <c r="BB182" s="1044"/>
      <c r="BC182" s="1044"/>
      <c r="BD182" s="1044"/>
      <c r="BE182" s="1044"/>
    </row>
    <row r="183" spans="1:57" ht="19.899999999999999" hidden="1" customHeight="1" x14ac:dyDescent="0.15">
      <c r="B183" s="797" t="b">
        <f>org_declaration="Заявление организации"</f>
        <v>1</v>
      </c>
      <c r="E183" s="668">
        <v>20.399999999999999</v>
      </c>
      <c r="G183" s="769" cm="1">
        <f t="array" ref="G183">G181</f>
        <v>0</v>
      </c>
      <c r="S183" s="1042" t="s">
        <v>111</v>
      </c>
      <c r="T183" s="1043" t="s">
        <v>112</v>
      </c>
      <c r="W183" s="690" t="b" cm="1">
        <f t="array" ref="W183">W181</f>
        <v>0</v>
      </c>
      <c r="Z183" s="1428"/>
      <c r="AB183" s="1436"/>
      <c r="AC183" s="1437"/>
      <c r="AD183" s="376" t="s">
        <v>337</v>
      </c>
      <c r="AE183" s="6" t="str" cm="1">
        <f t="array" ref="AE183">IF(method_reg="","",method_reg)</f>
        <v>Метод индексации</v>
      </c>
      <c r="AF183" s="1429"/>
      <c r="AO183" s="1051" cm="1">
        <f t="array" ref="AO183">AO182</f>
        <v>0</v>
      </c>
      <c r="AP183" s="1044"/>
      <c r="AQ183" s="1044"/>
      <c r="AR183" s="1044" t="s">
        <v>338</v>
      </c>
      <c r="AS183" s="1044"/>
      <c r="AT183" s="1044"/>
      <c r="AU183" s="1044"/>
      <c r="AV183" s="1044"/>
      <c r="AW183" s="1044"/>
      <c r="AX183" s="1044"/>
      <c r="AY183" s="1044"/>
      <c r="AZ183" s="1044"/>
      <c r="BA183" s="1044"/>
      <c r="BB183" s="1044"/>
      <c r="BC183" s="1044"/>
      <c r="BD183" s="1044"/>
      <c r="BE183" s="1044"/>
    </row>
    <row r="184" spans="1:57" ht="22.15" hidden="1" customHeight="1" x14ac:dyDescent="0.15">
      <c r="B184" s="797" t="b">
        <f>AND(org_declaration="Заявление организации",AE183&lt;&gt;"Метод экономически обоснованных расходов")</f>
        <v>1</v>
      </c>
      <c r="E184" s="668">
        <v>22.8</v>
      </c>
      <c r="G184" s="769" cm="1">
        <f t="array" ref="G184">G183</f>
        <v>0</v>
      </c>
      <c r="S184" s="1042" t="s">
        <v>119</v>
      </c>
      <c r="T184" s="1043" t="s">
        <v>120</v>
      </c>
      <c r="W184" s="690" t="b" cm="1">
        <f t="array" ref="W184">W183</f>
        <v>0</v>
      </c>
      <c r="Z184" s="1428"/>
      <c r="AB184" s="1436"/>
      <c r="AC184" s="1437"/>
      <c r="AD184" s="13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7" cm="1">
        <f t="array" ref="AE184">IF(first_year="","",first_year)</f>
        <v>2024</v>
      </c>
      <c r="AF184" s="1429"/>
      <c r="AO184" s="1051" cm="1">
        <f t="array" ref="AO184">AO183</f>
        <v>0</v>
      </c>
      <c r="AP184" s="1044"/>
      <c r="AQ184" s="1044"/>
      <c r="AR184" s="1044" t="s">
        <v>338</v>
      </c>
      <c r="AS184" s="1044" t="s">
        <v>124</v>
      </c>
      <c r="AT184" s="1044"/>
      <c r="AU184" s="1044"/>
      <c r="AV184" s="1044"/>
      <c r="AW184" s="1044"/>
      <c r="AX184" s="1044"/>
      <c r="AY184" s="1044"/>
      <c r="AZ184" s="1044"/>
      <c r="BA184" s="1044"/>
      <c r="BB184" s="1044"/>
      <c r="BC184" s="1044"/>
      <c r="BD184" s="1044"/>
      <c r="BE184" s="1044"/>
    </row>
    <row r="185" spans="1:57" ht="19.899999999999999" hidden="1" customHeight="1" x14ac:dyDescent="0.15">
      <c r="B185" s="797" t="b">
        <f>AND(org_declaration="Заявление организации",AE183&lt;&gt;"Метод экономически обоснованных расходов")</f>
        <v>1</v>
      </c>
      <c r="E185" s="668">
        <v>20.399999999999999</v>
      </c>
      <c r="G185" s="769" cm="1">
        <f t="array" ref="G185">G184</f>
        <v>0</v>
      </c>
      <c r="S185" s="1042" t="s">
        <v>125</v>
      </c>
      <c r="T185" s="1043" t="s">
        <v>126</v>
      </c>
      <c r="W185" s="690" t="b" cm="1">
        <f t="array" ref="W185">W184</f>
        <v>0</v>
      </c>
      <c r="Z185" s="1428"/>
      <c r="AB185" s="1436"/>
      <c r="AC185" s="1437"/>
      <c r="AD185" s="376" t="s">
        <v>127</v>
      </c>
      <c r="AE185" s="7" cm="1">
        <f t="array" ref="AE185">IF(PERIOD_LENGTH="","",PERIOD_LENGTH)</f>
        <v>5</v>
      </c>
      <c r="AF185" s="1429"/>
      <c r="AO185" s="1051" cm="1">
        <f t="array" ref="AO185">AO184</f>
        <v>0</v>
      </c>
      <c r="AP185" s="1044"/>
      <c r="AQ185" s="1044"/>
      <c r="AR185" s="1044" t="s">
        <v>338</v>
      </c>
      <c r="AS185" s="1044" t="s">
        <v>128</v>
      </c>
      <c r="AT185" s="1044"/>
      <c r="AU185" s="1044"/>
      <c r="AV185" s="1044"/>
      <c r="AW185" s="1044"/>
      <c r="AX185" s="1044"/>
      <c r="AY185" s="1044"/>
      <c r="AZ185" s="1044"/>
      <c r="BA185" s="1044"/>
      <c r="BB185" s="1044"/>
      <c r="BC185" s="1044"/>
      <c r="BD185" s="1044"/>
      <c r="BE185" s="1044"/>
    </row>
    <row r="186" spans="1:57" s="1167" customFormat="1" ht="19.5" customHeight="1" x14ac:dyDescent="0.15">
      <c r="A186" s="1150"/>
      <c r="B186" s="773"/>
      <c r="C186" s="1150"/>
      <c r="D186" s="1150"/>
      <c r="E186" s="668">
        <v>20.399999999999999</v>
      </c>
      <c r="F186" s="804"/>
      <c r="G186" s="769" t="str" cm="1">
        <f t="array" ref="G186">Z186</f>
        <v>1</v>
      </c>
      <c r="H186" s="1150"/>
      <c r="I186" s="1150"/>
      <c r="J186" s="1150"/>
      <c r="K186" s="1150"/>
      <c r="L186" s="1150"/>
      <c r="M186" s="1150"/>
      <c r="N186" s="1150"/>
      <c r="O186" s="1150"/>
      <c r="P186" s="1150"/>
      <c r="Q186" s="1150"/>
      <c r="R186" s="1150"/>
      <c r="S186" s="1042" t="s">
        <v>111</v>
      </c>
      <c r="T186" s="1043" t="s">
        <v>112</v>
      </c>
      <c r="U186" s="1150"/>
      <c r="V186" s="1150"/>
      <c r="W186" s="690" t="b">
        <f>Z186&gt;0</f>
        <v>1</v>
      </c>
      <c r="X186" s="312"/>
      <c r="Y186" s="1150"/>
      <c r="Z186" s="1428" t="s">
        <v>339</v>
      </c>
      <c r="AA186" s="691"/>
      <c r="AB186" s="1438"/>
      <c r="AC186" s="1439"/>
      <c r="AD186" s="380" t="str">
        <f>"Тариф "&amp;Z186</f>
        <v>Тариф 1</v>
      </c>
      <c r="AE186" s="381" t="s">
        <v>314</v>
      </c>
      <c r="AF186" s="1429" t="s">
        <v>218</v>
      </c>
      <c r="AG186" s="103" t="str">
        <f>AD186&amp;" ("&amp;AE186&amp;") - "&amp;AE188&amp;IF(AE194="",""," ("&amp;AE194&amp;")")</f>
        <v>Тариф 1 (Теплоснабжение) - Тариф на тепловую энергию (мощность), поставляемую потребителям (Не определено)</v>
      </c>
      <c r="AH186" s="103" cm="1">
        <f t="array" ref="AH186">AE192</f>
        <v>0</v>
      </c>
      <c r="AI186" s="184" t="str" cm="1">
        <f t="array" ref="AI186">AE189</f>
        <v>вода</v>
      </c>
      <c r="AJ186" s="103" t="str" cm="1">
        <f t="array" ref="AJ186">AE194</f>
        <v>Не определено</v>
      </c>
      <c r="AK186" s="103" t="str" cm="1">
        <f t="array" ref="AK186">AE190</f>
        <v>одноставочный</v>
      </c>
      <c r="AL186" s="183" t="str" cm="1">
        <f t="array" ref="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184" t="str" cm="1">
        <f t="array" ref="AM186">AE188</f>
        <v>Тариф на тепловую энергию (мощность), поставляемую потребителям</v>
      </c>
      <c r="AN186" s="103" t="b">
        <f>IFERROR(FIND("производство тепловой энергии (мощности) в режиме комбинированной выработки",AL186)&gt;0,FALSE)</f>
        <v>0</v>
      </c>
      <c r="AO186" s="1051" t="str" cm="1">
        <f t="array" ref="AO186">AE187</f>
        <v>ТЭ.42.27968109.0001</v>
      </c>
      <c r="AP186" s="1044"/>
      <c r="AQ186" s="1044"/>
      <c r="AR186" s="1044"/>
      <c r="AS186" s="1044"/>
      <c r="AT186" s="1044"/>
      <c r="AU186" s="1044"/>
      <c r="AV186" s="1044"/>
      <c r="AW186" s="1044"/>
      <c r="AX186" s="1044"/>
      <c r="AY186" s="1044"/>
      <c r="AZ186" s="1044"/>
      <c r="BA186" s="1044"/>
      <c r="BB186" s="1044"/>
      <c r="BC186" s="1044"/>
      <c r="BD186" s="1044" t="s">
        <v>315</v>
      </c>
      <c r="BE186" s="1044"/>
    </row>
    <row r="187" spans="1:57" s="1167" customFormat="1" ht="19.5" customHeight="1" x14ac:dyDescent="0.15">
      <c r="A187" s="1150"/>
      <c r="B187" s="773"/>
      <c r="C187" s="1150"/>
      <c r="D187" s="1150"/>
      <c r="E187" s="668">
        <v>20.399999999999999</v>
      </c>
      <c r="F187" s="804"/>
      <c r="G187" s="769" t="str" cm="1">
        <f t="array" ref="G187">G186</f>
        <v>1</v>
      </c>
      <c r="H187" s="1150"/>
      <c r="I187" s="1150"/>
      <c r="J187" s="1150"/>
      <c r="K187" s="1150"/>
      <c r="L187" s="1150"/>
      <c r="M187" s="1150"/>
      <c r="N187" s="790" t="str" cm="1">
        <f t="array" ref="N187">AE187</f>
        <v>ТЭ.42.27968109.0001</v>
      </c>
      <c r="O187" s="1150"/>
      <c r="P187" s="1150"/>
      <c r="Q187" s="1150"/>
      <c r="R187" s="1150"/>
      <c r="S187" s="1042" t="s">
        <v>111</v>
      </c>
      <c r="T187" s="1043" t="s">
        <v>112</v>
      </c>
      <c r="U187" s="1150"/>
      <c r="V187" s="1150"/>
      <c r="W187" s="690" t="b" cm="1">
        <f t="array" ref="W187">W186</f>
        <v>1</v>
      </c>
      <c r="X187" s="1150"/>
      <c r="Y187" s="1150"/>
      <c r="Z187" s="1428"/>
      <c r="AA187" s="691"/>
      <c r="AB187" s="1438"/>
      <c r="AC187" s="1439"/>
      <c r="AD187" s="376" t="s">
        <v>316</v>
      </c>
      <c r="AE187" s="371" t="s">
        <v>311</v>
      </c>
      <c r="AF187" s="1429"/>
      <c r="AG187" s="1153"/>
      <c r="AH187" s="1153"/>
      <c r="AI187" s="1153"/>
      <c r="AJ187" s="1153"/>
      <c r="AK187" s="1153"/>
      <c r="AL187" s="1153"/>
      <c r="AM187" s="1153"/>
      <c r="AN187" s="1153"/>
      <c r="AO187" s="1051" t="str" cm="1">
        <f t="array" ref="AO187">AO186</f>
        <v>ТЭ.42.27968109.0001</v>
      </c>
      <c r="AP187" s="1044"/>
      <c r="AQ187" s="1044"/>
      <c r="AR187" s="1044" t="s">
        <v>312</v>
      </c>
      <c r="AS187" s="1044"/>
      <c r="AT187" s="1044"/>
      <c r="AU187" s="1044"/>
      <c r="AV187" s="1044"/>
      <c r="AW187" s="1044"/>
      <c r="AX187" s="1044"/>
      <c r="AY187" s="1044"/>
      <c r="AZ187" s="1044"/>
      <c r="BA187" s="1044"/>
      <c r="BB187" s="1044"/>
      <c r="BC187" s="1044"/>
      <c r="BD187" s="1044"/>
      <c r="BE187" s="1044"/>
    </row>
    <row r="188" spans="1:57" s="1167" customFormat="1" ht="29.25" customHeight="1" x14ac:dyDescent="0.15">
      <c r="A188" s="1150"/>
      <c r="B188" s="773"/>
      <c r="C188" s="1150"/>
      <c r="D188" s="1150"/>
      <c r="E188" s="668">
        <v>30</v>
      </c>
      <c r="F188" s="804"/>
      <c r="G188" s="769" t="str" cm="1">
        <f t="array" ref="G188">G187</f>
        <v>1</v>
      </c>
      <c r="H188" s="1150"/>
      <c r="I188" s="1150"/>
      <c r="J188" s="1150"/>
      <c r="K188" s="1150"/>
      <c r="L188" s="1150"/>
      <c r="M188" s="1150"/>
      <c r="N188" s="1150"/>
      <c r="O188" s="1150"/>
      <c r="P188" s="1150"/>
      <c r="Q188" s="1150"/>
      <c r="R188" s="1150"/>
      <c r="S188" s="1042" t="s">
        <v>111</v>
      </c>
      <c r="T188" s="1043" t="s">
        <v>112</v>
      </c>
      <c r="U188" s="1150"/>
      <c r="V188" s="1150"/>
      <c r="W188" s="690" t="b" cm="1">
        <f t="array" ref="W188">W187</f>
        <v>1</v>
      </c>
      <c r="X188" s="1150"/>
      <c r="Y188" s="1150"/>
      <c r="Z188" s="1428"/>
      <c r="AA188" s="691"/>
      <c r="AB188" s="1438"/>
      <c r="AC188" s="1439"/>
      <c r="AD188" s="376" t="s">
        <v>317</v>
      </c>
      <c r="AE188" s="1168" t="s">
        <v>340</v>
      </c>
      <c r="AF188" s="1429"/>
      <c r="AG188" s="1153"/>
      <c r="AH188" s="1153"/>
      <c r="AI188" s="1153"/>
      <c r="AJ188" s="1153"/>
      <c r="AK188" s="1153"/>
      <c r="AL188" s="1153"/>
      <c r="AM188" s="1153"/>
      <c r="AN188" s="1153"/>
      <c r="AO188" s="1051" t="str" cm="1">
        <f t="array" ref="AO188">AO187</f>
        <v>ТЭ.42.27968109.0001</v>
      </c>
      <c r="AP188" s="1044"/>
      <c r="AQ188" s="1044"/>
      <c r="AR188" s="1044" t="s">
        <v>318</v>
      </c>
      <c r="AS188" s="1044"/>
      <c r="AT188" s="1044"/>
      <c r="AU188" s="1044"/>
      <c r="AV188" s="1044"/>
      <c r="AW188" s="1044"/>
      <c r="AX188" s="1044"/>
      <c r="AY188" s="1044"/>
      <c r="AZ188" s="1044"/>
      <c r="BA188" s="1044"/>
      <c r="BB188" s="1044"/>
      <c r="BC188" s="1044"/>
      <c r="BD188" s="1044"/>
      <c r="BE188" s="1044"/>
    </row>
    <row r="189" spans="1:57" s="1167" customFormat="1" ht="19.5" customHeight="1" x14ac:dyDescent="0.15">
      <c r="A189" s="1150"/>
      <c r="B189" s="773"/>
      <c r="C189" s="1150"/>
      <c r="D189" s="1150"/>
      <c r="E189" s="668">
        <v>20.399999999999999</v>
      </c>
      <c r="F189" s="804"/>
      <c r="G189" s="769" t="str" cm="1">
        <f t="array" ref="G189">G188</f>
        <v>1</v>
      </c>
      <c r="H189" s="1150"/>
      <c r="I189" s="1150"/>
      <c r="J189" s="1150"/>
      <c r="K189" s="1150"/>
      <c r="L189" s="1150"/>
      <c r="M189" s="1150"/>
      <c r="N189" s="1150"/>
      <c r="O189" s="1150"/>
      <c r="P189" s="1150"/>
      <c r="Q189" s="1150"/>
      <c r="R189" s="1150"/>
      <c r="S189" s="1042" t="s">
        <v>111</v>
      </c>
      <c r="T189" s="1043" t="s">
        <v>112</v>
      </c>
      <c r="U189" s="1150"/>
      <c r="V189" s="1150"/>
      <c r="W189" s="690" t="b" cm="1">
        <f t="array" ref="W189">W188</f>
        <v>1</v>
      </c>
      <c r="X189" s="1150"/>
      <c r="Y189" s="1150"/>
      <c r="Z189" s="1428"/>
      <c r="AA189" s="691"/>
      <c r="AB189" s="1438"/>
      <c r="AC189" s="1439"/>
      <c r="AD189" s="376" t="s">
        <v>319</v>
      </c>
      <c r="AE189" s="1169" t="s">
        <v>341</v>
      </c>
      <c r="AF189" s="1429"/>
      <c r="AG189" s="1153"/>
      <c r="AH189" s="1153"/>
      <c r="AI189" s="1153"/>
      <c r="AJ189" s="1153"/>
      <c r="AK189" s="1153"/>
      <c r="AL189" s="1153"/>
      <c r="AM189" s="1153"/>
      <c r="AN189" s="1153"/>
      <c r="AO189" s="1051" t="str" cm="1">
        <f t="array" ref="AO189">AO188</f>
        <v>ТЭ.42.27968109.0001</v>
      </c>
      <c r="AP189" s="1044"/>
      <c r="AQ189" s="1044"/>
      <c r="AR189" s="1044"/>
      <c r="AS189" s="1044"/>
      <c r="AT189" s="1044"/>
      <c r="AU189" s="1044"/>
      <c r="AV189" s="1044"/>
      <c r="AW189" s="1044"/>
      <c r="AX189" s="1044"/>
      <c r="AY189" s="1044"/>
      <c r="AZ189" s="1044"/>
      <c r="BA189" s="1044" t="s">
        <v>320</v>
      </c>
      <c r="BB189" s="1044"/>
      <c r="BC189" s="1044"/>
      <c r="BD189" s="1044"/>
      <c r="BE189" s="1044"/>
    </row>
    <row r="190" spans="1:57" s="1167" customFormat="1" ht="19.5" customHeight="1" x14ac:dyDescent="0.15">
      <c r="A190" s="1150"/>
      <c r="B190" s="773"/>
      <c r="C190" s="1150"/>
      <c r="D190" s="1150"/>
      <c r="E190" s="668">
        <v>20.399999999999999</v>
      </c>
      <c r="F190" s="804"/>
      <c r="G190" s="769" t="str" cm="1">
        <f t="array" ref="G190">G189</f>
        <v>1</v>
      </c>
      <c r="H190" s="1150"/>
      <c r="I190" s="1150"/>
      <c r="J190" s="1150"/>
      <c r="K190" s="1150"/>
      <c r="L190" s="1150"/>
      <c r="M190" s="1150"/>
      <c r="N190" s="1150"/>
      <c r="O190" s="1150"/>
      <c r="P190" s="1150"/>
      <c r="Q190" s="1150"/>
      <c r="R190" s="1150"/>
      <c r="S190" s="1042" t="s">
        <v>111</v>
      </c>
      <c r="T190" s="1043" t="s">
        <v>112</v>
      </c>
      <c r="U190" s="1150"/>
      <c r="V190" s="1150"/>
      <c r="W190" s="690" t="b" cm="1">
        <f t="array" ref="W190">W189</f>
        <v>1</v>
      </c>
      <c r="X190" s="1150"/>
      <c r="Y190" s="1150"/>
      <c r="Z190" s="1428"/>
      <c r="AA190" s="691"/>
      <c r="AB190" s="1438"/>
      <c r="AC190" s="1439"/>
      <c r="AD190" s="376" t="s">
        <v>321</v>
      </c>
      <c r="AE190" s="1170" t="s">
        <v>342</v>
      </c>
      <c r="AF190" s="1429"/>
      <c r="AG190" s="1153"/>
      <c r="AH190" s="1153"/>
      <c r="AI190" s="1153"/>
      <c r="AJ190" s="1153"/>
      <c r="AK190" s="1153"/>
      <c r="AL190" s="1153"/>
      <c r="AM190" s="1153"/>
      <c r="AN190" s="1153"/>
      <c r="AO190" s="1051" t="str" cm="1">
        <f t="array" ref="AO190">AO189</f>
        <v>ТЭ.42.27968109.0001</v>
      </c>
      <c r="AP190" s="1044"/>
      <c r="AQ190" s="1044"/>
      <c r="AR190" s="1044"/>
      <c r="AS190" s="1044"/>
      <c r="AT190" s="1044"/>
      <c r="AU190" s="1044"/>
      <c r="AV190" s="1044"/>
      <c r="AW190" s="1044"/>
      <c r="AX190" s="1044"/>
      <c r="AY190" s="1044"/>
      <c r="AZ190" s="1044"/>
      <c r="BA190" s="1044"/>
      <c r="BB190" s="1044" t="s">
        <v>322</v>
      </c>
      <c r="BC190" s="1044"/>
      <c r="BD190" s="1044"/>
      <c r="BE190" s="1044"/>
    </row>
    <row r="191" spans="1:57" s="1167" customFormat="1" ht="88.5" customHeight="1" x14ac:dyDescent="0.15">
      <c r="A191" s="1150"/>
      <c r="B191" s="773"/>
      <c r="C191" s="1150"/>
      <c r="D191" s="1150"/>
      <c r="E191" s="668">
        <v>91.5</v>
      </c>
      <c r="F191" s="804"/>
      <c r="G191" s="769" t="str" cm="1">
        <f t="array" ref="G191">G190</f>
        <v>1</v>
      </c>
      <c r="H191" s="1150"/>
      <c r="I191" s="1150"/>
      <c r="J191" s="1150"/>
      <c r="K191" s="1150"/>
      <c r="L191" s="1150"/>
      <c r="M191" s="1150"/>
      <c r="N191" s="1150"/>
      <c r="O191" s="1150"/>
      <c r="P191" s="1150"/>
      <c r="Q191" s="1150"/>
      <c r="R191" s="1150"/>
      <c r="S191" s="1042" t="s">
        <v>111</v>
      </c>
      <c r="T191" s="1043" t="s">
        <v>112</v>
      </c>
      <c r="U191" s="1150"/>
      <c r="V191" s="1150"/>
      <c r="W191" s="690" t="b" cm="1">
        <f t="array" ref="W191">W190</f>
        <v>1</v>
      </c>
      <c r="X191" s="1150"/>
      <c r="Y191" s="1150"/>
      <c r="Z191" s="1428"/>
      <c r="AA191" s="691"/>
      <c r="AB191" s="1438"/>
      <c r="AC191" s="1439"/>
      <c r="AD191" s="376" t="s">
        <v>323</v>
      </c>
      <c r="AE191" s="912" t="s">
        <v>343</v>
      </c>
      <c r="AF191" s="1429"/>
      <c r="AG191" s="1153"/>
      <c r="AH191" s="1153"/>
      <c r="AI191" s="1153"/>
      <c r="AJ191" s="1153"/>
      <c r="AK191" s="1153"/>
      <c r="AL191" s="1153"/>
      <c r="AM191" s="1153"/>
      <c r="AN191" s="1153"/>
      <c r="AO191" s="1051" t="str" cm="1">
        <f t="array" ref="AO191">AO190</f>
        <v>ТЭ.42.27968109.0001</v>
      </c>
      <c r="AP191" s="1044"/>
      <c r="AQ191" s="1044"/>
      <c r="AR191" s="1044"/>
      <c r="AS191" s="1044"/>
      <c r="AT191" s="1044"/>
      <c r="AU191" s="1044"/>
      <c r="AV191" s="1044"/>
      <c r="AW191" s="1044"/>
      <c r="AX191" s="1044"/>
      <c r="AY191" s="1044"/>
      <c r="AZ191" s="1044"/>
      <c r="BA191" s="1044"/>
      <c r="BB191" s="1044"/>
      <c r="BC191" s="1044" t="s">
        <v>324</v>
      </c>
      <c r="BD191" s="1044"/>
      <c r="BE191" s="1044"/>
    </row>
    <row r="192" spans="1:57" s="1167" customFormat="1" ht="26.25" hidden="1" customHeight="1" x14ac:dyDescent="0.15">
      <c r="A192" s="1150"/>
      <c r="B192" s="773"/>
      <c r="C192" s="1150"/>
      <c r="D192" s="1150"/>
      <c r="E192" s="668">
        <v>0</v>
      </c>
      <c r="F192" s="804"/>
      <c r="G192" s="769" t="str" cm="1">
        <f t="array" ref="G192">G191</f>
        <v>1</v>
      </c>
      <c r="H192" s="1150"/>
      <c r="I192" s="1150"/>
      <c r="J192" s="1150"/>
      <c r="K192" s="1150"/>
      <c r="L192" s="1150"/>
      <c r="M192" s="1150"/>
      <c r="N192" s="1150"/>
      <c r="O192" s="1150"/>
      <c r="P192" s="1150"/>
      <c r="Q192" s="1150"/>
      <c r="R192" s="1150"/>
      <c r="S192" s="1042" t="s">
        <v>111</v>
      </c>
      <c r="T192" s="1043" t="s">
        <v>112</v>
      </c>
      <c r="U192" s="1150"/>
      <c r="V192" s="1150"/>
      <c r="W192" s="690" t="b">
        <v>0</v>
      </c>
      <c r="X192" s="1150"/>
      <c r="Y192" s="1150"/>
      <c r="Z192" s="1428"/>
      <c r="AA192" s="691"/>
      <c r="AB192" s="1436"/>
      <c r="AC192" s="1437"/>
      <c r="AD192" s="131" t="s">
        <v>325</v>
      </c>
      <c r="AE192" s="399"/>
      <c r="AF192" s="1429"/>
      <c r="AG192" s="1153"/>
      <c r="AH192" s="1153"/>
      <c r="AI192" s="1153"/>
      <c r="AJ192" s="1153"/>
      <c r="AK192" s="1153"/>
      <c r="AL192" s="1153"/>
      <c r="AM192" s="1153"/>
      <c r="AN192" s="1153"/>
      <c r="AO192" s="1051" t="str" cm="1">
        <f t="array" ref="AO192">AO191</f>
        <v>ТЭ.42.27968109.0001</v>
      </c>
      <c r="AP192" s="1044"/>
      <c r="AQ192" s="1044"/>
      <c r="AR192" s="1044"/>
      <c r="AS192" s="1044"/>
      <c r="AT192" s="1044"/>
      <c r="AU192" s="1044"/>
      <c r="AV192" s="1044"/>
      <c r="AW192" s="1044"/>
      <c r="AX192" s="1044"/>
      <c r="AY192" s="1044"/>
      <c r="AZ192" s="1044"/>
      <c r="BA192" s="1044"/>
      <c r="BB192" s="1044"/>
      <c r="BC192" s="1044"/>
      <c r="BD192" s="1044"/>
      <c r="BE192" s="1044"/>
    </row>
    <row r="193" spans="1:57" s="1167" customFormat="1" ht="25.5" customHeight="1" x14ac:dyDescent="0.15">
      <c r="A193" s="1150"/>
      <c r="B193" s="773"/>
      <c r="C193" s="1150"/>
      <c r="D193" s="1150"/>
      <c r="E193" s="668">
        <v>26.3</v>
      </c>
      <c r="F193" s="804"/>
      <c r="G193" s="769" t="str" cm="1">
        <f t="array" ref="G193">G192</f>
        <v>1</v>
      </c>
      <c r="H193" s="1150"/>
      <c r="I193" s="1150"/>
      <c r="J193" s="1150"/>
      <c r="K193" s="1150"/>
      <c r="L193" s="1150"/>
      <c r="M193" s="1150"/>
      <c r="N193" s="1150"/>
      <c r="O193" s="1150"/>
      <c r="P193" s="1150"/>
      <c r="Q193" s="1150"/>
      <c r="R193" s="1150"/>
      <c r="S193" s="1042" t="s">
        <v>215</v>
      </c>
      <c r="T193" s="1043" t="s">
        <v>216</v>
      </c>
      <c r="U193" s="1150"/>
      <c r="V193" s="1150"/>
      <c r="W193" s="690" t="b" cm="1">
        <f t="array" ref="W193">W191</f>
        <v>1</v>
      </c>
      <c r="X193" s="1150"/>
      <c r="Y193" s="1150"/>
      <c r="Z193" s="1428"/>
      <c r="AA193" s="691"/>
      <c r="AB193" s="1438"/>
      <c r="AC193" s="1439"/>
      <c r="AD193" s="131" t="s">
        <v>326</v>
      </c>
      <c r="AE193" s="1162"/>
      <c r="AF193" s="1429"/>
      <c r="AG193" s="1153"/>
      <c r="AH193" s="1153"/>
      <c r="AI193" s="1153"/>
      <c r="AJ193" s="1153"/>
      <c r="AK193" s="1153"/>
      <c r="AL193" s="1153"/>
      <c r="AM193" s="1153"/>
      <c r="AN193" s="1153"/>
      <c r="AO193" s="1051" t="str" cm="1">
        <f t="array" ref="AO193">AO192</f>
        <v>ТЭ.42.27968109.0001</v>
      </c>
      <c r="AP193" s="1044"/>
      <c r="AQ193" s="1044"/>
      <c r="AR193" s="1044"/>
      <c r="AS193" s="1044"/>
      <c r="AT193" s="1044"/>
      <c r="AU193" s="1044"/>
      <c r="AV193" s="1044"/>
      <c r="AW193" s="1044"/>
      <c r="AX193" s="1044"/>
      <c r="AY193" s="1044"/>
      <c r="AZ193" s="1044"/>
      <c r="BA193" s="1044"/>
      <c r="BB193" s="1044"/>
      <c r="BC193" s="1044"/>
      <c r="BD193" s="1044"/>
      <c r="BE193" s="1044"/>
    </row>
    <row r="194" spans="1:57" s="1167" customFormat="1" ht="19.5" customHeight="1" x14ac:dyDescent="0.15">
      <c r="A194" s="1150"/>
      <c r="B194" s="773"/>
      <c r="C194" s="1150"/>
      <c r="D194" s="1150"/>
      <c r="E194" s="668">
        <v>20.399999999999999</v>
      </c>
      <c r="F194" s="804"/>
      <c r="G194" s="769" t="str" cm="1">
        <f t="array" ref="G194">G193</f>
        <v>1</v>
      </c>
      <c r="H194" s="1150"/>
      <c r="I194" s="1150"/>
      <c r="J194" s="1150"/>
      <c r="K194" s="1150"/>
      <c r="L194" s="1150"/>
      <c r="M194" s="1150"/>
      <c r="N194" s="1150"/>
      <c r="O194" s="1150"/>
      <c r="P194" s="1150"/>
      <c r="Q194" s="1150"/>
      <c r="R194" s="1150"/>
      <c r="S194" s="1042" t="s">
        <v>111</v>
      </c>
      <c r="T194" s="1043" t="s">
        <v>112</v>
      </c>
      <c r="U194" s="1150"/>
      <c r="V194" s="1150"/>
      <c r="W194" s="690" t="b" cm="1">
        <f t="array" ref="W194">W193</f>
        <v>1</v>
      </c>
      <c r="X194" s="1150"/>
      <c r="Y194" s="1150"/>
      <c r="Z194" s="1428"/>
      <c r="AA194" s="691"/>
      <c r="AB194" s="1438"/>
      <c r="AC194" s="1439"/>
      <c r="AD194" s="131" t="s">
        <v>327</v>
      </c>
      <c r="AE194" s="912" t="s">
        <v>344</v>
      </c>
      <c r="AF194" s="1429"/>
      <c r="AG194" s="1153"/>
      <c r="AH194" s="1153"/>
      <c r="AI194" s="1153"/>
      <c r="AJ194" s="1153"/>
      <c r="AK194" s="1153"/>
      <c r="AL194" s="1153"/>
      <c r="AM194" s="1153"/>
      <c r="AN194" s="1153"/>
      <c r="AO194" s="1051" t="str" cm="1">
        <f t="array" ref="AO194">AO193</f>
        <v>ТЭ.42.27968109.0001</v>
      </c>
      <c r="AP194" s="1044"/>
      <c r="AQ194" s="1044"/>
      <c r="AR194" s="1044" t="s">
        <v>328</v>
      </c>
      <c r="AS194" s="1044"/>
      <c r="AT194" s="1044"/>
      <c r="AU194" s="1044"/>
      <c r="AV194" s="1044"/>
      <c r="AW194" s="1044"/>
      <c r="AX194" s="1044"/>
      <c r="AY194" s="1044"/>
      <c r="AZ194" s="1044"/>
      <c r="BA194" s="1044"/>
      <c r="BB194" s="1044"/>
      <c r="BC194" s="1044"/>
      <c r="BD194" s="1044"/>
      <c r="BE194" s="1044"/>
    </row>
    <row r="195" spans="1:57" s="1167" customFormat="1" ht="19.5" customHeight="1" x14ac:dyDescent="0.15">
      <c r="A195" s="1150"/>
      <c r="B195" s="797" t="b">
        <f>org_declaration="Заявление организации"</f>
        <v>1</v>
      </c>
      <c r="C195" s="1150"/>
      <c r="D195" s="1150"/>
      <c r="E195" s="668">
        <v>20.399999999999999</v>
      </c>
      <c r="F195" s="804"/>
      <c r="G195" s="769" t="str" cm="1">
        <f t="array" ref="G195">G194</f>
        <v>1</v>
      </c>
      <c r="H195" s="1150"/>
      <c r="I195" s="1150"/>
      <c r="J195" s="1150"/>
      <c r="K195" s="1150"/>
      <c r="L195" s="1150"/>
      <c r="M195" s="1150"/>
      <c r="N195" s="1150"/>
      <c r="O195" s="1150"/>
      <c r="P195" s="1150"/>
      <c r="Q195" s="1150"/>
      <c r="R195" s="1150"/>
      <c r="S195" s="1042" t="s">
        <v>111</v>
      </c>
      <c r="T195" s="1043" t="s">
        <v>112</v>
      </c>
      <c r="U195" s="1150"/>
      <c r="V195" s="1150"/>
      <c r="W195" s="690" t="b" cm="1">
        <f t="array" ref="W195">W194</f>
        <v>1</v>
      </c>
      <c r="X195" s="1150"/>
      <c r="Y195" s="1150"/>
      <c r="Z195" s="1428"/>
      <c r="AA195" s="691"/>
      <c r="AB195" s="1438"/>
      <c r="AC195" s="1439"/>
      <c r="AD195" s="376" t="s">
        <v>329</v>
      </c>
      <c r="AE195" s="1171">
        <v>2777</v>
      </c>
      <c r="AF195" s="1429"/>
      <c r="AG195" s="1153"/>
      <c r="AH195" s="1153"/>
      <c r="AI195" s="1153"/>
      <c r="AJ195" s="1153"/>
      <c r="AK195" s="1153"/>
      <c r="AL195" s="1153"/>
      <c r="AM195" s="1153"/>
      <c r="AN195" s="1153"/>
      <c r="AO195" s="1051" t="str" cm="1">
        <f t="array" ref="AO195">AO194</f>
        <v>ТЭ.42.27968109.0001</v>
      </c>
      <c r="AP195" s="1044"/>
      <c r="AQ195" s="1044"/>
      <c r="AR195" s="1044" t="s">
        <v>330</v>
      </c>
      <c r="AS195" s="1044"/>
      <c r="AT195" s="1044"/>
      <c r="AU195" s="1044"/>
      <c r="AV195" s="1044"/>
      <c r="AW195" s="1044"/>
      <c r="AX195" s="1044"/>
      <c r="AY195" s="1044"/>
      <c r="AZ195" s="1044"/>
      <c r="BA195" s="1044"/>
      <c r="BB195" s="1044"/>
      <c r="BC195" s="1044"/>
      <c r="BD195" s="1044"/>
      <c r="BE195" s="1044"/>
    </row>
    <row r="196" spans="1:57" s="1167" customFormat="1" ht="19.5" customHeight="1" x14ac:dyDescent="0.15">
      <c r="A196" s="1150"/>
      <c r="B196" s="797" t="b">
        <f>org_declaration="Заявление организации"</f>
        <v>1</v>
      </c>
      <c r="C196" s="1150"/>
      <c r="D196" s="1150"/>
      <c r="E196" s="668">
        <v>20.399999999999999</v>
      </c>
      <c r="F196" s="804"/>
      <c r="G196" s="769" t="str" cm="1">
        <f t="array" ref="G196">G195</f>
        <v>1</v>
      </c>
      <c r="H196" s="1150"/>
      <c r="I196" s="1150"/>
      <c r="J196" s="1150"/>
      <c r="K196" s="1150"/>
      <c r="L196" s="1150"/>
      <c r="M196" s="1150"/>
      <c r="N196" s="1150"/>
      <c r="O196" s="1150"/>
      <c r="P196" s="1150"/>
      <c r="Q196" s="1150"/>
      <c r="R196" s="1150"/>
      <c r="S196" s="1042" t="s">
        <v>111</v>
      </c>
      <c r="T196" s="1043" t="s">
        <v>112</v>
      </c>
      <c r="U196" s="1150"/>
      <c r="V196" s="1150"/>
      <c r="W196" s="690" t="b" cm="1">
        <f t="array" ref="W196">W195</f>
        <v>1</v>
      </c>
      <c r="X196" s="1150"/>
      <c r="Y196" s="1150"/>
      <c r="Z196" s="1428"/>
      <c r="AA196" s="691"/>
      <c r="AB196" s="1438"/>
      <c r="AC196" s="1439"/>
      <c r="AD196" s="376" t="s">
        <v>331</v>
      </c>
      <c r="AE196" s="1172">
        <v>45777.771828703706</v>
      </c>
      <c r="AF196" s="1429"/>
      <c r="AG196" s="1153"/>
      <c r="AH196" s="1153"/>
      <c r="AI196" s="1153"/>
      <c r="AJ196" s="1153"/>
      <c r="AK196" s="1153"/>
      <c r="AL196" s="1153"/>
      <c r="AM196" s="1153"/>
      <c r="AN196" s="1153"/>
      <c r="AO196" s="1051" t="str" cm="1">
        <f t="array" ref="AO196">AO195</f>
        <v>ТЭ.42.27968109.0001</v>
      </c>
      <c r="AP196" s="1044"/>
      <c r="AQ196" s="1044"/>
      <c r="AR196" s="1044" t="s">
        <v>332</v>
      </c>
      <c r="AS196" s="1044"/>
      <c r="AT196" s="1044"/>
      <c r="AU196" s="1044"/>
      <c r="AV196" s="1044"/>
      <c r="AW196" s="1044"/>
      <c r="AX196" s="1044"/>
      <c r="AY196" s="1044"/>
      <c r="AZ196" s="1044"/>
      <c r="BA196" s="1044"/>
      <c r="BB196" s="1044"/>
      <c r="BC196" s="1044"/>
      <c r="BD196" s="1044"/>
      <c r="BE196" s="1044"/>
    </row>
    <row r="197" spans="1:57" s="1167" customFormat="1" ht="19.5" customHeight="1" x14ac:dyDescent="0.15">
      <c r="A197" s="1150"/>
      <c r="B197" s="797" t="b">
        <f>org_declaration="Заявление организации"</f>
        <v>1</v>
      </c>
      <c r="C197" s="1150"/>
      <c r="D197" s="1150"/>
      <c r="E197" s="668">
        <v>20.399999999999999</v>
      </c>
      <c r="F197" s="804"/>
      <c r="G197" s="769" t="str" cm="1">
        <f t="array" ref="G197">G196</f>
        <v>1</v>
      </c>
      <c r="H197" s="1150"/>
      <c r="I197" s="1150"/>
      <c r="J197" s="1150"/>
      <c r="K197" s="1150"/>
      <c r="L197" s="1150"/>
      <c r="M197" s="1150"/>
      <c r="N197" s="1150"/>
      <c r="O197" s="1150"/>
      <c r="P197" s="1150"/>
      <c r="Q197" s="1150"/>
      <c r="R197" s="1150"/>
      <c r="S197" s="1042" t="s">
        <v>111</v>
      </c>
      <c r="T197" s="1043" t="s">
        <v>112</v>
      </c>
      <c r="U197" s="1150"/>
      <c r="V197" s="1150"/>
      <c r="W197" s="690" t="b" cm="1">
        <f t="array" ref="W197">W196</f>
        <v>1</v>
      </c>
      <c r="X197" s="1150"/>
      <c r="Y197" s="1150"/>
      <c r="Z197" s="1428"/>
      <c r="AA197" s="691"/>
      <c r="AB197" s="1438"/>
      <c r="AC197" s="1439"/>
      <c r="AD197" s="376" t="s">
        <v>333</v>
      </c>
      <c r="AE197" s="1171"/>
      <c r="AF197" s="1429"/>
      <c r="AG197" s="1153"/>
      <c r="AH197" s="1153"/>
      <c r="AI197" s="1153"/>
      <c r="AJ197" s="1153"/>
      <c r="AK197" s="1153"/>
      <c r="AL197" s="1153"/>
      <c r="AM197" s="1153"/>
      <c r="AN197" s="1153"/>
      <c r="AO197" s="1051" t="str" cm="1">
        <f t="array" ref="AO197">AO196</f>
        <v>ТЭ.42.27968109.0001</v>
      </c>
      <c r="AP197" s="1044"/>
      <c r="AQ197" s="1044"/>
      <c r="AR197" s="1044" t="s">
        <v>334</v>
      </c>
      <c r="AS197" s="1044"/>
      <c r="AT197" s="1044"/>
      <c r="AU197" s="1044"/>
      <c r="AV197" s="1044"/>
      <c r="AW197" s="1044"/>
      <c r="AX197" s="1044"/>
      <c r="AY197" s="1044"/>
      <c r="AZ197" s="1044"/>
      <c r="BA197" s="1044"/>
      <c r="BB197" s="1044"/>
      <c r="BC197" s="1044"/>
      <c r="BD197" s="1044"/>
      <c r="BE197" s="1044"/>
    </row>
    <row r="198" spans="1:57" s="1167" customFormat="1" ht="19.5" customHeight="1" x14ac:dyDescent="0.15">
      <c r="A198" s="1150"/>
      <c r="B198" s="797" t="b">
        <f>org_declaration="Заявление организации"</f>
        <v>1</v>
      </c>
      <c r="C198" s="1150"/>
      <c r="D198" s="1150"/>
      <c r="E198" s="668">
        <v>20.399999999999999</v>
      </c>
      <c r="F198" s="804"/>
      <c r="G198" s="769" t="str" cm="1">
        <f t="array" ref="G198">G197</f>
        <v>1</v>
      </c>
      <c r="H198" s="1150"/>
      <c r="I198" s="1150"/>
      <c r="J198" s="1150"/>
      <c r="K198" s="1150"/>
      <c r="L198" s="1150"/>
      <c r="M198" s="1150"/>
      <c r="N198" s="1150"/>
      <c r="O198" s="1150"/>
      <c r="P198" s="1150"/>
      <c r="Q198" s="1150"/>
      <c r="R198" s="1150"/>
      <c r="S198" s="1042" t="s">
        <v>111</v>
      </c>
      <c r="T198" s="1043" t="s">
        <v>112</v>
      </c>
      <c r="U198" s="1150"/>
      <c r="V198" s="1150"/>
      <c r="W198" s="690" t="b" cm="1">
        <f t="array" ref="W198">W197</f>
        <v>1</v>
      </c>
      <c r="X198" s="1150"/>
      <c r="Y198" s="1150"/>
      <c r="Z198" s="1428"/>
      <c r="AA198" s="691"/>
      <c r="AB198" s="1438"/>
      <c r="AC198" s="1439"/>
      <c r="AD198" s="376" t="s">
        <v>335</v>
      </c>
      <c r="AE198" s="1161">
        <f>IF(AE$24="","",DATE(AE$24,1,1))</f>
        <v>46023</v>
      </c>
      <c r="AF198" s="1429"/>
      <c r="AG198" s="1153"/>
      <c r="AH198" s="1153"/>
      <c r="AI198" s="1153"/>
      <c r="AJ198" s="1153"/>
      <c r="AK198" s="1153"/>
      <c r="AL198" s="1153"/>
      <c r="AM198" s="1153"/>
      <c r="AN198" s="1153"/>
      <c r="AO198" s="1051" t="str" cm="1">
        <f t="array" ref="AO198">AO197</f>
        <v>ТЭ.42.27968109.0001</v>
      </c>
      <c r="AP198" s="1044"/>
      <c r="AQ198" s="1044"/>
      <c r="AR198" s="1044"/>
      <c r="AS198" s="1044"/>
      <c r="AT198" s="1044"/>
      <c r="AU198" s="1044"/>
      <c r="AV198" s="1044"/>
      <c r="AW198" s="1044"/>
      <c r="AX198" s="1044"/>
      <c r="AY198" s="1044"/>
      <c r="AZ198" s="1044" t="s">
        <v>336</v>
      </c>
      <c r="BA198" s="1044"/>
      <c r="BB198" s="1044"/>
      <c r="BC198" s="1044"/>
      <c r="BD198" s="1044"/>
      <c r="BE198" s="1044"/>
    </row>
    <row r="199" spans="1:57" s="1167" customFormat="1" ht="19.5" customHeight="1" x14ac:dyDescent="0.15">
      <c r="A199" s="1150"/>
      <c r="B199" s="797" t="b">
        <f>org_declaration="Заявление организации"</f>
        <v>1</v>
      </c>
      <c r="C199" s="1150"/>
      <c r="D199" s="1150"/>
      <c r="E199" s="668">
        <v>20.399999999999999</v>
      </c>
      <c r="F199" s="804"/>
      <c r="G199" s="769" t="str" cm="1">
        <f t="array" ref="G199">G197</f>
        <v>1</v>
      </c>
      <c r="H199" s="1150"/>
      <c r="I199" s="1150"/>
      <c r="J199" s="1150"/>
      <c r="K199" s="1150"/>
      <c r="L199" s="1150"/>
      <c r="M199" s="1150"/>
      <c r="N199" s="1150"/>
      <c r="O199" s="1150"/>
      <c r="P199" s="1150"/>
      <c r="Q199" s="1150"/>
      <c r="R199" s="1150"/>
      <c r="S199" s="1042" t="s">
        <v>111</v>
      </c>
      <c r="T199" s="1043" t="s">
        <v>112</v>
      </c>
      <c r="U199" s="1150"/>
      <c r="V199" s="1150"/>
      <c r="W199" s="690" t="b" cm="1">
        <f t="array" ref="W199">W197</f>
        <v>1</v>
      </c>
      <c r="X199" s="1150"/>
      <c r="Y199" s="1150"/>
      <c r="Z199" s="1428"/>
      <c r="AA199" s="691"/>
      <c r="AB199" s="1438"/>
      <c r="AC199" s="1439"/>
      <c r="AD199" s="376" t="s">
        <v>337</v>
      </c>
      <c r="AE199" s="1173" t="str" cm="1">
        <f t="array" ref="AE199">IF(method_reg="","",method_reg)</f>
        <v>Метод индексации</v>
      </c>
      <c r="AF199" s="1429"/>
      <c r="AG199" s="1153"/>
      <c r="AH199" s="1153"/>
      <c r="AI199" s="1153"/>
      <c r="AJ199" s="1153"/>
      <c r="AK199" s="1153"/>
      <c r="AL199" s="1153"/>
      <c r="AM199" s="1153"/>
      <c r="AN199" s="1153"/>
      <c r="AO199" s="1051" t="str" cm="1">
        <f t="array" ref="AO199">AO198</f>
        <v>ТЭ.42.27968109.0001</v>
      </c>
      <c r="AP199" s="1044"/>
      <c r="AQ199" s="1044"/>
      <c r="AR199" s="1044" t="s">
        <v>338</v>
      </c>
      <c r="AS199" s="1044"/>
      <c r="AT199" s="1044"/>
      <c r="AU199" s="1044"/>
      <c r="AV199" s="1044"/>
      <c r="AW199" s="1044"/>
      <c r="AX199" s="1044"/>
      <c r="AY199" s="1044"/>
      <c r="AZ199" s="1044"/>
      <c r="BA199" s="1044"/>
      <c r="BB199" s="1044"/>
      <c r="BC199" s="1044"/>
      <c r="BD199" s="1044"/>
      <c r="BE199" s="1044"/>
    </row>
    <row r="200" spans="1:57" s="1167" customFormat="1" ht="21.75" customHeight="1" x14ac:dyDescent="0.15">
      <c r="A200" s="1150"/>
      <c r="B200" s="797" t="b">
        <f>AND(org_declaration="Заявление организации",AE199&lt;&gt;"Метод экономически обоснованных расходов")</f>
        <v>1</v>
      </c>
      <c r="C200" s="1150"/>
      <c r="D200" s="1150"/>
      <c r="E200" s="668">
        <v>22.8</v>
      </c>
      <c r="F200" s="804"/>
      <c r="G200" s="769" t="str" cm="1">
        <f t="array" ref="G200">G199</f>
        <v>1</v>
      </c>
      <c r="H200" s="1150"/>
      <c r="I200" s="1150"/>
      <c r="J200" s="1150"/>
      <c r="K200" s="1150"/>
      <c r="L200" s="1150"/>
      <c r="M200" s="1150"/>
      <c r="N200" s="1150"/>
      <c r="O200" s="1150"/>
      <c r="P200" s="1150"/>
      <c r="Q200" s="1150"/>
      <c r="R200" s="1150"/>
      <c r="S200" s="1042" t="s">
        <v>119</v>
      </c>
      <c r="T200" s="1043" t="s">
        <v>120</v>
      </c>
      <c r="U200" s="1150"/>
      <c r="V200" s="1150"/>
      <c r="W200" s="690" t="b" cm="1">
        <f t="array" ref="W200">W199</f>
        <v>1</v>
      </c>
      <c r="X200" s="1150"/>
      <c r="Y200" s="1150"/>
      <c r="Z200" s="1428"/>
      <c r="AA200" s="691"/>
      <c r="AB200" s="1438"/>
      <c r="AC200" s="1439"/>
      <c r="AD200" s="13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174" cm="1">
        <f t="array" ref="AE200">IF(first_year="","",first_year)</f>
        <v>2024</v>
      </c>
      <c r="AF200" s="1429"/>
      <c r="AG200" s="1153"/>
      <c r="AH200" s="1153"/>
      <c r="AI200" s="1153"/>
      <c r="AJ200" s="1153"/>
      <c r="AK200" s="1153"/>
      <c r="AL200" s="1153"/>
      <c r="AM200" s="1153"/>
      <c r="AN200" s="1153"/>
      <c r="AO200" s="1051" t="str" cm="1">
        <f t="array" ref="AO200">AO199</f>
        <v>ТЭ.42.27968109.0001</v>
      </c>
      <c r="AP200" s="1044"/>
      <c r="AQ200" s="1044"/>
      <c r="AR200" s="1044" t="s">
        <v>338</v>
      </c>
      <c r="AS200" s="1044" t="s">
        <v>124</v>
      </c>
      <c r="AT200" s="1044"/>
      <c r="AU200" s="1044"/>
      <c r="AV200" s="1044"/>
      <c r="AW200" s="1044"/>
      <c r="AX200" s="1044"/>
      <c r="AY200" s="1044"/>
      <c r="AZ200" s="1044"/>
      <c r="BA200" s="1044"/>
      <c r="BB200" s="1044"/>
      <c r="BC200" s="1044"/>
      <c r="BD200" s="1044"/>
      <c r="BE200" s="1044"/>
    </row>
    <row r="201" spans="1:57" s="1167" customFormat="1" ht="19.5" customHeight="1" x14ac:dyDescent="0.15">
      <c r="A201" s="1150"/>
      <c r="B201" s="797" t="b">
        <f>AND(org_declaration="Заявление организации",AE199&lt;&gt;"Метод экономически обоснованных расходов")</f>
        <v>1</v>
      </c>
      <c r="C201" s="1150"/>
      <c r="D201" s="1150"/>
      <c r="E201" s="668">
        <v>20.399999999999999</v>
      </c>
      <c r="F201" s="804"/>
      <c r="G201" s="769" t="str" cm="1">
        <f t="array" ref="G201">G200</f>
        <v>1</v>
      </c>
      <c r="H201" s="1150"/>
      <c r="I201" s="1150"/>
      <c r="J201" s="1150"/>
      <c r="K201" s="1150"/>
      <c r="L201" s="1150"/>
      <c r="M201" s="1150"/>
      <c r="N201" s="1150"/>
      <c r="O201" s="1150"/>
      <c r="P201" s="1150"/>
      <c r="Q201" s="1150"/>
      <c r="R201" s="1150"/>
      <c r="S201" s="1042" t="s">
        <v>125</v>
      </c>
      <c r="T201" s="1043" t="s">
        <v>126</v>
      </c>
      <c r="U201" s="1150"/>
      <c r="V201" s="1150"/>
      <c r="W201" s="690" t="b" cm="1">
        <f t="array" ref="W201">W200</f>
        <v>1</v>
      </c>
      <c r="X201" s="1150"/>
      <c r="Y201" s="1150"/>
      <c r="Z201" s="1428"/>
      <c r="AA201" s="691"/>
      <c r="AB201" s="1438"/>
      <c r="AC201" s="1439"/>
      <c r="AD201" s="376" t="s">
        <v>127</v>
      </c>
      <c r="AE201" s="1174" cm="1">
        <f t="array" ref="AE201">IF(PERIOD_LENGTH="","",PERIOD_LENGTH)</f>
        <v>5</v>
      </c>
      <c r="AF201" s="1429"/>
      <c r="AG201" s="1153"/>
      <c r="AH201" s="1153"/>
      <c r="AI201" s="1153"/>
      <c r="AJ201" s="1153"/>
      <c r="AK201" s="1153"/>
      <c r="AL201" s="1153"/>
      <c r="AM201" s="1153"/>
      <c r="AN201" s="1153"/>
      <c r="AO201" s="1051" t="str" cm="1">
        <f t="array" ref="AO201">AO200</f>
        <v>ТЭ.42.27968109.0001</v>
      </c>
      <c r="AP201" s="1044"/>
      <c r="AQ201" s="1044"/>
      <c r="AR201" s="1044" t="s">
        <v>338</v>
      </c>
      <c r="AS201" s="1044" t="s">
        <v>128</v>
      </c>
      <c r="AT201" s="1044"/>
      <c r="AU201" s="1044"/>
      <c r="AV201" s="1044"/>
      <c r="AW201" s="1044"/>
      <c r="AX201" s="1044"/>
      <c r="AY201" s="1044"/>
      <c r="AZ201" s="1044"/>
      <c r="BA201" s="1044"/>
      <c r="BB201" s="1044"/>
      <c r="BC201" s="1044"/>
      <c r="BD201" s="1044"/>
      <c r="BE201" s="1044"/>
    </row>
    <row r="202" spans="1:57" ht="19.899999999999999" customHeight="1" x14ac:dyDescent="0.15">
      <c r="E202" s="668">
        <v>20.399999999999999</v>
      </c>
      <c r="X202" s="312" t="s">
        <v>345</v>
      </c>
      <c r="AB202" s="1435"/>
      <c r="AC202" s="1435"/>
      <c r="AD202" s="917" t="s">
        <v>346</v>
      </c>
      <c r="AE202" s="280"/>
      <c r="AF202" s="355"/>
      <c r="AI202" s="184"/>
    </row>
    <row r="203" spans="1:57" ht="19.899999999999999" customHeight="1" x14ac:dyDescent="0.15">
      <c r="E203" s="668">
        <v>20.399999999999999</v>
      </c>
      <c r="S203" s="1042" t="s">
        <v>111</v>
      </c>
      <c r="T203" s="1043" t="s">
        <v>112</v>
      </c>
      <c r="AB203" s="1469" t="s">
        <v>347</v>
      </c>
      <c r="AC203" s="1470"/>
      <c r="AD203" s="376" t="s">
        <v>348</v>
      </c>
      <c r="AE203" s="352" t="s">
        <v>349</v>
      </c>
      <c r="AF203" s="360"/>
      <c r="AG203" s="103" t="s">
        <v>350</v>
      </c>
      <c r="AO203" s="1044"/>
      <c r="AP203" s="1044"/>
      <c r="AQ203" s="1044"/>
      <c r="AR203" s="1044"/>
      <c r="AS203" s="1044"/>
      <c r="AT203" s="1044"/>
      <c r="AU203" s="1044"/>
      <c r="AV203" s="1044"/>
      <c r="AW203" s="1044"/>
      <c r="AX203" s="1044"/>
      <c r="AY203" s="1044"/>
      <c r="AZ203" s="1044"/>
      <c r="BA203" s="1044"/>
      <c r="BB203" s="1044"/>
      <c r="BC203" s="1044"/>
      <c r="BD203" s="1044"/>
      <c r="BE203" s="1044" t="s">
        <v>351</v>
      </c>
    </row>
    <row r="204" spans="1:57" ht="19.899999999999999" customHeight="1" x14ac:dyDescent="0.15">
      <c r="E204" s="668">
        <v>20.399999999999999</v>
      </c>
      <c r="S204" s="1042" t="s">
        <v>111</v>
      </c>
      <c r="T204" s="1043" t="s">
        <v>112</v>
      </c>
      <c r="AB204" s="1469"/>
      <c r="AC204" s="1470"/>
      <c r="AD204" s="376" t="s">
        <v>352</v>
      </c>
      <c r="AE204" s="352" t="s">
        <v>353</v>
      </c>
      <c r="AF204" s="360"/>
      <c r="AG204" s="103" t="s">
        <v>354</v>
      </c>
      <c r="AO204" s="1044"/>
      <c r="AP204" s="1044"/>
      <c r="AQ204" s="1044"/>
      <c r="AR204" s="1044"/>
      <c r="AS204" s="1044"/>
      <c r="AT204" s="1044"/>
      <c r="AU204" s="1044"/>
      <c r="AV204" s="1044"/>
      <c r="AW204" s="1044"/>
      <c r="AX204" s="1044"/>
      <c r="AY204" s="1044"/>
      <c r="AZ204" s="1044"/>
      <c r="BA204" s="1044"/>
      <c r="BB204" s="1044"/>
      <c r="BC204" s="1044"/>
      <c r="BD204" s="1044"/>
      <c r="BE204" s="1044" t="s">
        <v>355</v>
      </c>
    </row>
    <row r="205" spans="1:57" ht="19.899999999999999" customHeight="1" x14ac:dyDescent="0.15">
      <c r="E205" s="668">
        <v>20.399999999999999</v>
      </c>
      <c r="S205" s="1042" t="s">
        <v>111</v>
      </c>
      <c r="T205" s="1043" t="s">
        <v>112</v>
      </c>
      <c r="AB205" s="1469"/>
      <c r="AC205" s="1470"/>
      <c r="AD205" s="376" t="s">
        <v>356</v>
      </c>
      <c r="AE205" s="352" t="s">
        <v>357</v>
      </c>
      <c r="AF205" s="360"/>
      <c r="AG205" s="103" t="s">
        <v>358</v>
      </c>
      <c r="AO205" s="1044"/>
      <c r="AP205" s="1044"/>
      <c r="AQ205" s="1044"/>
      <c r="AR205" s="1044"/>
      <c r="AS205" s="1044"/>
      <c r="AT205" s="1044"/>
      <c r="AU205" s="1044"/>
      <c r="AV205" s="1044"/>
      <c r="AW205" s="1044"/>
      <c r="AX205" s="1044"/>
      <c r="AY205" s="1044"/>
      <c r="AZ205" s="1044"/>
      <c r="BA205" s="1044"/>
      <c r="BB205" s="1044"/>
      <c r="BC205" s="1044"/>
      <c r="BD205" s="1044"/>
      <c r="BE205" s="1044" t="s">
        <v>359</v>
      </c>
    </row>
    <row r="206" spans="1:57" ht="19.899999999999999" customHeight="1" x14ac:dyDescent="0.15">
      <c r="E206" s="668">
        <v>20.399999999999999</v>
      </c>
      <c r="S206" s="1042" t="s">
        <v>111</v>
      </c>
      <c r="T206" s="1043" t="s">
        <v>112</v>
      </c>
      <c r="AB206" s="1469"/>
      <c r="AC206" s="1470"/>
      <c r="AD206" s="376" t="s">
        <v>360</v>
      </c>
      <c r="AE206" s="352" t="s">
        <v>361</v>
      </c>
      <c r="AF206" s="360"/>
      <c r="AG206" s="103" t="s">
        <v>362</v>
      </c>
      <c r="AO206" s="1044"/>
      <c r="AP206" s="1044"/>
      <c r="AQ206" s="1044"/>
      <c r="AR206" s="1044"/>
      <c r="AS206" s="1044"/>
      <c r="AT206" s="1044"/>
      <c r="AU206" s="1044"/>
      <c r="AV206" s="1044"/>
      <c r="AW206" s="1044"/>
      <c r="AX206" s="1044"/>
      <c r="AY206" s="1044"/>
      <c r="AZ206" s="1044"/>
      <c r="BA206" s="1044"/>
      <c r="BB206" s="1044"/>
      <c r="BC206" s="1044"/>
      <c r="BD206" s="1044"/>
      <c r="BE206" s="1044" t="s">
        <v>363</v>
      </c>
    </row>
    <row r="207" spans="1:57" ht="19.899999999999999" customHeight="1" x14ac:dyDescent="0.15">
      <c r="E207" s="668">
        <v>20.399999999999999</v>
      </c>
      <c r="S207" s="1042" t="s">
        <v>111</v>
      </c>
      <c r="T207" s="1043" t="s">
        <v>112</v>
      </c>
      <c r="AB207" s="1469"/>
      <c r="AC207" s="1470"/>
      <c r="AD207" s="376" t="s">
        <v>364</v>
      </c>
      <c r="AE207" s="352"/>
      <c r="AF207" s="360"/>
      <c r="AG207" s="103" t="s">
        <v>365</v>
      </c>
      <c r="AO207" s="1044"/>
      <c r="AP207" s="1044"/>
      <c r="AQ207" s="1044"/>
      <c r="AR207" s="1044"/>
      <c r="AS207" s="1044"/>
      <c r="AT207" s="1044"/>
      <c r="AU207" s="1044"/>
      <c r="AV207" s="1044"/>
      <c r="AW207" s="1044"/>
      <c r="AX207" s="1044"/>
      <c r="AY207" s="1044"/>
      <c r="AZ207" s="1044"/>
      <c r="BA207" s="1044"/>
      <c r="BB207" s="1044"/>
      <c r="BC207" s="1044"/>
      <c r="BD207" s="1044"/>
      <c r="BE207" s="1044" t="s">
        <v>366</v>
      </c>
    </row>
    <row r="208" spans="1:57" ht="19.899999999999999" hidden="1" customHeight="1" x14ac:dyDescent="0.15">
      <c r="E208" s="668">
        <v>20.399999999999999</v>
      </c>
      <c r="S208" s="1042" t="s">
        <v>111</v>
      </c>
      <c r="T208" s="1043" t="s">
        <v>112</v>
      </c>
      <c r="W208" s="690" t="b">
        <f>ROW(X208)&gt;ROW(X$208)</f>
        <v>0</v>
      </c>
      <c r="X208" s="126" t="s">
        <v>313</v>
      </c>
      <c r="AB208" s="1469"/>
      <c r="AC208" s="1470"/>
      <c r="AD208" s="1175"/>
      <c r="AE208" s="1156"/>
      <c r="AF208" s="623" t="s">
        <v>218</v>
      </c>
      <c r="AO208" s="1051" cm="1">
        <f t="array" ref="AO208">AD208</f>
        <v>0</v>
      </c>
      <c r="AP208" s="1044"/>
      <c r="AQ208" s="1044"/>
      <c r="AR208" s="1044"/>
      <c r="AS208" s="1044"/>
      <c r="AT208" s="1044"/>
      <c r="AU208" s="1044"/>
      <c r="AV208" s="1044"/>
      <c r="AW208" s="1044"/>
      <c r="AX208" s="1044"/>
      <c r="AY208" s="1044"/>
      <c r="AZ208" s="1044"/>
      <c r="BA208" s="1044"/>
      <c r="BB208" s="1044"/>
      <c r="BC208" s="1044"/>
      <c r="BD208" s="1044"/>
      <c r="BE208" s="1044" t="s">
        <v>367</v>
      </c>
    </row>
    <row r="209" spans="5:57" ht="14.65" customHeight="1" x14ac:dyDescent="0.15">
      <c r="E209" s="668">
        <v>15</v>
      </c>
      <c r="X209" s="312" t="s">
        <v>238</v>
      </c>
      <c r="AB209" s="1469"/>
      <c r="AC209" s="1470"/>
      <c r="AD209" s="377" t="s">
        <v>368</v>
      </c>
      <c r="AE209" s="346"/>
      <c r="AF209" s="360"/>
    </row>
    <row r="210" spans="5:57" ht="19.899999999999999" customHeight="1" x14ac:dyDescent="0.15">
      <c r="E210" s="668">
        <v>20.399999999999999</v>
      </c>
      <c r="AB210" s="1469"/>
      <c r="AC210" s="1470"/>
      <c r="AD210" s="376" t="s">
        <v>369</v>
      </c>
      <c r="AE210" s="378" t="str" cm="1">
        <f t="array" ref="AE210">IF(ISBLANK(method_reg),"",method_reg)</f>
        <v>Метод индексации</v>
      </c>
      <c r="AF210" s="360"/>
    </row>
    <row r="211" spans="5:57" ht="19.899999999999999" customHeight="1" x14ac:dyDescent="0.15">
      <c r="E211" s="668">
        <v>20.399999999999999</v>
      </c>
      <c r="AB211" s="1469"/>
      <c r="AC211" s="1470"/>
      <c r="AD211" s="376" t="s">
        <v>121</v>
      </c>
      <c r="AE211" s="379" cm="1">
        <f t="array" ref="AE211">IF(ISBLANK(god),"",god)</f>
        <v>2026</v>
      </c>
      <c r="AF211" s="360"/>
    </row>
    <row r="212" spans="5:57" ht="19.899999999999999" customHeight="1" x14ac:dyDescent="0.15">
      <c r="E212" s="668">
        <v>20.399999999999999</v>
      </c>
      <c r="AB212" s="1469"/>
      <c r="AC212" s="1470"/>
      <c r="AD212" s="376" t="s">
        <v>123</v>
      </c>
      <c r="AE212" s="379" cm="1">
        <f t="array" ref="AE212">IF(ISBLANK(first_year),"",first_year)</f>
        <v>2024</v>
      </c>
      <c r="AF212" s="360"/>
    </row>
    <row r="213" spans="5:57" ht="19.899999999999999" customHeight="1" x14ac:dyDescent="0.15">
      <c r="E213" s="668">
        <v>20.399999999999999</v>
      </c>
      <c r="AB213" s="1471"/>
      <c r="AC213" s="1472"/>
      <c r="AD213" s="376" t="s">
        <v>127</v>
      </c>
      <c r="AE213" s="379" cm="1">
        <f t="array" ref="AE213">IF(ISBLANK(PERIOD_LENGTH),"",PERIOD_LENGTH)</f>
        <v>5</v>
      </c>
      <c r="AF213" s="360"/>
    </row>
    <row r="214" spans="5:57" ht="24" customHeight="1" x14ac:dyDescent="0.15">
      <c r="E214" s="668">
        <v>24.6</v>
      </c>
      <c r="S214" s="1042" t="s">
        <v>186</v>
      </c>
      <c r="T214" s="1043" t="s">
        <v>187</v>
      </c>
      <c r="AB214" s="1464" t="s">
        <v>370</v>
      </c>
      <c r="AC214" s="1465"/>
      <c r="AD214" s="1466"/>
      <c r="AE214" s="370" t="s">
        <v>200</v>
      </c>
      <c r="AF214" s="365"/>
      <c r="AO214" s="1044"/>
      <c r="AP214" s="1044"/>
      <c r="AQ214" s="1044"/>
      <c r="AR214" s="1044" t="s">
        <v>371</v>
      </c>
      <c r="AS214" s="1044"/>
      <c r="AT214" s="1044"/>
      <c r="AU214" s="1044"/>
      <c r="AV214" s="1044"/>
      <c r="AW214" s="1044"/>
      <c r="AX214" s="1044"/>
      <c r="AY214" s="1044"/>
      <c r="AZ214" s="1044"/>
      <c r="BA214" s="1044"/>
      <c r="BB214" s="1044"/>
      <c r="BC214" s="1044"/>
      <c r="BD214" s="1044"/>
      <c r="BE214" s="1044"/>
    </row>
    <row r="215" spans="5:57" ht="11.65" customHeight="1" x14ac:dyDescent="0.15">
      <c r="E215" s="668">
        <v>12</v>
      </c>
    </row>
    <row r="216" spans="5:57" ht="19.899999999999999" customHeight="1" x14ac:dyDescent="0.15">
      <c r="E216" s="668">
        <v>20.399999999999999</v>
      </c>
      <c r="S216" s="1042" t="s">
        <v>111</v>
      </c>
      <c r="T216" s="1043" t="s">
        <v>112</v>
      </c>
      <c r="AB216" s="1464" t="s">
        <v>372</v>
      </c>
      <c r="AC216" s="1465"/>
      <c r="AD216" s="1466"/>
      <c r="AE216" s="382" t="s">
        <v>200</v>
      </c>
      <c r="AO216" s="1044"/>
      <c r="AP216" s="1044"/>
      <c r="AQ216" s="1044"/>
      <c r="AR216" s="1044" t="s">
        <v>373</v>
      </c>
      <c r="AS216" s="1044"/>
      <c r="AT216" s="1044"/>
      <c r="AU216" s="1044"/>
      <c r="AV216" s="1044"/>
      <c r="AW216" s="1044"/>
      <c r="AX216" s="1044"/>
      <c r="AY216" s="1044"/>
      <c r="AZ216" s="1044"/>
      <c r="BA216" s="1044"/>
      <c r="BB216" s="1044"/>
      <c r="BC216" s="1044"/>
      <c r="BD216" s="1044"/>
      <c r="BE216" s="1044"/>
    </row>
    <row r="217" spans="5:57" ht="11.25" customHeight="1" x14ac:dyDescent="0.15">
      <c r="AF217" s="161"/>
    </row>
  </sheetData>
  <sheetProtection formatColumns="0" formatRows="0" insertRows="0" deleteColumns="0" deleteRows="0" sort="0" autoFilter="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 ref="AB131:AB136"/>
    <mergeCell ref="AC131:AD131"/>
    <mergeCell ref="AC132:AD132"/>
    <mergeCell ref="AC133:AD133"/>
    <mergeCell ref="AC134:AD134"/>
    <mergeCell ref="AC135:AD135"/>
    <mergeCell ref="AC136:AD136"/>
    <mergeCell ref="AA131:AA136"/>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00000000}">
      <formula1>YES_NO</formula1>
    </dataValidation>
    <dataValidation type="list" showInputMessage="1" showErrorMessage="1" errorTitle="Внимание" error="Пожалуйста, выберите значение из списка" sqref="AE55" xr:uid="{00000000-0002-0000-0300-000001000000}">
      <formula1>OWNERSHIP_TYPE</formula1>
    </dataValidation>
    <dataValidation type="list" showInputMessage="1" showErrorMessage="1" errorTitle="Внимание" error="Пожалуйста, выберите значение из списка" sqref="AE54" xr:uid="{00000000-0002-0000-0300-000002000000}">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03000000}">
      <formula1>DOCUMENT_TYPES</formula1>
    </dataValidation>
    <dataValidation type="list" showInputMessage="1" showErrorMessage="1" errorTitle="Внимание" error="Пожалуйста, выберите значение из списка!" sqref="AE26 AE185 AE201" xr:uid="{00000000-0002-0000-0300-000004000000}">
      <formula1>period_list</formula1>
    </dataValidation>
    <dataValidation type="list" allowBlank="1" showInputMessage="1" showErrorMessage="1" sqref="AB202:AC202 AB169:AC169" xr:uid="{00000000-0002-0000-0300-000005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xr:uid="{00000000-0002-0000-0300-000006000000}">
      <formula1>YEAR_LIST</formula1>
    </dataValidation>
    <dataValidation type="list" allowBlank="1" showInputMessage="1" showErrorMessage="1" errorTitle="Ошибка" error="Выберите значение из списка" prompt="Выберите значение из списка" sqref="AE174 AE190" xr:uid="{00000000-0002-0000-0300-000007000000}">
      <formula1>tariff_type_list</formula1>
    </dataValidation>
    <dataValidation type="list" showInputMessage="1" showErrorMessage="1" errorTitle="Внимание" error="Пожалуйста, выберите значение из списка!" sqref="AE45" xr:uid="{00000000-0002-0000-0300-000008000000}">
      <formula1>okopf_list</formula1>
    </dataValidation>
    <dataValidation type="list" allowBlank="1" showInputMessage="1" showErrorMessage="1" sqref="AE23 AE183 AE199" xr:uid="{00000000-0002-0000-0300-000009000000}">
      <formula1>method_list</formula1>
    </dataValidation>
    <dataValidation type="list" allowBlank="1" showInputMessage="1" showErrorMessage="1" errorTitle="Внимание" error="Пожалуйста, выберите значение из списка!" sqref="AE57" xr:uid="{00000000-0002-0000-0300-00000A000000}">
      <formula1>nalog_system_list</formula1>
    </dataValidation>
    <dataValidation type="list" allowBlank="1" showInputMessage="1" showErrorMessage="1" sqref="AE173 AE189" xr:uid="{00000000-0002-0000-0300-00000B000000}">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xr:uid="{00000000-0002-0000-0300-00000C000000}">
      <formula1>21916</formula1>
      <formula2>54789</formula2>
    </dataValidation>
    <dataValidation type="list" allowBlank="1" showInputMessage="1" showErrorMessage="1" sqref="AE172 AE188" xr:uid="{00000000-0002-0000-0300-00000D000000}">
      <formula1>tariff_list</formula1>
    </dataValidation>
    <dataValidation type="list" allowBlank="1" showInputMessage="1" showErrorMessage="1" errorTitle="Внимание" error="Пожалуйста, выберите значение из списка!" sqref="AE24" xr:uid="{00000000-0002-0000-0300-00000E000000}">
      <formula1>REG_YEAR_LIST</formula1>
    </dataValidation>
  </dataValidations>
  <hyperlinks>
    <hyperlink ref="AE77" r:id="rId1" tooltip="https://portal.eias.ru/Portal/DownloadPage.aspx?type=12&amp;guid=34868839-3944-4c27-9e28-7fa3f71444c5" xr:uid="{67591D08-1DB8-B758-DA98-7D6092C62678}"/>
    <hyperlink ref="AE144" r:id="rId2" display="mailto:k.lapteva@sdsenergo.ru" xr:uid="{35E678D6-7828-EC23-6BD8-3C8620F7A9F2}"/>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7FDAA-B188-7492-9AD8-582413C4499D}">
  <sheetPr>
    <tabColor rgb="FFFFCC99"/>
  </sheetPr>
  <dimension ref="A1:B97"/>
  <sheetViews>
    <sheetView showGridLines="0" workbookViewId="0"/>
  </sheetViews>
  <sheetFormatPr defaultRowHeight="11.25" customHeight="1" x14ac:dyDescent="0.15"/>
  <cols>
    <col min="1" max="1" width="88.85546875" customWidth="1"/>
    <col min="2" max="2" width="24.7109375" customWidth="1"/>
  </cols>
  <sheetData>
    <row r="1" spans="1:2" ht="11.25" customHeight="1" x14ac:dyDescent="0.15">
      <c r="A1" t="s">
        <v>4687</v>
      </c>
    </row>
    <row r="2" spans="1:2" ht="11.25" customHeight="1" x14ac:dyDescent="0.15">
      <c r="A2" t="s">
        <v>4688</v>
      </c>
      <c r="B2" t="s">
        <v>4689</v>
      </c>
    </row>
    <row r="3" spans="1:2" ht="11.25" customHeight="1" x14ac:dyDescent="0.15">
      <c r="A3" t="s">
        <v>4690</v>
      </c>
    </row>
    <row r="4" spans="1:2" ht="11.25" customHeight="1" x14ac:dyDescent="0.15">
      <c r="A4" t="s">
        <v>3426</v>
      </c>
    </row>
    <row r="5" spans="1:2" ht="11.25" customHeight="1" x14ac:dyDescent="0.15">
      <c r="A5" t="s">
        <v>3345</v>
      </c>
    </row>
    <row r="6" spans="1:2" ht="11.25" customHeight="1" x14ac:dyDescent="0.15">
      <c r="A6" t="s">
        <v>156</v>
      </c>
    </row>
    <row r="7" spans="1:2" ht="11.25" customHeight="1" x14ac:dyDescent="0.15">
      <c r="A7" t="s">
        <v>4691</v>
      </c>
    </row>
    <row r="8" spans="1:2" ht="11.25" customHeight="1" x14ac:dyDescent="0.15">
      <c r="A8" t="s">
        <v>4692</v>
      </c>
    </row>
    <row r="9" spans="1:2" ht="11.25" customHeight="1" x14ac:dyDescent="0.15">
      <c r="A9" t="s">
        <v>4693</v>
      </c>
    </row>
    <row r="10" spans="1:2" ht="11.25" customHeight="1" x14ac:dyDescent="0.15">
      <c r="A10" t="s">
        <v>4694</v>
      </c>
    </row>
    <row r="11" spans="1:2" ht="11.25" customHeight="1" x14ac:dyDescent="0.15">
      <c r="A11" t="s">
        <v>4695</v>
      </c>
    </row>
    <row r="12" spans="1:2" ht="11.25" customHeight="1" x14ac:dyDescent="0.15">
      <c r="A12" t="s">
        <v>4696</v>
      </c>
    </row>
    <row r="13" spans="1:2" ht="11.25" customHeight="1" x14ac:dyDescent="0.15">
      <c r="A13" t="s">
        <v>4697</v>
      </c>
    </row>
    <row r="14" spans="1:2" ht="11.25" customHeight="1" x14ac:dyDescent="0.15">
      <c r="A14" t="s">
        <v>4698</v>
      </c>
    </row>
    <row r="15" spans="1:2" ht="11.25" customHeight="1" x14ac:dyDescent="0.15">
      <c r="A15" t="s">
        <v>4699</v>
      </c>
    </row>
    <row r="16" spans="1:2" ht="11.25" customHeight="1" x14ac:dyDescent="0.15">
      <c r="A16" t="s">
        <v>4700</v>
      </c>
    </row>
    <row r="17" spans="1:1" ht="11.25" customHeight="1" x14ac:dyDescent="0.15">
      <c r="A17" t="s">
        <v>4701</v>
      </c>
    </row>
    <row r="18" spans="1:1" ht="11.25" customHeight="1" x14ac:dyDescent="0.15">
      <c r="A18" t="s">
        <v>4702</v>
      </c>
    </row>
    <row r="19" spans="1:1" ht="11.25" customHeight="1" x14ac:dyDescent="0.15">
      <c r="A19" t="s">
        <v>4703</v>
      </c>
    </row>
    <row r="20" spans="1:1" ht="11.25" customHeight="1" x14ac:dyDescent="0.15">
      <c r="A20" t="s">
        <v>4704</v>
      </c>
    </row>
    <row r="21" spans="1:1" ht="11.25" customHeight="1" x14ac:dyDescent="0.15">
      <c r="A21" t="s">
        <v>4705</v>
      </c>
    </row>
    <row r="22" spans="1:1" ht="11.25" customHeight="1" x14ac:dyDescent="0.15">
      <c r="A22" t="s">
        <v>4706</v>
      </c>
    </row>
    <row r="23" spans="1:1" ht="11.25" customHeight="1" x14ac:dyDescent="0.15">
      <c r="A23" t="s">
        <v>4707</v>
      </c>
    </row>
    <row r="24" spans="1:1" ht="11.25" customHeight="1" x14ac:dyDescent="0.15">
      <c r="A24" t="s">
        <v>4708</v>
      </c>
    </row>
    <row r="25" spans="1:1" ht="11.25" customHeight="1" x14ac:dyDescent="0.15">
      <c r="A25" t="s">
        <v>4709</v>
      </c>
    </row>
    <row r="26" spans="1:1" ht="11.25" customHeight="1" x14ac:dyDescent="0.15">
      <c r="A26" t="s">
        <v>4710</v>
      </c>
    </row>
    <row r="27" spans="1:1" ht="11.25" customHeight="1" x14ac:dyDescent="0.15">
      <c r="A27" t="s">
        <v>4711</v>
      </c>
    </row>
    <row r="28" spans="1:1" ht="11.25" customHeight="1" x14ac:dyDescent="0.15">
      <c r="A28" t="s">
        <v>4712</v>
      </c>
    </row>
    <row r="29" spans="1:1" ht="11.25" customHeight="1" x14ac:dyDescent="0.15">
      <c r="A29" t="s">
        <v>4713</v>
      </c>
    </row>
    <row r="30" spans="1:1" ht="11.25" customHeight="1" x14ac:dyDescent="0.15">
      <c r="A30" t="s">
        <v>4714</v>
      </c>
    </row>
    <row r="31" spans="1:1" ht="11.25" customHeight="1" x14ac:dyDescent="0.15">
      <c r="A31" t="s">
        <v>4715</v>
      </c>
    </row>
    <row r="32" spans="1:1" ht="11.25" customHeight="1" x14ac:dyDescent="0.15">
      <c r="A32" t="s">
        <v>4716</v>
      </c>
    </row>
    <row r="33" spans="1:1" ht="11.25" customHeight="1" x14ac:dyDescent="0.15">
      <c r="A33" t="s">
        <v>4717</v>
      </c>
    </row>
    <row r="34" spans="1:1" ht="11.25" customHeight="1" x14ac:dyDescent="0.15">
      <c r="A34" t="s">
        <v>4718</v>
      </c>
    </row>
    <row r="35" spans="1:1" ht="11.25" customHeight="1" x14ac:dyDescent="0.15">
      <c r="A35" t="s">
        <v>4719</v>
      </c>
    </row>
    <row r="36" spans="1:1" ht="11.25" customHeight="1" x14ac:dyDescent="0.15">
      <c r="A36" t="s">
        <v>4720</v>
      </c>
    </row>
    <row r="37" spans="1:1" ht="11.25" customHeight="1" x14ac:dyDescent="0.15">
      <c r="A37" t="s">
        <v>4721</v>
      </c>
    </row>
    <row r="38" spans="1:1" ht="11.25" customHeight="1" x14ac:dyDescent="0.15">
      <c r="A38" t="s">
        <v>4722</v>
      </c>
    </row>
    <row r="39" spans="1:1" ht="11.25" customHeight="1" x14ac:dyDescent="0.15">
      <c r="A39" t="s">
        <v>4723</v>
      </c>
    </row>
    <row r="40" spans="1:1" ht="11.25" customHeight="1" x14ac:dyDescent="0.15">
      <c r="A40" t="s">
        <v>4724</v>
      </c>
    </row>
    <row r="41" spans="1:1" ht="11.25" customHeight="1" x14ac:dyDescent="0.15">
      <c r="A41" t="s">
        <v>4725</v>
      </c>
    </row>
    <row r="42" spans="1:1" ht="11.25" customHeight="1" x14ac:dyDescent="0.15">
      <c r="A42" t="s">
        <v>4726</v>
      </c>
    </row>
    <row r="43" spans="1:1" ht="11.25" customHeight="1" x14ac:dyDescent="0.15">
      <c r="A43" t="s">
        <v>4727</v>
      </c>
    </row>
    <row r="44" spans="1:1" ht="11.25" customHeight="1" x14ac:dyDescent="0.15">
      <c r="A44" t="s">
        <v>4728</v>
      </c>
    </row>
    <row r="45" spans="1:1" ht="11.25" customHeight="1" x14ac:dyDescent="0.15">
      <c r="A45" t="s">
        <v>4729</v>
      </c>
    </row>
    <row r="46" spans="1:1" ht="11.25" customHeight="1" x14ac:dyDescent="0.15">
      <c r="A46" t="s">
        <v>4730</v>
      </c>
    </row>
    <row r="47" spans="1:1" ht="11.25" customHeight="1" x14ac:dyDescent="0.15">
      <c r="A47" t="s">
        <v>4731</v>
      </c>
    </row>
    <row r="48" spans="1:1" ht="11.25" customHeight="1" x14ac:dyDescent="0.15">
      <c r="A48" t="s">
        <v>4732</v>
      </c>
    </row>
    <row r="49" spans="1:1" ht="11.25" customHeight="1" x14ac:dyDescent="0.15">
      <c r="A49" t="s">
        <v>4733</v>
      </c>
    </row>
    <row r="50" spans="1:1" ht="11.25" customHeight="1" x14ac:dyDescent="0.15">
      <c r="A50" t="s">
        <v>4734</v>
      </c>
    </row>
    <row r="51" spans="1:1" ht="11.25" customHeight="1" x14ac:dyDescent="0.15">
      <c r="A51" t="s">
        <v>4735</v>
      </c>
    </row>
    <row r="52" spans="1:1" ht="11.25" customHeight="1" x14ac:dyDescent="0.15">
      <c r="A52" t="s">
        <v>4736</v>
      </c>
    </row>
    <row r="53" spans="1:1" ht="11.25" customHeight="1" x14ac:dyDescent="0.15">
      <c r="A53" t="s">
        <v>4737</v>
      </c>
    </row>
    <row r="54" spans="1:1" ht="11.25" customHeight="1" x14ac:dyDescent="0.15">
      <c r="A54" t="s">
        <v>4738</v>
      </c>
    </row>
    <row r="55" spans="1:1" ht="11.25" customHeight="1" x14ac:dyDescent="0.15">
      <c r="A55" t="s">
        <v>4739</v>
      </c>
    </row>
    <row r="56" spans="1:1" ht="11.25" customHeight="1" x14ac:dyDescent="0.15">
      <c r="A56" t="s">
        <v>4740</v>
      </c>
    </row>
    <row r="57" spans="1:1" ht="11.25" customHeight="1" x14ac:dyDescent="0.15">
      <c r="A57" t="s">
        <v>3857</v>
      </c>
    </row>
    <row r="58" spans="1:1" ht="11.25" customHeight="1" x14ac:dyDescent="0.15">
      <c r="A58" t="s">
        <v>4741</v>
      </c>
    </row>
    <row r="59" spans="1:1" ht="11.25" customHeight="1" x14ac:dyDescent="0.15">
      <c r="A59" t="s">
        <v>4742</v>
      </c>
    </row>
    <row r="60" spans="1:1" ht="11.25" customHeight="1" x14ac:dyDescent="0.15">
      <c r="A60" t="s">
        <v>4743</v>
      </c>
    </row>
    <row r="61" spans="1:1" ht="11.25" customHeight="1" x14ac:dyDescent="0.15">
      <c r="A61" t="s">
        <v>4744</v>
      </c>
    </row>
    <row r="62" spans="1:1" ht="11.25" customHeight="1" x14ac:dyDescent="0.15">
      <c r="A62" t="s">
        <v>4745</v>
      </c>
    </row>
    <row r="63" spans="1:1" ht="11.25" customHeight="1" x14ac:dyDescent="0.15">
      <c r="A63" t="s">
        <v>4746</v>
      </c>
    </row>
    <row r="64" spans="1:1" ht="11.25" customHeight="1" x14ac:dyDescent="0.15">
      <c r="A64" t="s">
        <v>4747</v>
      </c>
    </row>
    <row r="65" spans="1:1" ht="11.25" customHeight="1" x14ac:dyDescent="0.15">
      <c r="A65" t="s">
        <v>4748</v>
      </c>
    </row>
    <row r="66" spans="1:1" ht="11.25" customHeight="1" x14ac:dyDescent="0.15">
      <c r="A66" t="s">
        <v>4111</v>
      </c>
    </row>
    <row r="67" spans="1:1" ht="11.25" customHeight="1" x14ac:dyDescent="0.15">
      <c r="A67" t="s">
        <v>4749</v>
      </c>
    </row>
    <row r="68" spans="1:1" ht="11.25" customHeight="1" x14ac:dyDescent="0.15">
      <c r="A68" t="s">
        <v>4750</v>
      </c>
    </row>
    <row r="69" spans="1:1" ht="11.25" customHeight="1" x14ac:dyDescent="0.15">
      <c r="A69" t="s">
        <v>4751</v>
      </c>
    </row>
    <row r="70" spans="1:1" ht="11.25" customHeight="1" x14ac:dyDescent="0.15">
      <c r="A70" t="s">
        <v>4752</v>
      </c>
    </row>
    <row r="71" spans="1:1" ht="11.25" customHeight="1" x14ac:dyDescent="0.15">
      <c r="A71" t="s">
        <v>3483</v>
      </c>
    </row>
    <row r="72" spans="1:1" ht="11.25" customHeight="1" x14ac:dyDescent="0.15">
      <c r="A72" t="s">
        <v>4753</v>
      </c>
    </row>
    <row r="73" spans="1:1" ht="11.25" customHeight="1" x14ac:dyDescent="0.15">
      <c r="A73" t="s">
        <v>4754</v>
      </c>
    </row>
    <row r="74" spans="1:1" ht="11.25" customHeight="1" x14ac:dyDescent="0.15">
      <c r="A74" t="s">
        <v>3495</v>
      </c>
    </row>
    <row r="75" spans="1:1" ht="11.25" customHeight="1" x14ac:dyDescent="0.15">
      <c r="A75" t="s">
        <v>4755</v>
      </c>
    </row>
    <row r="76" spans="1:1" ht="11.25" customHeight="1" x14ac:dyDescent="0.15">
      <c r="A76" t="s">
        <v>4756</v>
      </c>
    </row>
    <row r="77" spans="1:1" ht="11.25" customHeight="1" x14ac:dyDescent="0.15">
      <c r="A77" t="s">
        <v>4757</v>
      </c>
    </row>
    <row r="78" spans="1:1" ht="11.25" customHeight="1" x14ac:dyDescent="0.15">
      <c r="A78" t="s">
        <v>4758</v>
      </c>
    </row>
    <row r="79" spans="1:1" ht="11.25" customHeight="1" x14ac:dyDescent="0.15">
      <c r="A79" t="s">
        <v>4759</v>
      </c>
    </row>
    <row r="80" spans="1:1" ht="11.25" customHeight="1" x14ac:dyDescent="0.15">
      <c r="A80" t="s">
        <v>4760</v>
      </c>
    </row>
    <row r="81" spans="1:1" ht="11.25" customHeight="1" x14ac:dyDescent="0.15">
      <c r="A81" t="s">
        <v>4761</v>
      </c>
    </row>
    <row r="82" spans="1:1" ht="11.25" customHeight="1" x14ac:dyDescent="0.15">
      <c r="A82" t="s">
        <v>4762</v>
      </c>
    </row>
    <row r="83" spans="1:1" ht="11.25" customHeight="1" x14ac:dyDescent="0.15">
      <c r="A83" t="s">
        <v>4763</v>
      </c>
    </row>
    <row r="84" spans="1:1" ht="11.25" customHeight="1" x14ac:dyDescent="0.15">
      <c r="A84" t="s">
        <v>4764</v>
      </c>
    </row>
    <row r="85" spans="1:1" ht="11.25" customHeight="1" x14ac:dyDescent="0.15">
      <c r="A85" t="s">
        <v>4680</v>
      </c>
    </row>
    <row r="86" spans="1:1" ht="11.25" customHeight="1" x14ac:dyDescent="0.15">
      <c r="A86" t="s">
        <v>3882</v>
      </c>
    </row>
    <row r="87" spans="1:1" ht="11.25" customHeight="1" x14ac:dyDescent="0.15">
      <c r="A87" t="s">
        <v>4765</v>
      </c>
    </row>
    <row r="88" spans="1:1" ht="11.25" customHeight="1" x14ac:dyDescent="0.15">
      <c r="A88" t="s">
        <v>4068</v>
      </c>
    </row>
    <row r="89" spans="1:1" ht="11.25" customHeight="1" x14ac:dyDescent="0.15">
      <c r="A89" t="s">
        <v>4766</v>
      </c>
    </row>
    <row r="90" spans="1:1" ht="11.25" customHeight="1" x14ac:dyDescent="0.15">
      <c r="A90" t="s">
        <v>4080</v>
      </c>
    </row>
    <row r="91" spans="1:1" ht="11.25" customHeight="1" x14ac:dyDescent="0.15">
      <c r="A91" t="s">
        <v>4767</v>
      </c>
    </row>
    <row r="92" spans="1:1" ht="11.25" customHeight="1" x14ac:dyDescent="0.15">
      <c r="A92" t="s">
        <v>4768</v>
      </c>
    </row>
    <row r="93" spans="1:1" ht="11.25" customHeight="1" x14ac:dyDescent="0.15">
      <c r="A93" t="s">
        <v>3927</v>
      </c>
    </row>
    <row r="94" spans="1:1" ht="11.25" customHeight="1" x14ac:dyDescent="0.15">
      <c r="A94" t="s">
        <v>4769</v>
      </c>
    </row>
    <row r="95" spans="1:1" ht="11.25" customHeight="1" x14ac:dyDescent="0.15">
      <c r="A95" t="s">
        <v>4770</v>
      </c>
    </row>
    <row r="96" spans="1:1" ht="11.25" customHeight="1" x14ac:dyDescent="0.15">
      <c r="A96" t="s">
        <v>4771</v>
      </c>
    </row>
    <row r="97" spans="1:1" ht="11.25" customHeight="1" x14ac:dyDescent="0.15">
      <c r="A97" t="s">
        <v>4772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1287-4378-A228-8A28-B7B2E222C338}">
  <sheetPr>
    <tabColor rgb="FFFFCC99"/>
  </sheetPr>
  <dimension ref="A1:A8"/>
  <sheetViews>
    <sheetView workbookViewId="0"/>
  </sheetViews>
  <sheetFormatPr defaultColWidth="8.85546875" defaultRowHeight="15" customHeight="1" x14ac:dyDescent="0.15"/>
  <sheetData>
    <row r="1" spans="1:1" ht="15" customHeight="1" x14ac:dyDescent="0.15">
      <c r="A1" t="s">
        <v>4773</v>
      </c>
    </row>
    <row r="2" spans="1:1" ht="15" customHeight="1" x14ac:dyDescent="0.15">
      <c r="A2" t="s">
        <v>4774</v>
      </c>
    </row>
    <row r="3" spans="1:1" ht="15" customHeight="1" x14ac:dyDescent="0.15">
      <c r="A3" t="s">
        <v>4775</v>
      </c>
    </row>
    <row r="4" spans="1:1" ht="15" customHeight="1" x14ac:dyDescent="0.15">
      <c r="A4" t="s">
        <v>4776</v>
      </c>
    </row>
    <row r="5" spans="1:1" ht="15" customHeight="1" x14ac:dyDescent="0.15">
      <c r="A5" t="s">
        <v>4777</v>
      </c>
    </row>
    <row r="6" spans="1:1" ht="15" customHeight="1" x14ac:dyDescent="0.15">
      <c r="A6" t="s">
        <v>4778</v>
      </c>
    </row>
    <row r="7" spans="1:1" ht="15" customHeight="1" x14ac:dyDescent="0.15">
      <c r="A7" t="s">
        <v>4779</v>
      </c>
    </row>
    <row r="8" spans="1:1" ht="15" customHeight="1" x14ac:dyDescent="0.15">
      <c r="A8" t="s">
        <v>4780</v>
      </c>
    </row>
  </sheetData>
  <sheetProtection insertRows="0" deleteColumns="0" deleteRows="0" sort="0" autoFilter="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F2926-F2BC-8E23-2C0D-4FD5BC780661}">
  <sheetPr>
    <tabColor rgb="FFFFCC99"/>
  </sheetPr>
  <dimension ref="A1:A2"/>
  <sheetViews>
    <sheetView workbookViewId="0"/>
  </sheetViews>
  <sheetFormatPr defaultColWidth="8.85546875" defaultRowHeight="15" customHeight="1" x14ac:dyDescent="0.15"/>
  <sheetData>
    <row r="1" spans="1:1" ht="15" customHeight="1" x14ac:dyDescent="0.15">
      <c r="A1" t="s">
        <v>4781</v>
      </c>
    </row>
    <row r="2" spans="1:1" ht="15" customHeight="1" x14ac:dyDescent="0.15">
      <c r="A2" t="s">
        <v>344</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4FAC8-7EE8-2157-3B9D-A2A90E82AEC4}">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x14ac:dyDescent="0.15"/>
  <cols>
    <col min="1" max="1" width="3.5703125" style="1151" hidden="1" customWidth="1"/>
    <col min="2" max="2" width="8.5703125" style="1151" hidden="1" customWidth="1"/>
    <col min="3" max="4" width="3.5703125" style="1151" hidden="1" customWidth="1"/>
    <col min="5" max="5" width="8.42578125" style="284" hidden="1" customWidth="1"/>
    <col min="6" max="6" width="6.42578125" style="1151" hidden="1" customWidth="1"/>
    <col min="7" max="19" width="3.5703125" style="1151" hidden="1" customWidth="1"/>
    <col min="20" max="20" width="3.5703125" style="1152" hidden="1" customWidth="1"/>
    <col min="21" max="21" width="7.42578125" style="1151" hidden="1" customWidth="1"/>
    <col min="22" max="23" width="6" style="1151" hidden="1" customWidth="1"/>
    <col min="24" max="24" width="8" style="1151" hidden="1" customWidth="1"/>
    <col min="25" max="25" width="5.42578125" style="1151" hidden="1" customWidth="1"/>
    <col min="26" max="26" width="5" style="1151" hidden="1" customWidth="1"/>
    <col min="27" max="27" width="3" style="765" customWidth="1"/>
    <col min="28" max="28" width="5.5703125" style="141" customWidth="1"/>
    <col min="29" max="30" width="28.140625" style="141" customWidth="1"/>
    <col min="31" max="31" width="14.7109375" style="147" customWidth="1"/>
    <col min="32" max="32" width="22" style="147" customWidth="1"/>
    <col min="33" max="33" width="31.5703125" style="141" customWidth="1"/>
    <col min="34" max="34" width="3" style="141" customWidth="1"/>
    <col min="35" max="35" width="9.140625" style="141" hidden="1"/>
    <col min="36" max="36" width="6.7109375" style="983" hidden="1" customWidth="1"/>
    <col min="37" max="40" width="6.7109375" style="311" hidden="1" customWidth="1"/>
    <col min="41" max="42" width="6.7109375" style="740" hidden="1" customWidth="1"/>
  </cols>
  <sheetData>
    <row r="1" spans="1:42" s="1150" customFormat="1" ht="12" hidden="1" customHeight="1" x14ac:dyDescent="0.15">
      <c r="A1" s="123"/>
      <c r="B1" s="123"/>
      <c r="C1" s="123"/>
      <c r="D1" s="123"/>
      <c r="E1" s="123"/>
      <c r="F1" s="690" t="s">
        <v>83</v>
      </c>
      <c r="G1" s="123"/>
      <c r="H1" s="123"/>
      <c r="I1" s="123"/>
      <c r="J1" s="123"/>
      <c r="K1" s="123"/>
      <c r="L1" s="123"/>
      <c r="M1" s="123"/>
      <c r="N1" s="123"/>
      <c r="O1" s="123"/>
      <c r="P1" s="123"/>
      <c r="Q1" s="123"/>
      <c r="R1" s="123"/>
      <c r="S1" s="123"/>
      <c r="T1" s="123"/>
      <c r="U1" s="679" t="s">
        <v>86</v>
      </c>
      <c r="V1" s="679" t="s">
        <v>91</v>
      </c>
      <c r="W1" s="679" t="s">
        <v>87</v>
      </c>
      <c r="X1" s="679" t="s">
        <v>88</v>
      </c>
      <c r="Y1" s="679" t="s">
        <v>89</v>
      </c>
      <c r="Z1" s="679" t="s">
        <v>93</v>
      </c>
      <c r="AA1" s="690" t="s">
        <v>90</v>
      </c>
      <c r="AB1" s="690" t="s">
        <v>374</v>
      </c>
      <c r="AC1" s="690" t="s">
        <v>92</v>
      </c>
      <c r="AJ1" s="983" t="s">
        <v>375</v>
      </c>
      <c r="AK1" s="335" t="s">
        <v>376</v>
      </c>
      <c r="AL1" s="335" t="s">
        <v>377</v>
      </c>
      <c r="AM1" s="335" t="s">
        <v>378</v>
      </c>
      <c r="AN1" s="335" t="s">
        <v>379</v>
      </c>
      <c r="AO1" s="987" t="s">
        <v>380</v>
      </c>
      <c r="AP1" s="987" t="s">
        <v>381</v>
      </c>
    </row>
    <row r="2" spans="1:42" s="663" customFormat="1" ht="12" hidden="1" customHeight="1" x14ac:dyDescent="0.15">
      <c r="A2" s="119"/>
      <c r="B2" s="680" t="s">
        <v>15</v>
      </c>
      <c r="C2" s="119"/>
      <c r="D2" s="119"/>
      <c r="E2" s="119"/>
      <c r="F2" s="119"/>
      <c r="G2" s="119"/>
      <c r="H2" s="119"/>
      <c r="I2" s="119"/>
      <c r="J2" s="119"/>
      <c r="K2" s="119"/>
      <c r="L2" s="119"/>
      <c r="M2" s="119"/>
      <c r="N2" s="119"/>
      <c r="O2" s="119"/>
      <c r="P2" s="119"/>
      <c r="Q2" s="119"/>
      <c r="R2" s="119"/>
      <c r="S2" s="119"/>
      <c r="T2" s="123"/>
      <c r="U2" s="119"/>
      <c r="V2" s="119"/>
      <c r="W2" s="119"/>
      <c r="X2" s="119"/>
      <c r="Y2" s="119"/>
      <c r="Z2" s="119"/>
      <c r="AJ2" s="982"/>
      <c r="AK2" s="988"/>
      <c r="AL2" s="988"/>
      <c r="AM2" s="988"/>
      <c r="AN2" s="988"/>
      <c r="AO2" s="989"/>
      <c r="AP2" s="989"/>
    </row>
    <row r="3" spans="1:42" s="799" customFormat="1" ht="12" hidden="1" customHeight="1" x14ac:dyDescent="0.15">
      <c r="A3" s="119"/>
      <c r="B3" s="119"/>
      <c r="C3" s="123"/>
      <c r="D3" s="119"/>
      <c r="E3" s="119"/>
      <c r="F3" s="119"/>
      <c r="G3" s="119"/>
      <c r="H3" s="119"/>
      <c r="I3" s="119"/>
      <c r="J3" s="119"/>
      <c r="K3" s="119"/>
      <c r="L3" s="119"/>
      <c r="M3" s="119"/>
      <c r="N3" s="119"/>
      <c r="O3" s="119"/>
      <c r="P3" s="119"/>
      <c r="Q3" s="119"/>
      <c r="R3" s="119"/>
      <c r="S3" s="119"/>
      <c r="T3" s="123"/>
      <c r="U3" s="119"/>
      <c r="V3" s="119"/>
      <c r="W3" s="119"/>
      <c r="X3" s="119"/>
      <c r="Y3" s="119"/>
      <c r="Z3" s="119"/>
      <c r="AJ3" s="983"/>
      <c r="AK3" s="311"/>
      <c r="AL3" s="311"/>
      <c r="AM3" s="311"/>
      <c r="AN3" s="311"/>
      <c r="AO3" s="283"/>
      <c r="AP3" s="283"/>
    </row>
    <row r="4" spans="1:42" s="799" customFormat="1" ht="12" hidden="1" customHeight="1" x14ac:dyDescent="0.15">
      <c r="A4" s="119"/>
      <c r="B4" s="119"/>
      <c r="C4" s="119"/>
      <c r="D4" s="119"/>
      <c r="E4" s="119"/>
      <c r="F4" s="119"/>
      <c r="G4" s="119"/>
      <c r="H4" s="119"/>
      <c r="I4" s="119"/>
      <c r="J4" s="119"/>
      <c r="K4" s="119"/>
      <c r="L4" s="119"/>
      <c r="M4" s="119"/>
      <c r="N4" s="119"/>
      <c r="O4" s="119"/>
      <c r="P4" s="119"/>
      <c r="Q4" s="119"/>
      <c r="R4" s="119"/>
      <c r="S4" s="119"/>
      <c r="T4" s="123"/>
      <c r="U4" s="119"/>
      <c r="V4" s="119"/>
      <c r="W4" s="119"/>
      <c r="X4" s="119"/>
      <c r="Y4" s="119"/>
      <c r="Z4" s="119"/>
      <c r="AJ4" s="983"/>
      <c r="AK4" s="311"/>
      <c r="AL4" s="311"/>
      <c r="AM4" s="311"/>
      <c r="AN4" s="311"/>
      <c r="AO4" s="283"/>
      <c r="AP4" s="283"/>
    </row>
    <row r="5" spans="1:42" s="674" customFormat="1" ht="12" hidden="1" customHeight="1" x14ac:dyDescent="0.15">
      <c r="A5" s="119"/>
      <c r="B5" s="119"/>
      <c r="C5" s="119"/>
      <c r="D5" s="119"/>
      <c r="E5" s="284" t="s">
        <v>16</v>
      </c>
      <c r="F5" s="284"/>
      <c r="G5" s="284"/>
      <c r="H5" s="284"/>
      <c r="I5" s="284"/>
      <c r="J5" s="284"/>
      <c r="K5" s="284"/>
      <c r="L5" s="284"/>
      <c r="M5" s="284"/>
      <c r="N5" s="284"/>
      <c r="O5" s="284"/>
      <c r="P5" s="284"/>
      <c r="Q5" s="284"/>
      <c r="R5" s="284"/>
      <c r="S5" s="284"/>
      <c r="T5" s="678"/>
      <c r="U5" s="284"/>
      <c r="V5" s="284"/>
      <c r="W5" s="284"/>
      <c r="X5" s="284"/>
      <c r="Y5" s="284"/>
      <c r="Z5" s="284"/>
      <c r="AA5" s="674">
        <v>3</v>
      </c>
      <c r="AB5" s="674">
        <v>5.63</v>
      </c>
      <c r="AC5" s="674">
        <v>28.13</v>
      </c>
      <c r="AD5" s="674">
        <v>28.13</v>
      </c>
      <c r="AE5" s="674">
        <v>14.75</v>
      </c>
      <c r="AF5" s="674">
        <v>22</v>
      </c>
      <c r="AG5" s="674">
        <v>31.5</v>
      </c>
      <c r="AH5" s="674">
        <v>3</v>
      </c>
      <c r="AJ5" s="982"/>
      <c r="AK5" s="989"/>
      <c r="AL5" s="989"/>
      <c r="AM5" s="989"/>
      <c r="AN5" s="989"/>
      <c r="AO5" s="989"/>
      <c r="AP5" s="989"/>
    </row>
    <row r="6" spans="1:42" s="799" customFormat="1" ht="12" hidden="1" customHeight="1" x14ac:dyDescent="0.15">
      <c r="A6" s="119"/>
      <c r="B6" s="119"/>
      <c r="C6" s="119"/>
      <c r="D6" s="119"/>
      <c r="E6" s="284"/>
      <c r="F6" s="119"/>
      <c r="G6" s="119"/>
      <c r="H6" s="119"/>
      <c r="I6" s="119"/>
      <c r="J6" s="119"/>
      <c r="K6" s="119"/>
      <c r="L6" s="119"/>
      <c r="M6" s="119"/>
      <c r="N6" s="119"/>
      <c r="O6" s="119"/>
      <c r="P6" s="119"/>
      <c r="Q6" s="119"/>
      <c r="R6" s="119"/>
      <c r="S6" s="119"/>
      <c r="T6" s="123"/>
      <c r="U6" s="119"/>
      <c r="V6" s="119"/>
      <c r="W6" s="119"/>
      <c r="X6" s="119"/>
      <c r="Y6" s="119"/>
      <c r="Z6" s="119"/>
      <c r="AC6" s="312" t="s">
        <v>382</v>
      </c>
      <c r="AD6" s="312" t="s">
        <v>383</v>
      </c>
      <c r="AE6" s="312" t="s">
        <v>384</v>
      </c>
      <c r="AJ6" s="983"/>
      <c r="AK6" s="311"/>
      <c r="AL6" s="311"/>
      <c r="AM6" s="311"/>
      <c r="AN6" s="311"/>
      <c r="AO6" s="283"/>
      <c r="AP6" s="283"/>
    </row>
    <row r="7" spans="1:42" s="765" customFormat="1" ht="12" hidden="1" customHeight="1" x14ac:dyDescent="0.15">
      <c r="A7" s="119"/>
      <c r="B7" s="119"/>
      <c r="C7" s="119"/>
      <c r="D7" s="119"/>
      <c r="E7" s="284"/>
      <c r="F7" s="162"/>
      <c r="G7" s="162"/>
      <c r="H7" s="162"/>
      <c r="I7" s="162"/>
      <c r="J7" s="162"/>
      <c r="K7" s="162"/>
      <c r="L7" s="162"/>
      <c r="M7" s="162"/>
      <c r="N7" s="162"/>
      <c r="O7" s="162"/>
      <c r="P7" s="162"/>
      <c r="Q7" s="162"/>
      <c r="R7" s="162"/>
      <c r="S7" s="162"/>
      <c r="T7" s="160"/>
      <c r="U7" s="162"/>
      <c r="V7" s="162"/>
      <c r="W7" s="162"/>
      <c r="X7" s="162"/>
      <c r="Y7" s="162"/>
      <c r="Z7" s="162"/>
      <c r="AJ7" s="983"/>
      <c r="AK7" s="311"/>
      <c r="AL7" s="311"/>
      <c r="AM7" s="311"/>
      <c r="AN7" s="311"/>
      <c r="AO7" s="283"/>
      <c r="AP7" s="283"/>
    </row>
    <row r="8" spans="1:42" s="765" customFormat="1" ht="12" hidden="1" customHeight="1" x14ac:dyDescent="0.15">
      <c r="A8" s="119"/>
      <c r="B8" s="119"/>
      <c r="C8" s="119"/>
      <c r="D8" s="119"/>
      <c r="E8" s="284"/>
      <c r="F8" s="162"/>
      <c r="G8" s="162"/>
      <c r="H8" s="162"/>
      <c r="I8" s="162"/>
      <c r="J8" s="162"/>
      <c r="K8" s="162"/>
      <c r="L8" s="162"/>
      <c r="M8" s="162"/>
      <c r="N8" s="162"/>
      <c r="O8" s="162"/>
      <c r="P8" s="162"/>
      <c r="Q8" s="162"/>
      <c r="R8" s="162"/>
      <c r="S8" s="162"/>
      <c r="T8" s="160"/>
      <c r="U8" s="162"/>
      <c r="V8" s="162"/>
      <c r="W8" s="162"/>
      <c r="X8" s="162"/>
      <c r="Y8" s="162"/>
      <c r="Z8" s="162"/>
      <c r="AJ8" s="983"/>
      <c r="AK8" s="311"/>
      <c r="AL8" s="311"/>
      <c r="AM8" s="311"/>
      <c r="AN8" s="311"/>
      <c r="AO8" s="283"/>
      <c r="AP8" s="283"/>
    </row>
    <row r="9" spans="1:42" s="937" customFormat="1" ht="12" hidden="1" customHeight="1" x14ac:dyDescent="0.15">
      <c r="A9" s="935" t="s">
        <v>385</v>
      </c>
      <c r="B9" s="936"/>
      <c r="C9" s="936"/>
      <c r="D9" s="936"/>
      <c r="E9" s="936"/>
      <c r="F9" s="936"/>
      <c r="G9" s="936"/>
      <c r="H9" s="936"/>
      <c r="I9" s="936"/>
      <c r="J9" s="936"/>
      <c r="K9" s="936"/>
      <c r="L9" s="936"/>
      <c r="M9" s="936"/>
      <c r="N9" s="936"/>
      <c r="O9" s="936"/>
      <c r="P9" s="936"/>
      <c r="Q9" s="936"/>
      <c r="R9" s="936"/>
      <c r="S9" s="936"/>
      <c r="T9" s="936"/>
      <c r="U9" s="936"/>
      <c r="V9" s="936"/>
      <c r="W9" s="936"/>
      <c r="X9" s="936"/>
      <c r="Y9" s="936"/>
      <c r="Z9" s="936"/>
      <c r="AF9" s="937" t="str" cm="1">
        <f t="array" ref="AF9">AF24</f>
        <v xml:space="preserve">Тип муниципального образования </v>
      </c>
      <c r="AG9" s="937" t="str" cm="1">
        <f t="array" ref="AG9">AG24</f>
        <v>Дополнительные сведения</v>
      </c>
      <c r="AJ9" s="983"/>
      <c r="AK9" s="983"/>
      <c r="AL9" s="983"/>
      <c r="AM9" s="983"/>
      <c r="AN9" s="983"/>
      <c r="AO9" s="987"/>
      <c r="AP9" s="987"/>
    </row>
    <row r="10" spans="1:42" s="937" customFormat="1" ht="12" hidden="1" customHeight="1" x14ac:dyDescent="0.15">
      <c r="A10" s="935" t="s">
        <v>386</v>
      </c>
      <c r="B10" s="936"/>
      <c r="C10" s="936"/>
      <c r="D10" s="936"/>
      <c r="E10" s="936"/>
      <c r="F10" s="936"/>
      <c r="G10" s="936"/>
      <c r="H10" s="936"/>
      <c r="I10" s="936"/>
      <c r="J10" s="936"/>
      <c r="K10" s="936"/>
      <c r="L10" s="936"/>
      <c r="M10" s="936"/>
      <c r="N10" s="936"/>
      <c r="O10" s="936"/>
      <c r="P10" s="936"/>
      <c r="Q10" s="936"/>
      <c r="R10" s="936"/>
      <c r="S10" s="936"/>
      <c r="T10" s="936"/>
      <c r="U10" s="936"/>
      <c r="V10" s="936"/>
      <c r="W10" s="936"/>
      <c r="X10" s="936"/>
      <c r="Y10" s="936"/>
      <c r="Z10" s="936"/>
      <c r="AC10" s="937" t="s">
        <v>377</v>
      </c>
      <c r="AD10" s="937" t="s">
        <v>378</v>
      </c>
      <c r="AE10" s="937" t="s">
        <v>379</v>
      </c>
      <c r="AJ10" s="983"/>
      <c r="AK10" s="983"/>
      <c r="AL10" s="983"/>
      <c r="AM10" s="983"/>
      <c r="AN10" s="983"/>
      <c r="AO10" s="987"/>
      <c r="AP10" s="987"/>
    </row>
    <row r="11" spans="1:42" s="799" customFormat="1" ht="12" hidden="1" customHeight="1" x14ac:dyDescent="0.15">
      <c r="A11" s="119"/>
      <c r="B11" s="119"/>
      <c r="C11" s="119"/>
      <c r="D11" s="119"/>
      <c r="E11" s="284"/>
      <c r="F11" s="119"/>
      <c r="G11" s="119"/>
      <c r="H11" s="119"/>
      <c r="I11" s="119"/>
      <c r="J11" s="119"/>
      <c r="K11" s="119"/>
      <c r="L11" s="119"/>
      <c r="M11" s="119"/>
      <c r="N11" s="119"/>
      <c r="O11" s="119"/>
      <c r="P11" s="119"/>
      <c r="Q11" s="119"/>
      <c r="R11" s="119"/>
      <c r="S11" s="119"/>
      <c r="T11" s="123"/>
      <c r="U11" s="119"/>
      <c r="V11" s="119"/>
      <c r="W11" s="119"/>
      <c r="X11" s="119"/>
      <c r="Y11" s="119"/>
      <c r="Z11" s="119"/>
      <c r="AJ11" s="983"/>
      <c r="AK11" s="311"/>
      <c r="AL11" s="311"/>
      <c r="AM11" s="311"/>
      <c r="AN11" s="311"/>
      <c r="AO11" s="283"/>
      <c r="AP11" s="283"/>
    </row>
    <row r="12" spans="1:42" s="799" customFormat="1" ht="12" hidden="1" customHeight="1" x14ac:dyDescent="0.15">
      <c r="A12" s="119"/>
      <c r="B12" s="119"/>
      <c r="C12" s="119"/>
      <c r="D12" s="119"/>
      <c r="E12" s="284"/>
      <c r="F12" s="119"/>
      <c r="G12" s="119"/>
      <c r="H12" s="119"/>
      <c r="I12" s="119"/>
      <c r="J12" s="119"/>
      <c r="K12" s="119"/>
      <c r="L12" s="119"/>
      <c r="M12" s="119"/>
      <c r="N12" s="119"/>
      <c r="O12" s="119"/>
      <c r="P12" s="119"/>
      <c r="Q12" s="119"/>
      <c r="R12" s="119"/>
      <c r="S12" s="119"/>
      <c r="T12" s="123"/>
      <c r="U12" s="119"/>
      <c r="V12" s="119"/>
      <c r="W12" s="119"/>
      <c r="X12" s="119"/>
      <c r="Y12" s="119"/>
      <c r="Z12" s="119"/>
      <c r="AJ12" s="983"/>
      <c r="AK12" s="311"/>
      <c r="AL12" s="311"/>
      <c r="AM12" s="311"/>
      <c r="AN12" s="311"/>
      <c r="AO12" s="283"/>
      <c r="AP12" s="283"/>
    </row>
    <row r="13" spans="1:42" s="799" customFormat="1" ht="12" hidden="1" customHeight="1" x14ac:dyDescent="0.15">
      <c r="A13" s="119"/>
      <c r="B13" s="119"/>
      <c r="C13" s="119"/>
      <c r="D13" s="119"/>
      <c r="E13" s="284"/>
      <c r="F13" s="119"/>
      <c r="G13" s="119"/>
      <c r="H13" s="119"/>
      <c r="I13" s="119"/>
      <c r="J13" s="119"/>
      <c r="K13" s="119"/>
      <c r="L13" s="119"/>
      <c r="M13" s="119"/>
      <c r="N13" s="119"/>
      <c r="O13" s="119"/>
      <c r="P13" s="119"/>
      <c r="Q13" s="119"/>
      <c r="R13" s="119"/>
      <c r="S13" s="119"/>
      <c r="T13" s="123"/>
      <c r="U13" s="119"/>
      <c r="V13" s="119"/>
      <c r="W13" s="119"/>
      <c r="X13" s="119"/>
      <c r="Y13" s="119"/>
      <c r="Z13" s="119"/>
      <c r="AJ13" s="983"/>
      <c r="AK13" s="311"/>
      <c r="AL13" s="311"/>
      <c r="AM13" s="311"/>
      <c r="AN13" s="311"/>
      <c r="AO13" s="283"/>
      <c r="AP13" s="283"/>
    </row>
    <row r="14" spans="1:42" s="799" customFormat="1" ht="12" hidden="1" customHeight="1" x14ac:dyDescent="0.15">
      <c r="A14" s="119"/>
      <c r="B14" s="119"/>
      <c r="C14" s="119"/>
      <c r="D14" s="119"/>
      <c r="E14" s="284"/>
      <c r="F14" s="119"/>
      <c r="G14" s="119"/>
      <c r="H14" s="119"/>
      <c r="I14" s="119"/>
      <c r="J14" s="119"/>
      <c r="K14" s="119"/>
      <c r="L14" s="119"/>
      <c r="M14" s="119"/>
      <c r="N14" s="119"/>
      <c r="O14" s="119"/>
      <c r="P14" s="119"/>
      <c r="Q14" s="119"/>
      <c r="R14" s="119"/>
      <c r="S14" s="119"/>
      <c r="T14" s="123"/>
      <c r="U14" s="119"/>
      <c r="V14" s="119"/>
      <c r="W14" s="119"/>
      <c r="X14" s="119"/>
      <c r="Y14" s="119"/>
      <c r="Z14" s="119"/>
      <c r="AJ14" s="983"/>
      <c r="AK14" s="311"/>
      <c r="AL14" s="311"/>
      <c r="AM14" s="311"/>
      <c r="AN14" s="311"/>
      <c r="AO14" s="283"/>
      <c r="AP14" s="283"/>
    </row>
    <row r="15" spans="1:42" s="799" customFormat="1" ht="12" hidden="1" customHeight="1" x14ac:dyDescent="0.15">
      <c r="A15" s="119"/>
      <c r="B15" s="119"/>
      <c r="C15" s="119"/>
      <c r="D15" s="119"/>
      <c r="E15" s="284"/>
      <c r="F15" s="119"/>
      <c r="G15" s="119"/>
      <c r="H15" s="119"/>
      <c r="I15" s="119"/>
      <c r="J15" s="119"/>
      <c r="K15" s="119"/>
      <c r="L15" s="119"/>
      <c r="M15" s="119"/>
      <c r="N15" s="119"/>
      <c r="O15" s="119"/>
      <c r="P15" s="119"/>
      <c r="Q15" s="119"/>
      <c r="R15" s="119"/>
      <c r="S15" s="119"/>
      <c r="T15" s="123"/>
      <c r="U15" s="119"/>
      <c r="V15" s="119"/>
      <c r="W15" s="119"/>
      <c r="X15" s="119"/>
      <c r="Y15" s="119"/>
      <c r="Z15" s="119"/>
      <c r="AJ15" s="983"/>
      <c r="AK15" s="311"/>
      <c r="AL15" s="311"/>
      <c r="AM15" s="311"/>
      <c r="AN15" s="311"/>
      <c r="AO15" s="283"/>
      <c r="AP15" s="283"/>
    </row>
    <row r="16" spans="1:42" s="799" customFormat="1" ht="12" hidden="1" customHeight="1" x14ac:dyDescent="0.15">
      <c r="A16" s="119"/>
      <c r="B16" s="119"/>
      <c r="C16" s="119"/>
      <c r="D16" s="119"/>
      <c r="E16" s="284"/>
      <c r="F16" s="119"/>
      <c r="G16" s="119"/>
      <c r="H16" s="119"/>
      <c r="I16" s="119"/>
      <c r="J16" s="119"/>
      <c r="K16" s="119"/>
      <c r="L16" s="119"/>
      <c r="M16" s="119"/>
      <c r="N16" s="119"/>
      <c r="O16" s="119"/>
      <c r="P16" s="119"/>
      <c r="Q16" s="119"/>
      <c r="R16" s="119"/>
      <c r="S16" s="119"/>
      <c r="T16" s="123"/>
      <c r="U16" s="119"/>
      <c r="V16" s="119"/>
      <c r="W16" s="119"/>
      <c r="X16" s="119"/>
      <c r="Y16" s="119"/>
      <c r="Z16" s="119"/>
      <c r="AJ16" s="983"/>
      <c r="AK16" s="311"/>
      <c r="AL16" s="311"/>
      <c r="AM16" s="311"/>
      <c r="AN16" s="311"/>
      <c r="AO16" s="283"/>
      <c r="AP16" s="283"/>
    </row>
    <row r="17" spans="1:42" s="799" customFormat="1" ht="12" hidden="1" customHeight="1" x14ac:dyDescent="0.15">
      <c r="A17" s="119"/>
      <c r="B17" s="119"/>
      <c r="C17" s="119"/>
      <c r="D17" s="119"/>
      <c r="E17" s="284"/>
      <c r="F17" s="119"/>
      <c r="G17" s="119"/>
      <c r="H17" s="119"/>
      <c r="I17" s="119"/>
      <c r="J17" s="119"/>
      <c r="K17" s="119"/>
      <c r="L17" s="119"/>
      <c r="M17" s="119"/>
      <c r="N17" s="119"/>
      <c r="O17" s="119"/>
      <c r="P17" s="119"/>
      <c r="Q17" s="119"/>
      <c r="R17" s="119"/>
      <c r="S17" s="119"/>
      <c r="T17" s="123"/>
      <c r="U17" s="119"/>
      <c r="V17" s="119"/>
      <c r="W17" s="119"/>
      <c r="X17" s="119"/>
      <c r="Y17" s="119"/>
      <c r="Z17" s="119"/>
      <c r="AJ17" s="983"/>
      <c r="AK17" s="311"/>
      <c r="AL17" s="311"/>
      <c r="AM17" s="311"/>
      <c r="AN17" s="311"/>
      <c r="AO17" s="283"/>
      <c r="AP17" s="283"/>
    </row>
    <row r="18" spans="1:42" s="799" customFormat="1" ht="12" hidden="1" customHeight="1" x14ac:dyDescent="0.15">
      <c r="A18" s="119"/>
      <c r="B18" s="119"/>
      <c r="C18" s="119"/>
      <c r="D18" s="119"/>
      <c r="E18" s="284"/>
      <c r="F18" s="119"/>
      <c r="G18" s="119"/>
      <c r="H18" s="119"/>
      <c r="I18" s="119"/>
      <c r="J18" s="119"/>
      <c r="K18" s="119"/>
      <c r="L18" s="119"/>
      <c r="M18" s="119"/>
      <c r="N18" s="119"/>
      <c r="O18" s="119"/>
      <c r="P18" s="119"/>
      <c r="Q18" s="119"/>
      <c r="R18" s="119"/>
      <c r="S18" s="119"/>
      <c r="T18" s="123"/>
      <c r="U18" s="119"/>
      <c r="V18" s="119"/>
      <c r="W18" s="119"/>
      <c r="X18" s="119"/>
      <c r="Y18" s="119"/>
      <c r="Z18" s="119"/>
      <c r="AJ18" s="983"/>
      <c r="AK18" s="311"/>
      <c r="AL18" s="311"/>
      <c r="AM18" s="311"/>
      <c r="AN18" s="311"/>
      <c r="AO18" s="283"/>
      <c r="AP18" s="283"/>
    </row>
    <row r="19" spans="1:42" s="799" customFormat="1" ht="12" hidden="1" customHeight="1" x14ac:dyDescent="0.15">
      <c r="A19" s="119"/>
      <c r="B19" s="119"/>
      <c r="C19" s="119"/>
      <c r="D19" s="119"/>
      <c r="E19" s="284"/>
      <c r="F19" s="119"/>
      <c r="G19" s="119"/>
      <c r="H19" s="119"/>
      <c r="I19" s="119"/>
      <c r="J19" s="119"/>
      <c r="K19" s="119"/>
      <c r="L19" s="119"/>
      <c r="M19" s="119"/>
      <c r="N19" s="119"/>
      <c r="O19" s="119"/>
      <c r="P19" s="119"/>
      <c r="Q19" s="119"/>
      <c r="R19" s="119"/>
      <c r="S19" s="119"/>
      <c r="T19" s="123"/>
      <c r="U19" s="119"/>
      <c r="V19" s="119"/>
      <c r="W19" s="119"/>
      <c r="X19" s="119"/>
      <c r="Y19" s="119"/>
      <c r="Z19" s="119"/>
      <c r="AJ19" s="983"/>
      <c r="AK19" s="311"/>
      <c r="AL19" s="311"/>
      <c r="AM19" s="311"/>
      <c r="AN19" s="311"/>
      <c r="AO19" s="283"/>
      <c r="AP19" s="283"/>
    </row>
    <row r="20" spans="1:42" s="799" customFormat="1" ht="12" hidden="1" customHeight="1" x14ac:dyDescent="0.15">
      <c r="A20" s="119"/>
      <c r="B20" s="119"/>
      <c r="C20" s="119"/>
      <c r="D20" s="119"/>
      <c r="E20" s="284"/>
      <c r="F20" s="119"/>
      <c r="G20" s="119"/>
      <c r="H20" s="119"/>
      <c r="I20" s="119"/>
      <c r="J20" s="119"/>
      <c r="K20" s="119"/>
      <c r="L20" s="119"/>
      <c r="M20" s="119"/>
      <c r="N20" s="119"/>
      <c r="O20" s="119"/>
      <c r="P20" s="119"/>
      <c r="Q20" s="119"/>
      <c r="R20" s="119"/>
      <c r="S20" s="119"/>
      <c r="T20" s="123"/>
      <c r="U20" s="119"/>
      <c r="V20" s="119"/>
      <c r="W20" s="119"/>
      <c r="X20" s="119"/>
      <c r="Y20" s="119"/>
      <c r="Z20" s="119"/>
      <c r="AJ20" s="983"/>
      <c r="AK20" s="311"/>
      <c r="AL20" s="311"/>
      <c r="AM20" s="311"/>
      <c r="AN20" s="311"/>
      <c r="AO20" s="283"/>
      <c r="AP20" s="283"/>
    </row>
    <row r="21" spans="1:42" s="765" customFormat="1" ht="14.65" customHeight="1" x14ac:dyDescent="0.15">
      <c r="A21" s="119"/>
      <c r="B21" s="119"/>
      <c r="C21" s="119"/>
      <c r="D21" s="119"/>
      <c r="E21" s="284">
        <v>15</v>
      </c>
      <c r="F21" s="119"/>
      <c r="G21" s="119"/>
      <c r="H21" s="119"/>
      <c r="I21" s="119"/>
      <c r="J21" s="119"/>
      <c r="K21" s="119"/>
      <c r="L21" s="119"/>
      <c r="M21" s="119"/>
      <c r="N21" s="119"/>
      <c r="O21" s="119"/>
      <c r="P21" s="119"/>
      <c r="Q21" s="119"/>
      <c r="R21" s="119"/>
      <c r="S21" s="119"/>
      <c r="T21" s="123"/>
      <c r="U21" s="123"/>
      <c r="V21" s="123"/>
      <c r="W21" s="123"/>
      <c r="X21" s="123"/>
      <c r="Y21" s="123"/>
      <c r="Z21" s="123"/>
      <c r="AA21" s="691"/>
      <c r="AB21" s="787"/>
      <c r="AC21" s="345" t="str" cm="1">
        <f t="array" ref="AC21">tpl_title</f>
        <v>Кемеровская область / 2026 / ООО ХК "СДС - Энерго" (ИНН:4250003450, КПП:420501001) / ДПР: 2024-2028</v>
      </c>
      <c r="AD21" s="787"/>
      <c r="AE21" s="787"/>
      <c r="AF21" s="787"/>
      <c r="AJ21" s="983"/>
      <c r="AK21" s="311"/>
      <c r="AL21" s="311"/>
      <c r="AM21" s="311"/>
      <c r="AN21" s="311"/>
      <c r="AO21" s="283"/>
      <c r="AP21" s="283"/>
    </row>
    <row r="22" spans="1:42" ht="29.25" customHeight="1" x14ac:dyDescent="0.15">
      <c r="E22" s="284">
        <v>30</v>
      </c>
      <c r="S22" s="123"/>
      <c r="U22" s="123"/>
      <c r="V22" s="123"/>
      <c r="W22" s="123"/>
      <c r="X22" s="123"/>
      <c r="Y22" s="123"/>
      <c r="Z22" s="123"/>
      <c r="AA22" s="691"/>
      <c r="AB22" s="1478" t="s">
        <v>387</v>
      </c>
      <c r="AC22" s="1479"/>
      <c r="AD22" s="1479"/>
      <c r="AE22" s="1479"/>
      <c r="AF22" s="1479"/>
      <c r="AG22" s="1479"/>
    </row>
    <row r="23" spans="1:42" ht="11.1" customHeight="1" x14ac:dyDescent="0.15">
      <c r="E23" s="284">
        <v>11.4</v>
      </c>
      <c r="U23" s="125"/>
      <c r="V23" s="125"/>
      <c r="W23" s="125"/>
      <c r="X23" s="125"/>
      <c r="Y23" s="125"/>
      <c r="Z23" s="125"/>
      <c r="AA23" s="763"/>
      <c r="AB23" s="142"/>
      <c r="AC23" s="142"/>
      <c r="AD23" s="142"/>
      <c r="AE23" s="143"/>
      <c r="AF23" s="143"/>
      <c r="AG23" s="143"/>
    </row>
    <row r="24" spans="1:42" ht="27.75" customHeight="1" x14ac:dyDescent="0.15">
      <c r="E24" s="284">
        <v>28.5</v>
      </c>
      <c r="U24" s="125"/>
      <c r="V24" s="125"/>
      <c r="W24" s="125"/>
      <c r="X24" s="125"/>
      <c r="Y24" s="125"/>
      <c r="Z24" s="125"/>
      <c r="AA24" s="763"/>
      <c r="AB24" s="144" t="s">
        <v>388</v>
      </c>
      <c r="AC24" s="145" t="s">
        <v>389</v>
      </c>
      <c r="AD24" s="145" t="s">
        <v>390</v>
      </c>
      <c r="AE24" s="145" t="s">
        <v>391</v>
      </c>
      <c r="AF24" s="350" t="s">
        <v>392</v>
      </c>
      <c r="AG24" s="146" t="s">
        <v>333</v>
      </c>
    </row>
    <row r="25" spans="1:42" ht="28.5" hidden="1" customHeight="1" x14ac:dyDescent="0.15">
      <c r="E25" s="284">
        <v>0</v>
      </c>
      <c r="U25" s="125"/>
      <c r="V25" s="125"/>
      <c r="W25" s="125"/>
      <c r="X25" s="125"/>
      <c r="Y25" s="125"/>
      <c r="Z25" s="125"/>
      <c r="AA25" s="763"/>
      <c r="AB25" s="594"/>
      <c r="AC25" s="594"/>
      <c r="AD25" s="594"/>
      <c r="AE25" s="594"/>
      <c r="AF25" s="594"/>
      <c r="AG25" s="594"/>
    </row>
    <row r="26" spans="1:42" ht="11.1" hidden="1" customHeight="1" x14ac:dyDescent="0.15">
      <c r="E26" s="284">
        <v>11.4</v>
      </c>
      <c r="F26" s="123" cm="1">
        <f t="array" ref="F26">Y26</f>
        <v>0</v>
      </c>
      <c r="U26" s="770" t="b">
        <f>Y26&gt;0</f>
        <v>0</v>
      </c>
      <c r="W26" s="119" t="s">
        <v>313</v>
      </c>
      <c r="Y26" s="1480">
        <v>0</v>
      </c>
      <c r="Z26" s="1480"/>
      <c r="AB26" s="207" t="str" cm="1">
        <f t="array" ref="AB26">INDEX('Общие сведения'!$AG$169:$AG$202,MATCH(Y26,'Общие сведения'!$Z$169:$Z$202,0))</f>
        <v xml:space="preserve">Тариф 0 (Теплоснабжение) - </v>
      </c>
      <c r="AC26" s="201"/>
      <c r="AD26" s="201"/>
      <c r="AE26" s="201"/>
      <c r="AF26" s="201"/>
      <c r="AG26" s="201"/>
    </row>
    <row r="27" spans="1:42" ht="23.45" hidden="1" customHeight="1" x14ac:dyDescent="0.15">
      <c r="E27" s="284">
        <v>24</v>
      </c>
      <c r="F27" s="123" cm="1">
        <f t="array" aca="1" ref="F27" ca="1">OFFSET(G27,-1,-1)</f>
        <v>0</v>
      </c>
      <c r="U27" s="770" t="b">
        <f ca="1">AND(OFFSET(V27,1,-1),AB27&gt;1)</f>
        <v>0</v>
      </c>
      <c r="X27" s="119" t="s">
        <v>237</v>
      </c>
      <c r="Y27" s="1480"/>
      <c r="Z27" s="1480"/>
      <c r="AA27" s="764" t="s">
        <v>218</v>
      </c>
      <c r="AB27" s="681">
        <v>0</v>
      </c>
      <c r="AC27" s="206"/>
      <c r="AD27" s="206"/>
      <c r="AE27" s="206"/>
      <c r="AF27" s="8"/>
      <c r="AG27" s="8"/>
      <c r="AJ27" s="984" t="s">
        <v>393</v>
      </c>
      <c r="AK27" s="311" t="s">
        <v>394</v>
      </c>
      <c r="AL27" s="143" cm="1">
        <f t="array" ref="AL27">AC27</f>
        <v>0</v>
      </c>
      <c r="AM27" s="143" cm="1">
        <f t="array" ref="AM27">AD27</f>
        <v>0</v>
      </c>
      <c r="AN27" s="143" cm="1">
        <f t="array" ref="AN27">AE27</f>
        <v>0</v>
      </c>
      <c r="AP27" s="283" t="b">
        <v>1</v>
      </c>
    </row>
    <row r="28" spans="1:42" ht="11.1" hidden="1" customHeight="1" x14ac:dyDescent="0.15">
      <c r="E28" s="284">
        <v>11.4</v>
      </c>
      <c r="F28" s="123" cm="1">
        <f t="array" aca="1" ref="F28" ca="1">OFFSET(G28,-1,-1)</f>
        <v>0</v>
      </c>
      <c r="U28" s="770" t="b" cm="1">
        <f t="array" ref="U28">U26</f>
        <v>0</v>
      </c>
      <c r="X28" s="119" t="s">
        <v>395</v>
      </c>
      <c r="Y28" s="1480"/>
      <c r="Z28" s="1480"/>
      <c r="AB28" s="202"/>
      <c r="AC28" s="277" t="s">
        <v>396</v>
      </c>
      <c r="AD28" s="203"/>
      <c r="AE28" s="203"/>
      <c r="AF28" s="203"/>
      <c r="AG28" s="204"/>
      <c r="AO28" s="283" t="s">
        <v>394</v>
      </c>
    </row>
    <row r="29" spans="1:42" s="1167" customFormat="1" ht="10.5" customHeight="1" x14ac:dyDescent="0.15">
      <c r="A29" s="1151"/>
      <c r="B29" s="1151"/>
      <c r="C29" s="1151"/>
      <c r="D29" s="1151"/>
      <c r="E29" s="284">
        <v>11.4</v>
      </c>
      <c r="F29" s="123" t="str" cm="1">
        <f t="array" ref="F29">Y29</f>
        <v>1</v>
      </c>
      <c r="G29" s="1151"/>
      <c r="H29" s="1151"/>
      <c r="I29" s="1151"/>
      <c r="J29" s="1151"/>
      <c r="K29" s="1151"/>
      <c r="L29" s="1151"/>
      <c r="M29" s="1151"/>
      <c r="N29" s="1151"/>
      <c r="O29" s="1151"/>
      <c r="P29" s="1151"/>
      <c r="Q29" s="1151"/>
      <c r="R29" s="1151"/>
      <c r="S29" s="1151"/>
      <c r="T29" s="1152"/>
      <c r="U29" s="770" t="b">
        <f>Y29&gt;0</f>
        <v>1</v>
      </c>
      <c r="V29" s="1151"/>
      <c r="W29" s="119" t="str" cm="1">
        <f t="array" ref="W29">'Общие сведения'!$AG$186</f>
        <v>Тариф 1 (Теплоснабжение) - Тариф на тепловую энергию (мощность), поставляемую потребителям (Не определено)</v>
      </c>
      <c r="X29" s="1151"/>
      <c r="Y29" s="1480" t="s">
        <v>339</v>
      </c>
      <c r="Z29" s="1480"/>
      <c r="AA29" s="765"/>
      <c r="AB29" s="207" t="str" cm="1">
        <f t="array" ref="AB29">IF(ISBLANK('Общие сведения'!$AG$186),"",'Общие сведения'!$AG$186)</f>
        <v>Тариф 1 (Теплоснабжение) - Тариф на тепловую энергию (мощность), поставляемую потребителям (Не определено)</v>
      </c>
      <c r="AC29" s="201"/>
      <c r="AD29" s="201"/>
      <c r="AE29" s="201"/>
      <c r="AF29" s="201"/>
      <c r="AG29" s="201"/>
      <c r="AH29" s="141"/>
      <c r="AI29" s="141"/>
      <c r="AJ29" s="983"/>
      <c r="AK29" s="311"/>
      <c r="AL29" s="311"/>
      <c r="AM29" s="311"/>
      <c r="AN29" s="311"/>
      <c r="AO29" s="740"/>
      <c r="AP29" s="740"/>
    </row>
    <row r="30" spans="1:42" s="1167" customFormat="1" ht="23.25" hidden="1" customHeight="1" x14ac:dyDescent="0.15">
      <c r="E30" s="284">
        <v>24</v>
      </c>
      <c r="F30" s="123" t="str" cm="1">
        <f t="array" aca="1" ref="F30" ca="1">OFFSET(G30,-1,-1)</f>
        <v>1</v>
      </c>
      <c r="U30" s="770" t="b">
        <f ca="1">AND(OFFSET(V30,1,-1),AB30&gt;1)</f>
        <v>0</v>
      </c>
      <c r="X30" s="119" t="s">
        <v>237</v>
      </c>
      <c r="Y30" s="1481"/>
      <c r="Z30" s="1481"/>
      <c r="AA30" s="764" t="s">
        <v>218</v>
      </c>
      <c r="AB30" s="681">
        <v>0</v>
      </c>
      <c r="AC30" s="206"/>
      <c r="AD30" s="206"/>
      <c r="AE30" s="206"/>
      <c r="AF30" s="8"/>
      <c r="AG30" s="8"/>
      <c r="AJ30" s="984" t="s">
        <v>393</v>
      </c>
      <c r="AK30" s="311" t="s">
        <v>394</v>
      </c>
      <c r="AL30" s="143" cm="1">
        <f t="array" ref="AL30">AC30</f>
        <v>0</v>
      </c>
      <c r="AM30" s="143" cm="1">
        <f t="array" ref="AM30">AD30</f>
        <v>0</v>
      </c>
      <c r="AN30" s="143" cm="1">
        <f t="array" ref="AN30">AE30</f>
        <v>0</v>
      </c>
      <c r="AO30" s="283"/>
      <c r="AP30" s="283" t="b">
        <v>1</v>
      </c>
    </row>
    <row r="31" spans="1:42" s="1167" customFormat="1" ht="23.25" customHeight="1" x14ac:dyDescent="0.15">
      <c r="E31" s="284">
        <v>24</v>
      </c>
      <c r="F31" s="123" t="str" cm="1">
        <f t="array" aca="1" ref="F31" ca="1">OFFSET(G31,-1,-1)</f>
        <v>1</v>
      </c>
      <c r="U31" s="770" t="b">
        <f ca="1">AND(OFFSET(V31,1,-1),AB31&gt;1)</f>
        <v>1</v>
      </c>
      <c r="X31" s="119"/>
      <c r="Y31" s="1481"/>
      <c r="Z31" s="1481"/>
      <c r="AA31" s="764" t="s">
        <v>218</v>
      </c>
      <c r="AB31" s="681" t="s">
        <v>339</v>
      </c>
      <c r="AC31" s="206" t="s">
        <v>397</v>
      </c>
      <c r="AD31" s="206" t="s">
        <v>397</v>
      </c>
      <c r="AE31" s="206" t="s">
        <v>398</v>
      </c>
      <c r="AF31" s="1176"/>
      <c r="AG31" s="1176"/>
      <c r="AJ31" s="984" t="s">
        <v>393</v>
      </c>
      <c r="AK31" s="311" t="s">
        <v>394</v>
      </c>
      <c r="AL31" s="143" t="str" cm="1">
        <f t="array" ref="AL31">AC31</f>
        <v>Междуреченский муниципальный округ</v>
      </c>
      <c r="AM31" s="143" t="str" cm="1">
        <f t="array" ref="AM31">AD31</f>
        <v>Междуреченский муниципальный округ</v>
      </c>
      <c r="AN31" s="143" t="str" cm="1">
        <f t="array" ref="AN31">AE31</f>
        <v>32517000</v>
      </c>
      <c r="AO31" s="283"/>
      <c r="AP31" s="283" t="b">
        <v>1</v>
      </c>
    </row>
    <row r="32" spans="1:42" s="1167" customFormat="1" ht="10.5" customHeight="1" x14ac:dyDescent="0.15">
      <c r="A32" s="1151"/>
      <c r="B32" s="1151"/>
      <c r="C32" s="1151"/>
      <c r="D32" s="1151"/>
      <c r="E32" s="284">
        <v>11.4</v>
      </c>
      <c r="F32" s="123" t="str" cm="1">
        <f t="array" aca="1" ref="F32" ca="1">OFFSET(G32,-1,-1)</f>
        <v>1</v>
      </c>
      <c r="G32" s="1151"/>
      <c r="H32" s="1151"/>
      <c r="I32" s="1151"/>
      <c r="J32" s="1151"/>
      <c r="K32" s="1151"/>
      <c r="L32" s="1151"/>
      <c r="M32" s="1151"/>
      <c r="N32" s="1151"/>
      <c r="O32" s="1151"/>
      <c r="P32" s="1151"/>
      <c r="Q32" s="1151"/>
      <c r="R32" s="1151"/>
      <c r="S32" s="1151"/>
      <c r="T32" s="1152"/>
      <c r="U32" s="770" t="b" cm="1">
        <f t="array" ref="U32">U29</f>
        <v>1</v>
      </c>
      <c r="V32" s="1151"/>
      <c r="W32" s="1151"/>
      <c r="X32" s="119" t="s">
        <v>395</v>
      </c>
      <c r="Y32" s="1480"/>
      <c r="Z32" s="1480"/>
      <c r="AA32" s="765"/>
      <c r="AB32" s="202"/>
      <c r="AC32" s="277" t="s">
        <v>396</v>
      </c>
      <c r="AD32" s="203"/>
      <c r="AE32" s="203"/>
      <c r="AF32" s="203"/>
      <c r="AG32" s="204"/>
      <c r="AH32" s="141"/>
      <c r="AI32" s="141"/>
      <c r="AJ32" s="983"/>
      <c r="AK32" s="311"/>
      <c r="AL32" s="311"/>
      <c r="AM32" s="311"/>
      <c r="AN32" s="311"/>
      <c r="AO32" s="283" t="s">
        <v>394</v>
      </c>
      <c r="AP32" s="740"/>
    </row>
    <row r="33" spans="5:34" ht="11.1" customHeight="1" x14ac:dyDescent="0.15">
      <c r="E33" s="284">
        <v>11.4</v>
      </c>
      <c r="V33" s="123" t="s">
        <v>239</v>
      </c>
      <c r="W33" s="119" t="s">
        <v>399</v>
      </c>
      <c r="AH33" s="809"/>
    </row>
    <row r="34" spans="5:34" ht="11.25" hidden="1" customHeight="1" x14ac:dyDescent="0.15">
      <c r="V34" s="123"/>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0000000}">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1000000}">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2000000}">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3000000}">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4000000}">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5000000}">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6000000}">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7000000}">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8000000}">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9000000}">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EB1CC-FD5F-FA48-478C-0BBA5EED09D8}">
  <sheetPr>
    <tabColor theme="3" tint="0.59999389629810485"/>
    <outlinePr summaryBelow="0" summaryRight="0"/>
    <pageSetUpPr fitToPage="1"/>
  </sheetPr>
  <dimension ref="A1:AS42"/>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109375" defaultRowHeight="11.25" customHeight="1" x14ac:dyDescent="0.15"/>
  <cols>
    <col min="1" max="1" width="3.5703125" style="799" hidden="1" customWidth="1"/>
    <col min="2" max="2" width="8.5703125" style="663" hidden="1" customWidth="1"/>
    <col min="3" max="4" width="3.5703125" style="799" hidden="1" customWidth="1"/>
    <col min="5" max="5" width="8.42578125" style="674" hidden="1" customWidth="1"/>
    <col min="6" max="6" width="6.42578125" style="799" hidden="1" customWidth="1"/>
    <col min="7" max="18" width="3.5703125" style="765" hidden="1" customWidth="1"/>
    <col min="19" max="20" width="3.5703125" style="804" hidden="1" customWidth="1"/>
    <col min="21" max="21" width="8.28515625" style="1150" hidden="1" customWidth="1"/>
    <col min="22" max="22" width="6" style="1150" hidden="1" customWidth="1"/>
    <col min="23" max="24" width="6.28515625" style="1150" hidden="1" customWidth="1"/>
    <col min="25" max="25" width="5.7109375" style="1150" hidden="1" customWidth="1"/>
    <col min="26" max="26" width="5.42578125" style="1150" hidden="1" customWidth="1"/>
    <col min="27" max="27" width="3" style="765" customWidth="1"/>
    <col min="28" max="28" width="6.140625" style="141" customWidth="1"/>
    <col min="29" max="29" width="63.7109375" style="141" customWidth="1"/>
    <col min="30" max="30" width="15.140625" style="141" customWidth="1"/>
    <col min="31" max="31" width="20.140625" style="141" customWidth="1"/>
    <col min="32" max="32" width="20.140625" style="147" customWidth="1"/>
    <col min="33" max="34" width="20.140625" style="141" customWidth="1"/>
    <col min="35" max="35" width="3" style="141" customWidth="1"/>
    <col min="36" max="36" width="8.7109375" style="141" hidden="1"/>
    <col min="37" max="37" width="6.7109375" style="958" hidden="1" customWidth="1"/>
    <col min="38" max="43" width="6.7109375" style="990" hidden="1" customWidth="1"/>
    <col min="44" max="45" width="6.7109375" style="740" hidden="1" customWidth="1"/>
  </cols>
  <sheetData>
    <row r="1" spans="1:45" s="799" customFormat="1" ht="12" hidden="1" customHeight="1" x14ac:dyDescent="0.15">
      <c r="B1" s="663"/>
      <c r="E1" s="663"/>
      <c r="F1" s="690" t="s">
        <v>83</v>
      </c>
      <c r="G1" s="165"/>
      <c r="H1" s="165"/>
      <c r="I1" s="165"/>
      <c r="J1" s="165"/>
      <c r="K1" s="165"/>
      <c r="L1" s="165"/>
      <c r="M1" s="165"/>
      <c r="N1" s="165"/>
      <c r="O1" s="165"/>
      <c r="P1" s="165"/>
      <c r="Q1" s="165"/>
      <c r="R1" s="165"/>
      <c r="S1" s="161"/>
      <c r="T1" s="161"/>
      <c r="U1" s="679" t="s">
        <v>86</v>
      </c>
      <c r="V1" s="679" t="s">
        <v>91</v>
      </c>
      <c r="W1" s="679" t="s">
        <v>87</v>
      </c>
      <c r="X1" s="679" t="s">
        <v>88</v>
      </c>
      <c r="Y1" s="679" t="s">
        <v>89</v>
      </c>
      <c r="Z1" s="679" t="s">
        <v>93</v>
      </c>
      <c r="AA1" s="690" t="s">
        <v>90</v>
      </c>
      <c r="AB1" s="690" t="s">
        <v>374</v>
      </c>
      <c r="AC1" s="690" t="s">
        <v>92</v>
      </c>
      <c r="AK1" s="945" t="s">
        <v>375</v>
      </c>
      <c r="AL1" s="990" t="s">
        <v>376</v>
      </c>
      <c r="AM1" s="990" t="s">
        <v>377</v>
      </c>
      <c r="AN1" s="990" t="s">
        <v>400</v>
      </c>
      <c r="AO1" s="990" t="s">
        <v>401</v>
      </c>
      <c r="AP1" s="990" t="s">
        <v>402</v>
      </c>
      <c r="AQ1" s="990" t="s">
        <v>403</v>
      </c>
      <c r="AR1" s="283" t="s">
        <v>380</v>
      </c>
      <c r="AS1" s="283" t="s">
        <v>381</v>
      </c>
    </row>
    <row r="2" spans="1:45" s="663" customFormat="1" ht="12" hidden="1" customHeight="1" x14ac:dyDescent="0.15">
      <c r="B2" s="758" t="s">
        <v>15</v>
      </c>
      <c r="G2" s="805"/>
      <c r="H2" s="805"/>
      <c r="I2" s="805"/>
      <c r="J2" s="805"/>
      <c r="K2" s="805"/>
      <c r="L2" s="805"/>
      <c r="M2" s="805"/>
      <c r="N2" s="805"/>
      <c r="O2" s="805"/>
      <c r="P2" s="805"/>
      <c r="Q2" s="805"/>
      <c r="R2" s="805"/>
      <c r="S2" s="776"/>
      <c r="T2" s="776"/>
      <c r="U2" s="659"/>
      <c r="V2" s="659"/>
      <c r="W2" s="659"/>
      <c r="X2" s="659"/>
      <c r="Y2" s="659"/>
      <c r="Z2" s="659"/>
      <c r="AK2" s="947"/>
      <c r="AL2" s="991"/>
      <c r="AM2" s="991"/>
      <c r="AN2" s="991"/>
      <c r="AO2" s="991"/>
      <c r="AP2" s="991"/>
      <c r="AQ2" s="991"/>
      <c r="AR2" s="989"/>
      <c r="AS2" s="989"/>
    </row>
    <row r="3" spans="1:45" s="799" customFormat="1" ht="12" hidden="1" customHeight="1" x14ac:dyDescent="0.15">
      <c r="B3" s="663"/>
      <c r="C3" s="126"/>
      <c r="E3" s="663"/>
      <c r="G3" s="165"/>
      <c r="H3" s="165"/>
      <c r="I3" s="165"/>
      <c r="J3" s="165"/>
      <c r="K3" s="165"/>
      <c r="L3" s="165"/>
      <c r="M3" s="165"/>
      <c r="N3" s="165"/>
      <c r="O3" s="165"/>
      <c r="P3" s="165"/>
      <c r="Q3" s="165"/>
      <c r="R3" s="165"/>
      <c r="S3" s="161"/>
      <c r="T3" s="161"/>
      <c r="U3" s="126"/>
      <c r="V3" s="126"/>
      <c r="W3" s="126"/>
      <c r="X3" s="126"/>
      <c r="Y3" s="126"/>
      <c r="Z3" s="126"/>
      <c r="AK3" s="945"/>
      <c r="AL3" s="990"/>
      <c r="AM3" s="990"/>
      <c r="AN3" s="990"/>
      <c r="AO3" s="990"/>
      <c r="AP3" s="990"/>
      <c r="AQ3" s="990"/>
      <c r="AR3" s="283"/>
      <c r="AS3" s="283"/>
    </row>
    <row r="4" spans="1:45" s="799" customFormat="1" ht="12" hidden="1" customHeight="1" x14ac:dyDescent="0.15">
      <c r="B4" s="663"/>
      <c r="E4" s="663"/>
      <c r="G4" s="165"/>
      <c r="H4" s="165"/>
      <c r="I4" s="165"/>
      <c r="J4" s="165"/>
      <c r="K4" s="165"/>
      <c r="L4" s="165"/>
      <c r="M4" s="165"/>
      <c r="N4" s="165"/>
      <c r="O4" s="165"/>
      <c r="P4" s="165"/>
      <c r="Q4" s="165"/>
      <c r="R4" s="165"/>
      <c r="S4" s="161"/>
      <c r="T4" s="161"/>
      <c r="U4" s="126"/>
      <c r="V4" s="126"/>
      <c r="W4" s="126"/>
      <c r="X4" s="126"/>
      <c r="Y4" s="126"/>
      <c r="Z4" s="126"/>
      <c r="AK4" s="945"/>
      <c r="AL4" s="990"/>
      <c r="AM4" s="990"/>
      <c r="AN4" s="990"/>
      <c r="AO4" s="990"/>
      <c r="AP4" s="990"/>
      <c r="AQ4" s="990"/>
      <c r="AR4" s="283"/>
      <c r="AS4" s="283"/>
    </row>
    <row r="5" spans="1:45" s="674" customFormat="1" ht="12" hidden="1" customHeight="1" x14ac:dyDescent="0.15">
      <c r="A5" s="663"/>
      <c r="B5" s="663"/>
      <c r="C5" s="663"/>
      <c r="D5" s="663"/>
      <c r="E5" s="674" t="s">
        <v>16</v>
      </c>
      <c r="G5" s="806"/>
      <c r="H5" s="806"/>
      <c r="I5" s="806"/>
      <c r="J5" s="806"/>
      <c r="K5" s="806"/>
      <c r="L5" s="806"/>
      <c r="M5" s="806"/>
      <c r="N5" s="806"/>
      <c r="O5" s="806"/>
      <c r="P5" s="806"/>
      <c r="Q5" s="806"/>
      <c r="R5" s="806"/>
      <c r="S5" s="777"/>
      <c r="T5" s="777"/>
      <c r="U5" s="668"/>
      <c r="V5" s="668"/>
      <c r="W5" s="668"/>
      <c r="X5" s="668"/>
      <c r="Y5" s="668"/>
      <c r="Z5" s="668"/>
      <c r="AA5" s="674">
        <v>3</v>
      </c>
      <c r="AB5" s="674">
        <v>6.13</v>
      </c>
      <c r="AC5" s="674">
        <v>63.75</v>
      </c>
      <c r="AD5" s="674">
        <v>15.13</v>
      </c>
      <c r="AE5" s="674">
        <v>20.13</v>
      </c>
      <c r="AF5" s="674">
        <v>20.13</v>
      </c>
      <c r="AG5" s="674">
        <v>20.13</v>
      </c>
      <c r="AH5" s="674">
        <v>20.13</v>
      </c>
      <c r="AI5" s="674">
        <v>3</v>
      </c>
      <c r="AK5" s="947"/>
      <c r="AL5" s="991"/>
      <c r="AM5" s="991"/>
      <c r="AN5" s="991"/>
      <c r="AO5" s="991"/>
      <c r="AP5" s="991"/>
      <c r="AQ5" s="991"/>
      <c r="AR5" s="989"/>
      <c r="AS5" s="989"/>
    </row>
    <row r="6" spans="1:45" s="799" customFormat="1" ht="12" hidden="1" customHeight="1" x14ac:dyDescent="0.15">
      <c r="B6" s="663"/>
      <c r="E6" s="674"/>
      <c r="G6" s="165"/>
      <c r="H6" s="165"/>
      <c r="I6" s="165"/>
      <c r="J6" s="165"/>
      <c r="K6" s="165"/>
      <c r="L6" s="165"/>
      <c r="M6" s="165"/>
      <c r="N6" s="165"/>
      <c r="O6" s="165"/>
      <c r="P6" s="165"/>
      <c r="Q6" s="165"/>
      <c r="R6" s="165"/>
      <c r="S6" s="161"/>
      <c r="T6" s="161"/>
      <c r="U6" s="126"/>
      <c r="V6" s="126"/>
      <c r="W6" s="126"/>
      <c r="X6" s="126"/>
      <c r="Y6" s="126"/>
      <c r="Z6" s="126"/>
      <c r="AE6" s="312">
        <f>god-2</f>
        <v>2024</v>
      </c>
      <c r="AF6" s="312">
        <f>god-1</f>
        <v>2025</v>
      </c>
      <c r="AG6" s="312" cm="1">
        <f t="array" ref="AG6">god</f>
        <v>2026</v>
      </c>
      <c r="AH6" s="312" cm="1">
        <f t="array" ref="AH6">god</f>
        <v>2026</v>
      </c>
      <c r="AK6" s="945"/>
      <c r="AL6" s="990"/>
      <c r="AM6" s="990"/>
      <c r="AN6" s="990"/>
      <c r="AO6" s="990"/>
      <c r="AP6" s="990"/>
      <c r="AQ6" s="990"/>
      <c r="AR6" s="283"/>
      <c r="AS6" s="283"/>
    </row>
    <row r="7" spans="1:45" s="765" customFormat="1" ht="12" hidden="1" customHeight="1" x14ac:dyDescent="0.15">
      <c r="A7" s="312"/>
      <c r="B7" s="663"/>
      <c r="C7" s="312"/>
      <c r="D7" s="312"/>
      <c r="E7" s="674"/>
      <c r="S7" s="161"/>
      <c r="T7" s="161"/>
      <c r="U7" s="161"/>
      <c r="V7" s="161"/>
      <c r="W7" s="161"/>
      <c r="X7" s="161"/>
      <c r="Y7" s="161"/>
      <c r="Z7" s="161"/>
      <c r="AE7" s="804" t="s">
        <v>344</v>
      </c>
      <c r="AF7" s="804" t="s">
        <v>404</v>
      </c>
      <c r="AG7" s="609" t="s">
        <v>405</v>
      </c>
      <c r="AH7" s="609" t="s">
        <v>404</v>
      </c>
      <c r="AK7" s="945"/>
      <c r="AL7" s="990"/>
      <c r="AM7" s="990"/>
      <c r="AN7" s="990"/>
      <c r="AO7" s="990"/>
      <c r="AP7" s="990"/>
      <c r="AQ7" s="990"/>
      <c r="AR7" s="283"/>
      <c r="AS7" s="283"/>
    </row>
    <row r="8" spans="1:45" s="765" customFormat="1" ht="12" hidden="1" customHeight="1" x14ac:dyDescent="0.15">
      <c r="A8" s="312"/>
      <c r="B8" s="663"/>
      <c r="C8" s="312"/>
      <c r="D8" s="312"/>
      <c r="E8" s="674"/>
      <c r="S8" s="161"/>
      <c r="T8" s="161"/>
      <c r="U8" s="161"/>
      <c r="V8" s="161"/>
      <c r="W8" s="161"/>
      <c r="X8" s="161"/>
      <c r="Y8" s="161"/>
      <c r="Z8" s="161"/>
      <c r="AK8" s="945"/>
      <c r="AL8" s="990"/>
      <c r="AM8" s="990"/>
      <c r="AN8" s="990"/>
      <c r="AO8" s="990"/>
      <c r="AP8" s="990"/>
      <c r="AQ8" s="990"/>
      <c r="AR8" s="283"/>
      <c r="AS8" s="283"/>
    </row>
    <row r="9" spans="1:45" s="959" customFormat="1" ht="12" hidden="1" customHeight="1" x14ac:dyDescent="0.15">
      <c r="A9" s="945" t="s">
        <v>406</v>
      </c>
      <c r="B9" s="941"/>
      <c r="E9" s="941"/>
      <c r="AH9" s="939" t="str" cm="1">
        <f t="array" ref="AH9">AH24</f>
        <v>Срок действия</v>
      </c>
      <c r="AK9" s="945"/>
      <c r="AL9" s="945"/>
      <c r="AM9" s="945"/>
      <c r="AN9" s="945"/>
      <c r="AO9" s="945"/>
      <c r="AP9" s="945"/>
      <c r="AQ9" s="945"/>
      <c r="AR9" s="987"/>
      <c r="AS9" s="987"/>
    </row>
    <row r="10" spans="1:45" s="959" customFormat="1" ht="12" hidden="1" customHeight="1" x14ac:dyDescent="0.15">
      <c r="A10" s="945" t="s">
        <v>386</v>
      </c>
      <c r="B10" s="941"/>
      <c r="E10" s="941"/>
      <c r="AC10" s="939" t="s">
        <v>377</v>
      </c>
      <c r="AD10" s="939" t="s">
        <v>400</v>
      </c>
      <c r="AE10" s="939" t="s">
        <v>401</v>
      </c>
      <c r="AF10" s="939" t="s">
        <v>402</v>
      </c>
      <c r="AG10" s="939" t="s">
        <v>403</v>
      </c>
      <c r="AK10" s="945"/>
      <c r="AL10" s="945"/>
      <c r="AM10" s="945"/>
      <c r="AN10" s="945"/>
      <c r="AO10" s="945"/>
      <c r="AP10" s="945"/>
      <c r="AQ10" s="945"/>
      <c r="AR10" s="987"/>
      <c r="AS10" s="987"/>
    </row>
    <row r="11" spans="1:45" s="799" customFormat="1" ht="12" hidden="1" customHeight="1" x14ac:dyDescent="0.15">
      <c r="B11" s="663"/>
      <c r="E11" s="674"/>
      <c r="G11" s="165"/>
      <c r="H11" s="165"/>
      <c r="I11" s="165"/>
      <c r="J11" s="165"/>
      <c r="K11" s="165"/>
      <c r="L11" s="165"/>
      <c r="M11" s="165"/>
      <c r="N11" s="165"/>
      <c r="O11" s="165"/>
      <c r="P11" s="165"/>
      <c r="Q11" s="165"/>
      <c r="R11" s="165"/>
      <c r="S11" s="161"/>
      <c r="T11" s="161"/>
      <c r="U11" s="126"/>
      <c r="V11" s="126"/>
      <c r="W11" s="126"/>
      <c r="X11" s="126"/>
      <c r="Y11" s="126"/>
      <c r="Z11" s="126"/>
      <c r="AK11" s="945"/>
      <c r="AL11" s="990"/>
      <c r="AM11" s="990"/>
      <c r="AN11" s="990"/>
      <c r="AO11" s="990"/>
      <c r="AP11" s="990"/>
      <c r="AQ11" s="990"/>
      <c r="AR11" s="283"/>
      <c r="AS11" s="283"/>
    </row>
    <row r="12" spans="1:45" s="799" customFormat="1" ht="12" hidden="1" customHeight="1" x14ac:dyDescent="0.15">
      <c r="B12" s="663"/>
      <c r="E12" s="674"/>
      <c r="G12" s="165"/>
      <c r="H12" s="165"/>
      <c r="I12" s="165"/>
      <c r="J12" s="165"/>
      <c r="K12" s="165"/>
      <c r="L12" s="165"/>
      <c r="M12" s="165"/>
      <c r="N12" s="165"/>
      <c r="O12" s="165"/>
      <c r="P12" s="165"/>
      <c r="Q12" s="165"/>
      <c r="R12" s="165"/>
      <c r="S12" s="161"/>
      <c r="T12" s="161"/>
      <c r="U12" s="126"/>
      <c r="V12" s="126"/>
      <c r="W12" s="126"/>
      <c r="X12" s="126"/>
      <c r="Y12" s="126"/>
      <c r="Z12" s="126"/>
      <c r="AA12" s="126"/>
      <c r="AB12" s="126"/>
      <c r="AK12" s="945"/>
      <c r="AL12" s="990"/>
      <c r="AM12" s="990"/>
      <c r="AN12" s="990"/>
      <c r="AO12" s="990"/>
      <c r="AP12" s="990"/>
      <c r="AQ12" s="990"/>
      <c r="AR12" s="283"/>
      <c r="AS12" s="283"/>
    </row>
    <row r="13" spans="1:45" s="799" customFormat="1" ht="12" hidden="1" customHeight="1" x14ac:dyDescent="0.15">
      <c r="B13" s="663"/>
      <c r="E13" s="674"/>
      <c r="G13" s="165"/>
      <c r="H13" s="165"/>
      <c r="I13" s="165"/>
      <c r="J13" s="165"/>
      <c r="K13" s="165"/>
      <c r="L13" s="165"/>
      <c r="M13" s="165"/>
      <c r="N13" s="165"/>
      <c r="O13" s="165"/>
      <c r="P13" s="165"/>
      <c r="Q13" s="165"/>
      <c r="R13" s="165"/>
      <c r="S13" s="161"/>
      <c r="T13" s="161"/>
      <c r="U13" s="126"/>
      <c r="V13" s="126"/>
      <c r="W13" s="126"/>
      <c r="X13" s="126"/>
      <c r="Y13" s="126"/>
      <c r="Z13" s="126"/>
      <c r="AA13" s="126"/>
      <c r="AB13" s="126"/>
      <c r="AK13" s="945"/>
      <c r="AL13" s="990"/>
      <c r="AM13" s="990"/>
      <c r="AN13" s="990"/>
      <c r="AO13" s="990"/>
      <c r="AP13" s="990"/>
      <c r="AQ13" s="990"/>
      <c r="AR13" s="283"/>
      <c r="AS13" s="283"/>
    </row>
    <row r="14" spans="1:45" s="799" customFormat="1" ht="12" hidden="1" customHeight="1" x14ac:dyDescent="0.15">
      <c r="B14" s="663"/>
      <c r="E14" s="674"/>
      <c r="G14" s="165"/>
      <c r="H14" s="165"/>
      <c r="I14" s="165"/>
      <c r="J14" s="165"/>
      <c r="K14" s="165"/>
      <c r="L14" s="165"/>
      <c r="M14" s="165"/>
      <c r="N14" s="165"/>
      <c r="O14" s="165"/>
      <c r="P14" s="165"/>
      <c r="Q14" s="165"/>
      <c r="R14" s="165"/>
      <c r="S14" s="161"/>
      <c r="T14" s="161"/>
      <c r="U14" s="126"/>
      <c r="V14" s="126"/>
      <c r="W14" s="126"/>
      <c r="X14" s="126"/>
      <c r="Y14" s="126"/>
      <c r="Z14" s="126"/>
      <c r="AA14" s="126"/>
      <c r="AB14" s="126"/>
      <c r="AK14" s="945"/>
      <c r="AL14" s="990"/>
      <c r="AM14" s="990"/>
      <c r="AN14" s="990"/>
      <c r="AO14" s="990"/>
      <c r="AP14" s="990"/>
      <c r="AQ14" s="990"/>
      <c r="AR14" s="283"/>
      <c r="AS14" s="283"/>
    </row>
    <row r="15" spans="1:45" s="799" customFormat="1" ht="12" hidden="1" customHeight="1" x14ac:dyDescent="0.15">
      <c r="B15" s="663"/>
      <c r="E15" s="674"/>
      <c r="G15" s="165"/>
      <c r="H15" s="165"/>
      <c r="I15" s="165"/>
      <c r="J15" s="165"/>
      <c r="K15" s="165"/>
      <c r="L15" s="165"/>
      <c r="M15" s="165"/>
      <c r="N15" s="165"/>
      <c r="O15" s="165"/>
      <c r="P15" s="165"/>
      <c r="Q15" s="165"/>
      <c r="R15" s="165"/>
      <c r="S15" s="161"/>
      <c r="T15" s="161"/>
      <c r="U15" s="126"/>
      <c r="V15" s="126"/>
      <c r="W15" s="126"/>
      <c r="X15" s="126"/>
      <c r="Y15" s="126"/>
      <c r="Z15" s="126"/>
      <c r="AA15" s="126"/>
      <c r="AB15" s="126"/>
      <c r="AK15" s="945"/>
      <c r="AL15" s="990"/>
      <c r="AM15" s="990"/>
      <c r="AN15" s="990"/>
      <c r="AO15" s="990"/>
      <c r="AP15" s="990"/>
      <c r="AQ15" s="990"/>
      <c r="AR15" s="283"/>
      <c r="AS15" s="283"/>
    </row>
    <row r="16" spans="1:45" s="799" customFormat="1" ht="12" hidden="1" customHeight="1" x14ac:dyDescent="0.15">
      <c r="B16" s="663"/>
      <c r="E16" s="674"/>
      <c r="G16" s="165"/>
      <c r="H16" s="165"/>
      <c r="I16" s="165"/>
      <c r="J16" s="165"/>
      <c r="K16" s="165"/>
      <c r="L16" s="165"/>
      <c r="M16" s="165"/>
      <c r="N16" s="165"/>
      <c r="O16" s="165"/>
      <c r="P16" s="165"/>
      <c r="Q16" s="165"/>
      <c r="R16" s="165"/>
      <c r="S16" s="161"/>
      <c r="T16" s="161"/>
      <c r="U16" s="126"/>
      <c r="V16" s="126"/>
      <c r="W16" s="126"/>
      <c r="X16" s="126"/>
      <c r="Y16" s="126"/>
      <c r="Z16" s="126"/>
      <c r="AA16" s="126"/>
      <c r="AB16" s="126"/>
      <c r="AK16" s="945"/>
      <c r="AL16" s="990"/>
      <c r="AM16" s="990"/>
      <c r="AN16" s="990"/>
      <c r="AO16" s="990"/>
      <c r="AP16" s="990"/>
      <c r="AQ16" s="990"/>
      <c r="AR16" s="283"/>
      <c r="AS16" s="283"/>
    </row>
    <row r="17" spans="1:45" s="799" customFormat="1" ht="12" hidden="1" customHeight="1" x14ac:dyDescent="0.15">
      <c r="B17" s="663"/>
      <c r="E17" s="674"/>
      <c r="G17" s="165"/>
      <c r="H17" s="165"/>
      <c r="I17" s="165"/>
      <c r="J17" s="165"/>
      <c r="K17" s="165"/>
      <c r="L17" s="165"/>
      <c r="M17" s="165"/>
      <c r="N17" s="165"/>
      <c r="O17" s="165"/>
      <c r="P17" s="165"/>
      <c r="Q17" s="165"/>
      <c r="R17" s="165"/>
      <c r="S17" s="161"/>
      <c r="T17" s="161"/>
      <c r="U17" s="126"/>
      <c r="V17" s="126"/>
      <c r="W17" s="126"/>
      <c r="X17" s="126"/>
      <c r="Y17" s="126"/>
      <c r="Z17" s="126"/>
      <c r="AA17" s="126"/>
      <c r="AB17" s="126"/>
      <c r="AK17" s="945"/>
      <c r="AL17" s="990"/>
      <c r="AM17" s="990"/>
      <c r="AN17" s="990"/>
      <c r="AO17" s="990"/>
      <c r="AP17" s="990"/>
      <c r="AQ17" s="990"/>
      <c r="AR17" s="283"/>
      <c r="AS17" s="283"/>
    </row>
    <row r="18" spans="1:45" s="799" customFormat="1" ht="12" hidden="1" customHeight="1" x14ac:dyDescent="0.15">
      <c r="B18" s="663"/>
      <c r="E18" s="674"/>
      <c r="G18" s="165"/>
      <c r="H18" s="165"/>
      <c r="I18" s="165"/>
      <c r="J18" s="165"/>
      <c r="K18" s="165"/>
      <c r="L18" s="165"/>
      <c r="M18" s="165"/>
      <c r="N18" s="165"/>
      <c r="O18" s="165"/>
      <c r="P18" s="165"/>
      <c r="Q18" s="165"/>
      <c r="R18" s="165"/>
      <c r="S18" s="161"/>
      <c r="T18" s="161"/>
      <c r="U18" s="126"/>
      <c r="V18" s="126"/>
      <c r="W18" s="126"/>
      <c r="X18" s="126"/>
      <c r="Y18" s="126"/>
      <c r="Z18" s="126"/>
      <c r="AA18" s="126"/>
      <c r="AB18" s="126"/>
      <c r="AK18" s="945"/>
      <c r="AL18" s="990"/>
      <c r="AM18" s="990"/>
      <c r="AN18" s="990"/>
      <c r="AO18" s="990"/>
      <c r="AP18" s="990"/>
      <c r="AQ18" s="990"/>
      <c r="AR18" s="283"/>
      <c r="AS18" s="283"/>
    </row>
    <row r="19" spans="1:45" s="799" customFormat="1" ht="12" hidden="1" customHeight="1" x14ac:dyDescent="0.15">
      <c r="B19" s="663"/>
      <c r="E19" s="674"/>
      <c r="G19" s="165"/>
      <c r="H19" s="165"/>
      <c r="I19" s="165"/>
      <c r="J19" s="165"/>
      <c r="K19" s="165"/>
      <c r="L19" s="165"/>
      <c r="M19" s="165"/>
      <c r="N19" s="165"/>
      <c r="O19" s="165"/>
      <c r="P19" s="165"/>
      <c r="Q19" s="165"/>
      <c r="R19" s="165"/>
      <c r="S19" s="161"/>
      <c r="T19" s="161"/>
      <c r="U19" s="126"/>
      <c r="V19" s="126"/>
      <c r="W19" s="126"/>
      <c r="X19" s="126"/>
      <c r="Y19" s="126"/>
      <c r="Z19" s="126"/>
      <c r="AA19" s="126"/>
      <c r="AB19" s="126"/>
      <c r="AK19" s="945"/>
      <c r="AL19" s="990"/>
      <c r="AM19" s="990"/>
      <c r="AN19" s="990"/>
      <c r="AO19" s="990"/>
      <c r="AP19" s="990"/>
      <c r="AQ19" s="990"/>
      <c r="AR19" s="283"/>
      <c r="AS19" s="283"/>
    </row>
    <row r="20" spans="1:45" s="799" customFormat="1" ht="12" hidden="1" customHeight="1" x14ac:dyDescent="0.15">
      <c r="B20" s="663"/>
      <c r="E20" s="674"/>
      <c r="G20" s="165"/>
      <c r="H20" s="165"/>
      <c r="I20" s="165"/>
      <c r="J20" s="165"/>
      <c r="K20" s="165"/>
      <c r="L20" s="165"/>
      <c r="M20" s="165"/>
      <c r="N20" s="165"/>
      <c r="O20" s="165"/>
      <c r="P20" s="165"/>
      <c r="Q20" s="165"/>
      <c r="R20" s="165"/>
      <c r="S20" s="161"/>
      <c r="T20" s="161"/>
      <c r="U20" s="126"/>
      <c r="V20" s="126"/>
      <c r="W20" s="126"/>
      <c r="X20" s="126"/>
      <c r="Y20" s="126"/>
      <c r="Z20" s="126"/>
      <c r="AA20" s="126"/>
      <c r="AB20" s="126"/>
      <c r="AK20" s="945"/>
      <c r="AL20" s="990"/>
      <c r="AM20" s="990"/>
      <c r="AN20" s="990"/>
      <c r="AO20" s="990"/>
      <c r="AP20" s="990"/>
      <c r="AQ20" s="990"/>
      <c r="AR20" s="283"/>
      <c r="AS20" s="283"/>
    </row>
    <row r="21" spans="1:45" s="765" customFormat="1" ht="14.65" customHeight="1" x14ac:dyDescent="0.15">
      <c r="A21" s="312"/>
      <c r="B21" s="663"/>
      <c r="C21" s="312"/>
      <c r="D21" s="312"/>
      <c r="E21" s="674">
        <v>15</v>
      </c>
      <c r="F21" s="312"/>
      <c r="S21" s="161"/>
      <c r="T21" s="161"/>
      <c r="U21" s="126"/>
      <c r="V21" s="126"/>
      <c r="W21" s="126"/>
      <c r="X21" s="126"/>
      <c r="Y21" s="126"/>
      <c r="Z21" s="126"/>
      <c r="AA21" s="691"/>
      <c r="AC21" s="345" t="str" cm="1">
        <f t="array" ref="AC21">tpl_title</f>
        <v>Кемеровская область / 2026 / ООО ХК "СДС - Энерго" (ИНН:4250003450, КПП:420501001) / ДПР: 2024-2028</v>
      </c>
      <c r="AK21" s="945"/>
      <c r="AL21" s="990"/>
      <c r="AM21" s="990"/>
      <c r="AN21" s="990"/>
      <c r="AO21" s="990"/>
      <c r="AP21" s="990"/>
      <c r="AQ21" s="990"/>
      <c r="AR21" s="283"/>
      <c r="AS21" s="283"/>
    </row>
    <row r="22" spans="1:45" ht="20.45" customHeight="1" x14ac:dyDescent="0.15">
      <c r="E22" s="674">
        <v>21</v>
      </c>
      <c r="R22" s="161"/>
      <c r="AA22" s="691"/>
      <c r="AB22" s="1478" t="s">
        <v>407</v>
      </c>
      <c r="AC22" s="1479"/>
      <c r="AD22" s="1479"/>
      <c r="AE22" s="1479"/>
      <c r="AF22" s="1479"/>
      <c r="AG22" s="1479"/>
      <c r="AH22" s="1479"/>
    </row>
    <row r="23" spans="1:45" ht="8.85" customHeight="1" x14ac:dyDescent="0.15">
      <c r="E23" s="674">
        <v>9</v>
      </c>
      <c r="AA23" s="763"/>
      <c r="AB23" s="142"/>
      <c r="AC23" s="142"/>
      <c r="AD23" s="142"/>
      <c r="AE23" s="142"/>
      <c r="AF23" s="1482"/>
      <c r="AG23" s="1482"/>
      <c r="AH23" s="124"/>
    </row>
    <row r="24" spans="1:45" ht="30.75" customHeight="1" x14ac:dyDescent="0.15">
      <c r="E24" s="674">
        <v>31.5</v>
      </c>
      <c r="AA24" s="763"/>
      <c r="AB24" s="211" t="s">
        <v>388</v>
      </c>
      <c r="AC24" s="682" t="s">
        <v>408</v>
      </c>
      <c r="AD24" s="211" t="s">
        <v>409</v>
      </c>
      <c r="AE24" s="211" t="s">
        <v>410</v>
      </c>
      <c r="AF24" s="211" t="s">
        <v>411</v>
      </c>
      <c r="AG24" s="211" t="s">
        <v>412</v>
      </c>
      <c r="AH24" s="211" t="s">
        <v>413</v>
      </c>
    </row>
    <row r="25" spans="1:45" ht="31.5" hidden="1" customHeight="1" x14ac:dyDescent="0.15">
      <c r="E25" s="674">
        <v>0</v>
      </c>
      <c r="AA25" s="763"/>
      <c r="AB25" s="683"/>
      <c r="AC25" s="595"/>
      <c r="AD25" s="596"/>
      <c r="AE25" s="596"/>
      <c r="AF25" s="596"/>
      <c r="AG25" s="596"/>
      <c r="AH25" s="596"/>
    </row>
    <row r="26" spans="1:45" s="167" customFormat="1" ht="16.7" hidden="1" customHeight="1" x14ac:dyDescent="0.15">
      <c r="E26" s="668">
        <v>17.100000000000001</v>
      </c>
      <c r="F26" s="123" cm="1">
        <f t="array" ref="F26">Y26</f>
        <v>0</v>
      </c>
      <c r="U26" s="770" t="b">
        <f>Y26&gt;0</f>
        <v>0</v>
      </c>
      <c r="W26" s="119" t="s">
        <v>313</v>
      </c>
      <c r="Y26" s="1480">
        <v>0</v>
      </c>
      <c r="Z26" s="1483"/>
      <c r="AB26" s="210" t="str" cm="1">
        <f t="array" ref="AB26">INDEX('Общие сведения'!$AG$169:$AG$202,MATCH(Y26,'Общие сведения'!$Z$169:$Z$202,0))</f>
        <v xml:space="preserve">Тариф 0 (Теплоснабжение) - </v>
      </c>
      <c r="AC26" s="207"/>
      <c r="AD26" s="201"/>
      <c r="AE26" s="201"/>
      <c r="AF26" s="201"/>
      <c r="AG26" s="201"/>
      <c r="AH26" s="201"/>
      <c r="AK26" s="992"/>
      <c r="AL26" s="992"/>
      <c r="AM26" s="992"/>
      <c r="AN26" s="992"/>
      <c r="AO26" s="992"/>
      <c r="AP26" s="992"/>
      <c r="AQ26" s="992"/>
      <c r="AR26" s="993"/>
      <c r="AS26" s="993"/>
    </row>
    <row r="27" spans="1:45" s="167" customFormat="1" ht="10.5" hidden="1" customHeight="1" x14ac:dyDescent="0.15">
      <c r="E27" s="668">
        <v>0</v>
      </c>
      <c r="F27" s="123" cm="1">
        <f t="array" aca="1" ref="F27" ca="1">OFFSET(G27,-1,-1)</f>
        <v>0</v>
      </c>
      <c r="Y27" s="1483"/>
      <c r="Z27" s="1483"/>
      <c r="AB27" s="210"/>
      <c r="AC27" s="207"/>
      <c r="AD27" s="201"/>
      <c r="AE27" s="201"/>
      <c r="AF27" s="201"/>
      <c r="AG27" s="201"/>
      <c r="AH27" s="201"/>
      <c r="AK27" s="992"/>
      <c r="AL27" s="992"/>
      <c r="AM27" s="992"/>
      <c r="AN27" s="992"/>
      <c r="AO27" s="992"/>
      <c r="AP27" s="992"/>
      <c r="AQ27" s="992"/>
      <c r="AR27" s="993"/>
      <c r="AS27" s="993"/>
    </row>
    <row r="28" spans="1:45" s="781" customFormat="1" ht="16.7" hidden="1" customHeight="1" x14ac:dyDescent="0.15">
      <c r="E28" s="668">
        <v>17.100000000000001</v>
      </c>
      <c r="F28" s="123" cm="1">
        <f t="array" aca="1" ref="F28" ca="1">OFFSET(G28,-1,-1)</f>
        <v>0</v>
      </c>
      <c r="I28" s="161" t="s">
        <v>414</v>
      </c>
      <c r="K28" s="161" t="s">
        <v>415</v>
      </c>
      <c r="U28" s="770" t="b">
        <f ca="1">AND(F28&gt;0,AB28&gt;0)</f>
        <v>0</v>
      </c>
      <c r="X28" s="119" t="s">
        <v>237</v>
      </c>
      <c r="Y28" s="1484"/>
      <c r="Z28" s="1484"/>
      <c r="AA28" s="764" t="s">
        <v>218</v>
      </c>
      <c r="AB28" s="102">
        <v>0</v>
      </c>
      <c r="AC28" s="391" t="str">
        <f>I28&amp;" :: "&amp;K28</f>
        <v>Наименование объекта :: адрес</v>
      </c>
      <c r="AD28" s="387"/>
      <c r="AE28" s="387"/>
      <c r="AF28" s="403"/>
      <c r="AG28" s="403"/>
      <c r="AH28" s="9"/>
      <c r="AK28" s="992" t="s">
        <v>416</v>
      </c>
      <c r="AL28" s="994" t="s">
        <v>417</v>
      </c>
      <c r="AM28" s="994" t="str" cm="1">
        <f t="array" ref="AM28">AC28</f>
        <v>Наименование объекта :: адрес</v>
      </c>
      <c r="AN28" s="994" cm="1">
        <f t="array" ref="AN28">AD28</f>
        <v>0</v>
      </c>
      <c r="AO28" s="994" cm="1">
        <f t="array" ref="AO28">AE28</f>
        <v>0</v>
      </c>
      <c r="AP28" s="994" cm="1">
        <f t="array" ref="AP28">AF28</f>
        <v>0</v>
      </c>
      <c r="AQ28" s="994" cm="1">
        <f t="array" ref="AQ28">AG28</f>
        <v>0</v>
      </c>
      <c r="AR28" s="995"/>
      <c r="AS28" s="995" t="b">
        <v>1</v>
      </c>
    </row>
    <row r="29" spans="1:45" s="167" customFormat="1" ht="16.7" hidden="1" customHeight="1" x14ac:dyDescent="0.15">
      <c r="E29" s="668">
        <v>17.100000000000001</v>
      </c>
      <c r="F29" s="123" cm="1">
        <f t="array" aca="1" ref="F29" ca="1">OFFSET(G29,-1,-1)</f>
        <v>0</v>
      </c>
      <c r="U29" s="770" t="b">
        <f ca="1">F29&gt;0</f>
        <v>0</v>
      </c>
      <c r="X29" s="119" t="s">
        <v>418</v>
      </c>
      <c r="Y29" s="1483"/>
      <c r="Z29" s="1483"/>
      <c r="AB29" s="202"/>
      <c r="AC29" s="205" t="s">
        <v>419</v>
      </c>
      <c r="AD29" s="203"/>
      <c r="AE29" s="203"/>
      <c r="AF29" s="203"/>
      <c r="AG29" s="203"/>
      <c r="AH29" s="212"/>
      <c r="AK29" s="992"/>
      <c r="AL29" s="992"/>
      <c r="AM29" s="992"/>
      <c r="AN29" s="992"/>
      <c r="AO29" s="992"/>
      <c r="AP29" s="992"/>
      <c r="AQ29" s="992"/>
      <c r="AR29" s="993" t="s">
        <v>417</v>
      </c>
      <c r="AS29" s="993"/>
    </row>
    <row r="30" spans="1:45" s="1177" customFormat="1" ht="16.5" customHeight="1" x14ac:dyDescent="0.15">
      <c r="A30" s="167"/>
      <c r="B30" s="167"/>
      <c r="C30" s="167"/>
      <c r="D30" s="167"/>
      <c r="E30" s="668">
        <v>17.100000000000001</v>
      </c>
      <c r="F30" s="123" t="str" cm="1">
        <f t="array" ref="F30">Y30</f>
        <v>1</v>
      </c>
      <c r="G30" s="167"/>
      <c r="H30" s="167"/>
      <c r="I30" s="167"/>
      <c r="J30" s="167"/>
      <c r="K30" s="167"/>
      <c r="L30" s="167"/>
      <c r="M30" s="167"/>
      <c r="N30" s="167"/>
      <c r="O30" s="167"/>
      <c r="P30" s="167"/>
      <c r="Q30" s="167"/>
      <c r="R30" s="167"/>
      <c r="S30" s="167"/>
      <c r="T30" s="167"/>
      <c r="U30" s="770" t="b">
        <f>Y30&gt;0</f>
        <v>1</v>
      </c>
      <c r="V30" s="167"/>
      <c r="W30" s="119" t="str" cm="1">
        <f t="array" ref="W30">'Список территорий'!$AB$29</f>
        <v>Тариф 1 (Теплоснабжение) - Тариф на тепловую энергию (мощность), поставляемую потребителям (Не определено)</v>
      </c>
      <c r="X30" s="167"/>
      <c r="Y30" s="1480" t="s">
        <v>339</v>
      </c>
      <c r="Z30" s="1483"/>
      <c r="AA30" s="167"/>
      <c r="AB30" s="210" t="str" cm="1">
        <f t="array" ref="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07"/>
      <c r="AD30" s="201"/>
      <c r="AE30" s="201"/>
      <c r="AF30" s="201"/>
      <c r="AG30" s="201"/>
      <c r="AH30" s="201"/>
      <c r="AI30" s="167"/>
      <c r="AJ30" s="167"/>
      <c r="AK30" s="992"/>
      <c r="AL30" s="992"/>
      <c r="AM30" s="992"/>
      <c r="AN30" s="992"/>
      <c r="AO30" s="992"/>
      <c r="AP30" s="992"/>
      <c r="AQ30" s="992"/>
      <c r="AR30" s="993"/>
      <c r="AS30" s="993"/>
    </row>
    <row r="31" spans="1:45" s="1178" customFormat="1" ht="10.5" hidden="1" customHeight="1" x14ac:dyDescent="0.15">
      <c r="A31" s="167"/>
      <c r="B31" s="167"/>
      <c r="C31" s="167"/>
      <c r="D31" s="167"/>
      <c r="E31" s="668">
        <v>0</v>
      </c>
      <c r="F31" s="123" t="str" cm="1">
        <f t="array" aca="1" ref="F31" ca="1">OFFSET(G31,-1,-1)</f>
        <v>1</v>
      </c>
      <c r="G31" s="167"/>
      <c r="H31" s="167"/>
      <c r="I31" s="167"/>
      <c r="J31" s="167"/>
      <c r="K31" s="167"/>
      <c r="L31" s="167"/>
      <c r="M31" s="167"/>
      <c r="N31" s="167"/>
      <c r="O31" s="167"/>
      <c r="P31" s="167"/>
      <c r="Q31" s="167"/>
      <c r="R31" s="167"/>
      <c r="S31" s="167"/>
      <c r="T31" s="167"/>
      <c r="U31" s="167"/>
      <c r="V31" s="167"/>
      <c r="W31" s="167"/>
      <c r="X31" s="167"/>
      <c r="Y31" s="1483"/>
      <c r="Z31" s="1483"/>
      <c r="AA31" s="167"/>
      <c r="AB31" s="210"/>
      <c r="AC31" s="207"/>
      <c r="AD31" s="201"/>
      <c r="AE31" s="201"/>
      <c r="AF31" s="201"/>
      <c r="AG31" s="201"/>
      <c r="AH31" s="201"/>
      <c r="AI31" s="167"/>
      <c r="AJ31" s="167"/>
      <c r="AK31" s="992"/>
      <c r="AL31" s="992"/>
      <c r="AM31" s="992"/>
      <c r="AN31" s="992"/>
      <c r="AO31" s="992"/>
      <c r="AP31" s="992"/>
      <c r="AQ31" s="992"/>
      <c r="AR31" s="993"/>
      <c r="AS31" s="993"/>
    </row>
    <row r="32" spans="1:45" s="781" customFormat="1" ht="16.5" hidden="1" customHeight="1" x14ac:dyDescent="0.15">
      <c r="E32" s="668">
        <v>17.100000000000001</v>
      </c>
      <c r="F32" s="123" t="str" cm="1">
        <f t="array" aca="1" ref="F32" ca="1">OFFSET(G32,-1,-1)</f>
        <v>1</v>
      </c>
      <c r="I32" s="161" t="s">
        <v>414</v>
      </c>
      <c r="K32" s="161" t="s">
        <v>415</v>
      </c>
      <c r="U32" s="770" t="b">
        <f t="shared" ref="U32:U40" ca="1" si="0">AND(F32&gt;0,AB32&gt;0)</f>
        <v>0</v>
      </c>
      <c r="X32" s="119" t="s">
        <v>237</v>
      </c>
      <c r="Y32" s="1484"/>
      <c r="Z32" s="1484"/>
      <c r="AA32" s="764" t="s">
        <v>218</v>
      </c>
      <c r="AB32" s="102">
        <v>0</v>
      </c>
      <c r="AC32" s="391" t="str">
        <f t="shared" ref="AC32:AC40" si="1">I32&amp;" :: "&amp;K32</f>
        <v>Наименование объекта :: адрес</v>
      </c>
      <c r="AD32" s="387"/>
      <c r="AE32" s="387"/>
      <c r="AF32" s="403"/>
      <c r="AG32" s="403"/>
      <c r="AH32" s="9"/>
      <c r="AK32" s="992" t="s">
        <v>416</v>
      </c>
      <c r="AL32" s="994" t="s">
        <v>417</v>
      </c>
      <c r="AM32" s="994" t="str" cm="1">
        <f t="array" ref="AM32">AC32</f>
        <v>Наименование объекта :: адрес</v>
      </c>
      <c r="AN32" s="994" cm="1">
        <f t="array" ref="AN32">AD32</f>
        <v>0</v>
      </c>
      <c r="AO32" s="994" cm="1">
        <f t="array" ref="AO32">AE32</f>
        <v>0</v>
      </c>
      <c r="AP32" s="994" cm="1">
        <f t="array" ref="AP32">AF32</f>
        <v>0</v>
      </c>
      <c r="AQ32" s="994" cm="1">
        <f t="array" ref="AQ32">AG32</f>
        <v>0</v>
      </c>
      <c r="AR32" s="995"/>
      <c r="AS32" s="995" t="b">
        <v>1</v>
      </c>
    </row>
    <row r="33" spans="1:45" s="781" customFormat="1" ht="16.5" customHeight="1" x14ac:dyDescent="0.15">
      <c r="E33" s="668">
        <v>17.100000000000001</v>
      </c>
      <c r="F33" s="123" t="str" cm="1">
        <f t="array" aca="1" ref="F33" ca="1">OFFSET(G33,-1,-1)</f>
        <v>1</v>
      </c>
      <c r="I33" s="161" t="s">
        <v>420</v>
      </c>
      <c r="K33" s="161" t="s">
        <v>421</v>
      </c>
      <c r="U33" s="770" t="b">
        <f t="shared" ca="1" si="0"/>
        <v>1</v>
      </c>
      <c r="X33" s="119"/>
      <c r="Y33" s="1484"/>
      <c r="Z33" s="1484"/>
      <c r="AA33" s="764" t="s">
        <v>218</v>
      </c>
      <c r="AB33" s="102" t="s">
        <v>339</v>
      </c>
      <c r="AC33" s="391" t="str">
        <f t="shared" si="1"/>
        <v>Бесхозные тепловые сети принятые в эксплуатацию :: г Междуреченск, от внешней границы жилого дома по ул. Вокзадьная 106, 10 до ТК-59; от внешней границы жилого дома по ул. Вокзальная 102 до ТК-52, от внешней границы жилого дома по ул. Вокзадьная 106, 10 до ТК-59; от внешней границы жилого дома по ул. Вокзальная 102 до ТК-52</v>
      </c>
      <c r="AD33" s="387" t="s">
        <v>422</v>
      </c>
      <c r="AE33" s="387" t="s">
        <v>253</v>
      </c>
      <c r="AF33" s="403" t="s">
        <v>423</v>
      </c>
      <c r="AG33" s="403" t="s">
        <v>424</v>
      </c>
      <c r="AH33" s="1179"/>
      <c r="AK33" s="992" t="s">
        <v>416</v>
      </c>
      <c r="AL33" s="994" t="s">
        <v>417</v>
      </c>
      <c r="AM33" s="994" t="str" cm="1">
        <f t="array" ref="AM33">AC33</f>
        <v>Бесхозные тепловые сети принятые в эксплуатацию :: г Междуреченск, от внешней границы жилого дома по ул. Вокзадьная 106, 10 до ТК-59; от внешней границы жилого дома по ул. Вокзальная 102 до ТК-52, от внешней границы жилого дома по ул. Вокзадьная 106, 10 до ТК-59; от внешней границы жилого дома по ул. Вокзальная 102 до ТК-52</v>
      </c>
      <c r="AN33" s="994" t="str" cm="1">
        <f t="array" ref="AN33">AD33</f>
        <v>бесхозяйный объект</v>
      </c>
      <c r="AO33" s="994" t="str" cm="1">
        <f t="array" ref="AO33">AE33</f>
        <v>постановление</v>
      </c>
      <c r="AP33" s="994" t="str" cm="1">
        <f t="array" ref="AP33">AF33</f>
        <v>№496-п</v>
      </c>
      <c r="AQ33" s="994" t="str" cm="1">
        <f t="array" ref="AQ33">AG33</f>
        <v>16.03.2020</v>
      </c>
      <c r="AR33" s="995"/>
      <c r="AS33" s="995" t="b">
        <v>1</v>
      </c>
    </row>
    <row r="34" spans="1:45" s="781" customFormat="1" ht="16.5" customHeight="1" x14ac:dyDescent="0.15">
      <c r="E34" s="668">
        <v>17.100000000000001</v>
      </c>
      <c r="F34" s="123" t="str" cm="1">
        <f t="array" aca="1" ref="F34" ca="1">OFFSET(G34,-1,-1)</f>
        <v>1</v>
      </c>
      <c r="I34" s="161" t="s">
        <v>420</v>
      </c>
      <c r="K34" s="161" t="s">
        <v>425</v>
      </c>
      <c r="U34" s="770" t="b">
        <f t="shared" ca="1" si="0"/>
        <v>1</v>
      </c>
      <c r="X34" s="119"/>
      <c r="Y34" s="1484"/>
      <c r="Z34" s="1484"/>
      <c r="AA34" s="764" t="s">
        <v>218</v>
      </c>
      <c r="AB34" s="102" t="s">
        <v>426</v>
      </c>
      <c r="AC34" s="391" t="str">
        <f t="shared" si="1"/>
        <v>Бесхозные тепловые сети принятые в эксплуатацию :: г Междуреченск, от внешней границы жилого дома по ул. Октябрьская, 10 до ТК-9; от внешней границы жилого дома по ул. Октябрьская, 8 до ТК-11, от внешней границы жилого дома по ул. Октябрьская, 10 до ТК-9; от внешней границы жилого дома по ул. Октябрьская, 8 до ТК-11</v>
      </c>
      <c r="AD34" s="387" t="s">
        <v>422</v>
      </c>
      <c r="AE34" s="387" t="s">
        <v>253</v>
      </c>
      <c r="AF34" s="403" t="s">
        <v>427</v>
      </c>
      <c r="AG34" s="403" t="s">
        <v>428</v>
      </c>
      <c r="AH34" s="1179"/>
      <c r="AK34" s="992" t="s">
        <v>416</v>
      </c>
      <c r="AL34" s="994" t="s">
        <v>417</v>
      </c>
      <c r="AM34" s="994" t="str" cm="1">
        <f t="array" ref="AM34">AC34</f>
        <v>Бесхозные тепловые сети принятые в эксплуатацию :: г Междуреченск, от внешней границы жилого дома по ул. Октябрьская, 10 до ТК-9; от внешней границы жилого дома по ул. Октябрьская, 8 до ТК-11, от внешней границы жилого дома по ул. Октябрьская, 10 до ТК-9; от внешней границы жилого дома по ул. Октябрьская, 8 до ТК-11</v>
      </c>
      <c r="AN34" s="994" t="str" cm="1">
        <f t="array" ref="AN34">AD34</f>
        <v>бесхозяйный объект</v>
      </c>
      <c r="AO34" s="994" t="str" cm="1">
        <f t="array" ref="AO34">AE34</f>
        <v>постановление</v>
      </c>
      <c r="AP34" s="994" t="str" cm="1">
        <f t="array" ref="AP34">AF34</f>
        <v>№2879-п</v>
      </c>
      <c r="AQ34" s="994" t="str" cm="1">
        <f t="array" ref="AQ34">AG34</f>
        <v>17.12.2019</v>
      </c>
      <c r="AR34" s="995"/>
      <c r="AS34" s="995" t="b">
        <v>1</v>
      </c>
    </row>
    <row r="35" spans="1:45" s="781" customFormat="1" ht="16.5" customHeight="1" x14ac:dyDescent="0.15">
      <c r="E35" s="668">
        <v>17.100000000000001</v>
      </c>
      <c r="F35" s="123" t="str" cm="1">
        <f t="array" aca="1" ref="F35" ca="1">OFFSET(G35,-1,-1)</f>
        <v>1</v>
      </c>
      <c r="I35" s="161" t="s">
        <v>429</v>
      </c>
      <c r="K35" s="161" t="s">
        <v>430</v>
      </c>
      <c r="U35" s="770" t="b">
        <f t="shared" ca="1" si="0"/>
        <v>1</v>
      </c>
      <c r="X35" s="119"/>
      <c r="Y35" s="1484"/>
      <c r="Z35" s="1484"/>
      <c r="AA35" s="764" t="s">
        <v>218</v>
      </c>
      <c r="AB35" s="102" t="s">
        <v>431</v>
      </c>
      <c r="AC35" s="391" t="str">
        <f t="shared" si="1"/>
        <v>Арендованные тепловые сети :: г Междуреченск, от ТК-6 у ул. Дзержинского, 12 до ТК-10 у ул. Дзержинского, 4; от ЦТП 46 до ул. Дзержинского, 18, от ТК-6 у ул. Дзержинского, 12 до ТК-10 у ул. Дзержинского, 4; от ЦТП 46 до ул. Дзержинского, 18</v>
      </c>
      <c r="AD35" s="387" t="s">
        <v>432</v>
      </c>
      <c r="AE35" s="387" t="s">
        <v>433</v>
      </c>
      <c r="AF35" s="403" t="s">
        <v>434</v>
      </c>
      <c r="AG35" s="403" t="s">
        <v>435</v>
      </c>
      <c r="AH35" s="1179"/>
      <c r="AK35" s="992" t="s">
        <v>416</v>
      </c>
      <c r="AL35" s="994" t="s">
        <v>417</v>
      </c>
      <c r="AM35" s="994" t="str" cm="1">
        <f t="array" ref="AM35">AC35</f>
        <v>Арендованные тепловые сети :: г Междуреченск, от ТК-6 у ул. Дзержинского, 12 до ТК-10 у ул. Дзержинского, 4; от ЦТП 46 до ул. Дзержинского, 18, от ТК-6 у ул. Дзержинского, 12 до ТК-10 у ул. Дзержинского, 4; от ЦТП 46 до ул. Дзержинского, 18</v>
      </c>
      <c r="AN35" s="994" t="str" cm="1">
        <f t="array" ref="AN35">AD35</f>
        <v>договор эксплуатации</v>
      </c>
      <c r="AO35" s="994" t="str" cm="1">
        <f t="array" ref="AO35">AE35</f>
        <v>договор</v>
      </c>
      <c r="AP35" s="994" t="str" cm="1">
        <f t="array" ref="AP35">AF35</f>
        <v>№А-08/2017</v>
      </c>
      <c r="AQ35" s="994" t="str" cm="1">
        <f t="array" ref="AQ35">AG35</f>
        <v>01.07.2017</v>
      </c>
      <c r="AR35" s="995"/>
      <c r="AS35" s="995" t="b">
        <v>1</v>
      </c>
    </row>
    <row r="36" spans="1:45" s="781" customFormat="1" ht="16.5" customHeight="1" x14ac:dyDescent="0.15">
      <c r="E36" s="668">
        <v>17.100000000000001</v>
      </c>
      <c r="F36" s="123" t="str" cm="1">
        <f t="array" aca="1" ref="F36" ca="1">OFFSET(G36,-1,-1)</f>
        <v>1</v>
      </c>
      <c r="I36" s="161" t="s">
        <v>429</v>
      </c>
      <c r="K36" s="161" t="s">
        <v>436</v>
      </c>
      <c r="U36" s="770" t="b">
        <f t="shared" ca="1" si="0"/>
        <v>1</v>
      </c>
      <c r="X36" s="119"/>
      <c r="Y36" s="1484"/>
      <c r="Z36" s="1484"/>
      <c r="AA36" s="764" t="s">
        <v>218</v>
      </c>
      <c r="AB36" s="102" t="s">
        <v>437</v>
      </c>
      <c r="AC36" s="391" t="str">
        <f t="shared" si="1"/>
        <v>Арендованные тепловые сети :: г Междуреченск, от ТК-6 у ул. Октябрьская до школы №25; от Тк-10 у ул. Октябрьская,10 до ТК-12 у ул. Пушкина,37; от ТК-12 у ул. Пушкина,37 до ул. Пушкина,35,39;от ТК-12 у ул. Пушкина,39 до ул. Пушкина,31, от ТК-6 у ул. Октябрьская до школы №25; от Тк-10 у ул. Октябрьская,10 до ТК-12 у ул. Пушкина,37; от ТК-12 у ул. Пушкина,37 до ул. Пушкина,35,39;от ТК-12 у ул. Пушкина,39 до ул. Пушкина,31</v>
      </c>
      <c r="AD36" s="387" t="s">
        <v>432</v>
      </c>
      <c r="AE36" s="387" t="s">
        <v>433</v>
      </c>
      <c r="AF36" s="403" t="s">
        <v>438</v>
      </c>
      <c r="AG36" s="403" t="s">
        <v>439</v>
      </c>
      <c r="AH36" s="1179"/>
      <c r="AK36" s="992" t="s">
        <v>416</v>
      </c>
      <c r="AL36" s="994" t="s">
        <v>417</v>
      </c>
      <c r="AM36" s="994" t="str" cm="1">
        <f t="array" ref="AM36">AC36</f>
        <v>Арендованные тепловые сети :: г Междуреченск, от ТК-6 у ул. Октябрьская до школы №25; от Тк-10 у ул. Октябрьская,10 до ТК-12 у ул. Пушкина,37; от ТК-12 у ул. Пушкина,37 до ул. Пушкина,35,39;от ТК-12 у ул. Пушкина,39 до ул. Пушкина,31, от ТК-6 у ул. Октябрьская до школы №25; от Тк-10 у ул. Октябрьская,10 до ТК-12 у ул. Пушкина,37; от ТК-12 у ул. Пушкина,37 до ул. Пушкина,35,39;от ТК-12 у ул. Пушкина,39 до ул. Пушкина,31</v>
      </c>
      <c r="AN36" s="994" t="str" cm="1">
        <f t="array" ref="AN36">AD36</f>
        <v>договор эксплуатации</v>
      </c>
      <c r="AO36" s="994" t="str" cm="1">
        <f t="array" ref="AO36">AE36</f>
        <v>договор</v>
      </c>
      <c r="AP36" s="994" t="str" cm="1">
        <f t="array" ref="AP36">AF36</f>
        <v>№А-04/2019</v>
      </c>
      <c r="AQ36" s="994" t="str" cm="1">
        <f t="array" ref="AQ36">AG36</f>
        <v>01.09.2019</v>
      </c>
      <c r="AR36" s="995"/>
      <c r="AS36" s="995" t="b">
        <v>1</v>
      </c>
    </row>
    <row r="37" spans="1:45" s="781" customFormat="1" ht="16.5" customHeight="1" x14ac:dyDescent="0.15">
      <c r="E37" s="668">
        <v>17.100000000000001</v>
      </c>
      <c r="F37" s="123" t="str" cm="1">
        <f t="array" aca="1" ref="F37" ca="1">OFFSET(G37,-1,-1)</f>
        <v>1</v>
      </c>
      <c r="I37" s="161" t="s">
        <v>429</v>
      </c>
      <c r="K37" s="161" t="s">
        <v>440</v>
      </c>
      <c r="U37" s="770" t="b">
        <f t="shared" ca="1" si="0"/>
        <v>1</v>
      </c>
      <c r="X37" s="119"/>
      <c r="Y37" s="1484"/>
      <c r="Z37" s="1484"/>
      <c r="AA37" s="764" t="s">
        <v>218</v>
      </c>
      <c r="AB37" s="102" t="s">
        <v>441</v>
      </c>
      <c r="AC37" s="391" t="str">
        <f t="shared" si="1"/>
        <v>Арендованные тепловые сети :: г Междуреченск,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v>
      </c>
      <c r="AD37" s="387" t="s">
        <v>432</v>
      </c>
      <c r="AE37" s="387" t="s">
        <v>433</v>
      </c>
      <c r="AF37" s="403" t="s">
        <v>442</v>
      </c>
      <c r="AG37" s="403" t="s">
        <v>443</v>
      </c>
      <c r="AH37" s="1179"/>
      <c r="AK37" s="992" t="s">
        <v>416</v>
      </c>
      <c r="AL37" s="994" t="s">
        <v>417</v>
      </c>
      <c r="AM37" s="994" t="str" cm="1">
        <f t="array" ref="AM37">AC37</f>
        <v>Арендованные тепловые сети :: г Междуреченск,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 Т/сети от ЦТП 46 до ул. Дзержинского, 18; Т/сеть подземные (школа №19) 46кв-л ; Т/сети от ЦТП 3 до д/сада № 37 ; Т/сети от ТК-2 у ул.Дзержинского, 26 до ТК-6 у ул.Дзержинского, 12 ;Т/сеть от ТК-3 до ул.Дзержинского, 9 ; Тепловые сети ул.Дзержинского, 16; Т/сети от ТК-6 у ул.Дзержинского, 12 до ТК-10 у ул.Дзержинского, 4; Т/сети от ТК-36 у ул.Пушкина, 160 до ул.Пушкина, 57</v>
      </c>
      <c r="AN37" s="994" t="str" cm="1">
        <f t="array" ref="AN37">AD37</f>
        <v>договор эксплуатации</v>
      </c>
      <c r="AO37" s="994" t="str" cm="1">
        <f t="array" ref="AO37">AE37</f>
        <v>договор</v>
      </c>
      <c r="AP37" s="994" t="str" cm="1">
        <f t="array" ref="AP37">AF37</f>
        <v>№А-02/2020</v>
      </c>
      <c r="AQ37" s="994" t="str" cm="1">
        <f t="array" ref="AQ37">AG37</f>
        <v>01.08.2020</v>
      </c>
      <c r="AR37" s="995"/>
      <c r="AS37" s="995" t="b">
        <v>1</v>
      </c>
    </row>
    <row r="38" spans="1:45" s="781" customFormat="1" ht="16.5" customHeight="1" x14ac:dyDescent="0.15">
      <c r="E38" s="668">
        <v>17.100000000000001</v>
      </c>
      <c r="F38" s="123" t="str" cm="1">
        <f t="array" aca="1" ref="F38" ca="1">OFFSET(G38,-1,-1)</f>
        <v>1</v>
      </c>
      <c r="I38" s="161" t="s">
        <v>420</v>
      </c>
      <c r="K38" s="161" t="s">
        <v>444</v>
      </c>
      <c r="U38" s="770" t="b">
        <f t="shared" ca="1" si="0"/>
        <v>1</v>
      </c>
      <c r="X38" s="119"/>
      <c r="Y38" s="1484"/>
      <c r="Z38" s="1484"/>
      <c r="AA38" s="764" t="s">
        <v>218</v>
      </c>
      <c r="AB38" s="102" t="s">
        <v>445</v>
      </c>
      <c r="AC38" s="391" t="str">
        <f t="shared" si="1"/>
        <v>Бесхозные тепловые сети принятые в эксплуатацию :: г Междуреченск, ул. Дзержинского, ул. Пушкина, ул. Дзержинского, ул. Пушкина</v>
      </c>
      <c r="AD38" s="387" t="s">
        <v>422</v>
      </c>
      <c r="AE38" s="387" t="s">
        <v>253</v>
      </c>
      <c r="AF38" s="403" t="s">
        <v>446</v>
      </c>
      <c r="AG38" s="403" t="s">
        <v>447</v>
      </c>
      <c r="AH38" s="1179"/>
      <c r="AK38" s="992" t="s">
        <v>416</v>
      </c>
      <c r="AL38" s="994" t="s">
        <v>417</v>
      </c>
      <c r="AM38" s="994" t="str" cm="1">
        <f t="array" ref="AM38">AC38</f>
        <v>Бесхозные тепловые сети принятые в эксплуатацию :: г Междуреченск, ул. Дзержинского, ул. Пушкина, ул. Дзержинского, ул. Пушкина</v>
      </c>
      <c r="AN38" s="994" t="str" cm="1">
        <f t="array" ref="AN38">AD38</f>
        <v>бесхозяйный объект</v>
      </c>
      <c r="AO38" s="994" t="str" cm="1">
        <f t="array" ref="AO38">AE38</f>
        <v>постановление</v>
      </c>
      <c r="AP38" s="994" t="str" cm="1">
        <f t="array" ref="AP38">AF38</f>
        <v>№2038-п</v>
      </c>
      <c r="AQ38" s="994" t="str" cm="1">
        <f t="array" ref="AQ38">AG38</f>
        <v>13.09.2019</v>
      </c>
      <c r="AR38" s="995"/>
      <c r="AS38" s="995" t="b">
        <v>1</v>
      </c>
    </row>
    <row r="39" spans="1:45" s="781" customFormat="1" ht="16.5" customHeight="1" x14ac:dyDescent="0.15">
      <c r="E39" s="668">
        <v>17.100000000000001</v>
      </c>
      <c r="F39" s="123" t="str" cm="1">
        <f t="array" aca="1" ref="F39" ca="1">OFFSET(G39,-1,-1)</f>
        <v>1</v>
      </c>
      <c r="I39" s="161" t="s">
        <v>420</v>
      </c>
      <c r="K39" s="161" t="s">
        <v>448</v>
      </c>
      <c r="U39" s="770" t="b">
        <f t="shared" ca="1" si="0"/>
        <v>1</v>
      </c>
      <c r="X39" s="119"/>
      <c r="Y39" s="1484"/>
      <c r="Z39" s="1484"/>
      <c r="AA39" s="764" t="s">
        <v>218</v>
      </c>
      <c r="AB39" s="102" t="s">
        <v>449</v>
      </c>
      <c r="AC39" s="391" t="str">
        <f t="shared" si="1"/>
        <v>Бесхозные тепловые сети принятые в эксплуатацию :: г Междуреченск, ул. Интернациональная; ул. Вокзальная; ул. Пушкина, ул. Интернациональная; ул. Вокзальная; ул. Пушкина</v>
      </c>
      <c r="AD39" s="387" t="s">
        <v>422</v>
      </c>
      <c r="AE39" s="387" t="s">
        <v>450</v>
      </c>
      <c r="AF39" s="403" t="s">
        <v>451</v>
      </c>
      <c r="AG39" s="403" t="s">
        <v>452</v>
      </c>
      <c r="AH39" s="1179"/>
      <c r="AK39" s="992" t="s">
        <v>416</v>
      </c>
      <c r="AL39" s="994" t="s">
        <v>417</v>
      </c>
      <c r="AM39" s="994" t="str" cm="1">
        <f t="array" ref="AM39">AC39</f>
        <v>Бесхозные тепловые сети принятые в эксплуатацию :: г Междуреченск, ул. Интернациональная; ул. Вокзальная; ул. Пушкина, ул. Интернациональная; ул. Вокзальная; ул. Пушкина</v>
      </c>
      <c r="AN39" s="994" t="str" cm="1">
        <f t="array" ref="AN39">AD39</f>
        <v>бесхозяйный объект</v>
      </c>
      <c r="AO39" s="994" t="str" cm="1">
        <f t="array" ref="AO39">AE39</f>
        <v>акт приёма-передачи</v>
      </c>
      <c r="AP39" s="994" t="str" cm="1">
        <f t="array" ref="AP39">AF39</f>
        <v>Акт №1; Акт №2; Акт №3</v>
      </c>
      <c r="AQ39" s="994" t="str" cm="1">
        <f t="array" ref="AQ39">AG39</f>
        <v>18.08.2017</v>
      </c>
      <c r="AR39" s="995"/>
      <c r="AS39" s="995" t="b">
        <v>1</v>
      </c>
    </row>
    <row r="40" spans="1:45" s="781" customFormat="1" ht="16.5" customHeight="1" x14ac:dyDescent="0.15">
      <c r="E40" s="668">
        <v>17.100000000000001</v>
      </c>
      <c r="F40" s="123" t="str" cm="1">
        <f t="array" aca="1" ref="F40" ca="1">OFFSET(G40,-1,-1)</f>
        <v>1</v>
      </c>
      <c r="I40" s="161" t="s">
        <v>453</v>
      </c>
      <c r="K40" s="161" t="s">
        <v>454</v>
      </c>
      <c r="U40" s="770" t="b">
        <f t="shared" ca="1" si="0"/>
        <v>1</v>
      </c>
      <c r="X40" s="119"/>
      <c r="Y40" s="1484"/>
      <c r="Z40" s="1484"/>
      <c r="AA40" s="764" t="s">
        <v>218</v>
      </c>
      <c r="AB40" s="102" t="s">
        <v>455</v>
      </c>
      <c r="AC40" s="391" t="str">
        <f t="shared" si="1"/>
        <v>Междуреченская котельная ООО ХК "СДС-Энерго :: г Междуреченск, уч-к. 65 км пикеты 8-10 ст.Междуреченск, уч-к. 65 км пикеты 8-10 ст.Междуреченск</v>
      </c>
      <c r="AD40" s="387" t="s">
        <v>456</v>
      </c>
      <c r="AE40" s="387" t="s">
        <v>457</v>
      </c>
      <c r="AF40" s="403" t="s">
        <v>458</v>
      </c>
      <c r="AG40" s="403" t="s">
        <v>459</v>
      </c>
      <c r="AH40" s="1179"/>
      <c r="AK40" s="992" t="s">
        <v>416</v>
      </c>
      <c r="AL40" s="994" t="s">
        <v>417</v>
      </c>
      <c r="AM40" s="994" t="str" cm="1">
        <f t="array" ref="AM40">AC40</f>
        <v>Междуреченская котельная ООО ХК "СДС-Энерго :: г Междуреченск, уч-к. 65 км пикеты 8-10 ст.Междуреченск, уч-к. 65 км пикеты 8-10 ст.Междуреченск</v>
      </c>
      <c r="AN40" s="994" t="str" cm="1">
        <f t="array" ref="AN40">AD40</f>
        <v>собственность</v>
      </c>
      <c r="AO40" s="994" t="str" cm="1">
        <f t="array" ref="AO40">AE40</f>
        <v>свидетельство</v>
      </c>
      <c r="AP40" s="994" t="str" cm="1">
        <f t="array" ref="AP40">AF40</f>
        <v>1) 42АД 528819
2) 42АД 528820
3) 42-АД 060548</v>
      </c>
      <c r="AQ40" s="994" t="str" cm="1">
        <f t="array" ref="AQ40">AG40</f>
        <v>24.03.2014</v>
      </c>
      <c r="AR40" s="995"/>
      <c r="AS40" s="995" t="b">
        <v>1</v>
      </c>
    </row>
    <row r="41" spans="1:45" s="1180" customFormat="1" ht="16.5" customHeight="1" x14ac:dyDescent="0.15">
      <c r="A41" s="167"/>
      <c r="B41" s="167"/>
      <c r="C41" s="167"/>
      <c r="D41" s="167"/>
      <c r="E41" s="668">
        <v>17.100000000000001</v>
      </c>
      <c r="F41" s="123" t="str" cm="1">
        <f t="array" aca="1" ref="F41" ca="1">OFFSET(G41,-1,-1)</f>
        <v>1</v>
      </c>
      <c r="G41" s="167"/>
      <c r="H41" s="167"/>
      <c r="I41" s="167"/>
      <c r="J41" s="167"/>
      <c r="K41" s="167"/>
      <c r="L41" s="167"/>
      <c r="M41" s="167"/>
      <c r="N41" s="167"/>
      <c r="O41" s="167"/>
      <c r="P41" s="167"/>
      <c r="Q41" s="167"/>
      <c r="R41" s="167"/>
      <c r="S41" s="167"/>
      <c r="T41" s="167"/>
      <c r="U41" s="770" t="b">
        <f ca="1">F41&gt;0</f>
        <v>1</v>
      </c>
      <c r="V41" s="167"/>
      <c r="W41" s="167"/>
      <c r="X41" s="119" t="s">
        <v>418</v>
      </c>
      <c r="Y41" s="1483"/>
      <c r="Z41" s="1483"/>
      <c r="AA41" s="167"/>
      <c r="AB41" s="202"/>
      <c r="AC41" s="205" t="s">
        <v>419</v>
      </c>
      <c r="AD41" s="203"/>
      <c r="AE41" s="203"/>
      <c r="AF41" s="203"/>
      <c r="AG41" s="203"/>
      <c r="AH41" s="212"/>
      <c r="AI41" s="167"/>
      <c r="AJ41" s="167"/>
      <c r="AK41" s="992"/>
      <c r="AL41" s="992"/>
      <c r="AM41" s="992"/>
      <c r="AN41" s="992"/>
      <c r="AO41" s="992"/>
      <c r="AP41" s="992"/>
      <c r="AQ41" s="992"/>
      <c r="AR41" s="993" t="s">
        <v>417</v>
      </c>
      <c r="AS41" s="993"/>
    </row>
    <row r="42" spans="1:45" ht="11.25" customHeight="1" x14ac:dyDescent="0.15">
      <c r="U42" s="119"/>
      <c r="V42" s="123" t="s">
        <v>239</v>
      </c>
      <c r="W42" s="119" t="s">
        <v>460</v>
      </c>
      <c r="X42" s="119"/>
      <c r="Y42" s="119"/>
      <c r="AI42" s="809"/>
    </row>
  </sheetData>
  <sheetProtection formatColumns="0" formatRows="0" insertRows="0" deleteColumns="0" deleteRows="0" sort="0" autoFilter="0"/>
  <mergeCells count="6">
    <mergeCell ref="AB22:AH22"/>
    <mergeCell ref="AF23:AG23"/>
    <mergeCell ref="Y26:Y29"/>
    <mergeCell ref="Z26:Z29"/>
    <mergeCell ref="Y30:Y41"/>
    <mergeCell ref="Z30:Z41"/>
  </mergeCells>
  <dataValidations count="1">
    <dataValidation type="list" showDropDown="1" errorTitle="Ошибка" error="Выберите значение из списка" prompt="Выберите значение из списка" sqref="AD29 AD41"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5EFA6-6405-BBB8-64F7-15A39834B357}">
  <sheetPr>
    <tabColor theme="3" tint="0.59999389629810485"/>
    <outlinePr summaryBelow="0" summaryRight="0"/>
    <pageSetUpPr fitToPage="1"/>
  </sheetPr>
  <dimension ref="A1:BC67"/>
  <sheetViews>
    <sheetView showGridLines="0" workbookViewId="0">
      <pane xSplit="30" ySplit="26" topLeftCell="AF47" activePane="bottomRight" state="frozen"/>
      <selection pane="topRight" activeCell="AE1" sqref="AE1"/>
      <selection pane="bottomLeft" activeCell="A27" sqref="A27"/>
      <selection pane="bottomRight" activeCell="AP48" sqref="AP48"/>
    </sheetView>
  </sheetViews>
  <sheetFormatPr defaultColWidth="8.7109375" defaultRowHeight="11.25" customHeight="1" x14ac:dyDescent="0.15"/>
  <cols>
    <col min="1" max="1" width="3.5703125" style="799" hidden="1" customWidth="1"/>
    <col min="2" max="2" width="8.5703125" style="663" hidden="1" customWidth="1"/>
    <col min="3" max="4" width="3.5703125" style="799" hidden="1" customWidth="1"/>
    <col min="5" max="5" width="8.42578125" style="674" hidden="1" customWidth="1"/>
    <col min="6" max="6" width="6.42578125" style="799" hidden="1" customWidth="1"/>
    <col min="7" max="18" width="3.5703125" style="765" hidden="1" customWidth="1"/>
    <col min="19" max="20" width="3.5703125" style="804" hidden="1" customWidth="1"/>
    <col min="21" max="21" width="7.28515625" style="1150" hidden="1" customWidth="1"/>
    <col min="22" max="22" width="6" style="1150" hidden="1" customWidth="1"/>
    <col min="23" max="24" width="6.28515625" style="1150" hidden="1" customWidth="1"/>
    <col min="25" max="25" width="5.7109375" style="1150" hidden="1" customWidth="1"/>
    <col min="26" max="26" width="5.42578125" style="1150" hidden="1" customWidth="1"/>
    <col min="27" max="27" width="3" style="765" customWidth="1"/>
    <col min="28" max="28" width="6.140625" style="141" customWidth="1"/>
    <col min="29" max="29" width="63.7109375" style="141" customWidth="1"/>
    <col min="30" max="30" width="15.140625" style="141" customWidth="1"/>
    <col min="31" max="31" width="20.140625" style="147" customWidth="1"/>
    <col min="32" max="32" width="20.140625" style="141" customWidth="1"/>
    <col min="33" max="41" width="20.140625" style="141" hidden="1" customWidth="1"/>
    <col min="42" max="42" width="20.140625" style="141" customWidth="1"/>
    <col min="43" max="51" width="20.140625" style="141" hidden="1" customWidth="1"/>
    <col min="52" max="52" width="20.140625" style="147" customWidth="1"/>
    <col min="53" max="53" width="3" style="141" customWidth="1"/>
    <col min="54" max="54" width="8.7109375" style="141" hidden="1"/>
    <col min="55" max="55" width="8.7109375" style="958" hidden="1"/>
  </cols>
  <sheetData>
    <row r="1" spans="1:55" s="799" customFormat="1" ht="12" hidden="1" customHeight="1" x14ac:dyDescent="0.15">
      <c r="B1" s="663"/>
      <c r="E1" s="663"/>
      <c r="F1" s="690" t="s">
        <v>83</v>
      </c>
      <c r="G1" s="165"/>
      <c r="H1" s="165"/>
      <c r="I1" s="165"/>
      <c r="J1" s="165"/>
      <c r="K1" s="165"/>
      <c r="L1" s="165"/>
      <c r="M1" s="165"/>
      <c r="N1" s="165"/>
      <c r="O1" s="165"/>
      <c r="P1" s="165"/>
      <c r="Q1" s="165"/>
      <c r="R1" s="165"/>
      <c r="S1" s="161"/>
      <c r="T1" s="161"/>
      <c r="U1" s="679" t="s">
        <v>86</v>
      </c>
      <c r="V1" s="679" t="s">
        <v>91</v>
      </c>
      <c r="W1" s="679" t="s">
        <v>87</v>
      </c>
      <c r="X1" s="659"/>
      <c r="Y1" s="679" t="s">
        <v>89</v>
      </c>
      <c r="Z1" s="679" t="s">
        <v>93</v>
      </c>
      <c r="BC1" s="945" t="s">
        <v>375</v>
      </c>
    </row>
    <row r="2" spans="1:55" s="663" customFormat="1" ht="12" hidden="1" customHeight="1" x14ac:dyDescent="0.15">
      <c r="B2" s="758" t="s">
        <v>15</v>
      </c>
      <c r="G2" s="805"/>
      <c r="H2" s="805"/>
      <c r="I2" s="805"/>
      <c r="J2" s="805"/>
      <c r="K2" s="805"/>
      <c r="L2" s="805"/>
      <c r="M2" s="805"/>
      <c r="N2" s="805"/>
      <c r="O2" s="805"/>
      <c r="P2" s="805"/>
      <c r="Q2" s="805"/>
      <c r="R2" s="805"/>
      <c r="S2" s="776"/>
      <c r="T2" s="776"/>
      <c r="U2" s="659"/>
      <c r="V2" s="659"/>
      <c r="W2" s="659"/>
      <c r="X2" s="659"/>
      <c r="Y2" s="659"/>
      <c r="Z2" s="659"/>
      <c r="AE2" s="659"/>
      <c r="AF2" s="680" t="b">
        <f t="shared" ref="AF2:AY2" si="0">AF6&lt;=last_year_vis</f>
        <v>1</v>
      </c>
      <c r="AG2" s="680" t="b">
        <f t="shared" si="0"/>
        <v>0</v>
      </c>
      <c r="AH2" s="680" t="b">
        <f t="shared" si="0"/>
        <v>0</v>
      </c>
      <c r="AI2" s="680" t="b">
        <f t="shared" si="0"/>
        <v>0</v>
      </c>
      <c r="AJ2" s="680" t="b">
        <f t="shared" si="0"/>
        <v>0</v>
      </c>
      <c r="AK2" s="680" t="b">
        <f t="shared" si="0"/>
        <v>0</v>
      </c>
      <c r="AL2" s="680" t="b">
        <f t="shared" si="0"/>
        <v>0</v>
      </c>
      <c r="AM2" s="680" t="b">
        <f t="shared" si="0"/>
        <v>0</v>
      </c>
      <c r="AN2" s="680" t="b">
        <f t="shared" si="0"/>
        <v>0</v>
      </c>
      <c r="AO2" s="680" t="b">
        <f t="shared" si="0"/>
        <v>0</v>
      </c>
      <c r="AP2" s="680" t="b">
        <f t="shared" si="0"/>
        <v>1</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AY2" s="680" t="b">
        <f t="shared" si="0"/>
        <v>0</v>
      </c>
      <c r="BC2" s="947"/>
    </row>
    <row r="3" spans="1:55" s="799" customFormat="1" ht="12" hidden="1" customHeight="1" x14ac:dyDescent="0.15">
      <c r="B3" s="663"/>
      <c r="C3" s="126"/>
      <c r="E3" s="663"/>
      <c r="G3" s="165"/>
      <c r="H3" s="165"/>
      <c r="I3" s="165"/>
      <c r="J3" s="165"/>
      <c r="K3" s="165"/>
      <c r="L3" s="165"/>
      <c r="M3" s="165"/>
      <c r="N3" s="165"/>
      <c r="O3" s="165"/>
      <c r="P3" s="165"/>
      <c r="Q3" s="165"/>
      <c r="R3" s="165"/>
      <c r="S3" s="161"/>
      <c r="T3" s="161"/>
      <c r="U3" s="126"/>
      <c r="V3" s="126"/>
      <c r="W3" s="126"/>
      <c r="X3" s="126"/>
      <c r="Y3" s="126"/>
      <c r="Z3" s="126"/>
      <c r="BC3" s="945"/>
    </row>
    <row r="4" spans="1:55" s="799" customFormat="1" ht="12" hidden="1" customHeight="1" x14ac:dyDescent="0.15">
      <c r="B4" s="663"/>
      <c r="E4" s="663"/>
      <c r="G4" s="165"/>
      <c r="H4" s="165"/>
      <c r="I4" s="165"/>
      <c r="J4" s="165"/>
      <c r="K4" s="165"/>
      <c r="L4" s="165"/>
      <c r="M4" s="165"/>
      <c r="N4" s="165"/>
      <c r="O4" s="165"/>
      <c r="P4" s="165"/>
      <c r="Q4" s="165"/>
      <c r="R4" s="165"/>
      <c r="S4" s="161"/>
      <c r="T4" s="161"/>
      <c r="U4" s="126"/>
      <c r="V4" s="126"/>
      <c r="W4" s="126"/>
      <c r="X4" s="126"/>
      <c r="Y4" s="126"/>
      <c r="Z4" s="126"/>
      <c r="BC4" s="945"/>
    </row>
    <row r="5" spans="1:55" s="674" customFormat="1" ht="12" hidden="1" customHeight="1" x14ac:dyDescent="0.15">
      <c r="A5" s="663"/>
      <c r="B5" s="663"/>
      <c r="C5" s="663"/>
      <c r="D5" s="663"/>
      <c r="E5" s="674" t="s">
        <v>16</v>
      </c>
      <c r="G5" s="806"/>
      <c r="H5" s="806"/>
      <c r="I5" s="806"/>
      <c r="J5" s="806"/>
      <c r="K5" s="806"/>
      <c r="L5" s="806"/>
      <c r="M5" s="806"/>
      <c r="N5" s="806"/>
      <c r="O5" s="806"/>
      <c r="P5" s="806"/>
      <c r="Q5" s="806"/>
      <c r="R5" s="806"/>
      <c r="S5" s="777"/>
      <c r="T5" s="777"/>
      <c r="U5" s="668"/>
      <c r="V5" s="668"/>
      <c r="W5" s="668"/>
      <c r="X5" s="668"/>
      <c r="Y5" s="668"/>
      <c r="Z5" s="668"/>
      <c r="AA5" s="674">
        <v>3</v>
      </c>
      <c r="AB5" s="674">
        <v>6.13</v>
      </c>
      <c r="AC5" s="674">
        <v>63.75</v>
      </c>
      <c r="AD5" s="674">
        <v>15.13</v>
      </c>
      <c r="AE5" s="674">
        <v>20.13</v>
      </c>
      <c r="AF5" s="674">
        <v>20.13</v>
      </c>
      <c r="AG5" s="674">
        <v>20.13</v>
      </c>
      <c r="AH5" s="674">
        <v>20.13</v>
      </c>
      <c r="AI5" s="674">
        <v>20.13</v>
      </c>
      <c r="AJ5" s="674">
        <v>20.13</v>
      </c>
      <c r="AK5" s="674">
        <v>20.13</v>
      </c>
      <c r="AL5" s="674">
        <v>20.13</v>
      </c>
      <c r="AM5" s="674">
        <v>20.13</v>
      </c>
      <c r="AN5" s="674">
        <v>20.13</v>
      </c>
      <c r="AO5" s="674">
        <v>20.13</v>
      </c>
      <c r="AP5" s="674">
        <v>20.13</v>
      </c>
      <c r="AQ5" s="674">
        <v>20.13</v>
      </c>
      <c r="AR5" s="674">
        <v>20.13</v>
      </c>
      <c r="AS5" s="674">
        <v>20.13</v>
      </c>
      <c r="AT5" s="674">
        <v>20.13</v>
      </c>
      <c r="AU5" s="674">
        <v>20.13</v>
      </c>
      <c r="AV5" s="674">
        <v>20.13</v>
      </c>
      <c r="AW5" s="674">
        <v>20.13</v>
      </c>
      <c r="AX5" s="674">
        <v>20.13</v>
      </c>
      <c r="AY5" s="674">
        <v>20.13</v>
      </c>
      <c r="AZ5" s="674">
        <v>20.13</v>
      </c>
      <c r="BA5" s="674">
        <v>3</v>
      </c>
      <c r="BC5" s="947"/>
    </row>
    <row r="6" spans="1:55" s="799" customFormat="1" ht="12" hidden="1" customHeight="1" x14ac:dyDescent="0.15">
      <c r="B6" s="663"/>
      <c r="E6" s="674"/>
      <c r="G6" s="165"/>
      <c r="H6" s="165"/>
      <c r="I6" s="165"/>
      <c r="J6" s="165"/>
      <c r="K6" s="165"/>
      <c r="L6" s="165"/>
      <c r="M6" s="165"/>
      <c r="N6" s="165"/>
      <c r="O6" s="165"/>
      <c r="P6" s="165"/>
      <c r="Q6" s="165"/>
      <c r="R6" s="165"/>
      <c r="S6" s="161"/>
      <c r="T6" s="161"/>
      <c r="U6" s="126"/>
      <c r="V6" s="126"/>
      <c r="W6" s="126"/>
      <c r="X6" s="126"/>
      <c r="Y6" s="126"/>
      <c r="Z6" s="126"/>
      <c r="AE6" s="123">
        <f>god-1</f>
        <v>2025</v>
      </c>
      <c r="AF6" s="123" cm="1">
        <f t="array" ref="AF6">god</f>
        <v>2026</v>
      </c>
      <c r="AG6" s="123">
        <f>god+1</f>
        <v>2027</v>
      </c>
      <c r="AH6" s="123">
        <f>god+2</f>
        <v>2028</v>
      </c>
      <c r="AI6" s="123">
        <f>god+3</f>
        <v>2029</v>
      </c>
      <c r="AJ6" s="123">
        <f>god+4</f>
        <v>2030</v>
      </c>
      <c r="AK6" s="123">
        <f>god+5</f>
        <v>2031</v>
      </c>
      <c r="AL6" s="123">
        <f>god+6</f>
        <v>2032</v>
      </c>
      <c r="AM6" s="123">
        <f>god+7</f>
        <v>2033</v>
      </c>
      <c r="AN6" s="123">
        <f>god+8</f>
        <v>2034</v>
      </c>
      <c r="AO6" s="123">
        <f>god+9</f>
        <v>2035</v>
      </c>
      <c r="AP6" s="123" cm="1">
        <f t="array" ref="AP6">god</f>
        <v>2026</v>
      </c>
      <c r="AQ6" s="123">
        <f>god+1</f>
        <v>2027</v>
      </c>
      <c r="AR6" s="123">
        <f>god+2</f>
        <v>2028</v>
      </c>
      <c r="AS6" s="123">
        <f>god+3</f>
        <v>2029</v>
      </c>
      <c r="AT6" s="123">
        <f>god+4</f>
        <v>2030</v>
      </c>
      <c r="AU6" s="123">
        <f>god+5</f>
        <v>2031</v>
      </c>
      <c r="AV6" s="123">
        <f>god+6</f>
        <v>2032</v>
      </c>
      <c r="AW6" s="123">
        <f>god+7</f>
        <v>2033</v>
      </c>
      <c r="AX6" s="123">
        <f>god+8</f>
        <v>2034</v>
      </c>
      <c r="AY6" s="123">
        <f>god+9</f>
        <v>2035</v>
      </c>
      <c r="BC6" s="945"/>
    </row>
    <row r="7" spans="1:55" s="765" customFormat="1" ht="12" hidden="1" customHeight="1" x14ac:dyDescent="0.15">
      <c r="A7" s="312"/>
      <c r="B7" s="663"/>
      <c r="C7" s="312"/>
      <c r="D7" s="312"/>
      <c r="E7" s="674"/>
      <c r="S7" s="161"/>
      <c r="T7" s="161"/>
      <c r="U7" s="161"/>
      <c r="V7" s="161"/>
      <c r="W7" s="161"/>
      <c r="X7" s="161"/>
      <c r="Y7" s="161"/>
      <c r="Z7" s="161"/>
      <c r="AE7" s="160" t="str" cm="1">
        <f t="array" ref="AE7">AE25</f>
        <v>Принято органом регулирования</v>
      </c>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AZ7" s="804"/>
      <c r="BC7" s="945"/>
    </row>
    <row r="8" spans="1:55" s="765" customFormat="1" ht="12" hidden="1" customHeight="1" x14ac:dyDescent="0.15">
      <c r="A8" s="312"/>
      <c r="B8" s="663"/>
      <c r="C8" s="312"/>
      <c r="D8" s="312"/>
      <c r="E8" s="674"/>
      <c r="S8" s="161"/>
      <c r="T8" s="161"/>
      <c r="U8" s="161"/>
      <c r="V8" s="161"/>
      <c r="W8" s="161"/>
      <c r="X8" s="161"/>
      <c r="Y8" s="161"/>
      <c r="Z8" s="161"/>
      <c r="AE8" s="160" t="str">
        <f t="shared" ref="AE8:AY8" si="1">AE6&amp;AE7</f>
        <v>2025Принято органом регулирования</v>
      </c>
      <c r="AF8" s="160" t="str">
        <f t="shared" si="1"/>
        <v>2026Предложение организации</v>
      </c>
      <c r="AG8" s="160" t="str">
        <f t="shared" si="1"/>
        <v>2027Предложение организации</v>
      </c>
      <c r="AH8" s="160" t="str">
        <f t="shared" si="1"/>
        <v>2028Предложение организации</v>
      </c>
      <c r="AI8" s="160" t="str">
        <f t="shared" si="1"/>
        <v>2029Предложение организации</v>
      </c>
      <c r="AJ8" s="160" t="str">
        <f t="shared" si="1"/>
        <v>2030Предложение организации</v>
      </c>
      <c r="AK8" s="160" t="str">
        <f t="shared" si="1"/>
        <v>2031Предложение организации</v>
      </c>
      <c r="AL8" s="160" t="str">
        <f t="shared" si="1"/>
        <v>2032Предложение организации</v>
      </c>
      <c r="AM8" s="160" t="str">
        <f t="shared" si="1"/>
        <v>2033Предложение организации</v>
      </c>
      <c r="AN8" s="160" t="str">
        <f t="shared" si="1"/>
        <v>2034Предложение организации</v>
      </c>
      <c r="AO8" s="160" t="str">
        <f t="shared" si="1"/>
        <v>2035Предложение организации</v>
      </c>
      <c r="AP8" s="160" t="str">
        <f t="shared" si="1"/>
        <v>2026Принято органом регулирования</v>
      </c>
      <c r="AQ8" s="160" t="str">
        <f t="shared" si="1"/>
        <v>2027Принято органом регулирования</v>
      </c>
      <c r="AR8" s="160" t="str">
        <f t="shared" si="1"/>
        <v>2028Принято органом регулирования</v>
      </c>
      <c r="AS8" s="160" t="str">
        <f t="shared" si="1"/>
        <v>2029Принято органом регулирования</v>
      </c>
      <c r="AT8" s="160" t="str">
        <f t="shared" si="1"/>
        <v>2030Принято органом регулирования</v>
      </c>
      <c r="AU8" s="160" t="str">
        <f t="shared" si="1"/>
        <v>2031Принято органом регулирования</v>
      </c>
      <c r="AV8" s="160" t="str">
        <f t="shared" si="1"/>
        <v>2032Принято органом регулирования</v>
      </c>
      <c r="AW8" s="160" t="str">
        <f t="shared" si="1"/>
        <v>2033Принято органом регулирования</v>
      </c>
      <c r="AX8" s="160" t="str">
        <f t="shared" si="1"/>
        <v>2034Принято органом регулирования</v>
      </c>
      <c r="AY8" s="160" t="str">
        <f t="shared" si="1"/>
        <v>2035Принято органом регулирования</v>
      </c>
      <c r="BC8" s="945"/>
    </row>
    <row r="9" spans="1:55" s="959" customFormat="1" ht="12" hidden="1" customHeight="1" x14ac:dyDescent="0.15">
      <c r="A9" s="945" t="s">
        <v>461</v>
      </c>
      <c r="B9" s="941"/>
      <c r="E9" s="941"/>
      <c r="AE9" s="939">
        <f>god-1</f>
        <v>2025</v>
      </c>
      <c r="AF9" s="939" cm="1">
        <f t="array" ref="AF9">god</f>
        <v>2026</v>
      </c>
      <c r="AG9" s="939">
        <f>god+1</f>
        <v>2027</v>
      </c>
      <c r="AH9" s="939">
        <f>god+2</f>
        <v>2028</v>
      </c>
      <c r="AI9" s="939">
        <f>god+3</f>
        <v>2029</v>
      </c>
      <c r="AJ9" s="939">
        <f>god+4</f>
        <v>2030</v>
      </c>
      <c r="AK9" s="939">
        <f>god+5</f>
        <v>2031</v>
      </c>
      <c r="AL9" s="939">
        <f>god+6</f>
        <v>2032</v>
      </c>
      <c r="AM9" s="939">
        <f>god+7</f>
        <v>2033</v>
      </c>
      <c r="AN9" s="939">
        <f>god+8</f>
        <v>2034</v>
      </c>
      <c r="AO9" s="939">
        <f>god+9</f>
        <v>2035</v>
      </c>
      <c r="AP9" s="939" cm="1">
        <f t="array" ref="AP9">god</f>
        <v>2026</v>
      </c>
      <c r="AQ9" s="939">
        <f>god+1</f>
        <v>2027</v>
      </c>
      <c r="AR9" s="939">
        <f>god+2</f>
        <v>2028</v>
      </c>
      <c r="AS9" s="939">
        <f>god+3</f>
        <v>2029</v>
      </c>
      <c r="AT9" s="939">
        <f>god+4</f>
        <v>2030</v>
      </c>
      <c r="AU9" s="939">
        <f>god+5</f>
        <v>2031</v>
      </c>
      <c r="AV9" s="939">
        <f>god+6</f>
        <v>2032</v>
      </c>
      <c r="AW9" s="939">
        <f>god+7</f>
        <v>2033</v>
      </c>
      <c r="AX9" s="939">
        <f>god+8</f>
        <v>2034</v>
      </c>
      <c r="AY9" s="939">
        <f>god+9</f>
        <v>2035</v>
      </c>
      <c r="BC9" s="945"/>
    </row>
    <row r="10" spans="1:55" s="959" customFormat="1" ht="12" hidden="1" customHeight="1" x14ac:dyDescent="0.15">
      <c r="A10" s="945" t="s">
        <v>462</v>
      </c>
      <c r="B10" s="941"/>
      <c r="E10" s="941"/>
      <c r="AE10" s="939" t="str" cm="1">
        <f t="array" ref="AE10">AE25</f>
        <v>Принято органом регулирования</v>
      </c>
      <c r="AF10" s="939" t="str" cm="1">
        <f t="array" ref="AF10">AF25</f>
        <v>Предложение организации</v>
      </c>
      <c r="AG10" s="939" t="str" cm="1">
        <f t="array" ref="AG10">AG25</f>
        <v>Предложение организации</v>
      </c>
      <c r="AH10" s="939" t="str" cm="1">
        <f t="array" ref="AH10">AH25</f>
        <v>Предложение организации</v>
      </c>
      <c r="AI10" s="939" t="str" cm="1">
        <f t="array" ref="AI10">AI25</f>
        <v>Предложение организации</v>
      </c>
      <c r="AJ10" s="939" t="str" cm="1">
        <f t="array" ref="AJ10">AJ25</f>
        <v>Предложение организации</v>
      </c>
      <c r="AK10" s="939" t="str" cm="1">
        <f t="array" ref="AK10">AK25</f>
        <v>Предложение организации</v>
      </c>
      <c r="AL10" s="939" t="str" cm="1">
        <f t="array" ref="AL10">AL25</f>
        <v>Предложение организации</v>
      </c>
      <c r="AM10" s="939" t="str" cm="1">
        <f t="array" ref="AM10">AM25</f>
        <v>Предложение организации</v>
      </c>
      <c r="AN10" s="939" t="str" cm="1">
        <f t="array" ref="AN10">AN25</f>
        <v>Предложение организации</v>
      </c>
      <c r="AO10" s="939" t="str" cm="1">
        <f t="array" ref="AO10">AO25</f>
        <v>Предложение организации</v>
      </c>
      <c r="AP10" s="939" t="str" cm="1">
        <f t="array" ref="AP10">AP25</f>
        <v>Принято органом регулирования</v>
      </c>
      <c r="AQ10" s="939" t="str" cm="1">
        <f t="array" ref="AQ10">AQ25</f>
        <v>Принято органом регулирования</v>
      </c>
      <c r="AR10" s="939" t="str" cm="1">
        <f t="array" ref="AR10">AR25</f>
        <v>Принято органом регулирования</v>
      </c>
      <c r="AS10" s="939" t="str" cm="1">
        <f t="array" ref="AS10">AS25</f>
        <v>Принято органом регулирования</v>
      </c>
      <c r="AT10" s="939" t="str" cm="1">
        <f t="array" ref="AT10">AT25</f>
        <v>Принято органом регулирования</v>
      </c>
      <c r="AU10" s="939" t="str" cm="1">
        <f t="array" ref="AU10">AU25</f>
        <v>Принято органом регулирования</v>
      </c>
      <c r="AV10" s="939" t="str" cm="1">
        <f t="array" ref="AV10">AV25</f>
        <v>Принято органом регулирования</v>
      </c>
      <c r="AW10" s="939" t="str" cm="1">
        <f t="array" ref="AW10">AW25</f>
        <v>Принято органом регулирования</v>
      </c>
      <c r="AX10" s="939" t="str" cm="1">
        <f t="array" ref="AX10">AX25</f>
        <v>Принято органом регулирования</v>
      </c>
      <c r="AY10" s="939" t="str" cm="1">
        <f t="array" ref="AY10">AY25</f>
        <v>Принято органом регулирования</v>
      </c>
      <c r="BC10" s="945"/>
    </row>
    <row r="11" spans="1:55" s="940" customFormat="1" ht="12" hidden="1" customHeight="1" x14ac:dyDescent="0.15">
      <c r="A11" s="945" t="s">
        <v>463</v>
      </c>
      <c r="B11" s="942"/>
      <c r="E11" s="942"/>
      <c r="G11" s="943"/>
      <c r="H11" s="943"/>
      <c r="I11" s="943"/>
      <c r="J11" s="943"/>
      <c r="K11" s="943"/>
      <c r="L11" s="943"/>
      <c r="M11" s="943"/>
      <c r="N11" s="943"/>
      <c r="O11" s="943"/>
      <c r="P11" s="943"/>
      <c r="Q11" s="943"/>
      <c r="R11" s="943"/>
      <c r="S11" s="946"/>
      <c r="T11" s="946"/>
      <c r="U11" s="939"/>
      <c r="V11" s="939"/>
      <c r="W11" s="939"/>
      <c r="X11" s="939"/>
      <c r="Y11" s="939"/>
      <c r="Z11" s="939"/>
      <c r="AZ11" s="940" t="str" cm="1">
        <f t="array" ref="AZ11">AZ24</f>
        <v>Комментарии</v>
      </c>
      <c r="BC11" s="945"/>
    </row>
    <row r="12" spans="1:55" s="799" customFormat="1" ht="12" hidden="1" customHeight="1" x14ac:dyDescent="0.15">
      <c r="B12" s="663"/>
      <c r="E12" s="674"/>
      <c r="G12" s="165"/>
      <c r="H12" s="165"/>
      <c r="I12" s="165"/>
      <c r="J12" s="165"/>
      <c r="K12" s="165"/>
      <c r="L12" s="165"/>
      <c r="M12" s="165"/>
      <c r="N12" s="165"/>
      <c r="O12" s="165"/>
      <c r="P12" s="165"/>
      <c r="Q12" s="165"/>
      <c r="R12" s="165"/>
      <c r="S12" s="161"/>
      <c r="T12" s="161"/>
      <c r="U12" s="126"/>
      <c r="V12" s="126"/>
      <c r="W12" s="126"/>
      <c r="X12" s="126"/>
      <c r="Y12" s="126"/>
      <c r="Z12" s="126"/>
      <c r="BC12" s="945"/>
    </row>
    <row r="13" spans="1:55" s="799" customFormat="1" ht="12" hidden="1" customHeight="1" x14ac:dyDescent="0.15">
      <c r="B13" s="663"/>
      <c r="E13" s="674"/>
      <c r="G13" s="165"/>
      <c r="H13" s="165"/>
      <c r="I13" s="165"/>
      <c r="J13" s="165"/>
      <c r="K13" s="165"/>
      <c r="L13" s="165"/>
      <c r="M13" s="165"/>
      <c r="N13" s="165"/>
      <c r="O13" s="165"/>
      <c r="P13" s="165"/>
      <c r="Q13" s="165"/>
      <c r="R13" s="165"/>
      <c r="S13" s="161"/>
      <c r="T13" s="161"/>
      <c r="U13" s="126"/>
      <c r="V13" s="126"/>
      <c r="W13" s="126"/>
      <c r="X13" s="126"/>
      <c r="Y13" s="126"/>
      <c r="Z13" s="126"/>
      <c r="AA13" s="126"/>
      <c r="AB13" s="126"/>
      <c r="BC13" s="945"/>
    </row>
    <row r="14" spans="1:55" s="799" customFormat="1" ht="12" hidden="1" customHeight="1" x14ac:dyDescent="0.15">
      <c r="B14" s="663"/>
      <c r="E14" s="674"/>
      <c r="G14" s="165"/>
      <c r="H14" s="165"/>
      <c r="I14" s="165"/>
      <c r="J14" s="165"/>
      <c r="K14" s="165"/>
      <c r="L14" s="165"/>
      <c r="M14" s="165"/>
      <c r="N14" s="165"/>
      <c r="O14" s="165"/>
      <c r="P14" s="165"/>
      <c r="Q14" s="165"/>
      <c r="R14" s="165"/>
      <c r="S14" s="161"/>
      <c r="T14" s="161"/>
      <c r="U14" s="126"/>
      <c r="V14" s="126"/>
      <c r="W14" s="126"/>
      <c r="X14" s="126"/>
      <c r="Y14" s="126"/>
      <c r="Z14" s="126"/>
      <c r="AA14" s="126"/>
      <c r="AB14" s="126"/>
      <c r="BC14" s="945"/>
    </row>
    <row r="15" spans="1:55" s="799" customFormat="1" ht="12" hidden="1" customHeight="1" x14ac:dyDescent="0.15">
      <c r="B15" s="663"/>
      <c r="E15" s="674"/>
      <c r="G15" s="165"/>
      <c r="H15" s="165"/>
      <c r="I15" s="165"/>
      <c r="J15" s="165"/>
      <c r="K15" s="165"/>
      <c r="L15" s="165"/>
      <c r="M15" s="165"/>
      <c r="N15" s="165"/>
      <c r="O15" s="165"/>
      <c r="P15" s="165"/>
      <c r="Q15" s="165"/>
      <c r="R15" s="165"/>
      <c r="S15" s="161"/>
      <c r="T15" s="161"/>
      <c r="U15" s="126"/>
      <c r="V15" s="126"/>
      <c r="W15" s="126"/>
      <c r="X15" s="126"/>
      <c r="Y15" s="126"/>
      <c r="Z15" s="126"/>
      <c r="AA15" s="126"/>
      <c r="AB15" s="126"/>
      <c r="BC15" s="945"/>
    </row>
    <row r="16" spans="1:55" s="799" customFormat="1" ht="12" hidden="1" customHeight="1" x14ac:dyDescent="0.15">
      <c r="B16" s="663"/>
      <c r="E16" s="674"/>
      <c r="G16" s="165"/>
      <c r="H16" s="165"/>
      <c r="I16" s="165"/>
      <c r="J16" s="165"/>
      <c r="K16" s="165"/>
      <c r="L16" s="165"/>
      <c r="M16" s="165"/>
      <c r="N16" s="165"/>
      <c r="O16" s="165"/>
      <c r="P16" s="165"/>
      <c r="Q16" s="165"/>
      <c r="R16" s="165"/>
      <c r="S16" s="161"/>
      <c r="T16" s="161"/>
      <c r="U16" s="126"/>
      <c r="V16" s="126"/>
      <c r="W16" s="126"/>
      <c r="X16" s="126"/>
      <c r="Y16" s="126"/>
      <c r="Z16" s="126"/>
      <c r="AA16" s="126"/>
      <c r="AB16" s="126"/>
      <c r="BC16" s="945"/>
    </row>
    <row r="17" spans="1:55" s="799" customFormat="1" ht="12" hidden="1" customHeight="1" x14ac:dyDescent="0.15">
      <c r="B17" s="663"/>
      <c r="E17" s="674"/>
      <c r="G17" s="165"/>
      <c r="H17" s="165"/>
      <c r="I17" s="165"/>
      <c r="J17" s="165"/>
      <c r="K17" s="165"/>
      <c r="L17" s="165"/>
      <c r="M17" s="165"/>
      <c r="N17" s="165"/>
      <c r="O17" s="165"/>
      <c r="P17" s="165"/>
      <c r="Q17" s="165"/>
      <c r="R17" s="165"/>
      <c r="S17" s="161"/>
      <c r="T17" s="161"/>
      <c r="U17" s="126"/>
      <c r="V17" s="126"/>
      <c r="W17" s="126"/>
      <c r="X17" s="126"/>
      <c r="Y17" s="126"/>
      <c r="Z17" s="126"/>
      <c r="AA17" s="126"/>
      <c r="AB17" s="126"/>
      <c r="BC17" s="945"/>
    </row>
    <row r="18" spans="1:55" s="799" customFormat="1" ht="12" hidden="1" customHeight="1" x14ac:dyDescent="0.15">
      <c r="B18" s="663"/>
      <c r="E18" s="674"/>
      <c r="G18" s="165"/>
      <c r="H18" s="165"/>
      <c r="I18" s="165"/>
      <c r="J18" s="165"/>
      <c r="K18" s="165"/>
      <c r="L18" s="165"/>
      <c r="M18" s="165"/>
      <c r="N18" s="165"/>
      <c r="O18" s="165"/>
      <c r="P18" s="165"/>
      <c r="Q18" s="165"/>
      <c r="R18" s="165"/>
      <c r="S18" s="161"/>
      <c r="T18" s="161"/>
      <c r="U18" s="126"/>
      <c r="V18" s="126"/>
      <c r="W18" s="126"/>
      <c r="X18" s="126"/>
      <c r="Y18" s="126"/>
      <c r="Z18" s="126"/>
      <c r="AA18" s="126"/>
      <c r="AB18" s="126"/>
      <c r="BC18" s="945"/>
    </row>
    <row r="19" spans="1:55" s="799" customFormat="1" ht="12" hidden="1" customHeight="1" x14ac:dyDescent="0.15">
      <c r="B19" s="663"/>
      <c r="E19" s="674"/>
      <c r="G19" s="165"/>
      <c r="H19" s="165"/>
      <c r="I19" s="165"/>
      <c r="J19" s="165"/>
      <c r="K19" s="165"/>
      <c r="L19" s="165"/>
      <c r="M19" s="165"/>
      <c r="N19" s="165"/>
      <c r="O19" s="165"/>
      <c r="P19" s="165"/>
      <c r="Q19" s="165"/>
      <c r="R19" s="165"/>
      <c r="S19" s="161"/>
      <c r="T19" s="161"/>
      <c r="U19" s="126"/>
      <c r="V19" s="126"/>
      <c r="W19" s="126"/>
      <c r="X19" s="126"/>
      <c r="Y19" s="126"/>
      <c r="Z19" s="126"/>
      <c r="AA19" s="126"/>
      <c r="AB19" s="126"/>
      <c r="BC19" s="945"/>
    </row>
    <row r="20" spans="1:55" s="799" customFormat="1" ht="12" hidden="1" customHeight="1" x14ac:dyDescent="0.15">
      <c r="B20" s="663"/>
      <c r="E20" s="674"/>
      <c r="G20" s="165"/>
      <c r="H20" s="165"/>
      <c r="I20" s="165"/>
      <c r="J20" s="165"/>
      <c r="K20" s="165"/>
      <c r="L20" s="165"/>
      <c r="M20" s="165"/>
      <c r="N20" s="165"/>
      <c r="O20" s="165"/>
      <c r="P20" s="165"/>
      <c r="Q20" s="165"/>
      <c r="R20" s="165"/>
      <c r="S20" s="161"/>
      <c r="T20" s="161"/>
      <c r="U20" s="126"/>
      <c r="V20" s="126"/>
      <c r="W20" s="126"/>
      <c r="X20" s="126"/>
      <c r="Y20" s="126"/>
      <c r="Z20" s="126"/>
      <c r="AA20" s="126"/>
      <c r="AB20" s="126"/>
      <c r="BC20" s="945"/>
    </row>
    <row r="21" spans="1:55" s="765" customFormat="1" ht="14.65" customHeight="1" x14ac:dyDescent="0.15">
      <c r="A21" s="312"/>
      <c r="B21" s="663"/>
      <c r="C21" s="312"/>
      <c r="D21" s="312"/>
      <c r="E21" s="674">
        <v>15</v>
      </c>
      <c r="F21" s="312"/>
      <c r="S21" s="161"/>
      <c r="T21" s="161"/>
      <c r="U21" s="126"/>
      <c r="V21" s="126"/>
      <c r="W21" s="126"/>
      <c r="X21" s="126"/>
      <c r="Y21" s="126"/>
      <c r="Z21" s="126"/>
      <c r="AA21" s="691"/>
      <c r="AC21" s="345" t="str" cm="1">
        <f t="array" ref="AC21">tpl_title</f>
        <v>Кемеровская область / 2026 / ООО ХК "СДС - Энерго" (ИНН:4250003450, КПП:420501001) / ДПР: 2024-2028</v>
      </c>
      <c r="BC21" s="945"/>
    </row>
    <row r="22" spans="1:55" ht="20.45" customHeight="1" x14ac:dyDescent="0.15">
      <c r="E22" s="674">
        <v>21</v>
      </c>
      <c r="R22" s="161"/>
      <c r="AA22" s="691"/>
      <c r="AB22" s="1478" t="s">
        <v>27</v>
      </c>
      <c r="AC22" s="1479"/>
      <c r="AD22" s="1479"/>
      <c r="AE22" s="1479"/>
      <c r="AF22" s="1479"/>
      <c r="AG22" s="1479"/>
      <c r="AH22" s="1479"/>
      <c r="AI22" s="1479"/>
      <c r="AJ22" s="1479"/>
      <c r="AK22" s="1479"/>
      <c r="AL22" s="1479"/>
      <c r="AM22" s="1479"/>
      <c r="AN22" s="1479"/>
      <c r="AO22" s="1479"/>
      <c r="AP22" s="1479"/>
      <c r="AQ22" s="1479"/>
      <c r="AR22" s="1479"/>
      <c r="AS22" s="1479"/>
      <c r="AT22" s="1479"/>
      <c r="AU22" s="1479"/>
      <c r="AV22" s="1479"/>
      <c r="AW22" s="1479"/>
      <c r="AX22" s="1479"/>
      <c r="AY22" s="1479"/>
      <c r="AZ22" s="1479"/>
    </row>
    <row r="23" spans="1:55" ht="8.85" customHeight="1" x14ac:dyDescent="0.15">
      <c r="E23" s="674">
        <v>9</v>
      </c>
      <c r="AA23" s="763"/>
      <c r="AB23" s="142"/>
      <c r="AC23" s="142"/>
      <c r="AD23" s="142"/>
      <c r="AE23" s="1482"/>
      <c r="AF23" s="1482"/>
      <c r="AG23" s="124"/>
      <c r="AH23" s="124"/>
      <c r="AI23" s="124"/>
      <c r="AJ23" s="124"/>
      <c r="AK23" s="124"/>
      <c r="AL23" s="124"/>
      <c r="AM23" s="124"/>
      <c r="AN23" s="124"/>
      <c r="AO23" s="124"/>
      <c r="AP23" s="124"/>
      <c r="AQ23" s="124"/>
      <c r="AR23" s="124"/>
      <c r="AS23" s="124"/>
      <c r="AT23" s="124"/>
      <c r="AU23" s="124"/>
      <c r="AV23" s="124"/>
      <c r="AW23" s="124"/>
      <c r="AX23" s="124"/>
      <c r="AY23" s="124"/>
      <c r="AZ23" s="124"/>
    </row>
    <row r="24" spans="1:55" ht="20.45" customHeight="1" x14ac:dyDescent="0.15">
      <c r="E24" s="674">
        <v>21</v>
      </c>
      <c r="AA24" s="763"/>
      <c r="AB24" s="1488" t="s">
        <v>388</v>
      </c>
      <c r="AC24" s="1488" t="s">
        <v>464</v>
      </c>
      <c r="AD24" s="1488" t="s">
        <v>465</v>
      </c>
      <c r="AE24" s="118" t="str">
        <f>god-1&amp;" год"</f>
        <v>2025 год</v>
      </c>
      <c r="AF24" s="1131" t="str">
        <f>god&amp;" год"</f>
        <v>2026 год</v>
      </c>
      <c r="AG24" s="1131" t="str">
        <f>god+1&amp;" год"</f>
        <v>2027 год</v>
      </c>
      <c r="AH24" s="1131" t="str">
        <f>god+2&amp;" год"</f>
        <v>2028 год</v>
      </c>
      <c r="AI24" s="1131" t="str">
        <f>god+3&amp;" год"</f>
        <v>2029 год</v>
      </c>
      <c r="AJ24" s="1131" t="str">
        <f>god+4&amp;" год"</f>
        <v>2030 год</v>
      </c>
      <c r="AK24" s="1131" t="str">
        <f>god+5&amp;" год"</f>
        <v>2031 год</v>
      </c>
      <c r="AL24" s="1131" t="str">
        <f>god+6&amp;" год"</f>
        <v>2032 год</v>
      </c>
      <c r="AM24" s="1131" t="str">
        <f>god+7&amp;" год"</f>
        <v>2033 год</v>
      </c>
      <c r="AN24" s="1131" t="str">
        <f>god+8&amp;" год"</f>
        <v>2034 год</v>
      </c>
      <c r="AO24" s="1131" t="str">
        <f>god+9&amp;" год"</f>
        <v>2035 год</v>
      </c>
      <c r="AP24" s="118" t="str">
        <f>god&amp;" год"</f>
        <v>2026 год</v>
      </c>
      <c r="AQ24" s="118" t="str">
        <f>god+1&amp;" год"</f>
        <v>2027 год</v>
      </c>
      <c r="AR24" s="118" t="str">
        <f>god+2&amp;" год"</f>
        <v>2028 год</v>
      </c>
      <c r="AS24" s="118" t="str">
        <f>god+3&amp;" год"</f>
        <v>2029 год</v>
      </c>
      <c r="AT24" s="118" t="str">
        <f>god+4&amp;" год"</f>
        <v>2030 год</v>
      </c>
      <c r="AU24" s="118" t="str">
        <f>god+5&amp;" год"</f>
        <v>2031 год</v>
      </c>
      <c r="AV24" s="118" t="str">
        <f>god+6&amp;" год"</f>
        <v>2032 год</v>
      </c>
      <c r="AW24" s="118" t="str">
        <f>god+7&amp;" год"</f>
        <v>2033 год</v>
      </c>
      <c r="AX24" s="118" t="str">
        <f>god+8&amp;" год"</f>
        <v>2034 год</v>
      </c>
      <c r="AY24" s="118" t="str">
        <f>god+9&amp;" год"</f>
        <v>2035 год</v>
      </c>
      <c r="AZ24" s="1486" t="s">
        <v>466</v>
      </c>
    </row>
    <row r="25" spans="1:55" s="167" customFormat="1" ht="35.1" customHeight="1" x14ac:dyDescent="0.15">
      <c r="A25" s="123"/>
      <c r="B25" s="659"/>
      <c r="C25" s="123"/>
      <c r="D25" s="123"/>
      <c r="E25" s="668">
        <v>36</v>
      </c>
      <c r="F25" s="123"/>
      <c r="G25" s="160"/>
      <c r="H25" s="160"/>
      <c r="I25" s="160"/>
      <c r="J25" s="160"/>
      <c r="K25" s="160"/>
      <c r="L25" s="160"/>
      <c r="M25" s="160"/>
      <c r="N25" s="160"/>
      <c r="O25" s="160"/>
      <c r="P25" s="160"/>
      <c r="Q25" s="160"/>
      <c r="R25" s="160"/>
      <c r="S25" s="160"/>
      <c r="T25" s="160"/>
      <c r="U25" s="123"/>
      <c r="V25" s="123"/>
      <c r="W25" s="123"/>
      <c r="X25" s="123"/>
      <c r="Y25" s="123"/>
      <c r="Z25" s="123"/>
      <c r="AB25" s="1488"/>
      <c r="AC25" s="1488"/>
      <c r="AD25" s="1488"/>
      <c r="AE25" s="118" t="s">
        <v>404</v>
      </c>
      <c r="AF25" s="1131" t="s">
        <v>405</v>
      </c>
      <c r="AG25" s="1132" t="s">
        <v>405</v>
      </c>
      <c r="AH25" s="1132" t="s">
        <v>405</v>
      </c>
      <c r="AI25" s="1132" t="s">
        <v>405</v>
      </c>
      <c r="AJ25" s="1132" t="s">
        <v>405</v>
      </c>
      <c r="AK25" s="1132" t="s">
        <v>405</v>
      </c>
      <c r="AL25" s="1132" t="s">
        <v>405</v>
      </c>
      <c r="AM25" s="1132" t="s">
        <v>405</v>
      </c>
      <c r="AN25" s="1132" t="s">
        <v>405</v>
      </c>
      <c r="AO25" s="1132" t="s">
        <v>405</v>
      </c>
      <c r="AP25" s="118" t="s">
        <v>404</v>
      </c>
      <c r="AQ25" s="118" t="s">
        <v>404</v>
      </c>
      <c r="AR25" s="118" t="s">
        <v>404</v>
      </c>
      <c r="AS25" s="118" t="s">
        <v>404</v>
      </c>
      <c r="AT25" s="118" t="s">
        <v>404</v>
      </c>
      <c r="AU25" s="118" t="s">
        <v>404</v>
      </c>
      <c r="AV25" s="118" t="s">
        <v>404</v>
      </c>
      <c r="AW25" s="118" t="s">
        <v>404</v>
      </c>
      <c r="AX25" s="118" t="s">
        <v>404</v>
      </c>
      <c r="AY25" s="118" t="s">
        <v>404</v>
      </c>
      <c r="AZ25" s="1487"/>
      <c r="BC25" s="948"/>
    </row>
    <row r="26" spans="1:55" s="167" customFormat="1" ht="26.25" hidden="1" customHeight="1" x14ac:dyDescent="0.15">
      <c r="A26" s="123"/>
      <c r="B26" s="659"/>
      <c r="C26" s="123"/>
      <c r="D26" s="123"/>
      <c r="E26" s="668">
        <v>0</v>
      </c>
      <c r="F26" s="123"/>
      <c r="G26" s="160"/>
      <c r="H26" s="160"/>
      <c r="I26" s="160"/>
      <c r="J26" s="160"/>
      <c r="K26" s="160"/>
      <c r="L26" s="160"/>
      <c r="M26" s="160"/>
      <c r="N26" s="160"/>
      <c r="O26" s="160"/>
      <c r="P26" s="160"/>
      <c r="Q26" s="160"/>
      <c r="R26" s="160"/>
      <c r="S26" s="160"/>
      <c r="T26" s="160"/>
      <c r="U26" s="123"/>
      <c r="V26" s="123"/>
      <c r="W26" s="123"/>
      <c r="X26" s="123"/>
      <c r="Y26" s="123"/>
      <c r="Z26" s="123"/>
      <c r="AB26" s="597"/>
      <c r="AC26" s="435"/>
      <c r="AD26" s="435"/>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C26" s="948"/>
    </row>
    <row r="27" spans="1:55" s="167" customFormat="1" ht="11.1" hidden="1" customHeight="1" x14ac:dyDescent="0.15">
      <c r="E27" s="668">
        <v>11.4</v>
      </c>
      <c r="F27" s="769" cm="1">
        <f t="array" ref="F27">Y27</f>
        <v>0</v>
      </c>
      <c r="U27" s="679" t="b">
        <f>Y27&gt;0</f>
        <v>0</v>
      </c>
      <c r="W27" s="123" t="s">
        <v>313</v>
      </c>
      <c r="Y27" s="1485">
        <v>0</v>
      </c>
      <c r="Z27" s="1483"/>
      <c r="AB27" s="272" t="str" cm="1">
        <f t="array" ref="AB27">INDEX('Общие сведения'!$AG$169:$AG$202,MATCH($F27,'Общие сведения'!$Z$169:$Z$202,0))</f>
        <v xml:space="preserve">Тариф 0 (Теплоснабжение) - </v>
      </c>
      <c r="AC27" s="264"/>
      <c r="AD27" s="476"/>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C27" s="948"/>
    </row>
    <row r="28" spans="1:55" s="167" customFormat="1" ht="16.7" hidden="1" customHeight="1" x14ac:dyDescent="0.15">
      <c r="E28" s="668">
        <v>17.100000000000001</v>
      </c>
      <c r="F28" s="769" cm="1">
        <f t="array" aca="1" ref="F28" ca="1">OFFSET(G28,-1,-1)</f>
        <v>0</v>
      </c>
      <c r="G28" s="612" t="s">
        <v>467</v>
      </c>
      <c r="H28" s="160" t="s">
        <v>468</v>
      </c>
      <c r="I28" s="160" t="str">
        <f>AC28&amp;"::"&amp;AD28</f>
        <v>Количество условных единиц для производства::УЕ</v>
      </c>
      <c r="U28" s="679" t="b" cm="1">
        <f t="array" ref="U28">U27</f>
        <v>0</v>
      </c>
      <c r="Y28" s="1483"/>
      <c r="Z28" s="1483"/>
      <c r="AB28" s="421">
        <v>1</v>
      </c>
      <c r="AC28" s="495" t="s">
        <v>469</v>
      </c>
      <c r="AD28" s="404" t="s">
        <v>470</v>
      </c>
      <c r="AE28" s="10" cm="1">
        <f t="array" ref="AE28">AE29</f>
        <v>0</v>
      </c>
      <c r="AF28" s="159" cm="1">
        <f t="array" ref="AF28">AF29</f>
        <v>0</v>
      </c>
      <c r="AG28" s="1181" cm="1">
        <f t="array" ref="AG28">AG29</f>
        <v>0</v>
      </c>
      <c r="AH28" s="1181" cm="1">
        <f t="array" ref="AH28">AH29</f>
        <v>0</v>
      </c>
      <c r="AI28" s="10" cm="1">
        <f t="array" ref="AI28">AI29</f>
        <v>0</v>
      </c>
      <c r="AJ28" s="10" cm="1">
        <f t="array" ref="AJ28">AJ29</f>
        <v>0</v>
      </c>
      <c r="AK28" s="10" cm="1">
        <f t="array" ref="AK28">AK29</f>
        <v>0</v>
      </c>
      <c r="AL28" s="10" cm="1">
        <f t="array" ref="AL28">AL29</f>
        <v>0</v>
      </c>
      <c r="AM28" s="10" cm="1">
        <f t="array" ref="AM28">AM29</f>
        <v>0</v>
      </c>
      <c r="AN28" s="10" cm="1">
        <f t="array" ref="AN28">AN29</f>
        <v>0</v>
      </c>
      <c r="AO28" s="10" cm="1">
        <f t="array" ref="AO28">AO29</f>
        <v>0</v>
      </c>
      <c r="AP28" s="159" cm="1">
        <f t="array" ref="AP28">AP29</f>
        <v>0</v>
      </c>
      <c r="AQ28" s="1181" cm="1">
        <f t="array" ref="AQ28">AQ29</f>
        <v>0</v>
      </c>
      <c r="AR28" s="1181" cm="1">
        <f t="array" ref="AR28">AR29</f>
        <v>0</v>
      </c>
      <c r="AS28" s="10" cm="1">
        <f t="array" ref="AS28">AS29</f>
        <v>0</v>
      </c>
      <c r="AT28" s="10" cm="1">
        <f t="array" ref="AT28">AT29</f>
        <v>0</v>
      </c>
      <c r="AU28" s="10" cm="1">
        <f t="array" ref="AU28">AU29</f>
        <v>0</v>
      </c>
      <c r="AV28" s="10" cm="1">
        <f t="array" ref="AV28">AV29</f>
        <v>0</v>
      </c>
      <c r="AW28" s="10" cm="1">
        <f t="array" ref="AW28">AW29</f>
        <v>0</v>
      </c>
      <c r="AX28" s="10" cm="1">
        <f t="array" ref="AX28">AX29</f>
        <v>0</v>
      </c>
      <c r="AY28" s="10" cm="1">
        <f t="array" ref="AY28">AY29</f>
        <v>0</v>
      </c>
      <c r="AZ28" s="11"/>
      <c r="BC28" s="948" t="s">
        <v>471</v>
      </c>
    </row>
    <row r="29" spans="1:55" s="167" customFormat="1" ht="16.7" hidden="1" customHeight="1" x14ac:dyDescent="0.15">
      <c r="E29" s="668">
        <v>17.100000000000001</v>
      </c>
      <c r="F29" s="769" cm="1">
        <f t="array" aca="1" ref="F29" ca="1">OFFSET(G29,-1,-1)</f>
        <v>0</v>
      </c>
      <c r="G29" s="612" t="s">
        <v>472</v>
      </c>
      <c r="H29" s="160" t="s">
        <v>468</v>
      </c>
      <c r="I29" s="160" t="str">
        <f>AC29&amp;"::"&amp;AD29</f>
        <v>Установленная тепловая мощность::Гкал/час</v>
      </c>
      <c r="U29" s="679" t="b" cm="1">
        <f t="array" ref="U29">U28</f>
        <v>0</v>
      </c>
      <c r="Y29" s="1483"/>
      <c r="Z29" s="1483"/>
      <c r="AB29" s="404" t="s">
        <v>473</v>
      </c>
      <c r="AC29" s="420" t="s">
        <v>474</v>
      </c>
      <c r="AD29" s="404" t="s">
        <v>475</v>
      </c>
      <c r="AE29" s="10"/>
      <c r="AF29" s="159"/>
      <c r="AG29" s="1181"/>
      <c r="AH29" s="1181"/>
      <c r="AI29" s="10"/>
      <c r="AJ29" s="10"/>
      <c r="AK29" s="10"/>
      <c r="AL29" s="10"/>
      <c r="AM29" s="10"/>
      <c r="AN29" s="10"/>
      <c r="AO29" s="10"/>
      <c r="AP29" s="159"/>
      <c r="AQ29" s="1181"/>
      <c r="AR29" s="1181"/>
      <c r="AS29" s="10"/>
      <c r="AT29" s="10"/>
      <c r="AU29" s="10"/>
      <c r="AV29" s="10"/>
      <c r="AW29" s="10"/>
      <c r="AX29" s="10"/>
      <c r="AY29" s="10"/>
      <c r="AZ29" s="11"/>
      <c r="BC29" s="948" t="s">
        <v>476</v>
      </c>
    </row>
    <row r="30" spans="1:55" s="167" customFormat="1" ht="16.7" hidden="1" customHeight="1" x14ac:dyDescent="0.15">
      <c r="E30" s="668">
        <v>17.100000000000001</v>
      </c>
      <c r="F30" s="769" cm="1">
        <f t="array" aca="1" ref="F30" ca="1">OFFSET(G30,-1,-1)</f>
        <v>0</v>
      </c>
      <c r="G30" s="612" t="s">
        <v>467</v>
      </c>
      <c r="U30" s="679" t="b" cm="1">
        <f t="array" ref="U30">U29</f>
        <v>0</v>
      </c>
      <c r="Y30" s="1483"/>
      <c r="Z30" s="1483"/>
      <c r="AB30" s="467" t="s">
        <v>426</v>
      </c>
      <c r="AC30" s="496" t="s">
        <v>477</v>
      </c>
      <c r="AD30" s="404" t="s">
        <v>470</v>
      </c>
      <c r="AE30" s="10">
        <f t="shared" ref="AE30:AY30" si="2">AE31+5*AE44+25*AE45+0.5*AE46</f>
        <v>0</v>
      </c>
      <c r="AF30" s="159">
        <f t="shared" si="2"/>
        <v>0</v>
      </c>
      <c r="AG30" s="1181">
        <f t="shared" si="2"/>
        <v>0</v>
      </c>
      <c r="AH30" s="1181">
        <f t="shared" si="2"/>
        <v>0</v>
      </c>
      <c r="AI30" s="10">
        <f t="shared" si="2"/>
        <v>0</v>
      </c>
      <c r="AJ30" s="10">
        <f t="shared" si="2"/>
        <v>0</v>
      </c>
      <c r="AK30" s="10">
        <f t="shared" si="2"/>
        <v>0</v>
      </c>
      <c r="AL30" s="10">
        <f t="shared" si="2"/>
        <v>0</v>
      </c>
      <c r="AM30" s="10">
        <f t="shared" si="2"/>
        <v>0</v>
      </c>
      <c r="AN30" s="10">
        <f t="shared" si="2"/>
        <v>0</v>
      </c>
      <c r="AO30" s="10">
        <f t="shared" si="2"/>
        <v>0</v>
      </c>
      <c r="AP30" s="159">
        <f t="shared" si="2"/>
        <v>0</v>
      </c>
      <c r="AQ30" s="1181">
        <f t="shared" si="2"/>
        <v>0</v>
      </c>
      <c r="AR30" s="1181">
        <f t="shared" si="2"/>
        <v>0</v>
      </c>
      <c r="AS30" s="10">
        <f t="shared" si="2"/>
        <v>0</v>
      </c>
      <c r="AT30" s="10">
        <f t="shared" si="2"/>
        <v>0</v>
      </c>
      <c r="AU30" s="10">
        <f t="shared" si="2"/>
        <v>0</v>
      </c>
      <c r="AV30" s="10">
        <f t="shared" si="2"/>
        <v>0</v>
      </c>
      <c r="AW30" s="10">
        <f t="shared" si="2"/>
        <v>0</v>
      </c>
      <c r="AX30" s="10">
        <f t="shared" si="2"/>
        <v>0</v>
      </c>
      <c r="AY30" s="10">
        <f t="shared" si="2"/>
        <v>0</v>
      </c>
      <c r="AZ30" s="11"/>
      <c r="BC30" s="948" t="s">
        <v>478</v>
      </c>
    </row>
    <row r="31" spans="1:55" s="167" customFormat="1" ht="16.7" hidden="1" customHeight="1" x14ac:dyDescent="0.15">
      <c r="E31" s="668">
        <v>17.100000000000001</v>
      </c>
      <c r="F31" s="769" cm="1">
        <f t="array" aca="1" ref="F31" ca="1">OFFSET(G31,-1,-1)</f>
        <v>0</v>
      </c>
      <c r="U31" s="679" t="b" cm="1">
        <f t="array" ref="U31">U30</f>
        <v>0</v>
      </c>
      <c r="Y31" s="1483"/>
      <c r="Z31" s="1483"/>
      <c r="AB31" s="416" t="s">
        <v>479</v>
      </c>
      <c r="AC31" s="472" t="s">
        <v>480</v>
      </c>
      <c r="AD31" s="404" t="s">
        <v>470</v>
      </c>
      <c r="AE31" s="213">
        <f t="shared" ref="AE31:AY31" si="3">AE32+AE35+AE38+AE41</f>
        <v>0</v>
      </c>
      <c r="AF31" s="213">
        <f t="shared" si="3"/>
        <v>0</v>
      </c>
      <c r="AG31" s="213">
        <f t="shared" si="3"/>
        <v>0</v>
      </c>
      <c r="AH31" s="213">
        <f t="shared" si="3"/>
        <v>0</v>
      </c>
      <c r="AI31" s="213">
        <f t="shared" si="3"/>
        <v>0</v>
      </c>
      <c r="AJ31" s="213">
        <f t="shared" si="3"/>
        <v>0</v>
      </c>
      <c r="AK31" s="213">
        <f t="shared" si="3"/>
        <v>0</v>
      </c>
      <c r="AL31" s="213">
        <f t="shared" si="3"/>
        <v>0</v>
      </c>
      <c r="AM31" s="213">
        <f t="shared" si="3"/>
        <v>0</v>
      </c>
      <c r="AN31" s="213">
        <f t="shared" si="3"/>
        <v>0</v>
      </c>
      <c r="AO31" s="213">
        <f t="shared" si="3"/>
        <v>0</v>
      </c>
      <c r="AP31" s="213">
        <f t="shared" si="3"/>
        <v>0</v>
      </c>
      <c r="AQ31" s="213">
        <f t="shared" si="3"/>
        <v>0</v>
      </c>
      <c r="AR31" s="213">
        <f t="shared" si="3"/>
        <v>0</v>
      </c>
      <c r="AS31" s="213">
        <f t="shared" si="3"/>
        <v>0</v>
      </c>
      <c r="AT31" s="213">
        <f t="shared" si="3"/>
        <v>0</v>
      </c>
      <c r="AU31" s="213">
        <f t="shared" si="3"/>
        <v>0</v>
      </c>
      <c r="AV31" s="213">
        <f t="shared" si="3"/>
        <v>0</v>
      </c>
      <c r="AW31" s="213">
        <f t="shared" si="3"/>
        <v>0</v>
      </c>
      <c r="AX31" s="213">
        <f t="shared" si="3"/>
        <v>0</v>
      </c>
      <c r="AY31" s="213">
        <f t="shared" si="3"/>
        <v>0</v>
      </c>
      <c r="AZ31" s="11"/>
      <c r="BC31" s="948" t="s">
        <v>481</v>
      </c>
    </row>
    <row r="32" spans="1:55" s="167" customFormat="1" ht="16.7" hidden="1" customHeight="1" x14ac:dyDescent="0.15">
      <c r="E32" s="668">
        <v>17.100000000000001</v>
      </c>
      <c r="F32" s="769" cm="1">
        <f t="array" aca="1" ref="F32" ca="1">OFFSET(G32,-1,-1)</f>
        <v>0</v>
      </c>
      <c r="U32" s="679" t="b" cm="1">
        <f t="array" ref="U32">U31</f>
        <v>0</v>
      </c>
      <c r="Y32" s="1483"/>
      <c r="Z32" s="1483"/>
      <c r="AB32" s="471" t="s">
        <v>482</v>
      </c>
      <c r="AC32" s="481" t="s">
        <v>483</v>
      </c>
      <c r="AD32" s="404" t="s">
        <v>470</v>
      </c>
      <c r="AE32" s="10">
        <f t="shared" ref="AE32:AY32" si="4">0.75*(11*AE34+MAX(0.06*AE34*(AE33-100),0))</f>
        <v>0</v>
      </c>
      <c r="AF32" s="159">
        <f t="shared" si="4"/>
        <v>0</v>
      </c>
      <c r="AG32" s="1181">
        <f t="shared" si="4"/>
        <v>0</v>
      </c>
      <c r="AH32" s="1181">
        <f t="shared" si="4"/>
        <v>0</v>
      </c>
      <c r="AI32" s="10">
        <f t="shared" si="4"/>
        <v>0</v>
      </c>
      <c r="AJ32" s="10">
        <f t="shared" si="4"/>
        <v>0</v>
      </c>
      <c r="AK32" s="10">
        <f t="shared" si="4"/>
        <v>0</v>
      </c>
      <c r="AL32" s="10">
        <f t="shared" si="4"/>
        <v>0</v>
      </c>
      <c r="AM32" s="10">
        <f t="shared" si="4"/>
        <v>0</v>
      </c>
      <c r="AN32" s="10">
        <f t="shared" si="4"/>
        <v>0</v>
      </c>
      <c r="AO32" s="10">
        <f t="shared" si="4"/>
        <v>0</v>
      </c>
      <c r="AP32" s="159">
        <f t="shared" si="4"/>
        <v>0</v>
      </c>
      <c r="AQ32" s="1181">
        <f t="shared" si="4"/>
        <v>0</v>
      </c>
      <c r="AR32" s="1181">
        <f t="shared" si="4"/>
        <v>0</v>
      </c>
      <c r="AS32" s="10">
        <f t="shared" si="4"/>
        <v>0</v>
      </c>
      <c r="AT32" s="10">
        <f t="shared" si="4"/>
        <v>0</v>
      </c>
      <c r="AU32" s="10">
        <f t="shared" si="4"/>
        <v>0</v>
      </c>
      <c r="AV32" s="10">
        <f t="shared" si="4"/>
        <v>0</v>
      </c>
      <c r="AW32" s="10">
        <f t="shared" si="4"/>
        <v>0</v>
      </c>
      <c r="AX32" s="10">
        <f t="shared" si="4"/>
        <v>0</v>
      </c>
      <c r="AY32" s="10">
        <f t="shared" si="4"/>
        <v>0</v>
      </c>
      <c r="AZ32" s="11"/>
      <c r="BC32" s="948" t="s">
        <v>484</v>
      </c>
    </row>
    <row r="33" spans="1:55" s="167" customFormat="1" ht="16.7" hidden="1" customHeight="1" x14ac:dyDescent="0.15">
      <c r="E33" s="668">
        <v>17.100000000000001</v>
      </c>
      <c r="F33" s="769" cm="1">
        <f t="array" aca="1" ref="F33" ca="1">OFFSET(G33,-1,-1)</f>
        <v>0</v>
      </c>
      <c r="U33" s="679" t="b" cm="1">
        <f t="array" ref="U33">U32</f>
        <v>0</v>
      </c>
      <c r="Y33" s="1483"/>
      <c r="Z33" s="1483"/>
      <c r="AB33" s="478" t="str">
        <f>AB32&amp;".1"</f>
        <v>2.1.1.1</v>
      </c>
      <c r="AC33" s="480" t="s">
        <v>485</v>
      </c>
      <c r="AD33" s="121" t="s">
        <v>486</v>
      </c>
      <c r="AE33" s="12"/>
      <c r="AF33" s="482"/>
      <c r="AG33" s="1182"/>
      <c r="AH33" s="1182"/>
      <c r="AI33" s="12"/>
      <c r="AJ33" s="12"/>
      <c r="AK33" s="12"/>
      <c r="AL33" s="12"/>
      <c r="AM33" s="12"/>
      <c r="AN33" s="12"/>
      <c r="AO33" s="12"/>
      <c r="AP33" s="482"/>
      <c r="AQ33" s="1182"/>
      <c r="AR33" s="1182"/>
      <c r="AS33" s="12"/>
      <c r="AT33" s="12"/>
      <c r="AU33" s="12"/>
      <c r="AV33" s="12"/>
      <c r="AW33" s="12"/>
      <c r="AX33" s="12"/>
      <c r="AY33" s="12"/>
      <c r="AZ33" s="11"/>
      <c r="BC33" s="948" t="s">
        <v>487</v>
      </c>
    </row>
    <row r="34" spans="1:55" s="167" customFormat="1" ht="16.7" hidden="1" customHeight="1" x14ac:dyDescent="0.15">
      <c r="E34" s="668">
        <v>17.100000000000001</v>
      </c>
      <c r="F34" s="769" cm="1">
        <f t="array" aca="1" ref="F34" ca="1">OFFSET(G34,-1,-1)</f>
        <v>0</v>
      </c>
      <c r="U34" s="679" t="b" cm="1">
        <f t="array" ref="U34">U33</f>
        <v>0</v>
      </c>
      <c r="Y34" s="1483"/>
      <c r="Z34" s="1483"/>
      <c r="AB34" s="478" t="str">
        <f>AB32&amp;".2"</f>
        <v>2.1.1.2</v>
      </c>
      <c r="AC34" s="480" t="s">
        <v>488</v>
      </c>
      <c r="AD34" s="479" t="s">
        <v>489</v>
      </c>
      <c r="AE34" s="13"/>
      <c r="AF34" s="227"/>
      <c r="AG34" s="1183"/>
      <c r="AH34" s="1183"/>
      <c r="AI34" s="13"/>
      <c r="AJ34" s="13"/>
      <c r="AK34" s="13"/>
      <c r="AL34" s="13"/>
      <c r="AM34" s="13"/>
      <c r="AN34" s="13"/>
      <c r="AO34" s="13"/>
      <c r="AP34" s="227"/>
      <c r="AQ34" s="1183"/>
      <c r="AR34" s="1183"/>
      <c r="AS34" s="13"/>
      <c r="AT34" s="13"/>
      <c r="AU34" s="13"/>
      <c r="AV34" s="13"/>
      <c r="AW34" s="13"/>
      <c r="AX34" s="13"/>
      <c r="AY34" s="13"/>
      <c r="AZ34" s="11"/>
      <c r="BC34" s="948" t="s">
        <v>490</v>
      </c>
    </row>
    <row r="35" spans="1:55" s="167" customFormat="1" ht="16.7" hidden="1" customHeight="1" x14ac:dyDescent="0.15">
      <c r="E35" s="668">
        <v>17.100000000000001</v>
      </c>
      <c r="F35" s="769" cm="1">
        <f t="array" aca="1" ref="F35" ca="1">OFFSET(G35,-1,-1)</f>
        <v>0</v>
      </c>
      <c r="U35" s="679" t="b" cm="1">
        <f t="array" ref="U35">U34</f>
        <v>0</v>
      </c>
      <c r="Y35" s="1483"/>
      <c r="Z35" s="1483"/>
      <c r="AB35" s="477" t="s">
        <v>491</v>
      </c>
      <c r="AC35" s="463" t="s">
        <v>492</v>
      </c>
      <c r="AD35" s="404" t="s">
        <v>470</v>
      </c>
      <c r="AE35" s="10">
        <f t="shared" ref="AE35:AY35" si="5">(11*AE37+MAX(0.06*AE37*(AE36-100),0))</f>
        <v>0</v>
      </c>
      <c r="AF35" s="159">
        <f t="shared" si="5"/>
        <v>0</v>
      </c>
      <c r="AG35" s="1181">
        <f t="shared" si="5"/>
        <v>0</v>
      </c>
      <c r="AH35" s="1181">
        <f t="shared" si="5"/>
        <v>0</v>
      </c>
      <c r="AI35" s="10">
        <f t="shared" si="5"/>
        <v>0</v>
      </c>
      <c r="AJ35" s="10">
        <f t="shared" si="5"/>
        <v>0</v>
      </c>
      <c r="AK35" s="10">
        <f t="shared" si="5"/>
        <v>0</v>
      </c>
      <c r="AL35" s="10">
        <f t="shared" si="5"/>
        <v>0</v>
      </c>
      <c r="AM35" s="10">
        <f t="shared" si="5"/>
        <v>0</v>
      </c>
      <c r="AN35" s="10">
        <f t="shared" si="5"/>
        <v>0</v>
      </c>
      <c r="AO35" s="10">
        <f t="shared" si="5"/>
        <v>0</v>
      </c>
      <c r="AP35" s="159">
        <f t="shared" si="5"/>
        <v>0</v>
      </c>
      <c r="AQ35" s="1181">
        <f t="shared" si="5"/>
        <v>0</v>
      </c>
      <c r="AR35" s="1181">
        <f t="shared" si="5"/>
        <v>0</v>
      </c>
      <c r="AS35" s="10">
        <f t="shared" si="5"/>
        <v>0</v>
      </c>
      <c r="AT35" s="10">
        <f t="shared" si="5"/>
        <v>0</v>
      </c>
      <c r="AU35" s="10">
        <f t="shared" si="5"/>
        <v>0</v>
      </c>
      <c r="AV35" s="10">
        <f t="shared" si="5"/>
        <v>0</v>
      </c>
      <c r="AW35" s="10">
        <f t="shared" si="5"/>
        <v>0</v>
      </c>
      <c r="AX35" s="10">
        <f t="shared" si="5"/>
        <v>0</v>
      </c>
      <c r="AY35" s="10">
        <f t="shared" si="5"/>
        <v>0</v>
      </c>
      <c r="AZ35" s="11"/>
      <c r="BC35" s="948" t="s">
        <v>493</v>
      </c>
    </row>
    <row r="36" spans="1:55" s="167" customFormat="1" ht="16.7" hidden="1" customHeight="1" x14ac:dyDescent="0.15">
      <c r="E36" s="668">
        <v>17.100000000000001</v>
      </c>
      <c r="F36" s="769" cm="1">
        <f t="array" aca="1" ref="F36" ca="1">OFFSET(G36,-1,-1)</f>
        <v>0</v>
      </c>
      <c r="U36" s="679" t="b" cm="1">
        <f t="array" ref="U36">U35</f>
        <v>0</v>
      </c>
      <c r="Y36" s="1483"/>
      <c r="Z36" s="1483"/>
      <c r="AB36" s="478" t="str">
        <f>AB35&amp;".1"</f>
        <v>2.1.2.1</v>
      </c>
      <c r="AC36" s="480" t="s">
        <v>485</v>
      </c>
      <c r="AD36" s="554" t="s">
        <v>486</v>
      </c>
      <c r="AE36" s="14"/>
      <c r="AF36" s="227"/>
      <c r="AG36" s="1183"/>
      <c r="AH36" s="1183"/>
      <c r="AI36" s="13"/>
      <c r="AJ36" s="13"/>
      <c r="AK36" s="13"/>
      <c r="AL36" s="13"/>
      <c r="AM36" s="13"/>
      <c r="AN36" s="13"/>
      <c r="AO36" s="13"/>
      <c r="AP36" s="227"/>
      <c r="AQ36" s="1183"/>
      <c r="AR36" s="1183"/>
      <c r="AS36" s="13"/>
      <c r="AT36" s="13"/>
      <c r="AU36" s="13"/>
      <c r="AV36" s="13"/>
      <c r="AW36" s="13"/>
      <c r="AX36" s="13"/>
      <c r="AY36" s="13"/>
      <c r="AZ36" s="11"/>
      <c r="BC36" s="948" t="s">
        <v>494</v>
      </c>
    </row>
    <row r="37" spans="1:55" s="167" customFormat="1" ht="16.7" hidden="1" customHeight="1" x14ac:dyDescent="0.15">
      <c r="E37" s="668">
        <v>17.100000000000001</v>
      </c>
      <c r="F37" s="769" cm="1">
        <f t="array" aca="1" ref="F37" ca="1">OFFSET(G37,-1,-1)</f>
        <v>0</v>
      </c>
      <c r="U37" s="679" t="b" cm="1">
        <f t="array" ref="U37">U36</f>
        <v>0</v>
      </c>
      <c r="Y37" s="1483"/>
      <c r="Z37" s="1483"/>
      <c r="AB37" s="478" t="str">
        <f>AB35&amp;".2"</f>
        <v>2.1.2.2</v>
      </c>
      <c r="AC37" s="598" t="s">
        <v>488</v>
      </c>
      <c r="AD37" s="121" t="s">
        <v>489</v>
      </c>
      <c r="AE37" s="13"/>
      <c r="AF37" s="484"/>
      <c r="AG37" s="1183"/>
      <c r="AH37" s="1183"/>
      <c r="AI37" s="13"/>
      <c r="AJ37" s="13"/>
      <c r="AK37" s="13"/>
      <c r="AL37" s="13"/>
      <c r="AM37" s="13"/>
      <c r="AN37" s="13"/>
      <c r="AO37" s="13"/>
      <c r="AP37" s="227"/>
      <c r="AQ37" s="1183"/>
      <c r="AR37" s="1183"/>
      <c r="AS37" s="13"/>
      <c r="AT37" s="13"/>
      <c r="AU37" s="13"/>
      <c r="AV37" s="13"/>
      <c r="AW37" s="13"/>
      <c r="AX37" s="13"/>
      <c r="AY37" s="13"/>
      <c r="AZ37" s="11"/>
      <c r="BC37" s="948" t="s">
        <v>495</v>
      </c>
    </row>
    <row r="38" spans="1:55" s="167" customFormat="1" ht="16.7" hidden="1" customHeight="1" x14ac:dyDescent="0.15">
      <c r="E38" s="668">
        <v>17.100000000000001</v>
      </c>
      <c r="F38" s="769" cm="1">
        <f t="array" aca="1" ref="F38" ca="1">OFFSET(G38,-1,-1)</f>
        <v>0</v>
      </c>
      <c r="U38" s="679" t="b" cm="1">
        <f t="array" ref="U38">U37</f>
        <v>0</v>
      </c>
      <c r="Y38" s="1483"/>
      <c r="Z38" s="1483"/>
      <c r="AB38" s="232" t="s">
        <v>496</v>
      </c>
      <c r="AC38" s="599" t="s">
        <v>497</v>
      </c>
      <c r="AD38" s="232" t="s">
        <v>470</v>
      </c>
      <c r="AE38" s="13">
        <f t="shared" ref="AE38:AY38" si="6">1.25*(11*AE40+MAX(0.06*AE40*(AE39-100),0))</f>
        <v>0</v>
      </c>
      <c r="AF38" s="602">
        <f t="shared" si="6"/>
        <v>0</v>
      </c>
      <c r="AG38" s="1181">
        <f t="shared" si="6"/>
        <v>0</v>
      </c>
      <c r="AH38" s="1181">
        <f t="shared" si="6"/>
        <v>0</v>
      </c>
      <c r="AI38" s="10">
        <f t="shared" si="6"/>
        <v>0</v>
      </c>
      <c r="AJ38" s="10">
        <f t="shared" si="6"/>
        <v>0</v>
      </c>
      <c r="AK38" s="10">
        <f t="shared" si="6"/>
        <v>0</v>
      </c>
      <c r="AL38" s="10">
        <f t="shared" si="6"/>
        <v>0</v>
      </c>
      <c r="AM38" s="10">
        <f t="shared" si="6"/>
        <v>0</v>
      </c>
      <c r="AN38" s="10">
        <f t="shared" si="6"/>
        <v>0</v>
      </c>
      <c r="AO38" s="10">
        <f t="shared" si="6"/>
        <v>0</v>
      </c>
      <c r="AP38" s="159">
        <f t="shared" si="6"/>
        <v>0</v>
      </c>
      <c r="AQ38" s="1181">
        <f t="shared" si="6"/>
        <v>0</v>
      </c>
      <c r="AR38" s="1181">
        <f t="shared" si="6"/>
        <v>0</v>
      </c>
      <c r="AS38" s="10">
        <f t="shared" si="6"/>
        <v>0</v>
      </c>
      <c r="AT38" s="10">
        <f t="shared" si="6"/>
        <v>0</v>
      </c>
      <c r="AU38" s="10">
        <f t="shared" si="6"/>
        <v>0</v>
      </c>
      <c r="AV38" s="10">
        <f t="shared" si="6"/>
        <v>0</v>
      </c>
      <c r="AW38" s="10">
        <f t="shared" si="6"/>
        <v>0</v>
      </c>
      <c r="AX38" s="10">
        <f t="shared" si="6"/>
        <v>0</v>
      </c>
      <c r="AY38" s="10">
        <f t="shared" si="6"/>
        <v>0</v>
      </c>
      <c r="AZ38" s="11"/>
      <c r="BC38" s="948" t="s">
        <v>498</v>
      </c>
    </row>
    <row r="39" spans="1:55" s="167" customFormat="1" ht="16.7" hidden="1" customHeight="1" x14ac:dyDescent="0.15">
      <c r="E39" s="668">
        <v>17.100000000000001</v>
      </c>
      <c r="F39" s="769" cm="1">
        <f t="array" aca="1" ref="F39" ca="1">OFFSET(G39,-1,-1)</f>
        <v>0</v>
      </c>
      <c r="U39" s="679" t="b" cm="1">
        <f t="array" ref="U39">U38</f>
        <v>0</v>
      </c>
      <c r="Y39" s="1483"/>
      <c r="Z39" s="1483"/>
      <c r="AB39" s="478" t="str">
        <f>AB38&amp;".1"</f>
        <v>2.1.3.1</v>
      </c>
      <c r="AC39" s="598" t="s">
        <v>485</v>
      </c>
      <c r="AD39" s="121" t="s">
        <v>486</v>
      </c>
      <c r="AE39" s="13"/>
      <c r="AF39" s="483"/>
      <c r="AG39" s="1184"/>
      <c r="AH39" s="1184"/>
      <c r="AI39" s="15"/>
      <c r="AJ39" s="15"/>
      <c r="AK39" s="15"/>
      <c r="AL39" s="15"/>
      <c r="AM39" s="15"/>
      <c r="AN39" s="15"/>
      <c r="AO39" s="15"/>
      <c r="AP39" s="483"/>
      <c r="AQ39" s="1184"/>
      <c r="AR39" s="1184"/>
      <c r="AS39" s="15"/>
      <c r="AT39" s="15"/>
      <c r="AU39" s="15"/>
      <c r="AV39" s="15"/>
      <c r="AW39" s="15"/>
      <c r="AX39" s="15"/>
      <c r="AY39" s="15"/>
      <c r="AZ39" s="11"/>
      <c r="BC39" s="948" t="s">
        <v>499</v>
      </c>
    </row>
    <row r="40" spans="1:55" s="167" customFormat="1" ht="16.7" hidden="1" customHeight="1" x14ac:dyDescent="0.15">
      <c r="E40" s="668">
        <v>17.100000000000001</v>
      </c>
      <c r="F40" s="769" cm="1">
        <f t="array" aca="1" ref="F40" ca="1">OFFSET(G40,-1,-1)</f>
        <v>0</v>
      </c>
      <c r="U40" s="679" t="b" cm="1">
        <f t="array" ref="U40">U39</f>
        <v>0</v>
      </c>
      <c r="Y40" s="1483"/>
      <c r="Z40" s="1483"/>
      <c r="AB40" s="478" t="str">
        <f>AB38&amp;".2"</f>
        <v>2.1.3.2</v>
      </c>
      <c r="AC40" s="598" t="s">
        <v>488</v>
      </c>
      <c r="AD40" s="121" t="s">
        <v>489</v>
      </c>
      <c r="AE40" s="13"/>
      <c r="AF40" s="484"/>
      <c r="AG40" s="1185"/>
      <c r="AH40" s="1185"/>
      <c r="AI40" s="16"/>
      <c r="AJ40" s="16"/>
      <c r="AK40" s="16"/>
      <c r="AL40" s="16"/>
      <c r="AM40" s="16"/>
      <c r="AN40" s="16"/>
      <c r="AO40" s="16"/>
      <c r="AP40" s="484"/>
      <c r="AQ40" s="1185"/>
      <c r="AR40" s="1185"/>
      <c r="AS40" s="16"/>
      <c r="AT40" s="16"/>
      <c r="AU40" s="16"/>
      <c r="AV40" s="16"/>
      <c r="AW40" s="16"/>
      <c r="AX40" s="16"/>
      <c r="AY40" s="16"/>
      <c r="AZ40" s="11"/>
      <c r="BC40" s="948" t="s">
        <v>500</v>
      </c>
    </row>
    <row r="41" spans="1:55" s="167" customFormat="1" ht="16.7" hidden="1" customHeight="1" x14ac:dyDescent="0.15">
      <c r="E41" s="668">
        <v>17.100000000000001</v>
      </c>
      <c r="F41" s="769" cm="1">
        <f t="array" aca="1" ref="F41" ca="1">OFFSET(G41,-1,-1)</f>
        <v>0</v>
      </c>
      <c r="H41" s="160" t="s">
        <v>468</v>
      </c>
      <c r="I41" s="160" t="str">
        <f>AC41&amp;"::"&amp;AD41</f>
        <v>Четырехтрубные::УЕ</v>
      </c>
      <c r="U41" s="679" t="b" cm="1">
        <f t="array" ref="U41">U40</f>
        <v>0</v>
      </c>
      <c r="Y41" s="1483"/>
      <c r="Z41" s="1483"/>
      <c r="AB41" s="232" t="s">
        <v>501</v>
      </c>
      <c r="AC41" s="599" t="s">
        <v>502</v>
      </c>
      <c r="AD41" s="232" t="s">
        <v>470</v>
      </c>
      <c r="AE41" s="13">
        <f t="shared" ref="AE41:AY41" si="7">1.5*(11*AE43+MAX(0.06*AE43*(AE42-100),0))</f>
        <v>0</v>
      </c>
      <c r="AF41" s="602">
        <f t="shared" si="7"/>
        <v>0</v>
      </c>
      <c r="AG41" s="1181">
        <f t="shared" si="7"/>
        <v>0</v>
      </c>
      <c r="AH41" s="1181">
        <f t="shared" si="7"/>
        <v>0</v>
      </c>
      <c r="AI41" s="10">
        <f t="shared" si="7"/>
        <v>0</v>
      </c>
      <c r="AJ41" s="10">
        <f t="shared" si="7"/>
        <v>0</v>
      </c>
      <c r="AK41" s="10">
        <f t="shared" si="7"/>
        <v>0</v>
      </c>
      <c r="AL41" s="10">
        <f t="shared" si="7"/>
        <v>0</v>
      </c>
      <c r="AM41" s="10">
        <f t="shared" si="7"/>
        <v>0</v>
      </c>
      <c r="AN41" s="10">
        <f t="shared" si="7"/>
        <v>0</v>
      </c>
      <c r="AO41" s="10">
        <f t="shared" si="7"/>
        <v>0</v>
      </c>
      <c r="AP41" s="159">
        <f t="shared" si="7"/>
        <v>0</v>
      </c>
      <c r="AQ41" s="1181">
        <f t="shared" si="7"/>
        <v>0</v>
      </c>
      <c r="AR41" s="1181">
        <f t="shared" si="7"/>
        <v>0</v>
      </c>
      <c r="AS41" s="10">
        <f t="shared" si="7"/>
        <v>0</v>
      </c>
      <c r="AT41" s="10">
        <f t="shared" si="7"/>
        <v>0</v>
      </c>
      <c r="AU41" s="10">
        <f t="shared" si="7"/>
        <v>0</v>
      </c>
      <c r="AV41" s="10">
        <f t="shared" si="7"/>
        <v>0</v>
      </c>
      <c r="AW41" s="10">
        <f t="shared" si="7"/>
        <v>0</v>
      </c>
      <c r="AX41" s="10">
        <f t="shared" si="7"/>
        <v>0</v>
      </c>
      <c r="AY41" s="10">
        <f t="shared" si="7"/>
        <v>0</v>
      </c>
      <c r="AZ41" s="11"/>
      <c r="BC41" s="948" t="s">
        <v>503</v>
      </c>
    </row>
    <row r="42" spans="1:55" s="167" customFormat="1" ht="16.7" hidden="1" customHeight="1" x14ac:dyDescent="0.15">
      <c r="E42" s="668">
        <v>17.100000000000001</v>
      </c>
      <c r="F42" s="769" cm="1">
        <f t="array" aca="1" ref="F42" ca="1">OFFSET(G42,-1,-1)</f>
        <v>0</v>
      </c>
      <c r="U42" s="679" t="b" cm="1">
        <f t="array" ref="U42">U41</f>
        <v>0</v>
      </c>
      <c r="Y42" s="1483"/>
      <c r="Z42" s="1483"/>
      <c r="AB42" s="478" t="str">
        <f>AB41&amp;".1"</f>
        <v>2.1.4.1</v>
      </c>
      <c r="AC42" s="598" t="s">
        <v>485</v>
      </c>
      <c r="AD42" s="121" t="s">
        <v>486</v>
      </c>
      <c r="AE42" s="13"/>
      <c r="AF42" s="484"/>
      <c r="AG42" s="1185"/>
      <c r="AH42" s="1185"/>
      <c r="AI42" s="16"/>
      <c r="AJ42" s="16"/>
      <c r="AK42" s="16"/>
      <c r="AL42" s="16"/>
      <c r="AM42" s="16"/>
      <c r="AN42" s="16"/>
      <c r="AO42" s="16"/>
      <c r="AP42" s="484"/>
      <c r="AQ42" s="1185"/>
      <c r="AR42" s="1185"/>
      <c r="AS42" s="16"/>
      <c r="AT42" s="16"/>
      <c r="AU42" s="16"/>
      <c r="AV42" s="16"/>
      <c r="AW42" s="16"/>
      <c r="AX42" s="16"/>
      <c r="AY42" s="16"/>
      <c r="AZ42" s="11"/>
      <c r="BC42" s="948" t="s">
        <v>504</v>
      </c>
    </row>
    <row r="43" spans="1:55" s="167" customFormat="1" ht="16.7" hidden="1" customHeight="1" x14ac:dyDescent="0.15">
      <c r="E43" s="668">
        <v>17.100000000000001</v>
      </c>
      <c r="F43" s="769" cm="1">
        <f t="array" aca="1" ref="F43" ca="1">OFFSET(G43,-1,-1)</f>
        <v>0</v>
      </c>
      <c r="U43" s="679" t="b" cm="1">
        <f t="array" ref="U43">U42</f>
        <v>0</v>
      </c>
      <c r="Y43" s="1483"/>
      <c r="Z43" s="1483"/>
      <c r="AB43" s="478" t="str">
        <f>AB41&amp;".2"</f>
        <v>2.1.4.2</v>
      </c>
      <c r="AC43" s="598" t="s">
        <v>488</v>
      </c>
      <c r="AD43" s="121" t="s">
        <v>489</v>
      </c>
      <c r="AE43" s="13"/>
      <c r="AF43" s="484"/>
      <c r="AG43" s="1185"/>
      <c r="AH43" s="1185"/>
      <c r="AI43" s="16"/>
      <c r="AJ43" s="16"/>
      <c r="AK43" s="16"/>
      <c r="AL43" s="16"/>
      <c r="AM43" s="16"/>
      <c r="AN43" s="16"/>
      <c r="AO43" s="16"/>
      <c r="AP43" s="484"/>
      <c r="AQ43" s="1185"/>
      <c r="AR43" s="1185"/>
      <c r="AS43" s="16"/>
      <c r="AT43" s="16"/>
      <c r="AU43" s="16"/>
      <c r="AV43" s="16"/>
      <c r="AW43" s="16"/>
      <c r="AX43" s="16"/>
      <c r="AY43" s="16"/>
      <c r="AZ43" s="11"/>
      <c r="BC43" s="948" t="s">
        <v>505</v>
      </c>
    </row>
    <row r="44" spans="1:55" s="167" customFormat="1" ht="30" hidden="1" customHeight="1" x14ac:dyDescent="0.15">
      <c r="E44" s="668">
        <v>30.8</v>
      </c>
      <c r="F44" s="769" cm="1">
        <f t="array" aca="1" ref="F44" ca="1">OFFSET(G44,-1,-1)</f>
        <v>0</v>
      </c>
      <c r="U44" s="679" t="b" cm="1">
        <f t="array" ref="U44">U43</f>
        <v>0</v>
      </c>
      <c r="Y44" s="1483"/>
      <c r="Z44" s="1483"/>
      <c r="AB44" s="473" t="s">
        <v>506</v>
      </c>
      <c r="AC44" s="600" t="s">
        <v>507</v>
      </c>
      <c r="AD44" s="121" t="s">
        <v>508</v>
      </c>
      <c r="AE44" s="13"/>
      <c r="AF44" s="484"/>
      <c r="AG44" s="1183"/>
      <c r="AH44" s="1183"/>
      <c r="AI44" s="13"/>
      <c r="AJ44" s="13"/>
      <c r="AK44" s="13"/>
      <c r="AL44" s="13"/>
      <c r="AM44" s="13"/>
      <c r="AN44" s="13"/>
      <c r="AO44" s="13"/>
      <c r="AP44" s="227"/>
      <c r="AQ44" s="1183"/>
      <c r="AR44" s="1183"/>
      <c r="AS44" s="13"/>
      <c r="AT44" s="13"/>
      <c r="AU44" s="13"/>
      <c r="AV44" s="13"/>
      <c r="AW44" s="13"/>
      <c r="AX44" s="13"/>
      <c r="AY44" s="13"/>
      <c r="AZ44" s="11"/>
      <c r="BC44" s="948" t="s">
        <v>509</v>
      </c>
    </row>
    <row r="45" spans="1:55" s="167" customFormat="1" ht="38.85" hidden="1" customHeight="1" x14ac:dyDescent="0.15">
      <c r="E45" s="668">
        <v>39.799999999999997</v>
      </c>
      <c r="F45" s="769" cm="1">
        <f t="array" aca="1" ref="F45" ca="1">OFFSET(G45,-1,-1)</f>
        <v>0</v>
      </c>
      <c r="U45" s="679" t="b" cm="1">
        <f t="array" ref="U45">U44</f>
        <v>0</v>
      </c>
      <c r="Y45" s="1483"/>
      <c r="Z45" s="1483"/>
      <c r="AB45" s="474" t="s">
        <v>510</v>
      </c>
      <c r="AC45" s="601" t="s">
        <v>511</v>
      </c>
      <c r="AD45" s="121" t="s">
        <v>512</v>
      </c>
      <c r="AE45" s="13"/>
      <c r="AF45" s="484"/>
      <c r="AG45" s="1183"/>
      <c r="AH45" s="1183"/>
      <c r="AI45" s="13"/>
      <c r="AJ45" s="13"/>
      <c r="AK45" s="13"/>
      <c r="AL45" s="13"/>
      <c r="AM45" s="13"/>
      <c r="AN45" s="13"/>
      <c r="AO45" s="13"/>
      <c r="AP45" s="227"/>
      <c r="AQ45" s="1183"/>
      <c r="AR45" s="1183"/>
      <c r="AS45" s="13"/>
      <c r="AT45" s="13"/>
      <c r="AU45" s="13"/>
      <c r="AV45" s="13"/>
      <c r="AW45" s="13"/>
      <c r="AX45" s="13"/>
      <c r="AY45" s="13"/>
      <c r="AZ45" s="11"/>
      <c r="BC45" s="948" t="s">
        <v>513</v>
      </c>
    </row>
    <row r="46" spans="1:55" s="167" customFormat="1" ht="48.2" hidden="1" customHeight="1" x14ac:dyDescent="0.15">
      <c r="E46" s="668">
        <v>49.5</v>
      </c>
      <c r="F46" s="769" cm="1">
        <f t="array" aca="1" ref="F46" ca="1">OFFSET(G46,-1,-1)</f>
        <v>0</v>
      </c>
      <c r="H46" s="160" t="s">
        <v>468</v>
      </c>
      <c r="I46" s="16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79" t="b" cm="1">
        <f t="array" ref="U46">U45</f>
        <v>0</v>
      </c>
      <c r="Y46" s="1483"/>
      <c r="Z46" s="1483"/>
      <c r="AB46" s="474" t="s">
        <v>514</v>
      </c>
      <c r="AC46" s="112" t="s">
        <v>515</v>
      </c>
      <c r="AD46" s="460" t="s">
        <v>475</v>
      </c>
      <c r="AE46" s="17"/>
      <c r="AF46" s="227"/>
      <c r="AG46" s="1183"/>
      <c r="AH46" s="1183"/>
      <c r="AI46" s="13"/>
      <c r="AJ46" s="13"/>
      <c r="AK46" s="13"/>
      <c r="AL46" s="13"/>
      <c r="AM46" s="13"/>
      <c r="AN46" s="13"/>
      <c r="AO46" s="13"/>
      <c r="AP46" s="227"/>
      <c r="AQ46" s="1183"/>
      <c r="AR46" s="1183"/>
      <c r="AS46" s="13"/>
      <c r="AT46" s="13"/>
      <c r="AU46" s="13"/>
      <c r="AV46" s="13"/>
      <c r="AW46" s="13"/>
      <c r="AX46" s="13"/>
      <c r="AY46" s="13"/>
      <c r="AZ46" s="11"/>
      <c r="BC46" s="948" t="s">
        <v>516</v>
      </c>
    </row>
    <row r="47" spans="1:55" s="1186" customFormat="1" ht="10.5" customHeight="1" x14ac:dyDescent="0.15">
      <c r="A47" s="167"/>
      <c r="B47" s="167"/>
      <c r="C47" s="167"/>
      <c r="D47" s="167"/>
      <c r="E47" s="668">
        <v>11.4</v>
      </c>
      <c r="F47" s="769" t="str" cm="1">
        <f t="array" ref="F47">Y47</f>
        <v>1</v>
      </c>
      <c r="G47" s="167"/>
      <c r="H47" s="167"/>
      <c r="I47" s="167"/>
      <c r="J47" s="167"/>
      <c r="K47" s="167"/>
      <c r="L47" s="167"/>
      <c r="M47" s="167"/>
      <c r="N47" s="167"/>
      <c r="O47" s="167"/>
      <c r="P47" s="167"/>
      <c r="Q47" s="167"/>
      <c r="R47" s="167"/>
      <c r="S47" s="167"/>
      <c r="T47" s="167"/>
      <c r="U47" s="679" t="b">
        <f>Y47&gt;0</f>
        <v>1</v>
      </c>
      <c r="V47" s="167"/>
      <c r="W47" s="123" t="str" cm="1">
        <f t="array" ref="W47">'Список объектов'!$AB$30</f>
        <v>Тариф 1 (Теплоснабжение) - Тариф на тепловую энергию (мощность), поставляемую потребителям (Не определено)</v>
      </c>
      <c r="X47" s="167"/>
      <c r="Y47" s="1485" t="s">
        <v>339</v>
      </c>
      <c r="Z47" s="1483"/>
      <c r="AA47" s="167"/>
      <c r="AB47" s="272" t="str" cm="1">
        <f t="array" ref="AB47">IF(ISBLANK('Список объектов'!$AB$30),"",'Список объектов'!$AB$30)</f>
        <v>Тариф 1 (Теплоснабжение) - Тариф на тепловую энергию (мощность), поставляемую потребителям (Не определено)</v>
      </c>
      <c r="AC47" s="264"/>
      <c r="AD47" s="476"/>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167"/>
      <c r="BB47" s="167"/>
      <c r="BC47" s="948"/>
    </row>
    <row r="48" spans="1:55" s="1187" customFormat="1" ht="16.5" customHeight="1" x14ac:dyDescent="0.15">
      <c r="A48" s="167"/>
      <c r="B48" s="167"/>
      <c r="C48" s="167"/>
      <c r="D48" s="167"/>
      <c r="E48" s="668">
        <v>17.100000000000001</v>
      </c>
      <c r="F48" s="769" t="str" cm="1">
        <f t="array" aca="1" ref="F48" ca="1">OFFSET(G48,-1,-1)</f>
        <v>1</v>
      </c>
      <c r="G48" s="612" t="s">
        <v>467</v>
      </c>
      <c r="H48" s="160" t="s">
        <v>468</v>
      </c>
      <c r="I48" s="160" t="str">
        <f>AC48&amp;"::"&amp;AD48</f>
        <v>Количество условных единиц для производства::УЕ</v>
      </c>
      <c r="J48" s="167"/>
      <c r="K48" s="167"/>
      <c r="L48" s="167"/>
      <c r="M48" s="167"/>
      <c r="N48" s="167"/>
      <c r="O48" s="167"/>
      <c r="P48" s="167"/>
      <c r="Q48" s="167"/>
      <c r="R48" s="167"/>
      <c r="S48" s="167"/>
      <c r="T48" s="167"/>
      <c r="U48" s="679" t="b" cm="1">
        <f t="array" ref="U48">U47</f>
        <v>1</v>
      </c>
      <c r="V48" s="167"/>
      <c r="W48" s="167"/>
      <c r="X48" s="167"/>
      <c r="Y48" s="1483"/>
      <c r="Z48" s="1483"/>
      <c r="AA48" s="167"/>
      <c r="AB48" s="421">
        <v>1</v>
      </c>
      <c r="AC48" s="495" t="s">
        <v>469</v>
      </c>
      <c r="AD48" s="404" t="s">
        <v>470</v>
      </c>
      <c r="AE48" s="1188" cm="1">
        <f t="array" ref="AE48">AE49</f>
        <v>37</v>
      </c>
      <c r="AF48" s="159" cm="1">
        <f t="array" ref="AF48">AF49</f>
        <v>37</v>
      </c>
      <c r="AG48" s="1181" cm="1">
        <f t="array" ref="AG48">AG49</f>
        <v>0</v>
      </c>
      <c r="AH48" s="1181" cm="1">
        <f t="array" ref="AH48">AH49</f>
        <v>0</v>
      </c>
      <c r="AI48" s="1188" cm="1">
        <f t="array" ref="AI48">AI49</f>
        <v>0</v>
      </c>
      <c r="AJ48" s="1188" cm="1">
        <f t="array" ref="AJ48">AJ49</f>
        <v>0</v>
      </c>
      <c r="AK48" s="1188" cm="1">
        <f t="array" ref="AK48">AK49</f>
        <v>0</v>
      </c>
      <c r="AL48" s="1188" cm="1">
        <f t="array" ref="AL48">AL49</f>
        <v>0</v>
      </c>
      <c r="AM48" s="1188" cm="1">
        <f t="array" ref="AM48">AM49</f>
        <v>0</v>
      </c>
      <c r="AN48" s="1188" cm="1">
        <f t="array" ref="AN48">AN49</f>
        <v>0</v>
      </c>
      <c r="AO48" s="1188" cm="1">
        <f t="array" ref="AO48">AO49</f>
        <v>0</v>
      </c>
      <c r="AP48" s="159" cm="1">
        <f t="array" ref="AP48">AP49</f>
        <v>37</v>
      </c>
      <c r="AQ48" s="1181" cm="1">
        <f t="array" ref="AQ48">AQ49</f>
        <v>0</v>
      </c>
      <c r="AR48" s="1181" cm="1">
        <f t="array" ref="AR48">AR49</f>
        <v>0</v>
      </c>
      <c r="AS48" s="1188" cm="1">
        <f t="array" ref="AS48">AS49</f>
        <v>0</v>
      </c>
      <c r="AT48" s="1188" cm="1">
        <f t="array" ref="AT48">AT49</f>
        <v>0</v>
      </c>
      <c r="AU48" s="1188" cm="1">
        <f t="array" ref="AU48">AU49</f>
        <v>0</v>
      </c>
      <c r="AV48" s="1188" cm="1">
        <f t="array" ref="AV48">AV49</f>
        <v>0</v>
      </c>
      <c r="AW48" s="1188" cm="1">
        <f t="array" ref="AW48">AW49</f>
        <v>0</v>
      </c>
      <c r="AX48" s="1188" cm="1">
        <f t="array" ref="AX48">AX49</f>
        <v>0</v>
      </c>
      <c r="AY48" s="1188" cm="1">
        <f t="array" ref="AY48">AY49</f>
        <v>0</v>
      </c>
      <c r="AZ48" s="1189"/>
      <c r="BA48" s="167"/>
      <c r="BB48" s="167"/>
      <c r="BC48" s="948" t="s">
        <v>471</v>
      </c>
    </row>
    <row r="49" spans="1:55" s="1190" customFormat="1" ht="16.5" customHeight="1" x14ac:dyDescent="0.15">
      <c r="A49" s="167"/>
      <c r="B49" s="167"/>
      <c r="C49" s="167"/>
      <c r="D49" s="167"/>
      <c r="E49" s="668">
        <v>17.100000000000001</v>
      </c>
      <c r="F49" s="769" t="str" cm="1">
        <f t="array" aca="1" ref="F49" ca="1">OFFSET(G49,-1,-1)</f>
        <v>1</v>
      </c>
      <c r="G49" s="612" t="s">
        <v>472</v>
      </c>
      <c r="H49" s="160" t="s">
        <v>468</v>
      </c>
      <c r="I49" s="160" t="str">
        <f>AC49&amp;"::"&amp;AD49</f>
        <v>Установленная тепловая мощность::Гкал/час</v>
      </c>
      <c r="J49" s="167"/>
      <c r="K49" s="167"/>
      <c r="L49" s="167"/>
      <c r="M49" s="167"/>
      <c r="N49" s="167"/>
      <c r="O49" s="167"/>
      <c r="P49" s="167"/>
      <c r="Q49" s="167"/>
      <c r="R49" s="167"/>
      <c r="S49" s="167"/>
      <c r="T49" s="167"/>
      <c r="U49" s="679" t="b" cm="1">
        <f t="array" ref="U49">U48</f>
        <v>1</v>
      </c>
      <c r="V49" s="167"/>
      <c r="W49" s="167"/>
      <c r="X49" s="167"/>
      <c r="Y49" s="1483"/>
      <c r="Z49" s="1483"/>
      <c r="AA49" s="167"/>
      <c r="AB49" s="404" t="s">
        <v>473</v>
      </c>
      <c r="AC49" s="420" t="s">
        <v>474</v>
      </c>
      <c r="AD49" s="404" t="s">
        <v>475</v>
      </c>
      <c r="AE49" s="1188">
        <v>37</v>
      </c>
      <c r="AF49" s="159">
        <v>37</v>
      </c>
      <c r="AG49" s="1181"/>
      <c r="AH49" s="1181"/>
      <c r="AI49" s="1188"/>
      <c r="AJ49" s="1188"/>
      <c r="AK49" s="1188"/>
      <c r="AL49" s="1188"/>
      <c r="AM49" s="1188"/>
      <c r="AN49" s="1188"/>
      <c r="AO49" s="1188"/>
      <c r="AP49" s="159">
        <v>37</v>
      </c>
      <c r="AQ49" s="1181"/>
      <c r="AR49" s="1181"/>
      <c r="AS49" s="1188"/>
      <c r="AT49" s="1188"/>
      <c r="AU49" s="1188"/>
      <c r="AV49" s="1188"/>
      <c r="AW49" s="1188"/>
      <c r="AX49" s="1188"/>
      <c r="AY49" s="1188"/>
      <c r="AZ49" s="1189"/>
      <c r="BA49" s="167"/>
      <c r="BB49" s="167"/>
      <c r="BC49" s="948" t="s">
        <v>476</v>
      </c>
    </row>
    <row r="50" spans="1:55" s="1191" customFormat="1" ht="16.5" customHeight="1" x14ac:dyDescent="0.15">
      <c r="A50" s="167"/>
      <c r="B50" s="167"/>
      <c r="C50" s="167"/>
      <c r="D50" s="167"/>
      <c r="E50" s="668">
        <v>17.100000000000001</v>
      </c>
      <c r="F50" s="769" t="str" cm="1">
        <f t="array" aca="1" ref="F50" ca="1">OFFSET(G50,-1,-1)</f>
        <v>1</v>
      </c>
      <c r="G50" s="612" t="s">
        <v>467</v>
      </c>
      <c r="H50" s="167"/>
      <c r="I50" s="167"/>
      <c r="J50" s="167"/>
      <c r="K50" s="167"/>
      <c r="L50" s="167"/>
      <c r="M50" s="167"/>
      <c r="N50" s="167"/>
      <c r="O50" s="167"/>
      <c r="P50" s="167"/>
      <c r="Q50" s="167"/>
      <c r="R50" s="167"/>
      <c r="S50" s="167"/>
      <c r="T50" s="167"/>
      <c r="U50" s="679" t="b" cm="1">
        <f t="array" ref="U50">U49</f>
        <v>1</v>
      </c>
      <c r="V50" s="167"/>
      <c r="W50" s="167"/>
      <c r="X50" s="167"/>
      <c r="Y50" s="1483"/>
      <c r="Z50" s="1483"/>
      <c r="AA50" s="167"/>
      <c r="AB50" s="467" t="s">
        <v>426</v>
      </c>
      <c r="AC50" s="496" t="s">
        <v>477</v>
      </c>
      <c r="AD50" s="404" t="s">
        <v>470</v>
      </c>
      <c r="AE50" s="1188">
        <f t="shared" ref="AE50:AY50" si="8">AE51+5*AE64+25*AE65+0.5*AE66</f>
        <v>212.85124200000004</v>
      </c>
      <c r="AF50" s="159">
        <f t="shared" si="8"/>
        <v>213.29629320997225</v>
      </c>
      <c r="AG50" s="1181">
        <f t="shared" si="8"/>
        <v>0</v>
      </c>
      <c r="AH50" s="1181">
        <f t="shared" si="8"/>
        <v>0</v>
      </c>
      <c r="AI50" s="1188">
        <f t="shared" si="8"/>
        <v>0</v>
      </c>
      <c r="AJ50" s="1188">
        <f t="shared" si="8"/>
        <v>0</v>
      </c>
      <c r="AK50" s="1188">
        <f t="shared" si="8"/>
        <v>0</v>
      </c>
      <c r="AL50" s="1188">
        <f t="shared" si="8"/>
        <v>0</v>
      </c>
      <c r="AM50" s="1188">
        <f t="shared" si="8"/>
        <v>0</v>
      </c>
      <c r="AN50" s="1188">
        <f t="shared" si="8"/>
        <v>0</v>
      </c>
      <c r="AO50" s="1188">
        <f t="shared" si="8"/>
        <v>0</v>
      </c>
      <c r="AP50" s="159">
        <f t="shared" si="8"/>
        <v>213.29629320997225</v>
      </c>
      <c r="AQ50" s="1181">
        <f t="shared" si="8"/>
        <v>0</v>
      </c>
      <c r="AR50" s="1181">
        <f t="shared" si="8"/>
        <v>0</v>
      </c>
      <c r="AS50" s="1188">
        <f t="shared" si="8"/>
        <v>0</v>
      </c>
      <c r="AT50" s="1188">
        <f t="shared" si="8"/>
        <v>0</v>
      </c>
      <c r="AU50" s="1188">
        <f t="shared" si="8"/>
        <v>0</v>
      </c>
      <c r="AV50" s="1188">
        <f t="shared" si="8"/>
        <v>0</v>
      </c>
      <c r="AW50" s="1188">
        <f t="shared" si="8"/>
        <v>0</v>
      </c>
      <c r="AX50" s="1188">
        <f t="shared" si="8"/>
        <v>0</v>
      </c>
      <c r="AY50" s="1188">
        <f t="shared" si="8"/>
        <v>0</v>
      </c>
      <c r="AZ50" s="1189"/>
      <c r="BA50" s="167"/>
      <c r="BB50" s="167"/>
      <c r="BC50" s="948" t="s">
        <v>478</v>
      </c>
    </row>
    <row r="51" spans="1:55" s="1192" customFormat="1" ht="16.5" customHeight="1" x14ac:dyDescent="0.15">
      <c r="A51" s="167"/>
      <c r="B51" s="167"/>
      <c r="C51" s="167"/>
      <c r="D51" s="167"/>
      <c r="E51" s="668">
        <v>17.100000000000001</v>
      </c>
      <c r="F51" s="769" t="str" cm="1">
        <f t="array" aca="1" ref="F51" ca="1">OFFSET(G51,-1,-1)</f>
        <v>1</v>
      </c>
      <c r="G51" s="167"/>
      <c r="H51" s="167"/>
      <c r="I51" s="167"/>
      <c r="J51" s="167"/>
      <c r="K51" s="167"/>
      <c r="L51" s="167"/>
      <c r="M51" s="167"/>
      <c r="N51" s="167"/>
      <c r="O51" s="167"/>
      <c r="P51" s="167"/>
      <c r="Q51" s="167"/>
      <c r="R51" s="167"/>
      <c r="S51" s="167"/>
      <c r="T51" s="167"/>
      <c r="U51" s="679" t="b" cm="1">
        <f t="array" ref="U51">U50</f>
        <v>1</v>
      </c>
      <c r="V51" s="167"/>
      <c r="W51" s="167"/>
      <c r="X51" s="167"/>
      <c r="Y51" s="1483"/>
      <c r="Z51" s="1483"/>
      <c r="AA51" s="167"/>
      <c r="AB51" s="416" t="s">
        <v>479</v>
      </c>
      <c r="AC51" s="472" t="s">
        <v>480</v>
      </c>
      <c r="AD51" s="404" t="s">
        <v>470</v>
      </c>
      <c r="AE51" s="213">
        <f t="shared" ref="AE51:AY51" si="9">AE52+AE55+AE58+AE61</f>
        <v>188.67224200000004</v>
      </c>
      <c r="AF51" s="213">
        <f t="shared" si="9"/>
        <v>188.67019653252669</v>
      </c>
      <c r="AG51" s="213">
        <f t="shared" si="9"/>
        <v>0</v>
      </c>
      <c r="AH51" s="213">
        <f t="shared" si="9"/>
        <v>0</v>
      </c>
      <c r="AI51" s="213">
        <f t="shared" si="9"/>
        <v>0</v>
      </c>
      <c r="AJ51" s="213">
        <f t="shared" si="9"/>
        <v>0</v>
      </c>
      <c r="AK51" s="213">
        <f t="shared" si="9"/>
        <v>0</v>
      </c>
      <c r="AL51" s="213">
        <f t="shared" si="9"/>
        <v>0</v>
      </c>
      <c r="AM51" s="213">
        <f t="shared" si="9"/>
        <v>0</v>
      </c>
      <c r="AN51" s="213">
        <f t="shared" si="9"/>
        <v>0</v>
      </c>
      <c r="AO51" s="213">
        <f t="shared" si="9"/>
        <v>0</v>
      </c>
      <c r="AP51" s="213">
        <f t="shared" si="9"/>
        <v>188.67019653252669</v>
      </c>
      <c r="AQ51" s="213">
        <f t="shared" si="9"/>
        <v>0</v>
      </c>
      <c r="AR51" s="213">
        <f t="shared" si="9"/>
        <v>0</v>
      </c>
      <c r="AS51" s="213">
        <f t="shared" si="9"/>
        <v>0</v>
      </c>
      <c r="AT51" s="213">
        <f t="shared" si="9"/>
        <v>0</v>
      </c>
      <c r="AU51" s="213">
        <f t="shared" si="9"/>
        <v>0</v>
      </c>
      <c r="AV51" s="213">
        <f t="shared" si="9"/>
        <v>0</v>
      </c>
      <c r="AW51" s="213">
        <f t="shared" si="9"/>
        <v>0</v>
      </c>
      <c r="AX51" s="213">
        <f t="shared" si="9"/>
        <v>0</v>
      </c>
      <c r="AY51" s="213">
        <f t="shared" si="9"/>
        <v>0</v>
      </c>
      <c r="AZ51" s="1189"/>
      <c r="BA51" s="167"/>
      <c r="BB51" s="167"/>
      <c r="BC51" s="948" t="s">
        <v>481</v>
      </c>
    </row>
    <row r="52" spans="1:55" s="1193" customFormat="1" ht="16.5" customHeight="1" x14ac:dyDescent="0.15">
      <c r="A52" s="167"/>
      <c r="B52" s="167"/>
      <c r="C52" s="167"/>
      <c r="D52" s="167"/>
      <c r="E52" s="668">
        <v>17.100000000000001</v>
      </c>
      <c r="F52" s="769" t="str" cm="1">
        <f t="array" aca="1" ref="F52" ca="1">OFFSET(G52,-1,-1)</f>
        <v>1</v>
      </c>
      <c r="G52" s="167"/>
      <c r="H52" s="167"/>
      <c r="I52" s="167"/>
      <c r="J52" s="167"/>
      <c r="K52" s="167"/>
      <c r="L52" s="167"/>
      <c r="M52" s="167"/>
      <c r="N52" s="167"/>
      <c r="O52" s="167"/>
      <c r="P52" s="167"/>
      <c r="Q52" s="167"/>
      <c r="R52" s="167"/>
      <c r="S52" s="167"/>
      <c r="T52" s="167"/>
      <c r="U52" s="679" t="b" cm="1">
        <f t="array" ref="U52">U51</f>
        <v>1</v>
      </c>
      <c r="V52" s="167"/>
      <c r="W52" s="167"/>
      <c r="X52" s="167"/>
      <c r="Y52" s="1483"/>
      <c r="Z52" s="1483"/>
      <c r="AA52" s="167"/>
      <c r="AB52" s="471" t="s">
        <v>482</v>
      </c>
      <c r="AC52" s="481" t="s">
        <v>483</v>
      </c>
      <c r="AD52" s="404" t="s">
        <v>470</v>
      </c>
      <c r="AE52" s="1188">
        <f t="shared" ref="AE52:AY52" si="10">0.75*(11*AE54+MAX(0.06*AE54*(AE53-100),0))</f>
        <v>0</v>
      </c>
      <c r="AF52" s="159">
        <f t="shared" si="10"/>
        <v>0</v>
      </c>
      <c r="AG52" s="1181">
        <f t="shared" si="10"/>
        <v>0</v>
      </c>
      <c r="AH52" s="1181">
        <f t="shared" si="10"/>
        <v>0</v>
      </c>
      <c r="AI52" s="1188">
        <f t="shared" si="10"/>
        <v>0</v>
      </c>
      <c r="AJ52" s="1188">
        <f t="shared" si="10"/>
        <v>0</v>
      </c>
      <c r="AK52" s="1188">
        <f t="shared" si="10"/>
        <v>0</v>
      </c>
      <c r="AL52" s="1188">
        <f t="shared" si="10"/>
        <v>0</v>
      </c>
      <c r="AM52" s="1188">
        <f t="shared" si="10"/>
        <v>0</v>
      </c>
      <c r="AN52" s="1188">
        <f t="shared" si="10"/>
        <v>0</v>
      </c>
      <c r="AO52" s="1188">
        <f t="shared" si="10"/>
        <v>0</v>
      </c>
      <c r="AP52" s="159">
        <f t="shared" si="10"/>
        <v>0</v>
      </c>
      <c r="AQ52" s="1181">
        <f t="shared" si="10"/>
        <v>0</v>
      </c>
      <c r="AR52" s="1181">
        <f t="shared" si="10"/>
        <v>0</v>
      </c>
      <c r="AS52" s="1188">
        <f t="shared" si="10"/>
        <v>0</v>
      </c>
      <c r="AT52" s="1188">
        <f t="shared" si="10"/>
        <v>0</v>
      </c>
      <c r="AU52" s="1188">
        <f t="shared" si="10"/>
        <v>0</v>
      </c>
      <c r="AV52" s="1188">
        <f t="shared" si="10"/>
        <v>0</v>
      </c>
      <c r="AW52" s="1188">
        <f t="shared" si="10"/>
        <v>0</v>
      </c>
      <c r="AX52" s="1188">
        <f t="shared" si="10"/>
        <v>0</v>
      </c>
      <c r="AY52" s="1188">
        <f t="shared" si="10"/>
        <v>0</v>
      </c>
      <c r="AZ52" s="1189"/>
      <c r="BA52" s="167"/>
      <c r="BB52" s="167"/>
      <c r="BC52" s="948" t="s">
        <v>484</v>
      </c>
    </row>
    <row r="53" spans="1:55" s="1194" customFormat="1" ht="16.5" customHeight="1" x14ac:dyDescent="0.15">
      <c r="A53" s="167"/>
      <c r="B53" s="167"/>
      <c r="C53" s="167"/>
      <c r="D53" s="167"/>
      <c r="E53" s="668">
        <v>17.100000000000001</v>
      </c>
      <c r="F53" s="769" t="str" cm="1">
        <f t="array" aca="1" ref="F53" ca="1">OFFSET(G53,-1,-1)</f>
        <v>1</v>
      </c>
      <c r="G53" s="167"/>
      <c r="H53" s="167"/>
      <c r="I53" s="167"/>
      <c r="J53" s="167"/>
      <c r="K53" s="167"/>
      <c r="L53" s="167"/>
      <c r="M53" s="167"/>
      <c r="N53" s="167"/>
      <c r="O53" s="167"/>
      <c r="P53" s="167"/>
      <c r="Q53" s="167"/>
      <c r="R53" s="167"/>
      <c r="S53" s="167"/>
      <c r="T53" s="167"/>
      <c r="U53" s="679" t="b" cm="1">
        <f t="array" ref="U53">U52</f>
        <v>1</v>
      </c>
      <c r="V53" s="167"/>
      <c r="W53" s="167"/>
      <c r="X53" s="167"/>
      <c r="Y53" s="1483"/>
      <c r="Z53" s="1483"/>
      <c r="AA53" s="167"/>
      <c r="AB53" s="478" t="str">
        <f>AB52&amp;".1"</f>
        <v>2.1.1.1</v>
      </c>
      <c r="AC53" s="480" t="s">
        <v>485</v>
      </c>
      <c r="AD53" s="121" t="s">
        <v>486</v>
      </c>
      <c r="AE53" s="1195"/>
      <c r="AF53" s="482"/>
      <c r="AG53" s="1182"/>
      <c r="AH53" s="1182"/>
      <c r="AI53" s="1195"/>
      <c r="AJ53" s="1195"/>
      <c r="AK53" s="1195"/>
      <c r="AL53" s="1195"/>
      <c r="AM53" s="1195"/>
      <c r="AN53" s="1195"/>
      <c r="AO53" s="1195"/>
      <c r="AP53" s="482"/>
      <c r="AQ53" s="1182"/>
      <c r="AR53" s="1182"/>
      <c r="AS53" s="1195"/>
      <c r="AT53" s="1195"/>
      <c r="AU53" s="1195"/>
      <c r="AV53" s="1195"/>
      <c r="AW53" s="1195"/>
      <c r="AX53" s="1195"/>
      <c r="AY53" s="1195"/>
      <c r="AZ53" s="1189"/>
      <c r="BA53" s="167"/>
      <c r="BB53" s="167"/>
      <c r="BC53" s="948" t="s">
        <v>487</v>
      </c>
    </row>
    <row r="54" spans="1:55" s="1196" customFormat="1" ht="16.5" customHeight="1" x14ac:dyDescent="0.15">
      <c r="A54" s="167"/>
      <c r="B54" s="167"/>
      <c r="C54" s="167"/>
      <c r="D54" s="167"/>
      <c r="E54" s="668">
        <v>17.100000000000001</v>
      </c>
      <c r="F54" s="769" t="str" cm="1">
        <f t="array" aca="1" ref="F54" ca="1">OFFSET(G54,-1,-1)</f>
        <v>1</v>
      </c>
      <c r="G54" s="167"/>
      <c r="H54" s="167"/>
      <c r="I54" s="167"/>
      <c r="J54" s="167"/>
      <c r="K54" s="167"/>
      <c r="L54" s="167"/>
      <c r="M54" s="167"/>
      <c r="N54" s="167"/>
      <c r="O54" s="167"/>
      <c r="P54" s="167"/>
      <c r="Q54" s="167"/>
      <c r="R54" s="167"/>
      <c r="S54" s="167"/>
      <c r="T54" s="167"/>
      <c r="U54" s="679" t="b" cm="1">
        <f t="array" ref="U54">U53</f>
        <v>1</v>
      </c>
      <c r="V54" s="167"/>
      <c r="W54" s="167"/>
      <c r="X54" s="167"/>
      <c r="Y54" s="1483"/>
      <c r="Z54" s="1483"/>
      <c r="AA54" s="167"/>
      <c r="AB54" s="478" t="str">
        <f>AB52&amp;".2"</f>
        <v>2.1.1.2</v>
      </c>
      <c r="AC54" s="480" t="s">
        <v>488</v>
      </c>
      <c r="AD54" s="479" t="s">
        <v>489</v>
      </c>
      <c r="AE54" s="1197"/>
      <c r="AF54" s="227"/>
      <c r="AG54" s="1183"/>
      <c r="AH54" s="1183"/>
      <c r="AI54" s="1197"/>
      <c r="AJ54" s="1197"/>
      <c r="AK54" s="1197"/>
      <c r="AL54" s="1197"/>
      <c r="AM54" s="1197"/>
      <c r="AN54" s="1197"/>
      <c r="AO54" s="1197"/>
      <c r="AP54" s="227"/>
      <c r="AQ54" s="1183"/>
      <c r="AR54" s="1183"/>
      <c r="AS54" s="1197"/>
      <c r="AT54" s="1197"/>
      <c r="AU54" s="1197"/>
      <c r="AV54" s="1197"/>
      <c r="AW54" s="1197"/>
      <c r="AX54" s="1197"/>
      <c r="AY54" s="1197"/>
      <c r="AZ54" s="1189"/>
      <c r="BA54" s="167"/>
      <c r="BB54" s="167"/>
      <c r="BC54" s="948" t="s">
        <v>490</v>
      </c>
    </row>
    <row r="55" spans="1:55" s="1198" customFormat="1" ht="16.5" customHeight="1" x14ac:dyDescent="0.15">
      <c r="A55" s="167"/>
      <c r="B55" s="167"/>
      <c r="C55" s="167"/>
      <c r="D55" s="167"/>
      <c r="E55" s="668">
        <v>17.100000000000001</v>
      </c>
      <c r="F55" s="769" t="str" cm="1">
        <f t="array" aca="1" ref="F55" ca="1">OFFSET(G55,-1,-1)</f>
        <v>1</v>
      </c>
      <c r="G55" s="167"/>
      <c r="H55" s="167"/>
      <c r="I55" s="167"/>
      <c r="J55" s="167"/>
      <c r="K55" s="167"/>
      <c r="L55" s="167"/>
      <c r="M55" s="167"/>
      <c r="N55" s="167"/>
      <c r="O55" s="167"/>
      <c r="P55" s="167"/>
      <c r="Q55" s="167"/>
      <c r="R55" s="167"/>
      <c r="S55" s="167"/>
      <c r="T55" s="167"/>
      <c r="U55" s="679" t="b" cm="1">
        <f t="array" ref="U55">U54</f>
        <v>1</v>
      </c>
      <c r="V55" s="167"/>
      <c r="W55" s="167"/>
      <c r="X55" s="167"/>
      <c r="Y55" s="1483"/>
      <c r="Z55" s="1483"/>
      <c r="AA55" s="167"/>
      <c r="AB55" s="477" t="s">
        <v>491</v>
      </c>
      <c r="AC55" s="463" t="s">
        <v>492</v>
      </c>
      <c r="AD55" s="404" t="s">
        <v>470</v>
      </c>
      <c r="AE55" s="1188">
        <f t="shared" ref="AE55:AY55" si="11">(11*AE57+MAX(0.06*AE57*(AE56-100),0))</f>
        <v>188.67224200000004</v>
      </c>
      <c r="AF55" s="159">
        <f t="shared" si="11"/>
        <v>188.67019653252669</v>
      </c>
      <c r="AG55" s="1181">
        <f t="shared" si="11"/>
        <v>0</v>
      </c>
      <c r="AH55" s="1181">
        <f t="shared" si="11"/>
        <v>0</v>
      </c>
      <c r="AI55" s="1188">
        <f t="shared" si="11"/>
        <v>0</v>
      </c>
      <c r="AJ55" s="1188">
        <f t="shared" si="11"/>
        <v>0</v>
      </c>
      <c r="AK55" s="1188">
        <f t="shared" si="11"/>
        <v>0</v>
      </c>
      <c r="AL55" s="1188">
        <f t="shared" si="11"/>
        <v>0</v>
      </c>
      <c r="AM55" s="1188">
        <f t="shared" si="11"/>
        <v>0</v>
      </c>
      <c r="AN55" s="1188">
        <f t="shared" si="11"/>
        <v>0</v>
      </c>
      <c r="AO55" s="1188">
        <f t="shared" si="11"/>
        <v>0</v>
      </c>
      <c r="AP55" s="159">
        <f t="shared" si="11"/>
        <v>188.67019653252669</v>
      </c>
      <c r="AQ55" s="1181">
        <f t="shared" si="11"/>
        <v>0</v>
      </c>
      <c r="AR55" s="1181">
        <f t="shared" si="11"/>
        <v>0</v>
      </c>
      <c r="AS55" s="1188">
        <f t="shared" si="11"/>
        <v>0</v>
      </c>
      <c r="AT55" s="1188">
        <f t="shared" si="11"/>
        <v>0</v>
      </c>
      <c r="AU55" s="1188">
        <f t="shared" si="11"/>
        <v>0</v>
      </c>
      <c r="AV55" s="1188">
        <f t="shared" si="11"/>
        <v>0</v>
      </c>
      <c r="AW55" s="1188">
        <f t="shared" si="11"/>
        <v>0</v>
      </c>
      <c r="AX55" s="1188">
        <f t="shared" si="11"/>
        <v>0</v>
      </c>
      <c r="AY55" s="1188">
        <f t="shared" si="11"/>
        <v>0</v>
      </c>
      <c r="AZ55" s="1189"/>
      <c r="BA55" s="167"/>
      <c r="BB55" s="167"/>
      <c r="BC55" s="948" t="s">
        <v>493</v>
      </c>
    </row>
    <row r="56" spans="1:55" s="1199" customFormat="1" ht="16.5" customHeight="1" x14ac:dyDescent="0.15">
      <c r="A56" s="167"/>
      <c r="B56" s="167"/>
      <c r="C56" s="167"/>
      <c r="D56" s="167"/>
      <c r="E56" s="668">
        <v>17.100000000000001</v>
      </c>
      <c r="F56" s="769" t="str" cm="1">
        <f t="array" aca="1" ref="F56" ca="1">OFFSET(G56,-1,-1)</f>
        <v>1</v>
      </c>
      <c r="G56" s="167"/>
      <c r="H56" s="167"/>
      <c r="I56" s="167"/>
      <c r="J56" s="167"/>
      <c r="K56" s="167"/>
      <c r="L56" s="167"/>
      <c r="M56" s="167"/>
      <c r="N56" s="167"/>
      <c r="O56" s="167"/>
      <c r="P56" s="167"/>
      <c r="Q56" s="167"/>
      <c r="R56" s="167"/>
      <c r="S56" s="167"/>
      <c r="T56" s="167"/>
      <c r="U56" s="679" t="b" cm="1">
        <f t="array" ref="U56">U55</f>
        <v>1</v>
      </c>
      <c r="V56" s="167"/>
      <c r="W56" s="167"/>
      <c r="X56" s="167"/>
      <c r="Y56" s="1483"/>
      <c r="Z56" s="1483"/>
      <c r="AA56" s="167"/>
      <c r="AB56" s="478" t="str">
        <f>AB55&amp;".1"</f>
        <v>2.1.2.1</v>
      </c>
      <c r="AC56" s="480" t="s">
        <v>485</v>
      </c>
      <c r="AD56" s="554" t="s">
        <v>486</v>
      </c>
      <c r="AE56" s="1200">
        <v>178.93</v>
      </c>
      <c r="AF56" s="227">
        <v>178.92715670353999</v>
      </c>
      <c r="AG56" s="1183"/>
      <c r="AH56" s="1183"/>
      <c r="AI56" s="1197"/>
      <c r="AJ56" s="1197"/>
      <c r="AK56" s="1197"/>
      <c r="AL56" s="1197"/>
      <c r="AM56" s="1197"/>
      <c r="AN56" s="1197"/>
      <c r="AO56" s="1197"/>
      <c r="AP56" s="227">
        <v>178.92715670353999</v>
      </c>
      <c r="AQ56" s="1183"/>
      <c r="AR56" s="1183"/>
      <c r="AS56" s="1197"/>
      <c r="AT56" s="1197"/>
      <c r="AU56" s="1197"/>
      <c r="AV56" s="1197"/>
      <c r="AW56" s="1197"/>
      <c r="AX56" s="1197"/>
      <c r="AY56" s="1197"/>
      <c r="AZ56" s="1189"/>
      <c r="BA56" s="167"/>
      <c r="BB56" s="167"/>
      <c r="BC56" s="948" t="s">
        <v>494</v>
      </c>
    </row>
    <row r="57" spans="1:55" s="1201" customFormat="1" ht="16.5" customHeight="1" x14ac:dyDescent="0.15">
      <c r="A57" s="167"/>
      <c r="B57" s="167"/>
      <c r="C57" s="167"/>
      <c r="D57" s="167"/>
      <c r="E57" s="668">
        <v>17.100000000000001</v>
      </c>
      <c r="F57" s="769" t="str" cm="1">
        <f t="array" aca="1" ref="F57" ca="1">OFFSET(G57,-1,-1)</f>
        <v>1</v>
      </c>
      <c r="G57" s="167"/>
      <c r="H57" s="167"/>
      <c r="I57" s="167"/>
      <c r="J57" s="167"/>
      <c r="K57" s="167"/>
      <c r="L57" s="167"/>
      <c r="M57" s="167"/>
      <c r="N57" s="167"/>
      <c r="O57" s="167"/>
      <c r="P57" s="167"/>
      <c r="Q57" s="167"/>
      <c r="R57" s="167"/>
      <c r="S57" s="167"/>
      <c r="T57" s="167"/>
      <c r="U57" s="679" t="b" cm="1">
        <f t="array" ref="U57">U56</f>
        <v>1</v>
      </c>
      <c r="V57" s="167"/>
      <c r="W57" s="167"/>
      <c r="X57" s="167"/>
      <c r="Y57" s="1483"/>
      <c r="Z57" s="1483"/>
      <c r="AA57" s="167"/>
      <c r="AB57" s="478" t="str">
        <f>AB55&amp;".2"</f>
        <v>2.1.2.2</v>
      </c>
      <c r="AC57" s="598" t="s">
        <v>488</v>
      </c>
      <c r="AD57" s="121" t="s">
        <v>489</v>
      </c>
      <c r="AE57" s="1197">
        <v>11.99</v>
      </c>
      <c r="AF57" s="484">
        <v>11.99</v>
      </c>
      <c r="AG57" s="1183"/>
      <c r="AH57" s="1183"/>
      <c r="AI57" s="1197"/>
      <c r="AJ57" s="1197"/>
      <c r="AK57" s="1197"/>
      <c r="AL57" s="1197"/>
      <c r="AM57" s="1197"/>
      <c r="AN57" s="1197"/>
      <c r="AO57" s="1197"/>
      <c r="AP57" s="227">
        <v>11.99</v>
      </c>
      <c r="AQ57" s="1183"/>
      <c r="AR57" s="1183"/>
      <c r="AS57" s="1197"/>
      <c r="AT57" s="1197"/>
      <c r="AU57" s="1197"/>
      <c r="AV57" s="1197"/>
      <c r="AW57" s="1197"/>
      <c r="AX57" s="1197"/>
      <c r="AY57" s="1197"/>
      <c r="AZ57" s="1189"/>
      <c r="BA57" s="167"/>
      <c r="BB57" s="167"/>
      <c r="BC57" s="948" t="s">
        <v>495</v>
      </c>
    </row>
    <row r="58" spans="1:55" s="1202" customFormat="1" ht="16.5" customHeight="1" x14ac:dyDescent="0.15">
      <c r="A58" s="167"/>
      <c r="B58" s="167"/>
      <c r="C58" s="167"/>
      <c r="D58" s="167"/>
      <c r="E58" s="668">
        <v>17.100000000000001</v>
      </c>
      <c r="F58" s="769" t="str" cm="1">
        <f t="array" aca="1" ref="F58" ca="1">OFFSET(G58,-1,-1)</f>
        <v>1</v>
      </c>
      <c r="G58" s="167"/>
      <c r="H58" s="167"/>
      <c r="I58" s="167"/>
      <c r="J58" s="167"/>
      <c r="K58" s="167"/>
      <c r="L58" s="167"/>
      <c r="M58" s="167"/>
      <c r="N58" s="167"/>
      <c r="O58" s="167"/>
      <c r="P58" s="167"/>
      <c r="Q58" s="167"/>
      <c r="R58" s="167"/>
      <c r="S58" s="167"/>
      <c r="T58" s="167"/>
      <c r="U58" s="679" t="b" cm="1">
        <f t="array" ref="U58">U57</f>
        <v>1</v>
      </c>
      <c r="V58" s="167"/>
      <c r="W58" s="167"/>
      <c r="X58" s="167"/>
      <c r="Y58" s="1483"/>
      <c r="Z58" s="1483"/>
      <c r="AA58" s="167"/>
      <c r="AB58" s="232" t="s">
        <v>496</v>
      </c>
      <c r="AC58" s="599" t="s">
        <v>497</v>
      </c>
      <c r="AD58" s="232" t="s">
        <v>470</v>
      </c>
      <c r="AE58" s="1197">
        <f t="shared" ref="AE58:AY58" si="12">1.25*(11*AE60+MAX(0.06*AE60*(AE59-100),0))</f>
        <v>0</v>
      </c>
      <c r="AF58" s="602">
        <f t="shared" si="12"/>
        <v>0</v>
      </c>
      <c r="AG58" s="1181">
        <f t="shared" si="12"/>
        <v>0</v>
      </c>
      <c r="AH58" s="1181">
        <f t="shared" si="12"/>
        <v>0</v>
      </c>
      <c r="AI58" s="1188">
        <f t="shared" si="12"/>
        <v>0</v>
      </c>
      <c r="AJ58" s="1188">
        <f t="shared" si="12"/>
        <v>0</v>
      </c>
      <c r="AK58" s="1188">
        <f t="shared" si="12"/>
        <v>0</v>
      </c>
      <c r="AL58" s="1188">
        <f t="shared" si="12"/>
        <v>0</v>
      </c>
      <c r="AM58" s="1188">
        <f t="shared" si="12"/>
        <v>0</v>
      </c>
      <c r="AN58" s="1188">
        <f t="shared" si="12"/>
        <v>0</v>
      </c>
      <c r="AO58" s="1188">
        <f t="shared" si="12"/>
        <v>0</v>
      </c>
      <c r="AP58" s="159">
        <f t="shared" si="12"/>
        <v>0</v>
      </c>
      <c r="AQ58" s="1181">
        <f t="shared" si="12"/>
        <v>0</v>
      </c>
      <c r="AR58" s="1181">
        <f t="shared" si="12"/>
        <v>0</v>
      </c>
      <c r="AS58" s="1188">
        <f t="shared" si="12"/>
        <v>0</v>
      </c>
      <c r="AT58" s="1188">
        <f t="shared" si="12"/>
        <v>0</v>
      </c>
      <c r="AU58" s="1188">
        <f t="shared" si="12"/>
        <v>0</v>
      </c>
      <c r="AV58" s="1188">
        <f t="shared" si="12"/>
        <v>0</v>
      </c>
      <c r="AW58" s="1188">
        <f t="shared" si="12"/>
        <v>0</v>
      </c>
      <c r="AX58" s="1188">
        <f t="shared" si="12"/>
        <v>0</v>
      </c>
      <c r="AY58" s="1188">
        <f t="shared" si="12"/>
        <v>0</v>
      </c>
      <c r="AZ58" s="1189"/>
      <c r="BA58" s="167"/>
      <c r="BB58" s="167"/>
      <c r="BC58" s="948" t="s">
        <v>498</v>
      </c>
    </row>
    <row r="59" spans="1:55" s="1203" customFormat="1" ht="16.5" customHeight="1" x14ac:dyDescent="0.15">
      <c r="A59" s="167"/>
      <c r="B59" s="167"/>
      <c r="C59" s="167"/>
      <c r="D59" s="167"/>
      <c r="E59" s="668">
        <v>17.100000000000001</v>
      </c>
      <c r="F59" s="769" t="str" cm="1">
        <f t="array" aca="1" ref="F59" ca="1">OFFSET(G59,-1,-1)</f>
        <v>1</v>
      </c>
      <c r="G59" s="167"/>
      <c r="H59" s="167"/>
      <c r="I59" s="167"/>
      <c r="J59" s="167"/>
      <c r="K59" s="167"/>
      <c r="L59" s="167"/>
      <c r="M59" s="167"/>
      <c r="N59" s="167"/>
      <c r="O59" s="167"/>
      <c r="P59" s="167"/>
      <c r="Q59" s="167"/>
      <c r="R59" s="167"/>
      <c r="S59" s="167"/>
      <c r="T59" s="167"/>
      <c r="U59" s="679" t="b" cm="1">
        <f t="array" ref="U59">U58</f>
        <v>1</v>
      </c>
      <c r="V59" s="167"/>
      <c r="W59" s="167"/>
      <c r="X59" s="167"/>
      <c r="Y59" s="1483"/>
      <c r="Z59" s="1483"/>
      <c r="AA59" s="167"/>
      <c r="AB59" s="478" t="str">
        <f>AB58&amp;".1"</f>
        <v>2.1.3.1</v>
      </c>
      <c r="AC59" s="598" t="s">
        <v>485</v>
      </c>
      <c r="AD59" s="121" t="s">
        <v>486</v>
      </c>
      <c r="AE59" s="1197"/>
      <c r="AF59" s="483"/>
      <c r="AG59" s="1184"/>
      <c r="AH59" s="1184"/>
      <c r="AI59" s="1204"/>
      <c r="AJ59" s="1204"/>
      <c r="AK59" s="1204"/>
      <c r="AL59" s="1204"/>
      <c r="AM59" s="1204"/>
      <c r="AN59" s="1204"/>
      <c r="AO59" s="1204"/>
      <c r="AP59" s="483"/>
      <c r="AQ59" s="1184"/>
      <c r="AR59" s="1184"/>
      <c r="AS59" s="1204"/>
      <c r="AT59" s="1204"/>
      <c r="AU59" s="1204"/>
      <c r="AV59" s="1204"/>
      <c r="AW59" s="1204"/>
      <c r="AX59" s="1204"/>
      <c r="AY59" s="1204"/>
      <c r="AZ59" s="1189"/>
      <c r="BA59" s="167"/>
      <c r="BB59" s="167"/>
      <c r="BC59" s="948" t="s">
        <v>499</v>
      </c>
    </row>
    <row r="60" spans="1:55" s="1205" customFormat="1" ht="16.5" customHeight="1" x14ac:dyDescent="0.15">
      <c r="A60" s="167"/>
      <c r="B60" s="167"/>
      <c r="C60" s="167"/>
      <c r="D60" s="167"/>
      <c r="E60" s="668">
        <v>17.100000000000001</v>
      </c>
      <c r="F60" s="769" t="str" cm="1">
        <f t="array" aca="1" ref="F60" ca="1">OFFSET(G60,-1,-1)</f>
        <v>1</v>
      </c>
      <c r="G60" s="167"/>
      <c r="H60" s="167"/>
      <c r="I60" s="167"/>
      <c r="J60" s="167"/>
      <c r="K60" s="167"/>
      <c r="L60" s="167"/>
      <c r="M60" s="167"/>
      <c r="N60" s="167"/>
      <c r="O60" s="167"/>
      <c r="P60" s="167"/>
      <c r="Q60" s="167"/>
      <c r="R60" s="167"/>
      <c r="S60" s="167"/>
      <c r="T60" s="167"/>
      <c r="U60" s="679" t="b" cm="1">
        <f t="array" ref="U60">U59</f>
        <v>1</v>
      </c>
      <c r="V60" s="167"/>
      <c r="W60" s="167"/>
      <c r="X60" s="167"/>
      <c r="Y60" s="1483"/>
      <c r="Z60" s="1483"/>
      <c r="AA60" s="167"/>
      <c r="AB60" s="478" t="str">
        <f>AB58&amp;".2"</f>
        <v>2.1.3.2</v>
      </c>
      <c r="AC60" s="598" t="s">
        <v>488</v>
      </c>
      <c r="AD60" s="121" t="s">
        <v>489</v>
      </c>
      <c r="AE60" s="1197"/>
      <c r="AF60" s="484"/>
      <c r="AG60" s="1185"/>
      <c r="AH60" s="1185"/>
      <c r="AI60" s="1206"/>
      <c r="AJ60" s="1206"/>
      <c r="AK60" s="1206"/>
      <c r="AL60" s="1206"/>
      <c r="AM60" s="1206"/>
      <c r="AN60" s="1206"/>
      <c r="AO60" s="1206"/>
      <c r="AP60" s="484"/>
      <c r="AQ60" s="1185"/>
      <c r="AR60" s="1185"/>
      <c r="AS60" s="1206"/>
      <c r="AT60" s="1206"/>
      <c r="AU60" s="1206"/>
      <c r="AV60" s="1206"/>
      <c r="AW60" s="1206"/>
      <c r="AX60" s="1206"/>
      <c r="AY60" s="1206"/>
      <c r="AZ60" s="1189"/>
      <c r="BA60" s="167"/>
      <c r="BB60" s="167"/>
      <c r="BC60" s="948" t="s">
        <v>500</v>
      </c>
    </row>
    <row r="61" spans="1:55" s="1207" customFormat="1" ht="16.5" customHeight="1" x14ac:dyDescent="0.15">
      <c r="A61" s="167"/>
      <c r="B61" s="167"/>
      <c r="C61" s="167"/>
      <c r="D61" s="167"/>
      <c r="E61" s="668">
        <v>17.100000000000001</v>
      </c>
      <c r="F61" s="769" t="str" cm="1">
        <f t="array" aca="1" ref="F61" ca="1">OFFSET(G61,-1,-1)</f>
        <v>1</v>
      </c>
      <c r="G61" s="167"/>
      <c r="H61" s="160" t="s">
        <v>468</v>
      </c>
      <c r="I61" s="160" t="str">
        <f>AC61&amp;"::"&amp;AD61</f>
        <v>Четырехтрубные::УЕ</v>
      </c>
      <c r="J61" s="167"/>
      <c r="K61" s="167"/>
      <c r="L61" s="167"/>
      <c r="M61" s="167"/>
      <c r="N61" s="167"/>
      <c r="O61" s="167"/>
      <c r="P61" s="167"/>
      <c r="Q61" s="167"/>
      <c r="R61" s="167"/>
      <c r="S61" s="167"/>
      <c r="T61" s="167"/>
      <c r="U61" s="679" t="b" cm="1">
        <f t="array" ref="U61">U60</f>
        <v>1</v>
      </c>
      <c r="V61" s="167"/>
      <c r="W61" s="167"/>
      <c r="X61" s="167"/>
      <c r="Y61" s="1483"/>
      <c r="Z61" s="1483"/>
      <c r="AA61" s="167"/>
      <c r="AB61" s="232" t="s">
        <v>501</v>
      </c>
      <c r="AC61" s="599" t="s">
        <v>502</v>
      </c>
      <c r="AD61" s="232" t="s">
        <v>470</v>
      </c>
      <c r="AE61" s="1197">
        <f t="shared" ref="AE61:AY61" si="13">1.5*(11*AE63+MAX(0.06*AE63*(AE62-100),0))</f>
        <v>0</v>
      </c>
      <c r="AF61" s="602">
        <f t="shared" si="13"/>
        <v>0</v>
      </c>
      <c r="AG61" s="1181">
        <f t="shared" si="13"/>
        <v>0</v>
      </c>
      <c r="AH61" s="1181">
        <f t="shared" si="13"/>
        <v>0</v>
      </c>
      <c r="AI61" s="1188">
        <f t="shared" si="13"/>
        <v>0</v>
      </c>
      <c r="AJ61" s="1188">
        <f t="shared" si="13"/>
        <v>0</v>
      </c>
      <c r="AK61" s="1188">
        <f t="shared" si="13"/>
        <v>0</v>
      </c>
      <c r="AL61" s="1188">
        <f t="shared" si="13"/>
        <v>0</v>
      </c>
      <c r="AM61" s="1188">
        <f t="shared" si="13"/>
        <v>0</v>
      </c>
      <c r="AN61" s="1188">
        <f t="shared" si="13"/>
        <v>0</v>
      </c>
      <c r="AO61" s="1188">
        <f t="shared" si="13"/>
        <v>0</v>
      </c>
      <c r="AP61" s="159">
        <f t="shared" si="13"/>
        <v>0</v>
      </c>
      <c r="AQ61" s="1181">
        <f t="shared" si="13"/>
        <v>0</v>
      </c>
      <c r="AR61" s="1181">
        <f t="shared" si="13"/>
        <v>0</v>
      </c>
      <c r="AS61" s="1188">
        <f t="shared" si="13"/>
        <v>0</v>
      </c>
      <c r="AT61" s="1188">
        <f t="shared" si="13"/>
        <v>0</v>
      </c>
      <c r="AU61" s="1188">
        <f t="shared" si="13"/>
        <v>0</v>
      </c>
      <c r="AV61" s="1188">
        <f t="shared" si="13"/>
        <v>0</v>
      </c>
      <c r="AW61" s="1188">
        <f t="shared" si="13"/>
        <v>0</v>
      </c>
      <c r="AX61" s="1188">
        <f t="shared" si="13"/>
        <v>0</v>
      </c>
      <c r="AY61" s="1188">
        <f t="shared" si="13"/>
        <v>0</v>
      </c>
      <c r="AZ61" s="1189"/>
      <c r="BA61" s="167"/>
      <c r="BB61" s="167"/>
      <c r="BC61" s="948" t="s">
        <v>503</v>
      </c>
    </row>
    <row r="62" spans="1:55" s="1208" customFormat="1" ht="16.5" customHeight="1" x14ac:dyDescent="0.15">
      <c r="A62" s="167"/>
      <c r="B62" s="167"/>
      <c r="C62" s="167"/>
      <c r="D62" s="167"/>
      <c r="E62" s="668">
        <v>17.100000000000001</v>
      </c>
      <c r="F62" s="769" t="str" cm="1">
        <f t="array" aca="1" ref="F62" ca="1">OFFSET(G62,-1,-1)</f>
        <v>1</v>
      </c>
      <c r="G62" s="167"/>
      <c r="H62" s="167"/>
      <c r="I62" s="167"/>
      <c r="J62" s="167"/>
      <c r="K62" s="167"/>
      <c r="L62" s="167"/>
      <c r="M62" s="167"/>
      <c r="N62" s="167"/>
      <c r="O62" s="167"/>
      <c r="P62" s="167"/>
      <c r="Q62" s="167"/>
      <c r="R62" s="167"/>
      <c r="S62" s="167"/>
      <c r="T62" s="167"/>
      <c r="U62" s="679" t="b" cm="1">
        <f t="array" ref="U62">U61</f>
        <v>1</v>
      </c>
      <c r="V62" s="167"/>
      <c r="W62" s="167"/>
      <c r="X62" s="167"/>
      <c r="Y62" s="1483"/>
      <c r="Z62" s="1483"/>
      <c r="AA62" s="167"/>
      <c r="AB62" s="478" t="str">
        <f>AB61&amp;".1"</f>
        <v>2.1.4.1</v>
      </c>
      <c r="AC62" s="598" t="s">
        <v>485</v>
      </c>
      <c r="AD62" s="121" t="s">
        <v>486</v>
      </c>
      <c r="AE62" s="1197"/>
      <c r="AF62" s="484"/>
      <c r="AG62" s="1185"/>
      <c r="AH62" s="1185"/>
      <c r="AI62" s="1206"/>
      <c r="AJ62" s="1206"/>
      <c r="AK62" s="1206"/>
      <c r="AL62" s="1206"/>
      <c r="AM62" s="1206"/>
      <c r="AN62" s="1206"/>
      <c r="AO62" s="1206"/>
      <c r="AP62" s="484"/>
      <c r="AQ62" s="1185"/>
      <c r="AR62" s="1185"/>
      <c r="AS62" s="1206"/>
      <c r="AT62" s="1206"/>
      <c r="AU62" s="1206"/>
      <c r="AV62" s="1206"/>
      <c r="AW62" s="1206"/>
      <c r="AX62" s="1206"/>
      <c r="AY62" s="1206"/>
      <c r="AZ62" s="1189"/>
      <c r="BA62" s="167"/>
      <c r="BB62" s="167"/>
      <c r="BC62" s="948" t="s">
        <v>504</v>
      </c>
    </row>
    <row r="63" spans="1:55" s="1209" customFormat="1" ht="16.5" customHeight="1" x14ac:dyDescent="0.15">
      <c r="A63" s="167"/>
      <c r="B63" s="167"/>
      <c r="C63" s="167"/>
      <c r="D63" s="167"/>
      <c r="E63" s="668">
        <v>17.100000000000001</v>
      </c>
      <c r="F63" s="769" t="str" cm="1">
        <f t="array" aca="1" ref="F63" ca="1">OFFSET(G63,-1,-1)</f>
        <v>1</v>
      </c>
      <c r="G63" s="167"/>
      <c r="H63" s="167"/>
      <c r="I63" s="167"/>
      <c r="J63" s="167"/>
      <c r="K63" s="167"/>
      <c r="L63" s="167"/>
      <c r="M63" s="167"/>
      <c r="N63" s="167"/>
      <c r="O63" s="167"/>
      <c r="P63" s="167"/>
      <c r="Q63" s="167"/>
      <c r="R63" s="167"/>
      <c r="S63" s="167"/>
      <c r="T63" s="167"/>
      <c r="U63" s="679" t="b" cm="1">
        <f t="array" ref="U63">U62</f>
        <v>1</v>
      </c>
      <c r="V63" s="167"/>
      <c r="W63" s="167"/>
      <c r="X63" s="167"/>
      <c r="Y63" s="1483"/>
      <c r="Z63" s="1483"/>
      <c r="AA63" s="167"/>
      <c r="AB63" s="478" t="str">
        <f>AB61&amp;".2"</f>
        <v>2.1.4.2</v>
      </c>
      <c r="AC63" s="598" t="s">
        <v>488</v>
      </c>
      <c r="AD63" s="121" t="s">
        <v>489</v>
      </c>
      <c r="AE63" s="1197"/>
      <c r="AF63" s="484"/>
      <c r="AG63" s="1185"/>
      <c r="AH63" s="1185"/>
      <c r="AI63" s="1206"/>
      <c r="AJ63" s="1206"/>
      <c r="AK63" s="1206"/>
      <c r="AL63" s="1206"/>
      <c r="AM63" s="1206"/>
      <c r="AN63" s="1206"/>
      <c r="AO63" s="1206"/>
      <c r="AP63" s="484"/>
      <c r="AQ63" s="1185"/>
      <c r="AR63" s="1185"/>
      <c r="AS63" s="1206"/>
      <c r="AT63" s="1206"/>
      <c r="AU63" s="1206"/>
      <c r="AV63" s="1206"/>
      <c r="AW63" s="1206"/>
      <c r="AX63" s="1206"/>
      <c r="AY63" s="1206"/>
      <c r="AZ63" s="1189"/>
      <c r="BA63" s="167"/>
      <c r="BB63" s="167"/>
      <c r="BC63" s="948" t="s">
        <v>505</v>
      </c>
    </row>
    <row r="64" spans="1:55" s="1210" customFormat="1" ht="30" customHeight="1" x14ac:dyDescent="0.15">
      <c r="A64" s="167"/>
      <c r="B64" s="167"/>
      <c r="C64" s="167"/>
      <c r="D64" s="167"/>
      <c r="E64" s="668">
        <v>30.8</v>
      </c>
      <c r="F64" s="769" t="str" cm="1">
        <f t="array" aca="1" ref="F64" ca="1">OFFSET(G64,-1,-1)</f>
        <v>1</v>
      </c>
      <c r="G64" s="167"/>
      <c r="H64" s="167"/>
      <c r="I64" s="167"/>
      <c r="J64" s="167"/>
      <c r="K64" s="167"/>
      <c r="L64" s="167"/>
      <c r="M64" s="167"/>
      <c r="N64" s="167"/>
      <c r="O64" s="167"/>
      <c r="P64" s="167"/>
      <c r="Q64" s="167"/>
      <c r="R64" s="167"/>
      <c r="S64" s="167"/>
      <c r="T64" s="167"/>
      <c r="U64" s="679" t="b" cm="1">
        <f t="array" ref="U64">U63</f>
        <v>1</v>
      </c>
      <c r="V64" s="167"/>
      <c r="W64" s="167"/>
      <c r="X64" s="167"/>
      <c r="Y64" s="1483"/>
      <c r="Z64" s="1483"/>
      <c r="AA64" s="167"/>
      <c r="AB64" s="473" t="s">
        <v>506</v>
      </c>
      <c r="AC64" s="600" t="s">
        <v>507</v>
      </c>
      <c r="AD64" s="121" t="s">
        <v>508</v>
      </c>
      <c r="AE64" s="1197">
        <v>2</v>
      </c>
      <c r="AF64" s="484">
        <v>2</v>
      </c>
      <c r="AG64" s="1183"/>
      <c r="AH64" s="1183"/>
      <c r="AI64" s="1197"/>
      <c r="AJ64" s="1197"/>
      <c r="AK64" s="1197"/>
      <c r="AL64" s="1197"/>
      <c r="AM64" s="1197"/>
      <c r="AN64" s="1197"/>
      <c r="AO64" s="1197"/>
      <c r="AP64" s="227">
        <v>2</v>
      </c>
      <c r="AQ64" s="1183"/>
      <c r="AR64" s="1183"/>
      <c r="AS64" s="1197"/>
      <c r="AT64" s="1197"/>
      <c r="AU64" s="1197"/>
      <c r="AV64" s="1197"/>
      <c r="AW64" s="1197"/>
      <c r="AX64" s="1197"/>
      <c r="AY64" s="1197"/>
      <c r="AZ64" s="1189"/>
      <c r="BA64" s="167"/>
      <c r="BB64" s="167"/>
      <c r="BC64" s="948" t="s">
        <v>509</v>
      </c>
    </row>
    <row r="65" spans="1:55" s="1211" customFormat="1" ht="38.25" customHeight="1" x14ac:dyDescent="0.15">
      <c r="A65" s="167"/>
      <c r="B65" s="167"/>
      <c r="C65" s="167"/>
      <c r="D65" s="167"/>
      <c r="E65" s="668">
        <v>39.799999999999997</v>
      </c>
      <c r="F65" s="769" t="str" cm="1">
        <f t="array" aca="1" ref="F65" ca="1">OFFSET(G65,-1,-1)</f>
        <v>1</v>
      </c>
      <c r="G65" s="167"/>
      <c r="H65" s="167"/>
      <c r="I65" s="167"/>
      <c r="J65" s="167"/>
      <c r="K65" s="167"/>
      <c r="L65" s="167"/>
      <c r="M65" s="167"/>
      <c r="N65" s="167"/>
      <c r="O65" s="167"/>
      <c r="P65" s="167"/>
      <c r="Q65" s="167"/>
      <c r="R65" s="167"/>
      <c r="S65" s="167"/>
      <c r="T65" s="167"/>
      <c r="U65" s="679" t="b" cm="1">
        <f t="array" ref="U65">U64</f>
        <v>1</v>
      </c>
      <c r="V65" s="167"/>
      <c r="W65" s="167"/>
      <c r="X65" s="167"/>
      <c r="Y65" s="1483"/>
      <c r="Z65" s="1483"/>
      <c r="AA65" s="167"/>
      <c r="AB65" s="474" t="s">
        <v>510</v>
      </c>
      <c r="AC65" s="601" t="s">
        <v>511</v>
      </c>
      <c r="AD65" s="121" t="s">
        <v>512</v>
      </c>
      <c r="AE65" s="1197"/>
      <c r="AF65" s="484">
        <v>0</v>
      </c>
      <c r="AG65" s="1183"/>
      <c r="AH65" s="1183"/>
      <c r="AI65" s="1197"/>
      <c r="AJ65" s="1197"/>
      <c r="AK65" s="1197"/>
      <c r="AL65" s="1197"/>
      <c r="AM65" s="1197"/>
      <c r="AN65" s="1197"/>
      <c r="AO65" s="1197"/>
      <c r="AP65" s="227"/>
      <c r="AQ65" s="1183"/>
      <c r="AR65" s="1183"/>
      <c r="AS65" s="1197"/>
      <c r="AT65" s="1197"/>
      <c r="AU65" s="1197"/>
      <c r="AV65" s="1197"/>
      <c r="AW65" s="1197"/>
      <c r="AX65" s="1197"/>
      <c r="AY65" s="1197"/>
      <c r="AZ65" s="1189"/>
      <c r="BA65" s="167"/>
      <c r="BB65" s="167"/>
      <c r="BC65" s="948" t="s">
        <v>513</v>
      </c>
    </row>
    <row r="66" spans="1:55" s="1212" customFormat="1" ht="48" customHeight="1" x14ac:dyDescent="0.15">
      <c r="A66" s="167"/>
      <c r="B66" s="167"/>
      <c r="C66" s="167"/>
      <c r="D66" s="167"/>
      <c r="E66" s="668">
        <v>49.5</v>
      </c>
      <c r="F66" s="769" t="str" cm="1">
        <f t="array" aca="1" ref="F66" ca="1">OFFSET(G66,-1,-1)</f>
        <v>1</v>
      </c>
      <c r="G66" s="167"/>
      <c r="H66" s="160" t="s">
        <v>468</v>
      </c>
      <c r="I66" s="16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7"/>
      <c r="K66" s="167"/>
      <c r="L66" s="167"/>
      <c r="M66" s="167"/>
      <c r="N66" s="167"/>
      <c r="O66" s="167"/>
      <c r="P66" s="167"/>
      <c r="Q66" s="167"/>
      <c r="R66" s="167"/>
      <c r="S66" s="167"/>
      <c r="T66" s="167"/>
      <c r="U66" s="679" t="b" cm="1">
        <f t="array" ref="U66">U65</f>
        <v>1</v>
      </c>
      <c r="V66" s="167"/>
      <c r="W66" s="167"/>
      <c r="X66" s="167"/>
      <c r="Y66" s="1483"/>
      <c r="Z66" s="1483"/>
      <c r="AA66" s="167"/>
      <c r="AB66" s="474" t="s">
        <v>514</v>
      </c>
      <c r="AC66" s="112" t="s">
        <v>515</v>
      </c>
      <c r="AD66" s="460" t="s">
        <v>475</v>
      </c>
      <c r="AE66" s="1213">
        <v>28.358000000000001</v>
      </c>
      <c r="AF66" s="227">
        <v>29.252193354891102</v>
      </c>
      <c r="AG66" s="1183"/>
      <c r="AH66" s="1183"/>
      <c r="AI66" s="1197"/>
      <c r="AJ66" s="1197"/>
      <c r="AK66" s="1197"/>
      <c r="AL66" s="1197"/>
      <c r="AM66" s="1197"/>
      <c r="AN66" s="1197"/>
      <c r="AO66" s="1197"/>
      <c r="AP66" s="227">
        <v>29.252193354891102</v>
      </c>
      <c r="AQ66" s="1183"/>
      <c r="AR66" s="1183"/>
      <c r="AS66" s="1197"/>
      <c r="AT66" s="1197"/>
      <c r="AU66" s="1197"/>
      <c r="AV66" s="1197"/>
      <c r="AW66" s="1197"/>
      <c r="AX66" s="1197"/>
      <c r="AY66" s="1197"/>
      <c r="AZ66" s="1189"/>
      <c r="BA66" s="167"/>
      <c r="BB66" s="167"/>
      <c r="BC66" s="948" t="s">
        <v>516</v>
      </c>
    </row>
    <row r="67" spans="1:55" s="167" customFormat="1" ht="11.1" customHeight="1" x14ac:dyDescent="0.15">
      <c r="A67" s="123"/>
      <c r="B67" s="659"/>
      <c r="C67" s="123"/>
      <c r="D67" s="123"/>
      <c r="E67" s="668">
        <v>11.4</v>
      </c>
      <c r="F67" s="769"/>
      <c r="G67" s="160"/>
      <c r="H67" s="160"/>
      <c r="I67" s="160"/>
      <c r="J67" s="160"/>
      <c r="K67" s="160"/>
      <c r="L67" s="160"/>
      <c r="M67" s="160"/>
      <c r="N67" s="160"/>
      <c r="O67" s="160"/>
      <c r="P67" s="160"/>
      <c r="Q67" s="160"/>
      <c r="R67" s="160"/>
      <c r="S67" s="160"/>
      <c r="T67" s="160"/>
      <c r="U67" s="123"/>
      <c r="V67" s="123" t="s">
        <v>239</v>
      </c>
      <c r="W67" s="119" t="s">
        <v>517</v>
      </c>
      <c r="X67" s="123"/>
      <c r="Y67" s="123"/>
      <c r="Z67" s="123"/>
      <c r="AB67" s="141"/>
      <c r="AC67" s="141"/>
      <c r="AD67" s="141"/>
      <c r="AE67" s="147"/>
      <c r="AF67" s="141"/>
      <c r="AG67" s="141"/>
      <c r="AH67" s="141"/>
      <c r="AI67" s="141"/>
      <c r="AJ67" s="141"/>
      <c r="AK67" s="141"/>
      <c r="AL67" s="141"/>
      <c r="AM67" s="141"/>
      <c r="AN67" s="141"/>
      <c r="AO67" s="141"/>
      <c r="AP67" s="141"/>
      <c r="AQ67" s="141"/>
      <c r="AR67" s="141"/>
      <c r="AS67" s="141"/>
      <c r="AT67" s="141"/>
      <c r="AU67" s="141"/>
      <c r="AV67" s="141"/>
      <c r="AW67" s="141"/>
      <c r="AX67" s="141"/>
      <c r="AY67" s="141"/>
      <c r="AZ67" s="147"/>
      <c r="BA67" s="148"/>
      <c r="BC67" s="948"/>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xr:uid="{00000000-0002-0000-0600-000000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EAE28-EF9C-24F8-02C3-B40F3D61EC01}">
  <sheetPr>
    <tabColor theme="3" tint="0.59999389629810485"/>
    <outlinePr summaryBelow="0" summaryRight="0"/>
    <pageSetUpPr fitToPage="1"/>
  </sheetPr>
  <dimension ref="A1:BE83"/>
  <sheetViews>
    <sheetView showGridLines="0" workbookViewId="0">
      <pane xSplit="30" ySplit="25" topLeftCell="AE64" activePane="bottomRight" state="frozen"/>
      <selection pane="topRight" activeCell="AE1" sqref="AE1"/>
      <selection pane="bottomLeft" activeCell="A26" sqref="A26"/>
      <selection pane="bottomRight" activeCell="AO79" sqref="AO79"/>
    </sheetView>
  </sheetViews>
  <sheetFormatPr defaultColWidth="9.140625" defaultRowHeight="11.25" customHeight="1" x14ac:dyDescent="0.15"/>
  <cols>
    <col min="1" max="1" width="3.5703125" style="973" hidden="1" customWidth="1"/>
    <col min="2" max="2" width="8.5703125" style="773" hidden="1" customWidth="1"/>
    <col min="3" max="4" width="3.5703125" style="1152" hidden="1" customWidth="1"/>
    <col min="5" max="5" width="8.42578125" style="772" hidden="1" customWidth="1"/>
    <col min="6" max="6" width="6.42578125" style="1152" hidden="1" customWidth="1"/>
    <col min="7" max="16" width="3.5703125" style="1152" hidden="1" customWidth="1"/>
    <col min="17" max="18" width="3.5703125" style="769" hidden="1" customWidth="1"/>
    <col min="19" max="19" width="5.85546875" style="1152" hidden="1" customWidth="1"/>
    <col min="20" max="20" width="3.5703125" style="1152" hidden="1" customWidth="1"/>
    <col min="21" max="21" width="6.7109375" style="1152" hidden="1" customWidth="1"/>
    <col min="22" max="22" width="6" style="1152" hidden="1" customWidth="1"/>
    <col min="23" max="23" width="6.28515625" style="1152" hidden="1" customWidth="1"/>
    <col min="24" max="24" width="6.42578125" style="1152" hidden="1" customWidth="1"/>
    <col min="25" max="25" width="5.85546875" style="1152" hidden="1" customWidth="1"/>
    <col min="26" max="26" width="5.42578125" style="1152" hidden="1" customWidth="1"/>
    <col min="27" max="27" width="3" style="167" customWidth="1"/>
    <col min="28" max="28" width="6.140625" style="781" customWidth="1"/>
    <col min="29" max="29" width="52" style="158" customWidth="1"/>
    <col min="30" max="30" width="13.5703125" style="167" customWidth="1"/>
    <col min="31" max="31" width="15.140625" style="167" customWidth="1"/>
    <col min="32" max="40" width="15.140625" style="167" hidden="1" customWidth="1"/>
    <col min="41" max="41" width="15.140625" style="167" customWidth="1"/>
    <col min="42" max="50" width="15.140625" style="167" hidden="1" customWidth="1"/>
    <col min="51" max="51" width="3" style="167" customWidth="1"/>
    <col min="52" max="52" width="9.140625" style="167" hidden="1"/>
    <col min="53" max="55" width="9.140625" style="1001" hidden="1"/>
    <col min="56" max="57" width="9.140625" style="952" hidden="1"/>
  </cols>
  <sheetData>
    <row r="1" spans="1:57" s="1152" customFormat="1" ht="12" hidden="1" customHeight="1" x14ac:dyDescent="0.15">
      <c r="A1" s="973"/>
      <c r="B1" s="659"/>
      <c r="E1" s="659"/>
      <c r="F1" s="690" t="s">
        <v>83</v>
      </c>
      <c r="Q1" s="769"/>
      <c r="R1" s="769"/>
      <c r="U1" s="679" t="s">
        <v>86</v>
      </c>
      <c r="V1" s="679" t="s">
        <v>91</v>
      </c>
      <c r="W1" s="679" t="s">
        <v>87</v>
      </c>
      <c r="X1" s="679" t="s">
        <v>88</v>
      </c>
      <c r="Y1" s="679" t="s">
        <v>89</v>
      </c>
      <c r="Z1" s="679" t="s">
        <v>93</v>
      </c>
      <c r="AA1" s="679" t="s">
        <v>90</v>
      </c>
      <c r="AB1" s="679" t="s">
        <v>374</v>
      </c>
      <c r="AC1" s="679" t="s">
        <v>92</v>
      </c>
      <c r="BA1" s="948" t="s">
        <v>375</v>
      </c>
      <c r="BB1" s="948" t="s">
        <v>376</v>
      </c>
      <c r="BC1" s="948" t="s">
        <v>377</v>
      </c>
      <c r="BD1" s="952" t="s">
        <v>380</v>
      </c>
      <c r="BE1" s="952" t="s">
        <v>381</v>
      </c>
    </row>
    <row r="2" spans="1:57" s="773" customFormat="1" ht="12" hidden="1" customHeight="1" x14ac:dyDescent="0.15">
      <c r="A2" s="981"/>
      <c r="B2" s="758" t="s">
        <v>15</v>
      </c>
      <c r="AC2" s="663"/>
      <c r="AF2" s="680" t="b">
        <f t="shared" ref="AF2:AX2" si="0">AF6&lt;=last_year_vis</f>
        <v>0</v>
      </c>
      <c r="AG2" s="680" t="b">
        <f t="shared" si="0"/>
        <v>0</v>
      </c>
      <c r="AH2" s="680" t="b">
        <f t="shared" si="0"/>
        <v>0</v>
      </c>
      <c r="AI2" s="680" t="b">
        <f t="shared" si="0"/>
        <v>0</v>
      </c>
      <c r="AJ2" s="680" t="b">
        <f t="shared" si="0"/>
        <v>0</v>
      </c>
      <c r="AK2" s="680" t="b">
        <f t="shared" si="0"/>
        <v>0</v>
      </c>
      <c r="AL2" s="680" t="b">
        <f t="shared" si="0"/>
        <v>0</v>
      </c>
      <c r="AM2" s="680" t="b">
        <f t="shared" si="0"/>
        <v>0</v>
      </c>
      <c r="AN2" s="680" t="b">
        <f t="shared" si="0"/>
        <v>0</v>
      </c>
      <c r="AO2" s="680" t="b">
        <f t="shared" si="0"/>
        <v>1</v>
      </c>
      <c r="AP2" s="680" t="b">
        <f t="shared" si="0"/>
        <v>0</v>
      </c>
      <c r="AQ2" s="680" t="b">
        <f t="shared" si="0"/>
        <v>0</v>
      </c>
      <c r="AR2" s="680" t="b">
        <f t="shared" si="0"/>
        <v>0</v>
      </c>
      <c r="AS2" s="680" t="b">
        <f t="shared" si="0"/>
        <v>0</v>
      </c>
      <c r="AT2" s="680" t="b">
        <f t="shared" si="0"/>
        <v>0</v>
      </c>
      <c r="AU2" s="680" t="b">
        <f t="shared" si="0"/>
        <v>0</v>
      </c>
      <c r="AV2" s="680" t="b">
        <f t="shared" si="0"/>
        <v>0</v>
      </c>
      <c r="AW2" s="680" t="b">
        <f t="shared" si="0"/>
        <v>0</v>
      </c>
      <c r="AX2" s="680" t="b">
        <f t="shared" si="0"/>
        <v>0</v>
      </c>
      <c r="BA2" s="947"/>
      <c r="BB2" s="947"/>
      <c r="BC2" s="947"/>
      <c r="BD2" s="953"/>
      <c r="BE2" s="953"/>
    </row>
    <row r="3" spans="1:57" s="1152" customFormat="1" ht="12" hidden="1" customHeight="1" x14ac:dyDescent="0.15">
      <c r="A3" s="973"/>
      <c r="B3" s="659"/>
      <c r="E3" s="659"/>
      <c r="Q3" s="769"/>
      <c r="R3" s="769"/>
      <c r="AB3" s="126"/>
      <c r="AC3" s="119"/>
      <c r="BA3" s="948"/>
      <c r="BB3" s="948"/>
      <c r="BC3" s="948"/>
      <c r="BD3" s="952"/>
      <c r="BE3" s="952"/>
    </row>
    <row r="4" spans="1:57" s="1152" customFormat="1" ht="12" hidden="1" customHeight="1" x14ac:dyDescent="0.15">
      <c r="A4" s="973"/>
      <c r="B4" s="659"/>
      <c r="E4" s="659"/>
      <c r="Q4" s="769"/>
      <c r="R4" s="769"/>
      <c r="AB4" s="126"/>
      <c r="AC4" s="119"/>
      <c r="BA4" s="948"/>
      <c r="BB4" s="948"/>
      <c r="BC4" s="948"/>
      <c r="BD4" s="952"/>
      <c r="BE4" s="952"/>
    </row>
    <row r="5" spans="1:57" s="772" customFormat="1" ht="12" hidden="1" customHeight="1" x14ac:dyDescent="0.15">
      <c r="A5" s="981"/>
      <c r="B5" s="659"/>
      <c r="C5" s="659"/>
      <c r="D5" s="659"/>
      <c r="E5" s="668" t="s">
        <v>16</v>
      </c>
      <c r="AA5" s="674">
        <v>3</v>
      </c>
      <c r="AB5" s="668">
        <v>6.13</v>
      </c>
      <c r="AC5" s="674">
        <v>52</v>
      </c>
      <c r="AD5" s="668">
        <v>13.63</v>
      </c>
      <c r="AE5" s="668">
        <v>15.13</v>
      </c>
      <c r="AF5" s="668">
        <v>15.13</v>
      </c>
      <c r="AG5" s="668">
        <v>15.13</v>
      </c>
      <c r="AH5" s="668">
        <v>15.13</v>
      </c>
      <c r="AI5" s="668">
        <v>15.13</v>
      </c>
      <c r="AJ5" s="668">
        <v>15.13</v>
      </c>
      <c r="AK5" s="668">
        <v>15.13</v>
      </c>
      <c r="AL5" s="668">
        <v>15.13</v>
      </c>
      <c r="AM5" s="668">
        <v>15.13</v>
      </c>
      <c r="AN5" s="668">
        <v>15.13</v>
      </c>
      <c r="AO5" s="668">
        <v>15.13</v>
      </c>
      <c r="AP5" s="668">
        <v>15.13</v>
      </c>
      <c r="AQ5" s="668">
        <v>15.13</v>
      </c>
      <c r="AR5" s="668">
        <v>15.13</v>
      </c>
      <c r="AS5" s="668">
        <v>15.13</v>
      </c>
      <c r="AT5" s="668">
        <v>15.13</v>
      </c>
      <c r="AU5" s="668">
        <v>15.13</v>
      </c>
      <c r="AV5" s="668">
        <v>15.13</v>
      </c>
      <c r="AW5" s="668">
        <v>15.13</v>
      </c>
      <c r="AX5" s="668">
        <v>15.13</v>
      </c>
      <c r="AY5" s="668">
        <v>3</v>
      </c>
      <c r="BA5" s="947"/>
      <c r="BB5" s="947"/>
      <c r="BC5" s="947"/>
      <c r="BD5" s="953"/>
      <c r="BE5" s="953"/>
    </row>
    <row r="6" spans="1:57" s="1152" customFormat="1" ht="12" hidden="1" customHeight="1" x14ac:dyDescent="0.15">
      <c r="A6" s="973"/>
      <c r="B6" s="659"/>
      <c r="E6" s="668"/>
      <c r="Q6" s="769"/>
      <c r="R6" s="769"/>
      <c r="AB6" s="126"/>
      <c r="AC6" s="119"/>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A6" s="948"/>
      <c r="BB6" s="948"/>
      <c r="BC6" s="948"/>
      <c r="BD6" s="952"/>
      <c r="BE6" s="952"/>
    </row>
    <row r="7" spans="1:57" s="417" customFormat="1" ht="12" hidden="1" customHeight="1" x14ac:dyDescent="0.15">
      <c r="A7" s="973"/>
      <c r="B7" s="659"/>
      <c r="C7" s="123"/>
      <c r="D7" s="123"/>
      <c r="E7" s="668"/>
      <c r="G7" s="123"/>
      <c r="H7" s="123"/>
      <c r="I7" s="123"/>
      <c r="J7" s="123"/>
      <c r="K7" s="123"/>
      <c r="L7" s="123"/>
      <c r="M7" s="123"/>
      <c r="N7" s="123"/>
      <c r="O7" s="123"/>
      <c r="P7" s="123"/>
      <c r="Q7" s="769"/>
      <c r="R7" s="769"/>
      <c r="S7" s="123"/>
      <c r="T7" s="123"/>
      <c r="AB7" s="161"/>
      <c r="AC7" s="162"/>
      <c r="AE7" s="160" t="str" cm="1">
        <f t="array" ref="AE7">AE25</f>
        <v>Предложение организации</v>
      </c>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Принято органом регулирования</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BA7" s="948"/>
      <c r="BB7" s="948"/>
      <c r="BC7" s="948"/>
      <c r="BD7" s="952"/>
      <c r="BE7" s="952"/>
    </row>
    <row r="8" spans="1:57" s="417" customFormat="1" ht="12" hidden="1" customHeight="1" x14ac:dyDescent="0.15">
      <c r="A8" s="973"/>
      <c r="B8" s="659"/>
      <c r="C8" s="123"/>
      <c r="D8" s="123"/>
      <c r="E8" s="668"/>
      <c r="G8" s="123"/>
      <c r="H8" s="123"/>
      <c r="I8" s="123"/>
      <c r="J8" s="123"/>
      <c r="K8" s="123"/>
      <c r="L8" s="123"/>
      <c r="M8" s="123"/>
      <c r="N8" s="123"/>
      <c r="O8" s="123"/>
      <c r="P8" s="123"/>
      <c r="Q8" s="769"/>
      <c r="R8" s="769"/>
      <c r="S8" s="123"/>
      <c r="T8" s="123"/>
      <c r="AB8" s="161"/>
      <c r="AC8" s="162"/>
      <c r="AE8" s="160" t="str">
        <f t="shared" ref="AE8:AX8" si="1">AE6&amp;AE7</f>
        <v>2026Предложение организации</v>
      </c>
      <c r="AF8" s="160" t="str">
        <f t="shared" si="1"/>
        <v>2027Предложение организации</v>
      </c>
      <c r="AG8" s="160" t="str">
        <f t="shared" si="1"/>
        <v>2028Предложение организации</v>
      </c>
      <c r="AH8" s="160" t="str">
        <f t="shared" si="1"/>
        <v>2029Предложение организации</v>
      </c>
      <c r="AI8" s="160" t="str">
        <f t="shared" si="1"/>
        <v>2030Предложение организации</v>
      </c>
      <c r="AJ8" s="160" t="str">
        <f t="shared" si="1"/>
        <v>2031Предложение организации</v>
      </c>
      <c r="AK8" s="160" t="str">
        <f t="shared" si="1"/>
        <v>2032Предложение организации</v>
      </c>
      <c r="AL8" s="160" t="str">
        <f t="shared" si="1"/>
        <v>2033Предложение организации</v>
      </c>
      <c r="AM8" s="160" t="str">
        <f t="shared" si="1"/>
        <v>2034Предложение организации</v>
      </c>
      <c r="AN8" s="160" t="str">
        <f t="shared" si="1"/>
        <v>2035Предложение организации</v>
      </c>
      <c r="AO8" s="160" t="str">
        <f t="shared" si="1"/>
        <v>2026Принято органом регулирования</v>
      </c>
      <c r="AP8" s="160" t="str">
        <f t="shared" si="1"/>
        <v>2027Принято органом регулирования</v>
      </c>
      <c r="AQ8" s="160" t="str">
        <f t="shared" si="1"/>
        <v>2028Принято органом регулирования</v>
      </c>
      <c r="AR8" s="160" t="str">
        <f t="shared" si="1"/>
        <v>2029Принято органом регулирования</v>
      </c>
      <c r="AS8" s="160" t="str">
        <f t="shared" si="1"/>
        <v>2030Принято органом регулирования</v>
      </c>
      <c r="AT8" s="160" t="str">
        <f t="shared" si="1"/>
        <v>2031Принято органом регулирования</v>
      </c>
      <c r="AU8" s="160" t="str">
        <f t="shared" si="1"/>
        <v>2032Принято органом регулирования</v>
      </c>
      <c r="AV8" s="160" t="str">
        <f t="shared" si="1"/>
        <v>2033Принято органом регулирования</v>
      </c>
      <c r="AW8" s="160" t="str">
        <f t="shared" si="1"/>
        <v>2034Принято органом регулирования</v>
      </c>
      <c r="AX8" s="160" t="str">
        <f t="shared" si="1"/>
        <v>2035Принято органом регулирования</v>
      </c>
      <c r="BA8" s="948"/>
      <c r="BB8" s="948"/>
      <c r="BC8" s="948"/>
      <c r="BD8" s="952"/>
      <c r="BE8" s="952"/>
    </row>
    <row r="9" spans="1:57" s="1003" customFormat="1" ht="12" hidden="1" customHeight="1" x14ac:dyDescent="0.15">
      <c r="A9" s="948" t="s">
        <v>461</v>
      </c>
      <c r="B9" s="941"/>
      <c r="E9" s="941"/>
      <c r="Q9" s="950"/>
      <c r="R9" s="950"/>
      <c r="AB9" s="939"/>
      <c r="AE9" s="949" cm="1">
        <f t="array" ref="AE9">god</f>
        <v>2026</v>
      </c>
      <c r="AF9" s="949">
        <f>god+1</f>
        <v>2027</v>
      </c>
      <c r="AG9" s="949">
        <f>god+2</f>
        <v>2028</v>
      </c>
      <c r="AH9" s="949">
        <f>god+3</f>
        <v>2029</v>
      </c>
      <c r="AI9" s="949">
        <f>god+4</f>
        <v>2030</v>
      </c>
      <c r="AJ9" s="949">
        <f>god+5</f>
        <v>2031</v>
      </c>
      <c r="AK9" s="949">
        <f>god+6</f>
        <v>2032</v>
      </c>
      <c r="AL9" s="949">
        <f>god+7</f>
        <v>2033</v>
      </c>
      <c r="AM9" s="949">
        <f>god+8</f>
        <v>2034</v>
      </c>
      <c r="AN9" s="949">
        <f>god+9</f>
        <v>2035</v>
      </c>
      <c r="AO9" s="949" cm="1">
        <f t="array" ref="AO9">god</f>
        <v>2026</v>
      </c>
      <c r="AP9" s="949">
        <f>god+1</f>
        <v>2027</v>
      </c>
      <c r="AQ9" s="949">
        <f>god+2</f>
        <v>2028</v>
      </c>
      <c r="AR9" s="949">
        <f>god+3</f>
        <v>2029</v>
      </c>
      <c r="AS9" s="949">
        <f>god+4</f>
        <v>2030</v>
      </c>
      <c r="AT9" s="949">
        <f>god+5</f>
        <v>2031</v>
      </c>
      <c r="AU9" s="949">
        <f>god+6</f>
        <v>2032</v>
      </c>
      <c r="AV9" s="949">
        <f>god+7</f>
        <v>2033</v>
      </c>
      <c r="AW9" s="949">
        <f>god+8</f>
        <v>2034</v>
      </c>
      <c r="AX9" s="949">
        <f>god+9</f>
        <v>2035</v>
      </c>
      <c r="BA9" s="948"/>
      <c r="BB9" s="948"/>
      <c r="BC9" s="948"/>
      <c r="BD9" s="948"/>
      <c r="BE9" s="948"/>
    </row>
    <row r="10" spans="1:57" s="1003" customFormat="1" ht="12" hidden="1" customHeight="1" x14ac:dyDescent="0.15">
      <c r="A10" s="948" t="s">
        <v>462</v>
      </c>
      <c r="B10" s="941"/>
      <c r="E10" s="941"/>
      <c r="Q10" s="950"/>
      <c r="R10" s="950"/>
      <c r="AB10" s="939"/>
      <c r="AE10" s="949" t="str" cm="1">
        <f t="array" ref="AE10">AE25</f>
        <v>Предложение организации</v>
      </c>
      <c r="AF10" s="949" t="str" cm="1">
        <f t="array" ref="AF10">AF25</f>
        <v>Предложение организации</v>
      </c>
      <c r="AG10" s="949" t="str" cm="1">
        <f t="array" ref="AG10">AG25</f>
        <v>Предложение организации</v>
      </c>
      <c r="AH10" s="949" t="str" cm="1">
        <f t="array" ref="AH10">AH25</f>
        <v>Предложение организации</v>
      </c>
      <c r="AI10" s="949" t="str" cm="1">
        <f t="array" ref="AI10">AI25</f>
        <v>Предложение организации</v>
      </c>
      <c r="AJ10" s="949" t="str" cm="1">
        <f t="array" ref="AJ10">AJ25</f>
        <v>Предложение организации</v>
      </c>
      <c r="AK10" s="949" t="str" cm="1">
        <f t="array" ref="AK10">AK25</f>
        <v>Предложение организации</v>
      </c>
      <c r="AL10" s="949" t="str" cm="1">
        <f t="array" ref="AL10">AL25</f>
        <v>Предложение организации</v>
      </c>
      <c r="AM10" s="949" t="str" cm="1">
        <f t="array" ref="AM10">AM25</f>
        <v>Предложение организации</v>
      </c>
      <c r="AN10" s="949" t="str" cm="1">
        <f t="array" ref="AN10">AN25</f>
        <v>Предложение организации</v>
      </c>
      <c r="AO10" s="949" t="str" cm="1">
        <f t="array" ref="AO10">AO25</f>
        <v>Принято органом регулирования</v>
      </c>
      <c r="AP10" s="949" t="str" cm="1">
        <f t="array" ref="AP10">AP25</f>
        <v>Принято органом регулирования</v>
      </c>
      <c r="AQ10" s="949" t="str" cm="1">
        <f t="array" ref="AQ10">AQ25</f>
        <v>Принято органом регулирования</v>
      </c>
      <c r="AR10" s="949" t="str" cm="1">
        <f t="array" ref="AR10">AR25</f>
        <v>Принято органом регулирования</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BA10" s="948"/>
      <c r="BB10" s="948"/>
      <c r="BC10" s="948"/>
      <c r="BD10" s="948"/>
      <c r="BE10" s="948"/>
    </row>
    <row r="11" spans="1:57" s="1003" customFormat="1" ht="12" hidden="1" customHeight="1" x14ac:dyDescent="0.15">
      <c r="A11" s="948" t="s">
        <v>386</v>
      </c>
      <c r="B11" s="941"/>
      <c r="E11" s="941"/>
      <c r="Q11" s="950"/>
      <c r="R11" s="950"/>
      <c r="AB11" s="939"/>
      <c r="AC11" s="951" t="s">
        <v>377</v>
      </c>
      <c r="BA11" s="948"/>
      <c r="BB11" s="948"/>
      <c r="BC11" s="948"/>
      <c r="BD11" s="948"/>
      <c r="BE11" s="948"/>
    </row>
    <row r="12" spans="1:57" s="1152" customFormat="1" ht="12" hidden="1" customHeight="1" x14ac:dyDescent="0.15">
      <c r="A12" s="973"/>
      <c r="B12" s="659"/>
      <c r="E12" s="668"/>
      <c r="Q12" s="769"/>
      <c r="R12" s="769"/>
      <c r="AB12" s="126"/>
      <c r="AC12" s="119"/>
      <c r="BA12" s="948"/>
      <c r="BB12" s="948"/>
      <c r="BC12" s="948"/>
      <c r="BD12" s="952"/>
      <c r="BE12" s="952"/>
    </row>
    <row r="13" spans="1:57" s="1152" customFormat="1" ht="12" hidden="1" customHeight="1" x14ac:dyDescent="0.15">
      <c r="A13" s="973"/>
      <c r="B13" s="659"/>
      <c r="E13" s="668"/>
      <c r="Q13" s="769"/>
      <c r="R13" s="769"/>
      <c r="AB13" s="126"/>
      <c r="AC13" s="119"/>
      <c r="BA13" s="948"/>
      <c r="BB13" s="948"/>
      <c r="BC13" s="948"/>
      <c r="BD13" s="952"/>
      <c r="BE13" s="952"/>
    </row>
    <row r="14" spans="1:57" s="1152" customFormat="1" ht="12" hidden="1" customHeight="1" x14ac:dyDescent="0.15">
      <c r="A14" s="973"/>
      <c r="B14" s="659"/>
      <c r="E14" s="668"/>
      <c r="Q14" s="769"/>
      <c r="R14" s="769"/>
      <c r="AB14" s="126"/>
      <c r="AC14" s="119"/>
      <c r="BA14" s="948"/>
      <c r="BB14" s="948"/>
      <c r="BC14" s="948"/>
      <c r="BD14" s="952"/>
      <c r="BE14" s="952"/>
    </row>
    <row r="15" spans="1:57" s="1152" customFormat="1" ht="12" hidden="1" customHeight="1" x14ac:dyDescent="0.15">
      <c r="A15" s="973"/>
      <c r="B15" s="659"/>
      <c r="E15" s="668"/>
      <c r="Q15" s="769"/>
      <c r="R15" s="769"/>
      <c r="AB15" s="126"/>
      <c r="AC15" s="119"/>
      <c r="BA15" s="948"/>
      <c r="BB15" s="948"/>
      <c r="BC15" s="948"/>
      <c r="BD15" s="952"/>
      <c r="BE15" s="952"/>
    </row>
    <row r="16" spans="1:57" s="1152" customFormat="1" ht="12" hidden="1" customHeight="1" x14ac:dyDescent="0.15">
      <c r="A16" s="973"/>
      <c r="B16" s="659"/>
      <c r="E16" s="668"/>
      <c r="Q16" s="769"/>
      <c r="R16" s="769"/>
      <c r="AB16" s="126"/>
      <c r="AC16" s="119"/>
      <c r="BA16" s="948"/>
      <c r="BB16" s="948"/>
      <c r="BC16" s="948"/>
      <c r="BD16" s="952"/>
      <c r="BE16" s="952"/>
    </row>
    <row r="17" spans="1:57" s="1152" customFormat="1" ht="12" hidden="1" customHeight="1" x14ac:dyDescent="0.15">
      <c r="A17" s="973"/>
      <c r="B17" s="659"/>
      <c r="E17" s="668"/>
      <c r="Q17" s="769"/>
      <c r="R17" s="769"/>
      <c r="AB17" s="126"/>
      <c r="AC17" s="119"/>
      <c r="BA17" s="948"/>
      <c r="BB17" s="948"/>
      <c r="BC17" s="948"/>
      <c r="BD17" s="952"/>
      <c r="BE17" s="952"/>
    </row>
    <row r="18" spans="1:57" s="1152" customFormat="1" ht="12" hidden="1" customHeight="1" x14ac:dyDescent="0.15">
      <c r="A18" s="918" t="s">
        <v>518</v>
      </c>
      <c r="B18" s="659"/>
      <c r="E18" s="668"/>
      <c r="Q18" s="769"/>
      <c r="R18" s="769"/>
      <c r="AB18" s="126"/>
      <c r="AC18" s="119" t="s">
        <v>519</v>
      </c>
      <c r="BA18" s="948"/>
      <c r="BB18" s="948"/>
      <c r="BC18" s="948"/>
      <c r="BD18" s="952"/>
      <c r="BE18" s="952"/>
    </row>
    <row r="19" spans="1:57" s="1152" customFormat="1" ht="12" hidden="1" customHeight="1" x14ac:dyDescent="0.15">
      <c r="A19" s="973"/>
      <c r="B19" s="659"/>
      <c r="E19" s="668"/>
      <c r="Q19" s="769"/>
      <c r="R19" s="769"/>
      <c r="AB19" s="126"/>
      <c r="AC19" s="119"/>
      <c r="BA19" s="948"/>
      <c r="BB19" s="948"/>
      <c r="BC19" s="948"/>
      <c r="BD19" s="952"/>
      <c r="BE19" s="952"/>
    </row>
    <row r="20" spans="1:57" s="1152" customFormat="1" ht="12" hidden="1" customHeight="1" x14ac:dyDescent="0.15">
      <c r="A20" s="973"/>
      <c r="B20" s="659"/>
      <c r="E20" s="668"/>
      <c r="Q20" s="769"/>
      <c r="R20" s="769"/>
      <c r="AB20" s="126"/>
      <c r="AC20" s="119"/>
      <c r="BA20" s="948"/>
      <c r="BB20" s="948"/>
      <c r="BC20" s="948"/>
      <c r="BD20" s="952"/>
      <c r="BE20" s="952"/>
    </row>
    <row r="21" spans="1:57" ht="14.65" customHeight="1" x14ac:dyDescent="0.15">
      <c r="E21" s="668">
        <v>15</v>
      </c>
      <c r="AA21" s="691"/>
      <c r="AC21" s="335" t="str" cm="1">
        <f t="array" ref="AC21">tpl_title</f>
        <v>Кемеровская область / 2026 / ООО ХК "СДС - Энерго" (ИНН:4250003450, КПП:420501001) / ДПР: 2024-2028</v>
      </c>
      <c r="AD21" s="786"/>
    </row>
    <row r="22" spans="1:57" ht="21.95" customHeight="1" x14ac:dyDescent="0.2">
      <c r="E22" s="668">
        <v>22.5</v>
      </c>
      <c r="AB22" s="323" t="s">
        <v>29</v>
      </c>
      <c r="AC22" s="214"/>
      <c r="AD22" s="214"/>
      <c r="AE22" s="215"/>
      <c r="AF22" s="215"/>
      <c r="AG22" s="215"/>
      <c r="AH22" s="215"/>
      <c r="AI22" s="215"/>
      <c r="AJ22" s="215"/>
      <c r="AK22" s="215"/>
      <c r="AL22" s="215"/>
      <c r="AM22" s="215"/>
      <c r="AN22" s="215"/>
      <c r="AO22" s="215"/>
      <c r="AP22" s="215"/>
      <c r="AQ22" s="215"/>
      <c r="AR22" s="215"/>
      <c r="AS22" s="215"/>
      <c r="AT22" s="215"/>
      <c r="AU22" s="215"/>
      <c r="AV22" s="215"/>
      <c r="AW22" s="215"/>
      <c r="AX22" s="215"/>
    </row>
    <row r="23" spans="1:57" s="168" customFormat="1" ht="11.1" customHeight="1" x14ac:dyDescent="0.15">
      <c r="A23" s="973"/>
      <c r="B23" s="659"/>
      <c r="C23" s="123"/>
      <c r="D23" s="123"/>
      <c r="E23" s="668">
        <v>11.4</v>
      </c>
      <c r="F23" s="123"/>
      <c r="G23" s="123"/>
      <c r="H23" s="123"/>
      <c r="I23" s="123"/>
      <c r="J23" s="123"/>
      <c r="K23" s="123"/>
      <c r="L23" s="123"/>
      <c r="M23" s="123"/>
      <c r="N23" s="123"/>
      <c r="O23" s="123"/>
      <c r="P23" s="123"/>
      <c r="Q23" s="769"/>
      <c r="R23" s="769"/>
      <c r="S23" s="123"/>
      <c r="T23" s="123"/>
      <c r="U23" s="123"/>
      <c r="V23" s="123"/>
      <c r="W23" s="123"/>
      <c r="X23" s="123"/>
      <c r="Y23" s="123"/>
      <c r="Z23" s="123"/>
      <c r="AA23" s="766"/>
      <c r="AB23" s="149"/>
      <c r="AC23" s="150"/>
      <c r="AD23" s="151"/>
      <c r="BA23" s="948"/>
      <c r="BB23" s="948"/>
      <c r="BC23" s="948"/>
      <c r="BD23" s="952"/>
      <c r="BE23" s="952"/>
    </row>
    <row r="24" spans="1:57" ht="14.65" customHeight="1" x14ac:dyDescent="0.15">
      <c r="E24" s="668">
        <v>15</v>
      </c>
      <c r="AB24" s="1490" t="s">
        <v>388</v>
      </c>
      <c r="AC24" s="1490" t="s">
        <v>519</v>
      </c>
      <c r="AD24" s="1492" t="s">
        <v>465</v>
      </c>
      <c r="AE24" s="1133" t="str">
        <f>god&amp;" год"</f>
        <v>2026 год</v>
      </c>
      <c r="AF24" s="1134" t="str">
        <f>god+1&amp;" год"</f>
        <v>2027 год</v>
      </c>
      <c r="AG24" s="1133" t="str">
        <f>god+2&amp;" год"</f>
        <v>2028 год</v>
      </c>
      <c r="AH24" s="1133" t="str">
        <f>god+3&amp;" год"</f>
        <v>2029 год</v>
      </c>
      <c r="AI24" s="1133" t="str">
        <f>god+4&amp;" год"</f>
        <v>2030 год</v>
      </c>
      <c r="AJ24" s="1133" t="str">
        <f>god+5&amp;" год"</f>
        <v>2031 год</v>
      </c>
      <c r="AK24" s="1133" t="str">
        <f>god+6&amp;" год"</f>
        <v>2032 год</v>
      </c>
      <c r="AL24" s="1133" t="str">
        <f>god+7&amp;" год"</f>
        <v>2033 год</v>
      </c>
      <c r="AM24" s="1133" t="str">
        <f>god+8&amp;" год"</f>
        <v>2034 год</v>
      </c>
      <c r="AN24" s="1133" t="str">
        <f>god+9&amp;" год"</f>
        <v>2035 год</v>
      </c>
      <c r="AO24" s="117" t="str">
        <f>god&amp;" год"</f>
        <v>2026 год</v>
      </c>
      <c r="AP24" s="117" t="str">
        <f>god+1&amp;" год"</f>
        <v>2027 год</v>
      </c>
      <c r="AQ24" s="117" t="str">
        <f>god+2&amp;" год"</f>
        <v>2028 год</v>
      </c>
      <c r="AR24" s="117" t="str">
        <f>god+3&amp;" год"</f>
        <v>2029 год</v>
      </c>
      <c r="AS24" s="117" t="str">
        <f>god+4&amp;" год"</f>
        <v>2030 год</v>
      </c>
      <c r="AT24" s="117" t="str">
        <f>god+5&amp;" год"</f>
        <v>2031 год</v>
      </c>
      <c r="AU24" s="117" t="str">
        <f>god+6&amp;" год"</f>
        <v>2032 год</v>
      </c>
      <c r="AV24" s="117" t="str">
        <f>god+7&amp;" год"</f>
        <v>2033 год</v>
      </c>
      <c r="AW24" s="117" t="str">
        <f>god+8&amp;" год"</f>
        <v>2034 год</v>
      </c>
      <c r="AX24" s="117" t="str">
        <f>god+9&amp;" год"</f>
        <v>2035 год</v>
      </c>
    </row>
    <row r="25" spans="1:57" ht="67.349999999999994" customHeight="1" x14ac:dyDescent="0.15">
      <c r="E25" s="668">
        <v>69</v>
      </c>
      <c r="AB25" s="1491"/>
      <c r="AC25" s="1490"/>
      <c r="AD25" s="1492"/>
      <c r="AE25" s="1133" t="s">
        <v>405</v>
      </c>
      <c r="AF25" s="1134" t="s">
        <v>405</v>
      </c>
      <c r="AG25" s="1133" t="s">
        <v>405</v>
      </c>
      <c r="AH25" s="1133" t="s">
        <v>405</v>
      </c>
      <c r="AI25" s="1133" t="s">
        <v>405</v>
      </c>
      <c r="AJ25" s="1133" t="s">
        <v>405</v>
      </c>
      <c r="AK25" s="1133" t="s">
        <v>405</v>
      </c>
      <c r="AL25" s="1133" t="s">
        <v>405</v>
      </c>
      <c r="AM25" s="1133" t="s">
        <v>405</v>
      </c>
      <c r="AN25" s="1133" t="s">
        <v>405</v>
      </c>
      <c r="AO25" s="117" t="s">
        <v>404</v>
      </c>
      <c r="AP25" s="117" t="s">
        <v>404</v>
      </c>
      <c r="AQ25" s="117" t="s">
        <v>404</v>
      </c>
      <c r="AR25" s="117" t="s">
        <v>404</v>
      </c>
      <c r="AS25" s="117" t="s">
        <v>404</v>
      </c>
      <c r="AT25" s="117" t="s">
        <v>404</v>
      </c>
      <c r="AU25" s="117" t="s">
        <v>404</v>
      </c>
      <c r="AV25" s="117" t="s">
        <v>404</v>
      </c>
      <c r="AW25" s="117" t="s">
        <v>404</v>
      </c>
      <c r="AX25" s="117" t="s">
        <v>404</v>
      </c>
    </row>
    <row r="26" spans="1:57" ht="23.45" customHeight="1" x14ac:dyDescent="0.15">
      <c r="E26" s="668">
        <v>24</v>
      </c>
      <c r="AB26" s="105"/>
      <c r="AC26" s="704" t="s">
        <v>520</v>
      </c>
      <c r="AD26" s="156" t="s">
        <v>521</v>
      </c>
      <c r="AE26" s="919">
        <v>1.22</v>
      </c>
      <c r="AF26" s="1214"/>
      <c r="AG26" s="1214"/>
      <c r="AH26" s="1214"/>
      <c r="AI26" s="1214"/>
      <c r="AJ26" s="1214"/>
      <c r="AK26" s="1214"/>
      <c r="AL26" s="1214"/>
      <c r="AM26" s="1214"/>
      <c r="AN26" s="1214"/>
      <c r="AO26" s="919">
        <v>1.22</v>
      </c>
      <c r="AP26" s="1214"/>
      <c r="AQ26" s="1214"/>
      <c r="AR26" s="1214"/>
      <c r="AS26" s="1214"/>
      <c r="AT26" s="1214"/>
      <c r="AU26" s="1214"/>
      <c r="AV26" s="1214"/>
      <c r="AW26" s="1214"/>
      <c r="AX26" s="1214"/>
    </row>
    <row r="27" spans="1:57" ht="23.25" hidden="1" customHeight="1" x14ac:dyDescent="0.15">
      <c r="E27" s="668">
        <v>0</v>
      </c>
      <c r="AB27" s="312"/>
      <c r="AC27" s="312"/>
      <c r="AD27" s="312"/>
      <c r="AE27" s="119"/>
      <c r="AF27" s="119"/>
      <c r="AG27" s="119"/>
      <c r="AH27" s="119"/>
      <c r="AI27" s="119"/>
      <c r="AJ27" s="119"/>
      <c r="AK27" s="119"/>
      <c r="AL27" s="119"/>
      <c r="AM27" s="119"/>
      <c r="AN27" s="119"/>
      <c r="AO27" s="119"/>
      <c r="AP27" s="119"/>
      <c r="AQ27" s="119"/>
      <c r="AR27" s="119"/>
      <c r="AS27" s="119"/>
      <c r="AT27" s="119"/>
      <c r="AU27" s="119"/>
      <c r="AV27" s="119"/>
      <c r="AW27" s="119"/>
      <c r="AX27" s="119"/>
    </row>
    <row r="28" spans="1:57" s="162" customFormat="1" ht="11.1" hidden="1" customHeight="1" x14ac:dyDescent="0.15">
      <c r="E28" s="674">
        <v>11.4</v>
      </c>
      <c r="F28" s="769" cm="1">
        <f t="array" ref="F28">Y28</f>
        <v>0</v>
      </c>
      <c r="U28" s="770" t="b">
        <f>F28&gt;0</f>
        <v>0</v>
      </c>
      <c r="W28" s="119" t="s">
        <v>313</v>
      </c>
      <c r="Y28" s="1480">
        <v>0</v>
      </c>
      <c r="Z28" s="1489"/>
      <c r="AB28" s="210" t="str" cm="1">
        <f t="array" ref="AB28">INDEX('Общие сведения'!$AG$169:$AG$202,MATCH($F28,'Общие сведения'!$Z$169:$Z$202,0))</f>
        <v xml:space="preserve">Тариф 0 (Теплоснабжение) - </v>
      </c>
      <c r="AC28" s="207"/>
      <c r="AD28" s="201"/>
      <c r="AE28" s="201"/>
      <c r="AF28" s="201"/>
      <c r="AG28" s="201"/>
      <c r="AH28" s="201"/>
      <c r="AI28" s="201"/>
      <c r="AJ28" s="201"/>
      <c r="AK28" s="201"/>
      <c r="AL28" s="201"/>
      <c r="AM28" s="201"/>
      <c r="AN28" s="201"/>
      <c r="AO28" s="201"/>
      <c r="AP28" s="201"/>
      <c r="AQ28" s="201"/>
      <c r="AR28" s="201"/>
      <c r="AS28" s="201"/>
      <c r="AT28" s="201"/>
      <c r="AU28" s="201"/>
      <c r="AV28" s="201"/>
      <c r="AW28" s="201"/>
      <c r="AX28" s="201"/>
      <c r="BA28" s="948"/>
      <c r="BB28" s="954"/>
      <c r="BC28" s="954"/>
      <c r="BD28" s="955"/>
      <c r="BE28" s="955"/>
    </row>
    <row r="29" spans="1:57" ht="11.1" hidden="1" customHeight="1" x14ac:dyDescent="0.15">
      <c r="E29" s="668">
        <v>11.4</v>
      </c>
      <c r="F29" s="769" cm="1">
        <f t="array" aca="1" ref="F29" ca="1">OFFSET(G29,-1,-1)</f>
        <v>0</v>
      </c>
      <c r="U29" s="770" t="b">
        <f ca="1">F29&gt;0</f>
        <v>0</v>
      </c>
      <c r="Y29" s="1485"/>
      <c r="Z29" s="1485"/>
      <c r="AB29" s="287"/>
      <c r="AC29" s="288" t="s">
        <v>522</v>
      </c>
      <c r="AD29" s="289"/>
      <c r="AE29" s="314"/>
      <c r="AF29" s="314"/>
      <c r="AG29" s="314"/>
      <c r="AH29" s="314"/>
      <c r="AI29" s="314"/>
      <c r="AJ29" s="314"/>
      <c r="AK29" s="314"/>
      <c r="AL29" s="314"/>
      <c r="AM29" s="314"/>
      <c r="AN29" s="314"/>
      <c r="AO29" s="314"/>
      <c r="AP29" s="314"/>
      <c r="AQ29" s="314"/>
      <c r="AR29" s="314"/>
      <c r="AS29" s="314"/>
      <c r="AT29" s="314"/>
      <c r="AU29" s="314"/>
      <c r="AV29" s="314"/>
      <c r="AW29" s="314"/>
      <c r="AX29" s="314"/>
    </row>
    <row r="30" spans="1:57" ht="16.7" hidden="1" customHeight="1" x14ac:dyDescent="0.15">
      <c r="E30" s="668">
        <v>17.100000000000001</v>
      </c>
      <c r="F30" s="769" cm="1">
        <f t="array" aca="1" ref="F30" ca="1">OFFSET(G30,-1,-1)</f>
        <v>0</v>
      </c>
      <c r="G30" s="769" t="s">
        <v>523</v>
      </c>
      <c r="H30" s="123" t="s">
        <v>524</v>
      </c>
      <c r="U30" s="876" t="b">
        <f ca="1">AND(F30&gt;0,method_reg&lt;&gt;"Метод экономически обоснованных расходов")</f>
        <v>0</v>
      </c>
      <c r="Y30" s="1485"/>
      <c r="Z30" s="1485"/>
      <c r="AB30" s="153">
        <v>1</v>
      </c>
      <c r="AC30" s="154" t="s">
        <v>525</v>
      </c>
      <c r="AD30" s="156" t="s">
        <v>521</v>
      </c>
      <c r="AE30" s="18">
        <v>1</v>
      </c>
      <c r="AF30" s="1215">
        <v>1</v>
      </c>
      <c r="AG30" s="1215">
        <v>1</v>
      </c>
      <c r="AH30" s="18">
        <v>1</v>
      </c>
      <c r="AI30" s="18">
        <v>1</v>
      </c>
      <c r="AJ30" s="18">
        <v>1</v>
      </c>
      <c r="AK30" s="18">
        <v>1</v>
      </c>
      <c r="AL30" s="18">
        <v>1</v>
      </c>
      <c r="AM30" s="18">
        <v>1</v>
      </c>
      <c r="AN30" s="18">
        <v>1</v>
      </c>
      <c r="AO30" s="307">
        <v>1</v>
      </c>
      <c r="AP30" s="1215">
        <v>1</v>
      </c>
      <c r="AQ30" s="1215">
        <v>1</v>
      </c>
      <c r="AR30" s="18">
        <v>1</v>
      </c>
      <c r="AS30" s="18">
        <v>1</v>
      </c>
      <c r="AT30" s="18">
        <v>1</v>
      </c>
      <c r="AU30" s="18">
        <v>1</v>
      </c>
      <c r="AV30" s="18">
        <v>1</v>
      </c>
      <c r="AW30" s="18">
        <v>1</v>
      </c>
      <c r="AX30" s="18">
        <v>1</v>
      </c>
      <c r="BA30" s="948" t="s">
        <v>526</v>
      </c>
    </row>
    <row r="31" spans="1:57" ht="29.25" hidden="1" customHeight="1" x14ac:dyDescent="0.15">
      <c r="E31" s="668">
        <v>30</v>
      </c>
      <c r="F31" s="769" cm="1">
        <f t="array" aca="1" ref="F31" ca="1">OFFSET(G31,-1,-1)</f>
        <v>0</v>
      </c>
      <c r="H31" s="123" t="s">
        <v>527</v>
      </c>
      <c r="U31" s="876" t="b">
        <f ca="1">AND(F31&gt;0,method_reg&lt;&gt;"Метод экономически обоснованных расходов")</f>
        <v>0</v>
      </c>
      <c r="Y31" s="1485"/>
      <c r="Z31" s="1485"/>
      <c r="AB31" s="707" t="s">
        <v>426</v>
      </c>
      <c r="AC31" s="708" t="s">
        <v>528</v>
      </c>
      <c r="AD31" s="709"/>
      <c r="AE31" s="19"/>
      <c r="AF31" s="19"/>
      <c r="AG31" s="19"/>
      <c r="AH31" s="19"/>
      <c r="AI31" s="19"/>
      <c r="AJ31" s="19"/>
      <c r="AK31" s="19"/>
      <c r="AL31" s="19"/>
      <c r="AM31" s="19"/>
      <c r="AN31" s="19"/>
      <c r="AO31" s="19"/>
      <c r="AP31" s="19"/>
      <c r="AQ31" s="19"/>
      <c r="AR31" s="19"/>
      <c r="AS31" s="19"/>
      <c r="AT31" s="19"/>
      <c r="AU31" s="19"/>
      <c r="AV31" s="19"/>
      <c r="AW31" s="19"/>
      <c r="AX31" s="19"/>
    </row>
    <row r="32" spans="1:57" ht="17.25" hidden="1" customHeight="1" x14ac:dyDescent="0.15">
      <c r="E32" s="668">
        <v>0</v>
      </c>
      <c r="F32" s="769" cm="1">
        <f t="array" aca="1" ref="F32" ca="1">OFFSET(G32,-1,-1)</f>
        <v>0</v>
      </c>
      <c r="U32" s="876" t="b">
        <f ca="1">AND(F32&gt;0,method_reg&lt;&gt;"Метод экономически обоснованных расходов")</f>
        <v>0</v>
      </c>
      <c r="Y32" s="1485"/>
      <c r="Z32" s="1485"/>
      <c r="AB32" s="710"/>
      <c r="AC32" s="708"/>
      <c r="AD32" s="709"/>
      <c r="AE32" s="19"/>
      <c r="AF32" s="19"/>
      <c r="AG32" s="19"/>
      <c r="AH32" s="19"/>
      <c r="AI32" s="19"/>
      <c r="AJ32" s="19"/>
      <c r="AK32" s="19"/>
      <c r="AL32" s="19"/>
      <c r="AM32" s="19"/>
      <c r="AN32" s="19"/>
      <c r="AO32" s="19"/>
      <c r="AP32" s="19"/>
      <c r="AQ32" s="19"/>
      <c r="AR32" s="19"/>
      <c r="AS32" s="19"/>
      <c r="AT32" s="19"/>
      <c r="AU32" s="19"/>
      <c r="AV32" s="19"/>
      <c r="AW32" s="19"/>
      <c r="AX32" s="19"/>
    </row>
    <row r="33" spans="5:57" ht="16.7" hidden="1" customHeight="1" x14ac:dyDescent="0.15">
      <c r="E33" s="668">
        <v>17.100000000000001</v>
      </c>
      <c r="F33" s="769" cm="1">
        <f t="array" aca="1" ref="F33" ca="1">OFFSET(G33,-1,-1)</f>
        <v>0</v>
      </c>
      <c r="U33" s="876" t="b">
        <f ca="1">AND(F33&gt;0,AB33&lt;&gt;"2.0",method_reg&lt;&gt;"Метод экономически обоснованных расходов")</f>
        <v>0</v>
      </c>
      <c r="X33" s="123" t="s">
        <v>237</v>
      </c>
      <c r="Y33" s="1485"/>
      <c r="Z33" s="1485"/>
      <c r="AA33" s="764" t="s">
        <v>218</v>
      </c>
      <c r="AB33" s="745" t="s">
        <v>529</v>
      </c>
      <c r="AC33" s="20"/>
      <c r="AD33" s="746" t="s">
        <v>521</v>
      </c>
      <c r="AE33" s="21"/>
      <c r="AF33" s="1216"/>
      <c r="AG33" s="1216"/>
      <c r="AH33" s="21"/>
      <c r="AI33" s="21"/>
      <c r="AJ33" s="21"/>
      <c r="AK33" s="21"/>
      <c r="AL33" s="21"/>
      <c r="AM33" s="21"/>
      <c r="AN33" s="21"/>
      <c r="AO33" s="920"/>
      <c r="AP33" s="1216"/>
      <c r="AQ33" s="1216"/>
      <c r="AR33" s="21"/>
      <c r="AS33" s="21"/>
      <c r="AT33" s="21"/>
      <c r="AU33" s="21"/>
      <c r="AV33" s="21"/>
      <c r="AW33" s="21"/>
      <c r="AX33" s="21"/>
      <c r="BA33" s="948" t="s">
        <v>530</v>
      </c>
      <c r="BB33" s="948" t="s">
        <v>531</v>
      </c>
      <c r="BC33" s="948" cm="1">
        <f t="array" ref="BC33">AC33</f>
        <v>0</v>
      </c>
      <c r="BE33" s="952" t="b">
        <v>1</v>
      </c>
    </row>
    <row r="34" spans="5:57" ht="16.7" hidden="1" customHeight="1" x14ac:dyDescent="0.15">
      <c r="E34" s="668">
        <v>17.100000000000001</v>
      </c>
      <c r="F34" s="769" cm="1">
        <f t="array" aca="1" ref="F34" ca="1">OFFSET(G34,-1,-1)</f>
        <v>0</v>
      </c>
      <c r="U34" s="876" t="b">
        <f ca="1">AND(F34&gt;0,method_reg&lt;&gt;"Метод экономически обоснованных расходов")</f>
        <v>0</v>
      </c>
      <c r="X34" s="810" t="s">
        <v>532</v>
      </c>
      <c r="Y34" s="1485"/>
      <c r="Z34" s="1485"/>
      <c r="AB34" s="246"/>
      <c r="AC34" s="608" t="s">
        <v>239</v>
      </c>
      <c r="AD34" s="247"/>
      <c r="AE34" s="247"/>
      <c r="AF34" s="247"/>
      <c r="AG34" s="247"/>
      <c r="AH34" s="247"/>
      <c r="AI34" s="247"/>
      <c r="AJ34" s="247"/>
      <c r="AK34" s="247"/>
      <c r="AL34" s="247"/>
      <c r="AM34" s="247"/>
      <c r="AN34" s="247"/>
      <c r="AO34" s="247"/>
      <c r="AP34" s="247"/>
      <c r="AQ34" s="247"/>
      <c r="AR34" s="247"/>
      <c r="AS34" s="247"/>
      <c r="AT34" s="247"/>
      <c r="AU34" s="247"/>
      <c r="AV34" s="247"/>
      <c r="AW34" s="247"/>
      <c r="AX34" s="248"/>
      <c r="BD34" s="952" t="s">
        <v>531</v>
      </c>
    </row>
    <row r="35" spans="5:57" ht="16.7" hidden="1" customHeight="1" x14ac:dyDescent="0.15">
      <c r="E35" s="668">
        <v>17.100000000000001</v>
      </c>
      <c r="F35" s="769" cm="1">
        <f t="array" aca="1" ref="F35" ca="1">OFFSET(G35,-1,-1)</f>
        <v>0</v>
      </c>
      <c r="G35" s="769" t="s">
        <v>533</v>
      </c>
      <c r="H35" s="123" t="s">
        <v>534</v>
      </c>
      <c r="U35" s="770" t="b">
        <f t="shared" ref="U35:U47" ca="1" si="2">F35&gt;0</f>
        <v>0</v>
      </c>
      <c r="Y35" s="1485"/>
      <c r="Z35" s="1485"/>
      <c r="AB35" s="747">
        <v>3</v>
      </c>
      <c r="AC35" s="748" t="s">
        <v>535</v>
      </c>
      <c r="AD35" s="749" t="s">
        <v>521</v>
      </c>
      <c r="AE35" s="22"/>
      <c r="AF35" s="1214"/>
      <c r="AG35" s="1214"/>
      <c r="AH35" s="22"/>
      <c r="AI35" s="22"/>
      <c r="AJ35" s="22"/>
      <c r="AK35" s="22"/>
      <c r="AL35" s="22"/>
      <c r="AM35" s="22"/>
      <c r="AN35" s="22"/>
      <c r="AO35" s="919"/>
      <c r="AP35" s="1214"/>
      <c r="AQ35" s="1214"/>
      <c r="AR35" s="22"/>
      <c r="AS35" s="22"/>
      <c r="AT35" s="22"/>
      <c r="AU35" s="22"/>
      <c r="AV35" s="22"/>
      <c r="AW35" s="22"/>
      <c r="AX35" s="22"/>
      <c r="BA35" s="948" t="s">
        <v>536</v>
      </c>
    </row>
    <row r="36" spans="5:57" ht="16.7" hidden="1" customHeight="1" x14ac:dyDescent="0.15">
      <c r="E36" s="668">
        <v>17.100000000000001</v>
      </c>
      <c r="F36" s="769" cm="1">
        <f t="array" aca="1" ref="F36" ca="1">OFFSET(G36,-1,-1)</f>
        <v>0</v>
      </c>
      <c r="H36" s="123" t="s">
        <v>537</v>
      </c>
      <c r="U36" s="770" t="b">
        <f t="shared" ca="1" si="2"/>
        <v>0</v>
      </c>
      <c r="Y36" s="1485"/>
      <c r="Z36" s="1485"/>
      <c r="AB36" s="705">
        <v>4</v>
      </c>
      <c r="AC36" s="711" t="s">
        <v>538</v>
      </c>
      <c r="AD36" s="712" t="s">
        <v>521</v>
      </c>
      <c r="AE36" s="18"/>
      <c r="AF36" s="1215"/>
      <c r="AG36" s="1215"/>
      <c r="AH36" s="18"/>
      <c r="AI36" s="18"/>
      <c r="AJ36" s="18"/>
      <c r="AK36" s="18"/>
      <c r="AL36" s="18"/>
      <c r="AM36" s="18"/>
      <c r="AN36" s="18"/>
      <c r="AO36" s="307"/>
      <c r="AP36" s="1215"/>
      <c r="AQ36" s="1215"/>
      <c r="AR36" s="18"/>
      <c r="AS36" s="18"/>
      <c r="AT36" s="18"/>
      <c r="AU36" s="18"/>
      <c r="AV36" s="18"/>
      <c r="AW36" s="18"/>
      <c r="AX36" s="18"/>
      <c r="BA36" s="948" t="s">
        <v>539</v>
      </c>
    </row>
    <row r="37" spans="5:57" ht="29.25" hidden="1" customHeight="1" x14ac:dyDescent="0.15">
      <c r="E37" s="668">
        <v>30</v>
      </c>
      <c r="F37" s="769" cm="1">
        <f t="array" aca="1" ref="F37" ca="1">OFFSET(G37,-1,-1)</f>
        <v>0</v>
      </c>
      <c r="H37" s="123" t="s">
        <v>540</v>
      </c>
      <c r="U37" s="770" t="b">
        <f t="shared" ca="1" si="2"/>
        <v>0</v>
      </c>
      <c r="Y37" s="1485"/>
      <c r="Z37" s="1485"/>
      <c r="AB37" s="705">
        <v>5</v>
      </c>
      <c r="AC37" s="713" t="s">
        <v>541</v>
      </c>
      <c r="AD37" s="712" t="s">
        <v>521</v>
      </c>
      <c r="AE37" s="18"/>
      <c r="AF37" s="1215"/>
      <c r="AG37" s="1215"/>
      <c r="AH37" s="18"/>
      <c r="AI37" s="18"/>
      <c r="AJ37" s="18"/>
      <c r="AK37" s="18"/>
      <c r="AL37" s="18"/>
      <c r="AM37" s="18"/>
      <c r="AN37" s="18"/>
      <c r="AO37" s="307"/>
      <c r="AP37" s="1215"/>
      <c r="AQ37" s="1215"/>
      <c r="AR37" s="18"/>
      <c r="AS37" s="18"/>
      <c r="AT37" s="18"/>
      <c r="AU37" s="18"/>
      <c r="AV37" s="18"/>
      <c r="AW37" s="18"/>
      <c r="AX37" s="18"/>
      <c r="BA37" s="948" t="s">
        <v>542</v>
      </c>
    </row>
    <row r="38" spans="5:57" ht="16.7" hidden="1" customHeight="1" x14ac:dyDescent="0.15">
      <c r="E38" s="668">
        <v>17.100000000000001</v>
      </c>
      <c r="F38" s="769" cm="1">
        <f t="array" aca="1" ref="F38" ca="1">OFFSET(G38,-1,-1)</f>
        <v>0</v>
      </c>
      <c r="H38" s="123" t="s">
        <v>543</v>
      </c>
      <c r="U38" s="770" t="b">
        <f t="shared" ca="1" si="2"/>
        <v>0</v>
      </c>
      <c r="Y38" s="1485"/>
      <c r="Z38" s="1485"/>
      <c r="AB38" s="705">
        <v>6</v>
      </c>
      <c r="AC38" s="713" t="s">
        <v>544</v>
      </c>
      <c r="AD38" s="712" t="s">
        <v>521</v>
      </c>
      <c r="AE38" s="18"/>
      <c r="AF38" s="1215"/>
      <c r="AG38" s="1215"/>
      <c r="AH38" s="18"/>
      <c r="AI38" s="18"/>
      <c r="AJ38" s="18"/>
      <c r="AK38" s="18"/>
      <c r="AL38" s="18"/>
      <c r="AM38" s="18"/>
      <c r="AN38" s="18"/>
      <c r="AO38" s="307"/>
      <c r="AP38" s="1215"/>
      <c r="AQ38" s="1215"/>
      <c r="AR38" s="18"/>
      <c r="AS38" s="18"/>
      <c r="AT38" s="18"/>
      <c r="AU38" s="18"/>
      <c r="AV38" s="18"/>
      <c r="AW38" s="18"/>
      <c r="AX38" s="18"/>
      <c r="BA38" s="948" t="s">
        <v>545</v>
      </c>
    </row>
    <row r="39" spans="5:57" ht="16.7" hidden="1" customHeight="1" x14ac:dyDescent="0.15">
      <c r="E39" s="668">
        <v>17.100000000000001</v>
      </c>
      <c r="F39" s="769" cm="1">
        <f t="array" aca="1" ref="F39" ca="1">OFFSET(G39,-1,-1)</f>
        <v>0</v>
      </c>
      <c r="H39" s="123" t="s">
        <v>546</v>
      </c>
      <c r="U39" s="770" t="b">
        <f t="shared" ca="1" si="2"/>
        <v>0</v>
      </c>
      <c r="Y39" s="1485"/>
      <c r="Z39" s="1485"/>
      <c r="AB39" s="705">
        <v>7</v>
      </c>
      <c r="AC39" s="713" t="s">
        <v>547</v>
      </c>
      <c r="AD39" s="712" t="s">
        <v>521</v>
      </c>
      <c r="AE39" s="18"/>
      <c r="AF39" s="1215"/>
      <c r="AG39" s="1215"/>
      <c r="AH39" s="18"/>
      <c r="AI39" s="18"/>
      <c r="AJ39" s="18"/>
      <c r="AK39" s="18"/>
      <c r="AL39" s="18"/>
      <c r="AM39" s="18"/>
      <c r="AN39" s="18"/>
      <c r="AO39" s="307"/>
      <c r="AP39" s="1215"/>
      <c r="AQ39" s="1215"/>
      <c r="AR39" s="18"/>
      <c r="AS39" s="18"/>
      <c r="AT39" s="18"/>
      <c r="AU39" s="18"/>
      <c r="AV39" s="18"/>
      <c r="AW39" s="18"/>
      <c r="AX39" s="18"/>
      <c r="BA39" s="948" t="s">
        <v>548</v>
      </c>
    </row>
    <row r="40" spans="5:57" ht="16.7" hidden="1" customHeight="1" x14ac:dyDescent="0.15">
      <c r="E40" s="668">
        <v>17.100000000000001</v>
      </c>
      <c r="F40" s="769" cm="1">
        <f t="array" aca="1" ref="F40" ca="1">OFFSET(G40,-1,-1)</f>
        <v>0</v>
      </c>
      <c r="H40" s="123" t="s">
        <v>549</v>
      </c>
      <c r="U40" s="770" t="b">
        <f t="shared" ca="1" si="2"/>
        <v>0</v>
      </c>
      <c r="Y40" s="1485"/>
      <c r="Z40" s="1485"/>
      <c r="AB40" s="705">
        <v>8</v>
      </c>
      <c r="AC40" s="713" t="s">
        <v>550</v>
      </c>
      <c r="AD40" s="712" t="s">
        <v>521</v>
      </c>
      <c r="AE40" s="18"/>
      <c r="AF40" s="1215"/>
      <c r="AG40" s="1215"/>
      <c r="AH40" s="18"/>
      <c r="AI40" s="18"/>
      <c r="AJ40" s="18"/>
      <c r="AK40" s="18"/>
      <c r="AL40" s="18"/>
      <c r="AM40" s="18"/>
      <c r="AN40" s="18"/>
      <c r="AO40" s="307"/>
      <c r="AP40" s="1215"/>
      <c r="AQ40" s="1215"/>
      <c r="AR40" s="18"/>
      <c r="AS40" s="18"/>
      <c r="AT40" s="18"/>
      <c r="AU40" s="18"/>
      <c r="AV40" s="18"/>
      <c r="AW40" s="18"/>
      <c r="AX40" s="18"/>
      <c r="BA40" s="948" t="s">
        <v>551</v>
      </c>
    </row>
    <row r="41" spans="5:57" ht="16.7" hidden="1" customHeight="1" x14ac:dyDescent="0.15">
      <c r="E41" s="668">
        <v>17.100000000000001</v>
      </c>
      <c r="F41" s="769" cm="1">
        <f t="array" aca="1" ref="F41" ca="1">OFFSET(G41,-1,-1)</f>
        <v>0</v>
      </c>
      <c r="H41" s="123" t="s">
        <v>552</v>
      </c>
      <c r="U41" s="770" t="b">
        <f t="shared" ca="1" si="2"/>
        <v>0</v>
      </c>
      <c r="Y41" s="1485"/>
      <c r="Z41" s="1485"/>
      <c r="AB41" s="705">
        <v>9</v>
      </c>
      <c r="AC41" s="713" t="s">
        <v>553</v>
      </c>
      <c r="AD41" s="120" t="s">
        <v>554</v>
      </c>
      <c r="AE41" s="18">
        <f>7900</f>
        <v>7900</v>
      </c>
      <c r="AF41" s="1215">
        <f>7900</f>
        <v>7900</v>
      </c>
      <c r="AG41" s="1215">
        <f>7900</f>
        <v>7900</v>
      </c>
      <c r="AH41" s="18">
        <f>7900</f>
        <v>7900</v>
      </c>
      <c r="AI41" s="18">
        <f>7900</f>
        <v>7900</v>
      </c>
      <c r="AJ41" s="18">
        <f>7900</f>
        <v>7900</v>
      </c>
      <c r="AK41" s="18">
        <f>7900</f>
        <v>7900</v>
      </c>
      <c r="AL41" s="18">
        <f>7900</f>
        <v>7900</v>
      </c>
      <c r="AM41" s="18">
        <f>7900</f>
        <v>7900</v>
      </c>
      <c r="AN41" s="18">
        <f>7900</f>
        <v>7900</v>
      </c>
      <c r="AO41" s="307">
        <f>7900</f>
        <v>7900</v>
      </c>
      <c r="AP41" s="1215">
        <f>7900</f>
        <v>7900</v>
      </c>
      <c r="AQ41" s="1215">
        <f>7900</f>
        <v>7900</v>
      </c>
      <c r="AR41" s="18">
        <f>7900</f>
        <v>7900</v>
      </c>
      <c r="AS41" s="18">
        <f>7900</f>
        <v>7900</v>
      </c>
      <c r="AT41" s="18">
        <f>7900</f>
        <v>7900</v>
      </c>
      <c r="AU41" s="18">
        <f>7900</f>
        <v>7900</v>
      </c>
      <c r="AV41" s="18">
        <f>7900</f>
        <v>7900</v>
      </c>
      <c r="AW41" s="18">
        <f>7900</f>
        <v>7900</v>
      </c>
      <c r="AX41" s="18">
        <f>7900</f>
        <v>7900</v>
      </c>
      <c r="BA41" s="948" t="s">
        <v>555</v>
      </c>
    </row>
    <row r="42" spans="5:57" ht="16.7" hidden="1" customHeight="1" x14ac:dyDescent="0.15">
      <c r="E42" s="668">
        <v>17.100000000000001</v>
      </c>
      <c r="F42" s="769" cm="1">
        <f t="array" aca="1" ref="F42" ca="1">OFFSET(G42,-1,-1)</f>
        <v>0</v>
      </c>
      <c r="H42" s="123" t="s">
        <v>556</v>
      </c>
      <c r="U42" s="770" t="b">
        <f t="shared" ca="1" si="2"/>
        <v>0</v>
      </c>
      <c r="Y42" s="1485"/>
      <c r="Z42" s="1485"/>
      <c r="AB42" s="705">
        <v>10</v>
      </c>
      <c r="AC42" s="713" t="s">
        <v>557</v>
      </c>
      <c r="AD42" s="120" t="s">
        <v>558</v>
      </c>
      <c r="AE42" s="18"/>
      <c r="AF42" s="1215"/>
      <c r="AG42" s="1215"/>
      <c r="AH42" s="18"/>
      <c r="AI42" s="18"/>
      <c r="AJ42" s="18"/>
      <c r="AK42" s="18"/>
      <c r="AL42" s="18"/>
      <c r="AM42" s="18"/>
      <c r="AN42" s="18"/>
      <c r="AO42" s="307"/>
      <c r="AP42" s="1215"/>
      <c r="AQ42" s="1215"/>
      <c r="AR42" s="18"/>
      <c r="AS42" s="18"/>
      <c r="AT42" s="18"/>
      <c r="AU42" s="18"/>
      <c r="AV42" s="18"/>
      <c r="AW42" s="18"/>
      <c r="AX42" s="18"/>
      <c r="BA42" s="948" t="s">
        <v>559</v>
      </c>
    </row>
    <row r="43" spans="5:57" ht="16.7" hidden="1" customHeight="1" x14ac:dyDescent="0.15">
      <c r="E43" s="668">
        <v>17.100000000000001</v>
      </c>
      <c r="F43" s="769" cm="1">
        <f t="array" aca="1" ref="F43" ca="1">OFFSET(G43,-1,-1)</f>
        <v>0</v>
      </c>
      <c r="H43" s="123" t="s">
        <v>560</v>
      </c>
      <c r="U43" s="770" t="b">
        <f t="shared" ca="1" si="2"/>
        <v>0</v>
      </c>
      <c r="Y43" s="1485"/>
      <c r="Z43" s="1485"/>
      <c r="AB43" s="705">
        <v>11</v>
      </c>
      <c r="AC43" s="713" t="s">
        <v>561</v>
      </c>
      <c r="AD43" s="120" t="s">
        <v>562</v>
      </c>
      <c r="AE43" s="18">
        <f>7000</f>
        <v>7000</v>
      </c>
      <c r="AF43" s="1215">
        <f>7000</f>
        <v>7000</v>
      </c>
      <c r="AG43" s="1215">
        <f>7000</f>
        <v>7000</v>
      </c>
      <c r="AH43" s="18">
        <f>7000</f>
        <v>7000</v>
      </c>
      <c r="AI43" s="18">
        <f>7000</f>
        <v>7000</v>
      </c>
      <c r="AJ43" s="18">
        <f>7000</f>
        <v>7000</v>
      </c>
      <c r="AK43" s="18">
        <f>7000</f>
        <v>7000</v>
      </c>
      <c r="AL43" s="18">
        <f>7000</f>
        <v>7000</v>
      </c>
      <c r="AM43" s="18">
        <f>7000</f>
        <v>7000</v>
      </c>
      <c r="AN43" s="18">
        <f>7000</f>
        <v>7000</v>
      </c>
      <c r="AO43" s="307">
        <f>7000</f>
        <v>7000</v>
      </c>
      <c r="AP43" s="1215">
        <f>7000</f>
        <v>7000</v>
      </c>
      <c r="AQ43" s="1215">
        <f>7000</f>
        <v>7000</v>
      </c>
      <c r="AR43" s="18">
        <f>7000</f>
        <v>7000</v>
      </c>
      <c r="AS43" s="18">
        <f>7000</f>
        <v>7000</v>
      </c>
      <c r="AT43" s="18">
        <f>7000</f>
        <v>7000</v>
      </c>
      <c r="AU43" s="18">
        <f>7000</f>
        <v>7000</v>
      </c>
      <c r="AV43" s="18">
        <f>7000</f>
        <v>7000</v>
      </c>
      <c r="AW43" s="18">
        <f>7000</f>
        <v>7000</v>
      </c>
      <c r="AX43" s="18">
        <f>7000</f>
        <v>7000</v>
      </c>
      <c r="BA43" s="948" t="s">
        <v>563</v>
      </c>
    </row>
    <row r="44" spans="5:57" ht="16.7" hidden="1" customHeight="1" x14ac:dyDescent="0.15">
      <c r="E44" s="668">
        <v>17.100000000000001</v>
      </c>
      <c r="F44" s="769" cm="1">
        <f t="array" aca="1" ref="F44" ca="1">OFFSET(G44,-1,-1)</f>
        <v>0</v>
      </c>
      <c r="H44" s="123" t="s">
        <v>564</v>
      </c>
      <c r="U44" s="770" t="b">
        <f t="shared" ca="1" si="2"/>
        <v>0</v>
      </c>
      <c r="Y44" s="1485"/>
      <c r="Z44" s="1485"/>
      <c r="AB44" s="705">
        <v>12</v>
      </c>
      <c r="AC44" s="713" t="s">
        <v>565</v>
      </c>
      <c r="AD44" s="712" t="s">
        <v>521</v>
      </c>
      <c r="AE44" s="18"/>
      <c r="AF44" s="1215"/>
      <c r="AG44" s="1215"/>
      <c r="AH44" s="18"/>
      <c r="AI44" s="18"/>
      <c r="AJ44" s="18"/>
      <c r="AK44" s="18"/>
      <c r="AL44" s="18"/>
      <c r="AM44" s="18"/>
      <c r="AN44" s="18"/>
      <c r="AO44" s="307"/>
      <c r="AP44" s="1215"/>
      <c r="AQ44" s="1215"/>
      <c r="AR44" s="18"/>
      <c r="AS44" s="18"/>
      <c r="AT44" s="18"/>
      <c r="AU44" s="18"/>
      <c r="AV44" s="18"/>
      <c r="AW44" s="18"/>
      <c r="AX44" s="18"/>
      <c r="BA44" s="948" t="s">
        <v>566</v>
      </c>
    </row>
    <row r="45" spans="5:57" ht="16.7" hidden="1" customHeight="1" x14ac:dyDescent="0.15">
      <c r="E45" s="668">
        <v>17.100000000000001</v>
      </c>
      <c r="F45" s="769" cm="1">
        <f t="array" aca="1" ref="F45" ca="1">OFFSET(G45,-1,-1)</f>
        <v>0</v>
      </c>
      <c r="H45" s="123" t="s">
        <v>567</v>
      </c>
      <c r="U45" s="770" t="b">
        <f t="shared" ca="1" si="2"/>
        <v>0</v>
      </c>
      <c r="Y45" s="1485"/>
      <c r="Z45" s="1485"/>
      <c r="AB45" s="705">
        <v>13</v>
      </c>
      <c r="AC45" s="713" t="s">
        <v>568</v>
      </c>
      <c r="AD45" s="712" t="s">
        <v>521</v>
      </c>
      <c r="AE45" s="18"/>
      <c r="AF45" s="1215"/>
      <c r="AG45" s="1215"/>
      <c r="AH45" s="18"/>
      <c r="AI45" s="18"/>
      <c r="AJ45" s="18"/>
      <c r="AK45" s="18"/>
      <c r="AL45" s="18"/>
      <c r="AM45" s="18"/>
      <c r="AN45" s="18"/>
      <c r="AO45" s="307"/>
      <c r="AP45" s="1215"/>
      <c r="AQ45" s="1215"/>
      <c r="AR45" s="18"/>
      <c r="AS45" s="18"/>
      <c r="AT45" s="18"/>
      <c r="AU45" s="18"/>
      <c r="AV45" s="18"/>
      <c r="AW45" s="18"/>
      <c r="AX45" s="18"/>
      <c r="BA45" s="948" t="s">
        <v>569</v>
      </c>
    </row>
    <row r="46" spans="5:57" ht="16.7" hidden="1" customHeight="1" x14ac:dyDescent="0.15">
      <c r="E46" s="668">
        <v>17.100000000000001</v>
      </c>
      <c r="F46" s="769" cm="1">
        <f t="array" aca="1" ref="F46" ca="1">OFFSET(G46,-1,-1)</f>
        <v>0</v>
      </c>
      <c r="H46" s="123" t="s">
        <v>570</v>
      </c>
      <c r="U46" s="770" t="b">
        <f t="shared" ca="1" si="2"/>
        <v>0</v>
      </c>
      <c r="Y46" s="1485"/>
      <c r="Z46" s="1485"/>
      <c r="AB46" s="705">
        <v>14</v>
      </c>
      <c r="AC46" s="713" t="s">
        <v>571</v>
      </c>
      <c r="AD46" s="712" t="s">
        <v>521</v>
      </c>
      <c r="AE46" s="18"/>
      <c r="AF46" s="1215"/>
      <c r="AG46" s="1215"/>
      <c r="AH46" s="18"/>
      <c r="AI46" s="18"/>
      <c r="AJ46" s="18"/>
      <c r="AK46" s="18"/>
      <c r="AL46" s="18"/>
      <c r="AM46" s="18"/>
      <c r="AN46" s="18"/>
      <c r="AO46" s="307"/>
      <c r="AP46" s="1215"/>
      <c r="AQ46" s="1215"/>
      <c r="AR46" s="18"/>
      <c r="AS46" s="18"/>
      <c r="AT46" s="18"/>
      <c r="AU46" s="18"/>
      <c r="AV46" s="18"/>
      <c r="AW46" s="18"/>
      <c r="AX46" s="18"/>
      <c r="BA46" s="948" t="s">
        <v>572</v>
      </c>
    </row>
    <row r="47" spans="5:57" ht="16.7" hidden="1" customHeight="1" x14ac:dyDescent="0.15">
      <c r="E47" s="668">
        <v>17.100000000000001</v>
      </c>
      <c r="F47" s="769" cm="1">
        <f t="array" aca="1" ref="F47" ca="1">OFFSET(G47,-1,-1)</f>
        <v>0</v>
      </c>
      <c r="H47" s="123" t="s">
        <v>573</v>
      </c>
      <c r="U47" s="770" t="b">
        <f t="shared" ca="1" si="2"/>
        <v>0</v>
      </c>
      <c r="Y47" s="1485"/>
      <c r="Z47" s="1485"/>
      <c r="AB47" s="705">
        <v>15</v>
      </c>
      <c r="AC47" s="713" t="s">
        <v>574</v>
      </c>
      <c r="AD47" s="712" t="s">
        <v>521</v>
      </c>
      <c r="AE47" s="18"/>
      <c r="AF47" s="1215"/>
      <c r="AG47" s="1215"/>
      <c r="AH47" s="18"/>
      <c r="AI47" s="18"/>
      <c r="AJ47" s="18"/>
      <c r="AK47" s="18"/>
      <c r="AL47" s="18"/>
      <c r="AM47" s="18"/>
      <c r="AN47" s="18"/>
      <c r="AO47" s="307"/>
      <c r="AP47" s="1215"/>
      <c r="AQ47" s="1215"/>
      <c r="AR47" s="18"/>
      <c r="AS47" s="18"/>
      <c r="AT47" s="18"/>
      <c r="AU47" s="18"/>
      <c r="AV47" s="18"/>
      <c r="AW47" s="18"/>
      <c r="AX47" s="18"/>
      <c r="BA47" s="948" t="s">
        <v>575</v>
      </c>
    </row>
    <row r="48" spans="5:57" ht="16.7" hidden="1" customHeight="1" x14ac:dyDescent="0.15">
      <c r="E48" s="668">
        <v>17.100000000000001</v>
      </c>
      <c r="F48" s="769" cm="1">
        <f t="array" aca="1" ref="F48" ca="1">OFFSET(G48,-1,-1)</f>
        <v>0</v>
      </c>
      <c r="G48" s="769" t="s">
        <v>576</v>
      </c>
      <c r="H48" s="123" t="s">
        <v>577</v>
      </c>
      <c r="U48" s="876" t="b">
        <f ca="1">AND(F48&gt;0,method_reg&lt;&gt;"Метод экономически обоснованных расходов")</f>
        <v>0</v>
      </c>
      <c r="Y48" s="1485"/>
      <c r="Z48" s="1485"/>
      <c r="AB48" s="705">
        <v>16</v>
      </c>
      <c r="AC48" s="715" t="s">
        <v>578</v>
      </c>
      <c r="AD48" s="156"/>
      <c r="AE48" s="18"/>
      <c r="AF48" s="1215"/>
      <c r="AG48" s="1215"/>
      <c r="AH48" s="18"/>
      <c r="AI48" s="18"/>
      <c r="AJ48" s="18"/>
      <c r="AK48" s="18"/>
      <c r="AL48" s="18"/>
      <c r="AM48" s="18"/>
      <c r="AN48" s="18"/>
      <c r="AO48" s="307"/>
      <c r="AP48" s="1215"/>
      <c r="AQ48" s="1215"/>
      <c r="AR48" s="18"/>
      <c r="AS48" s="18"/>
      <c r="AT48" s="18"/>
      <c r="AU48" s="18"/>
      <c r="AV48" s="18"/>
      <c r="AW48" s="18"/>
      <c r="AX48" s="18"/>
      <c r="BA48" s="948" t="s">
        <v>579</v>
      </c>
    </row>
    <row r="49" spans="1:57" ht="29.25" hidden="1" customHeight="1" x14ac:dyDescent="0.15">
      <c r="E49" s="668">
        <v>30</v>
      </c>
      <c r="F49" s="769" cm="1">
        <f t="array" aca="1" ref="F49" ca="1">OFFSET(G49,-1,-1)</f>
        <v>0</v>
      </c>
      <c r="G49" s="769" t="s">
        <v>580</v>
      </c>
      <c r="H49" s="123" t="s">
        <v>581</v>
      </c>
      <c r="U49" s="876" t="b">
        <f ca="1">AND(F49&gt;0,method_reg&lt;&gt;"Метод экономически обоснованных расходов")</f>
        <v>0</v>
      </c>
      <c r="Y49" s="1485"/>
      <c r="Z49" s="1485"/>
      <c r="AB49" s="705">
        <v>17</v>
      </c>
      <c r="AC49" s="157" t="s">
        <v>582</v>
      </c>
      <c r="AD49" s="706"/>
      <c r="AE49" s="18">
        <f t="shared" ref="AE49:AX49" si="3">0.75</f>
        <v>0.75</v>
      </c>
      <c r="AF49" s="1215">
        <f t="shared" si="3"/>
        <v>0.75</v>
      </c>
      <c r="AG49" s="1215">
        <f t="shared" si="3"/>
        <v>0.75</v>
      </c>
      <c r="AH49" s="18">
        <f t="shared" si="3"/>
        <v>0.75</v>
      </c>
      <c r="AI49" s="18">
        <f t="shared" si="3"/>
        <v>0.75</v>
      </c>
      <c r="AJ49" s="18">
        <f t="shared" si="3"/>
        <v>0.75</v>
      </c>
      <c r="AK49" s="18">
        <f t="shared" si="3"/>
        <v>0.75</v>
      </c>
      <c r="AL49" s="18">
        <f t="shared" si="3"/>
        <v>0.75</v>
      </c>
      <c r="AM49" s="18">
        <f t="shared" si="3"/>
        <v>0.75</v>
      </c>
      <c r="AN49" s="18">
        <f t="shared" si="3"/>
        <v>0.75</v>
      </c>
      <c r="AO49" s="307">
        <f t="shared" si="3"/>
        <v>0.75</v>
      </c>
      <c r="AP49" s="1215">
        <f t="shared" si="3"/>
        <v>0.75</v>
      </c>
      <c r="AQ49" s="1215">
        <f t="shared" si="3"/>
        <v>0.75</v>
      </c>
      <c r="AR49" s="18">
        <f t="shared" si="3"/>
        <v>0.75</v>
      </c>
      <c r="AS49" s="18">
        <f t="shared" si="3"/>
        <v>0.75</v>
      </c>
      <c r="AT49" s="18">
        <f t="shared" si="3"/>
        <v>0.75</v>
      </c>
      <c r="AU49" s="18">
        <f t="shared" si="3"/>
        <v>0.75</v>
      </c>
      <c r="AV49" s="18">
        <f t="shared" si="3"/>
        <v>0.75</v>
      </c>
      <c r="AW49" s="18">
        <f t="shared" si="3"/>
        <v>0.75</v>
      </c>
      <c r="AX49" s="18">
        <f t="shared" si="3"/>
        <v>0.75</v>
      </c>
      <c r="BA49" s="948" t="s">
        <v>583</v>
      </c>
    </row>
    <row r="50" spans="1:57" ht="16.7" hidden="1" customHeight="1" x14ac:dyDescent="0.15">
      <c r="E50" s="668">
        <v>17.100000000000001</v>
      </c>
      <c r="F50" s="769" cm="1">
        <f t="array" aca="1" ref="F50" ca="1">OFFSET(G50,-1,-1)</f>
        <v>0</v>
      </c>
      <c r="U50" s="770" t="b">
        <f t="shared" ref="U50:U56" ca="1" si="4">F50&gt;0</f>
        <v>0</v>
      </c>
      <c r="Y50" s="1485"/>
      <c r="Z50" s="1485"/>
      <c r="AB50" s="870" t="s">
        <v>584</v>
      </c>
      <c r="AC50" s="288" t="s">
        <v>585</v>
      </c>
      <c r="AD50" s="289"/>
      <c r="AE50" s="291"/>
      <c r="AF50" s="291"/>
      <c r="AG50" s="291"/>
      <c r="AH50" s="291"/>
      <c r="AI50" s="291"/>
      <c r="AJ50" s="291"/>
      <c r="AK50" s="291"/>
      <c r="AL50" s="291"/>
      <c r="AM50" s="291"/>
      <c r="AN50" s="291"/>
      <c r="AO50" s="291"/>
      <c r="AP50" s="291"/>
      <c r="AQ50" s="291"/>
      <c r="AR50" s="291"/>
      <c r="AS50" s="291"/>
      <c r="AT50" s="291"/>
      <c r="AU50" s="291"/>
      <c r="AV50" s="291"/>
      <c r="AW50" s="291"/>
      <c r="AX50" s="291"/>
    </row>
    <row r="51" spans="1:57" ht="16.7" hidden="1" customHeight="1" x14ac:dyDescent="0.15">
      <c r="E51" s="668">
        <v>17.100000000000001</v>
      </c>
      <c r="F51" s="769" cm="1">
        <f t="array" aca="1" ref="F51" ca="1">OFFSET(G51,-1,-1)</f>
        <v>0</v>
      </c>
      <c r="G51" s="769" t="s">
        <v>586</v>
      </c>
      <c r="H51" s="123" t="s">
        <v>587</v>
      </c>
      <c r="U51" s="770" t="b">
        <f t="shared" ca="1" si="4"/>
        <v>0</v>
      </c>
      <c r="Y51" s="1485"/>
      <c r="Z51" s="1485"/>
      <c r="AB51" s="404" t="s">
        <v>588</v>
      </c>
      <c r="AC51" s="155" t="s">
        <v>589</v>
      </c>
      <c r="AD51" s="156" t="s">
        <v>521</v>
      </c>
      <c r="AE51" s="18"/>
      <c r="AF51" s="1215"/>
      <c r="AG51" s="1215"/>
      <c r="AH51" s="18"/>
      <c r="AI51" s="18"/>
      <c r="AJ51" s="18"/>
      <c r="AK51" s="18"/>
      <c r="AL51" s="18"/>
      <c r="AM51" s="18"/>
      <c r="AN51" s="18"/>
      <c r="AO51" s="307"/>
      <c r="AP51" s="1215"/>
      <c r="AQ51" s="1215"/>
      <c r="AR51" s="18"/>
      <c r="AS51" s="18"/>
      <c r="AT51" s="18"/>
      <c r="AU51" s="18"/>
      <c r="AV51" s="18"/>
      <c r="AW51" s="18"/>
      <c r="AX51" s="18"/>
      <c r="BA51" s="948" t="s">
        <v>590</v>
      </c>
    </row>
    <row r="52" spans="1:57" ht="16.7" hidden="1" customHeight="1" x14ac:dyDescent="0.15">
      <c r="E52" s="668">
        <v>17.100000000000001</v>
      </c>
      <c r="F52" s="769" cm="1">
        <f t="array" aca="1" ref="F52" ca="1">OFFSET(G52,-1,-1)</f>
        <v>0</v>
      </c>
      <c r="H52" s="123" t="s">
        <v>591</v>
      </c>
      <c r="U52" s="770" t="b">
        <f t="shared" ca="1" si="4"/>
        <v>0</v>
      </c>
      <c r="Y52" s="1485"/>
      <c r="Z52" s="1485"/>
      <c r="AB52" s="404" t="s">
        <v>592</v>
      </c>
      <c r="AC52" s="157" t="s">
        <v>593</v>
      </c>
      <c r="AD52" s="156" t="s">
        <v>521</v>
      </c>
      <c r="AE52" s="18"/>
      <c r="AF52" s="1215"/>
      <c r="AG52" s="1215"/>
      <c r="AH52" s="18"/>
      <c r="AI52" s="18"/>
      <c r="AJ52" s="18"/>
      <c r="AK52" s="18"/>
      <c r="AL52" s="18"/>
      <c r="AM52" s="18"/>
      <c r="AN52" s="18"/>
      <c r="AO52" s="307"/>
      <c r="AP52" s="1215"/>
      <c r="AQ52" s="1215"/>
      <c r="AR52" s="18"/>
      <c r="AS52" s="18"/>
      <c r="AT52" s="18"/>
      <c r="AU52" s="18"/>
      <c r="AV52" s="18"/>
      <c r="AW52" s="18"/>
      <c r="AX52" s="18"/>
      <c r="BA52" s="948" t="s">
        <v>594</v>
      </c>
    </row>
    <row r="53" spans="1:57" ht="16.7" hidden="1" customHeight="1" x14ac:dyDescent="0.15">
      <c r="E53" s="668">
        <v>17.100000000000001</v>
      </c>
      <c r="F53" s="769" cm="1">
        <f t="array" aca="1" ref="F53" ca="1">OFFSET(G53,-1,-1)</f>
        <v>0</v>
      </c>
      <c r="H53" s="123" t="s">
        <v>595</v>
      </c>
      <c r="U53" s="770" t="b">
        <f t="shared" ca="1" si="4"/>
        <v>0</v>
      </c>
      <c r="Y53" s="1485"/>
      <c r="Z53" s="1485"/>
      <c r="AB53" s="404" t="s">
        <v>596</v>
      </c>
      <c r="AC53" s="157" t="s">
        <v>597</v>
      </c>
      <c r="AD53" s="156" t="s">
        <v>521</v>
      </c>
      <c r="AE53" s="18"/>
      <c r="AF53" s="1215"/>
      <c r="AG53" s="1215"/>
      <c r="AH53" s="18"/>
      <c r="AI53" s="18"/>
      <c r="AJ53" s="18"/>
      <c r="AK53" s="18"/>
      <c r="AL53" s="18"/>
      <c r="AM53" s="18"/>
      <c r="AN53" s="18"/>
      <c r="AO53" s="307"/>
      <c r="AP53" s="1215"/>
      <c r="AQ53" s="1215"/>
      <c r="AR53" s="18"/>
      <c r="AS53" s="18"/>
      <c r="AT53" s="18"/>
      <c r="AU53" s="18"/>
      <c r="AV53" s="18"/>
      <c r="AW53" s="18"/>
      <c r="AX53" s="18"/>
      <c r="BA53" s="948" t="s">
        <v>598</v>
      </c>
    </row>
    <row r="54" spans="1:57" ht="16.7" hidden="1" customHeight="1" x14ac:dyDescent="0.15">
      <c r="E54" s="668">
        <v>17.100000000000001</v>
      </c>
      <c r="F54" s="769" cm="1">
        <f t="array" aca="1" ref="F54" ca="1">OFFSET(G54,-1,-1)</f>
        <v>0</v>
      </c>
      <c r="H54" s="123" t="s">
        <v>599</v>
      </c>
      <c r="U54" s="770" t="b">
        <f t="shared" ca="1" si="4"/>
        <v>0</v>
      </c>
      <c r="Y54" s="1485"/>
      <c r="Z54" s="1485"/>
      <c r="AB54" s="404" t="s">
        <v>600</v>
      </c>
      <c r="AC54" s="157" t="s">
        <v>601</v>
      </c>
      <c r="AD54" s="156" t="s">
        <v>521</v>
      </c>
      <c r="AE54" s="18"/>
      <c r="AF54" s="1215"/>
      <c r="AG54" s="1215"/>
      <c r="AH54" s="18"/>
      <c r="AI54" s="18"/>
      <c r="AJ54" s="18"/>
      <c r="AK54" s="18"/>
      <c r="AL54" s="18"/>
      <c r="AM54" s="18"/>
      <c r="AN54" s="18"/>
      <c r="AO54" s="307"/>
      <c r="AP54" s="1215"/>
      <c r="AQ54" s="1215"/>
      <c r="AR54" s="18"/>
      <c r="AS54" s="18"/>
      <c r="AT54" s="18"/>
      <c r="AU54" s="18"/>
      <c r="AV54" s="18"/>
      <c r="AW54" s="18"/>
      <c r="AX54" s="18"/>
      <c r="BA54" s="948" t="s">
        <v>602</v>
      </c>
    </row>
    <row r="55" spans="1:57" s="805" customFormat="1" ht="10.5" customHeight="1" x14ac:dyDescent="0.15">
      <c r="A55" s="162"/>
      <c r="B55" s="162"/>
      <c r="C55" s="162"/>
      <c r="D55" s="162"/>
      <c r="E55" s="674">
        <v>11.4</v>
      </c>
      <c r="F55" s="769" t="str" cm="1">
        <f t="array" ref="F55">Y55</f>
        <v>1</v>
      </c>
      <c r="G55" s="162"/>
      <c r="H55" s="162"/>
      <c r="I55" s="162"/>
      <c r="J55" s="162"/>
      <c r="K55" s="162"/>
      <c r="L55" s="162"/>
      <c r="M55" s="162"/>
      <c r="N55" s="162"/>
      <c r="O55" s="162"/>
      <c r="P55" s="162"/>
      <c r="Q55" s="162"/>
      <c r="R55" s="162"/>
      <c r="S55" s="162"/>
      <c r="T55" s="162"/>
      <c r="U55" s="770" t="b">
        <f t="shared" si="4"/>
        <v>1</v>
      </c>
      <c r="V55" s="162"/>
      <c r="W55" s="119" t="str" cm="1">
        <f t="array" ref="W55">'Расчет УЕ'!$AB$47</f>
        <v>Тариф 1 (Теплоснабжение) - Тариф на тепловую энергию (мощность), поставляемую потребителям (Не определено)</v>
      </c>
      <c r="X55" s="162"/>
      <c r="Y55" s="1480" t="s">
        <v>339</v>
      </c>
      <c r="Z55" s="1489"/>
      <c r="AA55" s="162"/>
      <c r="AB55" s="210" t="str" cm="1">
        <f t="array" ref="AB55">IF(ISBLANK('Расчет УЕ'!$AB$47),"",'Расчет УЕ'!$AB$47)</f>
        <v>Тариф 1 (Теплоснабжение) - Тариф на тепловую энергию (мощность), поставляемую потребителям (Не определено)</v>
      </c>
      <c r="AC55" s="207"/>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162"/>
      <c r="AZ55" s="162"/>
      <c r="BA55" s="948"/>
      <c r="BB55" s="954"/>
      <c r="BC55" s="954"/>
      <c r="BD55" s="955"/>
      <c r="BE55" s="955"/>
    </row>
    <row r="56" spans="1:57" s="1167" customFormat="1" ht="10.5" customHeight="1" x14ac:dyDescent="0.15">
      <c r="A56" s="973"/>
      <c r="B56" s="773"/>
      <c r="C56" s="1152"/>
      <c r="D56" s="1152"/>
      <c r="E56" s="668">
        <v>11.4</v>
      </c>
      <c r="F56" s="769" t="str" cm="1">
        <f t="array" aca="1" ref="F56" ca="1">OFFSET(G56,-1,-1)</f>
        <v>1</v>
      </c>
      <c r="G56" s="1152"/>
      <c r="H56" s="1152"/>
      <c r="I56" s="1152"/>
      <c r="J56" s="1152"/>
      <c r="K56" s="1152"/>
      <c r="L56" s="1152"/>
      <c r="M56" s="1152"/>
      <c r="N56" s="1152"/>
      <c r="O56" s="1152"/>
      <c r="P56" s="1152"/>
      <c r="Q56" s="769"/>
      <c r="R56" s="769"/>
      <c r="S56" s="1152"/>
      <c r="T56" s="1152"/>
      <c r="U56" s="770" t="b">
        <f t="shared" ca="1" si="4"/>
        <v>1</v>
      </c>
      <c r="V56" s="1152"/>
      <c r="W56" s="1152"/>
      <c r="X56" s="1152"/>
      <c r="Y56" s="1485"/>
      <c r="Z56" s="1485"/>
      <c r="AA56" s="167"/>
      <c r="AB56" s="287"/>
      <c r="AC56" s="288" t="s">
        <v>522</v>
      </c>
      <c r="AD56" s="289"/>
      <c r="AE56" s="314"/>
      <c r="AF56" s="314"/>
      <c r="AG56" s="314"/>
      <c r="AH56" s="314"/>
      <c r="AI56" s="314"/>
      <c r="AJ56" s="314"/>
      <c r="AK56" s="314"/>
      <c r="AL56" s="314"/>
      <c r="AM56" s="314"/>
      <c r="AN56" s="314"/>
      <c r="AO56" s="314"/>
      <c r="AP56" s="314"/>
      <c r="AQ56" s="314"/>
      <c r="AR56" s="314"/>
      <c r="AS56" s="314"/>
      <c r="AT56" s="314"/>
      <c r="AU56" s="314"/>
      <c r="AV56" s="314"/>
      <c r="AW56" s="314"/>
      <c r="AX56" s="314"/>
      <c r="AY56" s="167"/>
      <c r="AZ56" s="167"/>
      <c r="BA56" s="1001"/>
      <c r="BB56" s="1001"/>
      <c r="BC56" s="1001"/>
      <c r="BD56" s="952"/>
      <c r="BE56" s="952"/>
    </row>
    <row r="57" spans="1:57" s="1167" customFormat="1" ht="16.5" customHeight="1" x14ac:dyDescent="0.15">
      <c r="A57" s="973"/>
      <c r="B57" s="773"/>
      <c r="C57" s="1152"/>
      <c r="D57" s="1152"/>
      <c r="E57" s="668">
        <v>17.100000000000001</v>
      </c>
      <c r="F57" s="769" t="str" cm="1">
        <f t="array" aca="1" ref="F57" ca="1">OFFSET(G57,-1,-1)</f>
        <v>1</v>
      </c>
      <c r="G57" s="769" t="s">
        <v>523</v>
      </c>
      <c r="H57" s="123" t="s">
        <v>524</v>
      </c>
      <c r="I57" s="1152"/>
      <c r="J57" s="1152"/>
      <c r="K57" s="1152"/>
      <c r="L57" s="1152"/>
      <c r="M57" s="1152"/>
      <c r="N57" s="1152"/>
      <c r="O57" s="1152"/>
      <c r="P57" s="1152"/>
      <c r="Q57" s="769"/>
      <c r="R57" s="769"/>
      <c r="S57" s="1152"/>
      <c r="T57" s="1152"/>
      <c r="U57" s="876" t="b">
        <f ca="1">AND(F57&gt;0,method_reg&lt;&gt;"Метод экономически обоснованных расходов")</f>
        <v>1</v>
      </c>
      <c r="V57" s="1152"/>
      <c r="W57" s="1152"/>
      <c r="X57" s="1152"/>
      <c r="Y57" s="1485"/>
      <c r="Z57" s="1485"/>
      <c r="AA57" s="167"/>
      <c r="AB57" s="153">
        <v>1</v>
      </c>
      <c r="AC57" s="154" t="s">
        <v>525</v>
      </c>
      <c r="AD57" s="156" t="s">
        <v>521</v>
      </c>
      <c r="AE57" s="1217">
        <v>1</v>
      </c>
      <c r="AF57" s="1215">
        <v>1</v>
      </c>
      <c r="AG57" s="1215">
        <v>1</v>
      </c>
      <c r="AH57" s="1217">
        <v>1</v>
      </c>
      <c r="AI57" s="1217">
        <v>1</v>
      </c>
      <c r="AJ57" s="1217">
        <v>1</v>
      </c>
      <c r="AK57" s="1217">
        <v>1</v>
      </c>
      <c r="AL57" s="1217">
        <v>1</v>
      </c>
      <c r="AM57" s="1217">
        <v>1</v>
      </c>
      <c r="AN57" s="1217">
        <v>1</v>
      </c>
      <c r="AO57" s="307">
        <v>1</v>
      </c>
      <c r="AP57" s="1215">
        <v>1</v>
      </c>
      <c r="AQ57" s="1215">
        <v>1</v>
      </c>
      <c r="AR57" s="1217">
        <v>1</v>
      </c>
      <c r="AS57" s="1217">
        <v>1</v>
      </c>
      <c r="AT57" s="1217">
        <v>1</v>
      </c>
      <c r="AU57" s="1217">
        <v>1</v>
      </c>
      <c r="AV57" s="1217">
        <v>1</v>
      </c>
      <c r="AW57" s="1217">
        <v>1</v>
      </c>
      <c r="AX57" s="1217">
        <v>1</v>
      </c>
      <c r="AY57" s="167"/>
      <c r="AZ57" s="167"/>
      <c r="BA57" s="948" t="s">
        <v>526</v>
      </c>
      <c r="BB57" s="1001"/>
      <c r="BC57" s="1001"/>
      <c r="BD57" s="952"/>
      <c r="BE57" s="952"/>
    </row>
    <row r="58" spans="1:57" s="1167" customFormat="1" ht="29.25" customHeight="1" x14ac:dyDescent="0.15">
      <c r="A58" s="973"/>
      <c r="B58" s="773"/>
      <c r="C58" s="1152"/>
      <c r="D58" s="1152"/>
      <c r="E58" s="668">
        <v>30</v>
      </c>
      <c r="F58" s="769" t="str" cm="1">
        <f t="array" aca="1" ref="F58" ca="1">OFFSET(G58,-1,-1)</f>
        <v>1</v>
      </c>
      <c r="G58" s="1152"/>
      <c r="H58" s="123" t="s">
        <v>527</v>
      </c>
      <c r="I58" s="1152"/>
      <c r="J58" s="1152"/>
      <c r="K58" s="1152"/>
      <c r="L58" s="1152"/>
      <c r="M58" s="1152"/>
      <c r="N58" s="1152"/>
      <c r="O58" s="1152"/>
      <c r="P58" s="1152"/>
      <c r="Q58" s="769"/>
      <c r="R58" s="769"/>
      <c r="S58" s="1152"/>
      <c r="T58" s="1152"/>
      <c r="U58" s="876" t="b">
        <f ca="1">AND(F58&gt;0,method_reg&lt;&gt;"Метод экономически обоснованных расходов")</f>
        <v>1</v>
      </c>
      <c r="V58" s="1152"/>
      <c r="W58" s="1152"/>
      <c r="X58" s="1152"/>
      <c r="Y58" s="1485"/>
      <c r="Z58" s="1485"/>
      <c r="AA58" s="167"/>
      <c r="AB58" s="707" t="s">
        <v>426</v>
      </c>
      <c r="AC58" s="708" t="s">
        <v>528</v>
      </c>
      <c r="AD58" s="709"/>
      <c r="AE58" s="19"/>
      <c r="AF58" s="19"/>
      <c r="AG58" s="19"/>
      <c r="AH58" s="19"/>
      <c r="AI58" s="19"/>
      <c r="AJ58" s="19"/>
      <c r="AK58" s="19"/>
      <c r="AL58" s="19"/>
      <c r="AM58" s="19"/>
      <c r="AN58" s="19"/>
      <c r="AO58" s="19"/>
      <c r="AP58" s="19"/>
      <c r="AQ58" s="19"/>
      <c r="AR58" s="19"/>
      <c r="AS58" s="19"/>
      <c r="AT58" s="19"/>
      <c r="AU58" s="19"/>
      <c r="AV58" s="19"/>
      <c r="AW58" s="19"/>
      <c r="AX58" s="19"/>
      <c r="AY58" s="167"/>
      <c r="AZ58" s="167"/>
      <c r="BA58" s="1001"/>
      <c r="BB58" s="1001"/>
      <c r="BC58" s="1001"/>
      <c r="BD58" s="952"/>
      <c r="BE58" s="952"/>
    </row>
    <row r="59" spans="1:57" s="1167" customFormat="1" ht="17.25" hidden="1" customHeight="1" x14ac:dyDescent="0.15">
      <c r="A59" s="973"/>
      <c r="B59" s="773"/>
      <c r="C59" s="1152"/>
      <c r="D59" s="1152"/>
      <c r="E59" s="668">
        <v>0</v>
      </c>
      <c r="F59" s="769" t="str" cm="1">
        <f t="array" aca="1" ref="F59" ca="1">OFFSET(G59,-1,-1)</f>
        <v>1</v>
      </c>
      <c r="G59" s="1152"/>
      <c r="H59" s="1152"/>
      <c r="I59" s="1152"/>
      <c r="J59" s="1152"/>
      <c r="K59" s="1152"/>
      <c r="L59" s="1152"/>
      <c r="M59" s="1152"/>
      <c r="N59" s="1152"/>
      <c r="O59" s="1152"/>
      <c r="P59" s="1152"/>
      <c r="Q59" s="769"/>
      <c r="R59" s="769"/>
      <c r="S59" s="1152"/>
      <c r="T59" s="1152"/>
      <c r="U59" s="876" t="b">
        <f ca="1">AND(F59&gt;0,method_reg&lt;&gt;"Метод экономически обоснованных расходов")</f>
        <v>1</v>
      </c>
      <c r="V59" s="1152"/>
      <c r="W59" s="1152"/>
      <c r="X59" s="1152"/>
      <c r="Y59" s="1485"/>
      <c r="Z59" s="1485"/>
      <c r="AA59" s="167"/>
      <c r="AB59" s="710"/>
      <c r="AC59" s="708"/>
      <c r="AD59" s="709"/>
      <c r="AE59" s="19"/>
      <c r="AF59" s="19"/>
      <c r="AG59" s="19"/>
      <c r="AH59" s="19"/>
      <c r="AI59" s="19"/>
      <c r="AJ59" s="19"/>
      <c r="AK59" s="19"/>
      <c r="AL59" s="19"/>
      <c r="AM59" s="19"/>
      <c r="AN59" s="19"/>
      <c r="AO59" s="19"/>
      <c r="AP59" s="19"/>
      <c r="AQ59" s="19"/>
      <c r="AR59" s="19"/>
      <c r="AS59" s="19"/>
      <c r="AT59" s="19"/>
      <c r="AU59" s="19"/>
      <c r="AV59" s="19"/>
      <c r="AW59" s="19"/>
      <c r="AX59" s="19"/>
      <c r="AY59" s="167"/>
      <c r="AZ59" s="167"/>
      <c r="BA59" s="1001"/>
      <c r="BB59" s="1001"/>
      <c r="BC59" s="1001"/>
      <c r="BD59" s="952"/>
      <c r="BE59" s="952"/>
    </row>
    <row r="60" spans="1:57" s="1167" customFormat="1" ht="16.5" hidden="1" customHeight="1" x14ac:dyDescent="0.15">
      <c r="A60" s="973"/>
      <c r="B60" s="773"/>
      <c r="C60" s="1152"/>
      <c r="D60" s="1152"/>
      <c r="E60" s="668">
        <v>17.100000000000001</v>
      </c>
      <c r="F60" s="769" t="str" cm="1">
        <f t="array" aca="1" ref="F60" ca="1">OFFSET(G60,-1,-1)</f>
        <v>1</v>
      </c>
      <c r="G60" s="1152"/>
      <c r="H60" s="1152"/>
      <c r="I60" s="1152"/>
      <c r="J60" s="1152"/>
      <c r="K60" s="1152"/>
      <c r="L60" s="1152"/>
      <c r="M60" s="1152"/>
      <c r="N60" s="1152"/>
      <c r="O60" s="1152"/>
      <c r="P60" s="1152"/>
      <c r="Q60" s="769"/>
      <c r="R60" s="769"/>
      <c r="S60" s="1152"/>
      <c r="T60" s="1152"/>
      <c r="U60" s="876" t="b">
        <f ca="1">AND(F60&gt;0,AB60&lt;&gt;"2.0",method_reg&lt;&gt;"Метод экономически обоснованных расходов")</f>
        <v>0</v>
      </c>
      <c r="V60" s="1152"/>
      <c r="W60" s="1152"/>
      <c r="X60" s="123" t="s">
        <v>237</v>
      </c>
      <c r="Y60" s="1485"/>
      <c r="Z60" s="1485"/>
      <c r="AA60" s="764" t="s">
        <v>218</v>
      </c>
      <c r="AB60" s="745" t="s">
        <v>529</v>
      </c>
      <c r="AC60" s="20"/>
      <c r="AD60" s="746" t="s">
        <v>521</v>
      </c>
      <c r="AE60" s="21"/>
      <c r="AF60" s="1216"/>
      <c r="AG60" s="1216"/>
      <c r="AH60" s="21"/>
      <c r="AI60" s="21"/>
      <c r="AJ60" s="21"/>
      <c r="AK60" s="21"/>
      <c r="AL60" s="21"/>
      <c r="AM60" s="21"/>
      <c r="AN60" s="21"/>
      <c r="AO60" s="920"/>
      <c r="AP60" s="1216"/>
      <c r="AQ60" s="1216"/>
      <c r="AR60" s="21"/>
      <c r="AS60" s="21"/>
      <c r="AT60" s="21"/>
      <c r="AU60" s="21"/>
      <c r="AV60" s="21"/>
      <c r="AW60" s="21"/>
      <c r="AX60" s="21"/>
      <c r="AY60" s="167"/>
      <c r="AZ60" s="167"/>
      <c r="BA60" s="948" t="s">
        <v>530</v>
      </c>
      <c r="BB60" s="948" t="s">
        <v>531</v>
      </c>
      <c r="BC60" s="948" cm="1">
        <f t="array" ref="BC60">AC60</f>
        <v>0</v>
      </c>
      <c r="BD60" s="952"/>
      <c r="BE60" s="952" t="b">
        <v>1</v>
      </c>
    </row>
    <row r="61" spans="1:57" s="1167" customFormat="1" ht="16.5" customHeight="1" x14ac:dyDescent="0.15">
      <c r="A61" s="973"/>
      <c r="B61" s="773"/>
      <c r="C61" s="1152"/>
      <c r="D61" s="1152"/>
      <c r="E61" s="668">
        <v>17.100000000000001</v>
      </c>
      <c r="F61" s="769" t="str" cm="1">
        <f t="array" aca="1" ref="F61" ca="1">OFFSET(G61,-1,-1)</f>
        <v>1</v>
      </c>
      <c r="G61" s="1152"/>
      <c r="H61" s="1152"/>
      <c r="I61" s="1152"/>
      <c r="J61" s="1152"/>
      <c r="K61" s="1152"/>
      <c r="L61" s="1152"/>
      <c r="M61" s="1152"/>
      <c r="N61" s="1152"/>
      <c r="O61" s="1152"/>
      <c r="P61" s="1152"/>
      <c r="Q61" s="769"/>
      <c r="R61" s="769"/>
      <c r="S61" s="1152"/>
      <c r="T61" s="1152"/>
      <c r="U61" s="876" t="b">
        <f ca="1">AND(F61&gt;0,method_reg&lt;&gt;"Метод экономически обоснованных расходов")</f>
        <v>1</v>
      </c>
      <c r="V61" s="1152"/>
      <c r="W61" s="1152"/>
      <c r="X61" s="810" t="s">
        <v>532</v>
      </c>
      <c r="Y61" s="1485"/>
      <c r="Z61" s="1485"/>
      <c r="AA61" s="167"/>
      <c r="AB61" s="246"/>
      <c r="AC61" s="608" t="s">
        <v>239</v>
      </c>
      <c r="AD61" s="247"/>
      <c r="AE61" s="247"/>
      <c r="AF61" s="247"/>
      <c r="AG61" s="247"/>
      <c r="AH61" s="247"/>
      <c r="AI61" s="247"/>
      <c r="AJ61" s="247"/>
      <c r="AK61" s="247"/>
      <c r="AL61" s="247"/>
      <c r="AM61" s="247"/>
      <c r="AN61" s="247"/>
      <c r="AO61" s="247"/>
      <c r="AP61" s="247"/>
      <c r="AQ61" s="247"/>
      <c r="AR61" s="247"/>
      <c r="AS61" s="247"/>
      <c r="AT61" s="247"/>
      <c r="AU61" s="247"/>
      <c r="AV61" s="247"/>
      <c r="AW61" s="247"/>
      <c r="AX61" s="248"/>
      <c r="AY61" s="167"/>
      <c r="AZ61" s="167"/>
      <c r="BA61" s="1001"/>
      <c r="BB61" s="1001"/>
      <c r="BC61" s="1001"/>
      <c r="BD61" s="952" t="s">
        <v>531</v>
      </c>
      <c r="BE61" s="952"/>
    </row>
    <row r="62" spans="1:57" s="1167" customFormat="1" ht="16.5" customHeight="1" x14ac:dyDescent="0.15">
      <c r="A62" s="973"/>
      <c r="B62" s="773"/>
      <c r="C62" s="1152"/>
      <c r="D62" s="1152"/>
      <c r="E62" s="668">
        <v>17.100000000000001</v>
      </c>
      <c r="F62" s="769" t="str" cm="1">
        <f t="array" aca="1" ref="F62" ca="1">OFFSET(G62,-1,-1)</f>
        <v>1</v>
      </c>
      <c r="G62" s="769" t="s">
        <v>533</v>
      </c>
      <c r="H62" s="123" t="s">
        <v>534</v>
      </c>
      <c r="I62" s="1152"/>
      <c r="J62" s="1152"/>
      <c r="K62" s="1152"/>
      <c r="L62" s="1152"/>
      <c r="M62" s="1152"/>
      <c r="N62" s="1152"/>
      <c r="O62" s="1152"/>
      <c r="P62" s="1152"/>
      <c r="Q62" s="769"/>
      <c r="R62" s="769"/>
      <c r="S62" s="1152"/>
      <c r="T62" s="1152"/>
      <c r="U62" s="770" t="b">
        <f t="shared" ref="U62:U74" ca="1" si="5">F62&gt;0</f>
        <v>1</v>
      </c>
      <c r="V62" s="1152"/>
      <c r="W62" s="1152"/>
      <c r="X62" s="1152"/>
      <c r="Y62" s="1485"/>
      <c r="Z62" s="1485"/>
      <c r="AA62" s="167"/>
      <c r="AB62" s="747">
        <v>3</v>
      </c>
      <c r="AC62" s="748" t="s">
        <v>535</v>
      </c>
      <c r="AD62" s="749" t="s">
        <v>521</v>
      </c>
      <c r="AE62" s="1218">
        <v>5.0999999999999996</v>
      </c>
      <c r="AF62" s="1214"/>
      <c r="AG62" s="1214"/>
      <c r="AH62" s="1218"/>
      <c r="AI62" s="1218"/>
      <c r="AJ62" s="1218"/>
      <c r="AK62" s="1218"/>
      <c r="AL62" s="1218"/>
      <c r="AM62" s="1218"/>
      <c r="AN62" s="1218"/>
      <c r="AO62" s="919">
        <v>5.0999999999999996</v>
      </c>
      <c r="AP62" s="1214"/>
      <c r="AQ62" s="1214"/>
      <c r="AR62" s="1218"/>
      <c r="AS62" s="1218"/>
      <c r="AT62" s="1218"/>
      <c r="AU62" s="1218"/>
      <c r="AV62" s="1218"/>
      <c r="AW62" s="1218"/>
      <c r="AX62" s="1218"/>
      <c r="AY62" s="167"/>
      <c r="AZ62" s="167"/>
      <c r="BA62" s="948" t="s">
        <v>536</v>
      </c>
      <c r="BB62" s="1001"/>
      <c r="BC62" s="1001"/>
      <c r="BD62" s="952"/>
      <c r="BE62" s="952"/>
    </row>
    <row r="63" spans="1:57" s="1167" customFormat="1" ht="16.5" customHeight="1" x14ac:dyDescent="0.15">
      <c r="A63" s="973"/>
      <c r="B63" s="773"/>
      <c r="C63" s="1152"/>
      <c r="D63" s="1152"/>
      <c r="E63" s="668">
        <v>17.100000000000001</v>
      </c>
      <c r="F63" s="769" t="str" cm="1">
        <f t="array" aca="1" ref="F63" ca="1">OFFSET(G63,-1,-1)</f>
        <v>1</v>
      </c>
      <c r="G63" s="1152"/>
      <c r="H63" s="123" t="s">
        <v>537</v>
      </c>
      <c r="I63" s="1152"/>
      <c r="J63" s="1152"/>
      <c r="K63" s="1152"/>
      <c r="L63" s="1152"/>
      <c r="M63" s="1152"/>
      <c r="N63" s="1152"/>
      <c r="O63" s="1152"/>
      <c r="P63" s="1152"/>
      <c r="Q63" s="769"/>
      <c r="R63" s="769"/>
      <c r="S63" s="1152"/>
      <c r="T63" s="1152"/>
      <c r="U63" s="770" t="b">
        <f t="shared" ca="1" si="5"/>
        <v>1</v>
      </c>
      <c r="V63" s="1152"/>
      <c r="W63" s="1152"/>
      <c r="X63" s="1152"/>
      <c r="Y63" s="1485"/>
      <c r="Z63" s="1485"/>
      <c r="AA63" s="167"/>
      <c r="AB63" s="705">
        <v>4</v>
      </c>
      <c r="AC63" s="711" t="s">
        <v>538</v>
      </c>
      <c r="AD63" s="712" t="s">
        <v>521</v>
      </c>
      <c r="AE63" s="1217">
        <v>13.2</v>
      </c>
      <c r="AF63" s="1215"/>
      <c r="AG63" s="1215"/>
      <c r="AH63" s="1217"/>
      <c r="AI63" s="1217"/>
      <c r="AJ63" s="1217"/>
      <c r="AK63" s="1217"/>
      <c r="AL63" s="1217"/>
      <c r="AM63" s="1217"/>
      <c r="AN63" s="1217"/>
      <c r="AO63" s="307">
        <v>13.2</v>
      </c>
      <c r="AP63" s="1215"/>
      <c r="AQ63" s="1215"/>
      <c r="AR63" s="1217"/>
      <c r="AS63" s="1217"/>
      <c r="AT63" s="1217"/>
      <c r="AU63" s="1217"/>
      <c r="AV63" s="1217"/>
      <c r="AW63" s="1217"/>
      <c r="AX63" s="1217"/>
      <c r="AY63" s="167"/>
      <c r="AZ63" s="167"/>
      <c r="BA63" s="948" t="s">
        <v>539</v>
      </c>
      <c r="BB63" s="1001"/>
      <c r="BC63" s="1001"/>
      <c r="BD63" s="952"/>
      <c r="BE63" s="952"/>
    </row>
    <row r="64" spans="1:57" s="1167" customFormat="1" ht="29.25" customHeight="1" x14ac:dyDescent="0.15">
      <c r="A64" s="973"/>
      <c r="B64" s="773"/>
      <c r="C64" s="1152"/>
      <c r="D64" s="1152"/>
      <c r="E64" s="668">
        <v>30</v>
      </c>
      <c r="F64" s="769" t="str" cm="1">
        <f t="array" aca="1" ref="F64" ca="1">OFFSET(G64,-1,-1)</f>
        <v>1</v>
      </c>
      <c r="G64" s="1152"/>
      <c r="H64" s="123" t="s">
        <v>540</v>
      </c>
      <c r="I64" s="1152"/>
      <c r="J64" s="1152"/>
      <c r="K64" s="1152"/>
      <c r="L64" s="1152"/>
      <c r="M64" s="1152"/>
      <c r="N64" s="1152"/>
      <c r="O64" s="1152"/>
      <c r="P64" s="1152"/>
      <c r="Q64" s="769"/>
      <c r="R64" s="769"/>
      <c r="S64" s="1152"/>
      <c r="T64" s="1152"/>
      <c r="U64" s="770" t="b">
        <f t="shared" ca="1" si="5"/>
        <v>1</v>
      </c>
      <c r="V64" s="1152"/>
      <c r="W64" s="1152"/>
      <c r="X64" s="1152"/>
      <c r="Y64" s="1485"/>
      <c r="Z64" s="1485"/>
      <c r="AA64" s="167"/>
      <c r="AB64" s="705">
        <v>5</v>
      </c>
      <c r="AC64" s="713" t="s">
        <v>541</v>
      </c>
      <c r="AD64" s="712" t="s">
        <v>521</v>
      </c>
      <c r="AE64" s="1217">
        <v>9.9</v>
      </c>
      <c r="AF64" s="1215"/>
      <c r="AG64" s="1215"/>
      <c r="AH64" s="1217"/>
      <c r="AI64" s="1217"/>
      <c r="AJ64" s="1217"/>
      <c r="AK64" s="1217"/>
      <c r="AL64" s="1217"/>
      <c r="AM64" s="1217"/>
      <c r="AN64" s="1217"/>
      <c r="AO64" s="307">
        <v>9.9</v>
      </c>
      <c r="AP64" s="1215"/>
      <c r="AQ64" s="1215"/>
      <c r="AR64" s="1217"/>
      <c r="AS64" s="1217"/>
      <c r="AT64" s="1217"/>
      <c r="AU64" s="1217"/>
      <c r="AV64" s="1217"/>
      <c r="AW64" s="1217"/>
      <c r="AX64" s="1217"/>
      <c r="AY64" s="167"/>
      <c r="AZ64" s="167"/>
      <c r="BA64" s="948" t="s">
        <v>542</v>
      </c>
      <c r="BB64" s="1001"/>
      <c r="BC64" s="1001"/>
      <c r="BD64" s="952"/>
      <c r="BE64" s="952"/>
    </row>
    <row r="65" spans="1:57" s="1167" customFormat="1" ht="16.5" customHeight="1" x14ac:dyDescent="0.15">
      <c r="A65" s="973"/>
      <c r="B65" s="773"/>
      <c r="C65" s="1152"/>
      <c r="D65" s="1152"/>
      <c r="E65" s="668">
        <v>17.100000000000001</v>
      </c>
      <c r="F65" s="769" t="str" cm="1">
        <f t="array" aca="1" ref="F65" ca="1">OFFSET(G65,-1,-1)</f>
        <v>1</v>
      </c>
      <c r="G65" s="1152"/>
      <c r="H65" s="123" t="s">
        <v>543</v>
      </c>
      <c r="I65" s="1152"/>
      <c r="J65" s="1152"/>
      <c r="K65" s="1152"/>
      <c r="L65" s="1152"/>
      <c r="M65" s="1152"/>
      <c r="N65" s="1152"/>
      <c r="O65" s="1152"/>
      <c r="P65" s="1152"/>
      <c r="Q65" s="769"/>
      <c r="R65" s="769"/>
      <c r="S65" s="1152"/>
      <c r="T65" s="1152"/>
      <c r="U65" s="770" t="b">
        <f t="shared" ca="1" si="5"/>
        <v>1</v>
      </c>
      <c r="V65" s="1152"/>
      <c r="W65" s="1152"/>
      <c r="X65" s="1152"/>
      <c r="Y65" s="1485"/>
      <c r="Z65" s="1485"/>
      <c r="AA65" s="167"/>
      <c r="AB65" s="705">
        <v>6</v>
      </c>
      <c r="AC65" s="713" t="s">
        <v>544</v>
      </c>
      <c r="AD65" s="712" t="s">
        <v>521</v>
      </c>
      <c r="AE65" s="1217"/>
      <c r="AF65" s="1215"/>
      <c r="AG65" s="1215"/>
      <c r="AH65" s="1217"/>
      <c r="AI65" s="1217"/>
      <c r="AJ65" s="1217"/>
      <c r="AK65" s="1217"/>
      <c r="AL65" s="1217"/>
      <c r="AM65" s="1217"/>
      <c r="AN65" s="1217"/>
      <c r="AO65" s="307"/>
      <c r="AP65" s="1215"/>
      <c r="AQ65" s="1215"/>
      <c r="AR65" s="1217"/>
      <c r="AS65" s="1217"/>
      <c r="AT65" s="1217"/>
      <c r="AU65" s="1217"/>
      <c r="AV65" s="1217"/>
      <c r="AW65" s="1217"/>
      <c r="AX65" s="1217"/>
      <c r="AY65" s="167"/>
      <c r="AZ65" s="167"/>
      <c r="BA65" s="948" t="s">
        <v>545</v>
      </c>
      <c r="BB65" s="1001"/>
      <c r="BC65" s="1001"/>
      <c r="BD65" s="952"/>
      <c r="BE65" s="952"/>
    </row>
    <row r="66" spans="1:57" s="1167" customFormat="1" ht="16.5" customHeight="1" x14ac:dyDescent="0.15">
      <c r="A66" s="973"/>
      <c r="B66" s="773"/>
      <c r="C66" s="1152"/>
      <c r="D66" s="1152"/>
      <c r="E66" s="668">
        <v>17.100000000000001</v>
      </c>
      <c r="F66" s="769" t="str" cm="1">
        <f t="array" aca="1" ref="F66" ca="1">OFFSET(G66,-1,-1)</f>
        <v>1</v>
      </c>
      <c r="G66" s="1152"/>
      <c r="H66" s="123" t="s">
        <v>546</v>
      </c>
      <c r="I66" s="1152"/>
      <c r="J66" s="1152"/>
      <c r="K66" s="1152"/>
      <c r="L66" s="1152"/>
      <c r="M66" s="1152"/>
      <c r="N66" s="1152"/>
      <c r="O66" s="1152"/>
      <c r="P66" s="1152"/>
      <c r="Q66" s="769"/>
      <c r="R66" s="769"/>
      <c r="S66" s="1152"/>
      <c r="T66" s="1152"/>
      <c r="U66" s="770" t="b">
        <f t="shared" ca="1" si="5"/>
        <v>1</v>
      </c>
      <c r="V66" s="1152"/>
      <c r="W66" s="1152"/>
      <c r="X66" s="1152"/>
      <c r="Y66" s="1485"/>
      <c r="Z66" s="1485"/>
      <c r="AA66" s="167"/>
      <c r="AB66" s="705">
        <v>7</v>
      </c>
      <c r="AC66" s="713" t="s">
        <v>547</v>
      </c>
      <c r="AD66" s="712" t="s">
        <v>521</v>
      </c>
      <c r="AE66" s="1217"/>
      <c r="AF66" s="1215"/>
      <c r="AG66" s="1215"/>
      <c r="AH66" s="1217"/>
      <c r="AI66" s="1217"/>
      <c r="AJ66" s="1217"/>
      <c r="AK66" s="1217"/>
      <c r="AL66" s="1217"/>
      <c r="AM66" s="1217"/>
      <c r="AN66" s="1217"/>
      <c r="AO66" s="307"/>
      <c r="AP66" s="1215"/>
      <c r="AQ66" s="1215"/>
      <c r="AR66" s="1217"/>
      <c r="AS66" s="1217"/>
      <c r="AT66" s="1217"/>
      <c r="AU66" s="1217"/>
      <c r="AV66" s="1217"/>
      <c r="AW66" s="1217"/>
      <c r="AX66" s="1217"/>
      <c r="AY66" s="167"/>
      <c r="AZ66" s="167"/>
      <c r="BA66" s="948" t="s">
        <v>548</v>
      </c>
      <c r="BB66" s="1001"/>
      <c r="BC66" s="1001"/>
      <c r="BD66" s="952"/>
      <c r="BE66" s="952"/>
    </row>
    <row r="67" spans="1:57" s="1167" customFormat="1" ht="16.5" customHeight="1" x14ac:dyDescent="0.15">
      <c r="A67" s="973"/>
      <c r="B67" s="773"/>
      <c r="C67" s="1152"/>
      <c r="D67" s="1152"/>
      <c r="E67" s="668">
        <v>17.100000000000001</v>
      </c>
      <c r="F67" s="769" t="str" cm="1">
        <f t="array" aca="1" ref="F67" ca="1">OFFSET(G67,-1,-1)</f>
        <v>1</v>
      </c>
      <c r="G67" s="1152"/>
      <c r="H67" s="123" t="s">
        <v>549</v>
      </c>
      <c r="I67" s="1152"/>
      <c r="J67" s="1152"/>
      <c r="K67" s="1152"/>
      <c r="L67" s="1152"/>
      <c r="M67" s="1152"/>
      <c r="N67" s="1152"/>
      <c r="O67" s="1152"/>
      <c r="P67" s="1152"/>
      <c r="Q67" s="769"/>
      <c r="R67" s="769"/>
      <c r="S67" s="1152"/>
      <c r="T67" s="1152"/>
      <c r="U67" s="770" t="b">
        <f t="shared" ca="1" si="5"/>
        <v>1</v>
      </c>
      <c r="V67" s="1152"/>
      <c r="W67" s="1152"/>
      <c r="X67" s="1152"/>
      <c r="Y67" s="1485"/>
      <c r="Z67" s="1485"/>
      <c r="AA67" s="167"/>
      <c r="AB67" s="705">
        <v>8</v>
      </c>
      <c r="AC67" s="713" t="s">
        <v>550</v>
      </c>
      <c r="AD67" s="712" t="s">
        <v>521</v>
      </c>
      <c r="AE67" s="1217"/>
      <c r="AF67" s="1215"/>
      <c r="AG67" s="1215"/>
      <c r="AH67" s="1217"/>
      <c r="AI67" s="1217"/>
      <c r="AJ67" s="1217"/>
      <c r="AK67" s="1217"/>
      <c r="AL67" s="1217"/>
      <c r="AM67" s="1217"/>
      <c r="AN67" s="1217"/>
      <c r="AO67" s="307"/>
      <c r="AP67" s="1215"/>
      <c r="AQ67" s="1215"/>
      <c r="AR67" s="1217"/>
      <c r="AS67" s="1217"/>
      <c r="AT67" s="1217"/>
      <c r="AU67" s="1217"/>
      <c r="AV67" s="1217"/>
      <c r="AW67" s="1217"/>
      <c r="AX67" s="1217"/>
      <c r="AY67" s="167"/>
      <c r="AZ67" s="167"/>
      <c r="BA67" s="948" t="s">
        <v>551</v>
      </c>
      <c r="BB67" s="1001"/>
      <c r="BC67" s="1001"/>
      <c r="BD67" s="952"/>
      <c r="BE67" s="952"/>
    </row>
    <row r="68" spans="1:57" s="1167" customFormat="1" ht="16.5" customHeight="1" x14ac:dyDescent="0.15">
      <c r="A68" s="973"/>
      <c r="B68" s="773"/>
      <c r="C68" s="1152"/>
      <c r="D68" s="1152"/>
      <c r="E68" s="668">
        <v>17.100000000000001</v>
      </c>
      <c r="F68" s="769" t="str" cm="1">
        <f t="array" aca="1" ref="F68" ca="1">OFFSET(G68,-1,-1)</f>
        <v>1</v>
      </c>
      <c r="G68" s="1152"/>
      <c r="H68" s="123" t="s">
        <v>552</v>
      </c>
      <c r="I68" s="1152"/>
      <c r="J68" s="1152"/>
      <c r="K68" s="1152"/>
      <c r="L68" s="1152"/>
      <c r="M68" s="1152"/>
      <c r="N68" s="1152"/>
      <c r="O68" s="1152"/>
      <c r="P68" s="1152"/>
      <c r="Q68" s="769"/>
      <c r="R68" s="769"/>
      <c r="S68" s="1152"/>
      <c r="T68" s="1152"/>
      <c r="U68" s="770" t="b">
        <f t="shared" ca="1" si="5"/>
        <v>1</v>
      </c>
      <c r="V68" s="1152"/>
      <c r="W68" s="1152"/>
      <c r="X68" s="1152"/>
      <c r="Y68" s="1485"/>
      <c r="Z68" s="1485"/>
      <c r="AA68" s="167"/>
      <c r="AB68" s="705">
        <v>9</v>
      </c>
      <c r="AC68" s="713" t="s">
        <v>553</v>
      </c>
      <c r="AD68" s="120" t="s">
        <v>554</v>
      </c>
      <c r="AE68" s="1217">
        <f>7900</f>
        <v>7900</v>
      </c>
      <c r="AF68" s="1215">
        <f>7900</f>
        <v>7900</v>
      </c>
      <c r="AG68" s="1215">
        <f>7900</f>
        <v>7900</v>
      </c>
      <c r="AH68" s="1217">
        <f>7900</f>
        <v>7900</v>
      </c>
      <c r="AI68" s="1217">
        <f>7900</f>
        <v>7900</v>
      </c>
      <c r="AJ68" s="1217">
        <f>7900</f>
        <v>7900</v>
      </c>
      <c r="AK68" s="1217">
        <f>7900</f>
        <v>7900</v>
      </c>
      <c r="AL68" s="1217">
        <f>7900</f>
        <v>7900</v>
      </c>
      <c r="AM68" s="1217">
        <f>7900</f>
        <v>7900</v>
      </c>
      <c r="AN68" s="1217">
        <f>7900</f>
        <v>7900</v>
      </c>
      <c r="AO68" s="307">
        <f>7900</f>
        <v>7900</v>
      </c>
      <c r="AP68" s="1215">
        <f>7900</f>
        <v>7900</v>
      </c>
      <c r="AQ68" s="1215">
        <f>7900</f>
        <v>7900</v>
      </c>
      <c r="AR68" s="1217">
        <f>7900</f>
        <v>7900</v>
      </c>
      <c r="AS68" s="1217">
        <f>7900</f>
        <v>7900</v>
      </c>
      <c r="AT68" s="1217">
        <f>7900</f>
        <v>7900</v>
      </c>
      <c r="AU68" s="1217">
        <f>7900</f>
        <v>7900</v>
      </c>
      <c r="AV68" s="1217">
        <f>7900</f>
        <v>7900</v>
      </c>
      <c r="AW68" s="1217">
        <f>7900</f>
        <v>7900</v>
      </c>
      <c r="AX68" s="1217">
        <f>7900</f>
        <v>7900</v>
      </c>
      <c r="AY68" s="167"/>
      <c r="AZ68" s="167"/>
      <c r="BA68" s="948" t="s">
        <v>555</v>
      </c>
      <c r="BB68" s="1001"/>
      <c r="BC68" s="1001"/>
      <c r="BD68" s="952"/>
      <c r="BE68" s="952"/>
    </row>
    <row r="69" spans="1:57" s="1167" customFormat="1" ht="16.5" customHeight="1" x14ac:dyDescent="0.15">
      <c r="A69" s="973"/>
      <c r="B69" s="773"/>
      <c r="C69" s="1152"/>
      <c r="D69" s="1152"/>
      <c r="E69" s="668">
        <v>17.100000000000001</v>
      </c>
      <c r="F69" s="769" t="str" cm="1">
        <f t="array" aca="1" ref="F69" ca="1">OFFSET(G69,-1,-1)</f>
        <v>1</v>
      </c>
      <c r="G69" s="1152"/>
      <c r="H69" s="123" t="s">
        <v>556</v>
      </c>
      <c r="I69" s="1152"/>
      <c r="J69" s="1152"/>
      <c r="K69" s="1152"/>
      <c r="L69" s="1152"/>
      <c r="M69" s="1152"/>
      <c r="N69" s="1152"/>
      <c r="O69" s="1152"/>
      <c r="P69" s="1152"/>
      <c r="Q69" s="769"/>
      <c r="R69" s="769"/>
      <c r="S69" s="1152"/>
      <c r="T69" s="1152"/>
      <c r="U69" s="770" t="b">
        <f t="shared" ca="1" si="5"/>
        <v>1</v>
      </c>
      <c r="V69" s="1152"/>
      <c r="W69" s="1152"/>
      <c r="X69" s="1152"/>
      <c r="Y69" s="1485"/>
      <c r="Z69" s="1485"/>
      <c r="AA69" s="167"/>
      <c r="AB69" s="705">
        <v>10</v>
      </c>
      <c r="AC69" s="713" t="s">
        <v>557</v>
      </c>
      <c r="AD69" s="120" t="s">
        <v>558</v>
      </c>
      <c r="AE69" s="1217"/>
      <c r="AF69" s="1215"/>
      <c r="AG69" s="1215"/>
      <c r="AH69" s="1217"/>
      <c r="AI69" s="1217"/>
      <c r="AJ69" s="1217"/>
      <c r="AK69" s="1217"/>
      <c r="AL69" s="1217"/>
      <c r="AM69" s="1217"/>
      <c r="AN69" s="1217"/>
      <c r="AO69" s="307"/>
      <c r="AP69" s="1215"/>
      <c r="AQ69" s="1215"/>
      <c r="AR69" s="1217"/>
      <c r="AS69" s="1217"/>
      <c r="AT69" s="1217"/>
      <c r="AU69" s="1217"/>
      <c r="AV69" s="1217"/>
      <c r="AW69" s="1217"/>
      <c r="AX69" s="1217"/>
      <c r="AY69" s="167"/>
      <c r="AZ69" s="167"/>
      <c r="BA69" s="948" t="s">
        <v>559</v>
      </c>
      <c r="BB69" s="1001"/>
      <c r="BC69" s="1001"/>
      <c r="BD69" s="952"/>
      <c r="BE69" s="952"/>
    </row>
    <row r="70" spans="1:57" s="1167" customFormat="1" ht="16.5" customHeight="1" x14ac:dyDescent="0.15">
      <c r="A70" s="973"/>
      <c r="B70" s="773"/>
      <c r="C70" s="1152"/>
      <c r="D70" s="1152"/>
      <c r="E70" s="668">
        <v>17.100000000000001</v>
      </c>
      <c r="F70" s="769" t="str" cm="1">
        <f t="array" aca="1" ref="F70" ca="1">OFFSET(G70,-1,-1)</f>
        <v>1</v>
      </c>
      <c r="G70" s="1152"/>
      <c r="H70" s="123" t="s">
        <v>560</v>
      </c>
      <c r="I70" s="1152"/>
      <c r="J70" s="1152"/>
      <c r="K70" s="1152"/>
      <c r="L70" s="1152"/>
      <c r="M70" s="1152"/>
      <c r="N70" s="1152"/>
      <c r="O70" s="1152"/>
      <c r="P70" s="1152"/>
      <c r="Q70" s="769"/>
      <c r="R70" s="769"/>
      <c r="S70" s="1152"/>
      <c r="T70" s="1152"/>
      <c r="U70" s="770" t="b">
        <f t="shared" ca="1" si="5"/>
        <v>1</v>
      </c>
      <c r="V70" s="1152"/>
      <c r="W70" s="1152"/>
      <c r="X70" s="1152"/>
      <c r="Y70" s="1485"/>
      <c r="Z70" s="1485"/>
      <c r="AA70" s="167"/>
      <c r="AB70" s="705">
        <v>11</v>
      </c>
      <c r="AC70" s="713" t="s">
        <v>561</v>
      </c>
      <c r="AD70" s="120" t="s">
        <v>562</v>
      </c>
      <c r="AE70" s="1217">
        <v>5325</v>
      </c>
      <c r="AF70" s="1215">
        <f>7000</f>
        <v>7000</v>
      </c>
      <c r="AG70" s="1215">
        <f>7000</f>
        <v>7000</v>
      </c>
      <c r="AH70" s="1217">
        <f>7000</f>
        <v>7000</v>
      </c>
      <c r="AI70" s="1217">
        <f>7000</f>
        <v>7000</v>
      </c>
      <c r="AJ70" s="1217">
        <f>7000</f>
        <v>7000</v>
      </c>
      <c r="AK70" s="1217">
        <f>7000</f>
        <v>7000</v>
      </c>
      <c r="AL70" s="1217">
        <f>7000</f>
        <v>7000</v>
      </c>
      <c r="AM70" s="1217">
        <f>7000</f>
        <v>7000</v>
      </c>
      <c r="AN70" s="1217">
        <f>7000</f>
        <v>7000</v>
      </c>
      <c r="AO70" s="307">
        <v>5325</v>
      </c>
      <c r="AP70" s="1215">
        <f>7000</f>
        <v>7000</v>
      </c>
      <c r="AQ70" s="1215">
        <f>7000</f>
        <v>7000</v>
      </c>
      <c r="AR70" s="1217">
        <f>7000</f>
        <v>7000</v>
      </c>
      <c r="AS70" s="1217">
        <f>7000</f>
        <v>7000</v>
      </c>
      <c r="AT70" s="1217">
        <f>7000</f>
        <v>7000</v>
      </c>
      <c r="AU70" s="1217">
        <f>7000</f>
        <v>7000</v>
      </c>
      <c r="AV70" s="1217">
        <f>7000</f>
        <v>7000</v>
      </c>
      <c r="AW70" s="1217">
        <f>7000</f>
        <v>7000</v>
      </c>
      <c r="AX70" s="1217">
        <f>7000</f>
        <v>7000</v>
      </c>
      <c r="AY70" s="167"/>
      <c r="AZ70" s="167"/>
      <c r="BA70" s="948" t="s">
        <v>563</v>
      </c>
      <c r="BB70" s="1001"/>
      <c r="BC70" s="1001"/>
      <c r="BD70" s="952"/>
      <c r="BE70" s="952"/>
    </row>
    <row r="71" spans="1:57" s="1167" customFormat="1" ht="16.5" customHeight="1" x14ac:dyDescent="0.15">
      <c r="A71" s="973"/>
      <c r="B71" s="773"/>
      <c r="C71" s="1152"/>
      <c r="D71" s="1152"/>
      <c r="E71" s="668">
        <v>17.100000000000001</v>
      </c>
      <c r="F71" s="769" t="str" cm="1">
        <f t="array" aca="1" ref="F71" ca="1">OFFSET(G71,-1,-1)</f>
        <v>1</v>
      </c>
      <c r="G71" s="1152"/>
      <c r="H71" s="123" t="s">
        <v>564</v>
      </c>
      <c r="I71" s="1152"/>
      <c r="J71" s="1152"/>
      <c r="K71" s="1152"/>
      <c r="L71" s="1152"/>
      <c r="M71" s="1152"/>
      <c r="N71" s="1152"/>
      <c r="O71" s="1152"/>
      <c r="P71" s="1152"/>
      <c r="Q71" s="769"/>
      <c r="R71" s="769"/>
      <c r="S71" s="1152"/>
      <c r="T71" s="1152"/>
      <c r="U71" s="770" t="b">
        <f t="shared" ca="1" si="5"/>
        <v>1</v>
      </c>
      <c r="V71" s="1152"/>
      <c r="W71" s="1152"/>
      <c r="X71" s="1152"/>
      <c r="Y71" s="1485"/>
      <c r="Z71" s="1485"/>
      <c r="AA71" s="167"/>
      <c r="AB71" s="705">
        <v>12</v>
      </c>
      <c r="AC71" s="713" t="s">
        <v>565</v>
      </c>
      <c r="AD71" s="712" t="s">
        <v>521</v>
      </c>
      <c r="AE71" s="1217">
        <v>1.5</v>
      </c>
      <c r="AF71" s="1215"/>
      <c r="AG71" s="1215"/>
      <c r="AH71" s="1217"/>
      <c r="AI71" s="1217"/>
      <c r="AJ71" s="1217"/>
      <c r="AK71" s="1217"/>
      <c r="AL71" s="1217"/>
      <c r="AM71" s="1217"/>
      <c r="AN71" s="1217"/>
      <c r="AO71" s="307">
        <v>1.5</v>
      </c>
      <c r="AP71" s="1215"/>
      <c r="AQ71" s="1215"/>
      <c r="AR71" s="1217"/>
      <c r="AS71" s="1217"/>
      <c r="AT71" s="1217"/>
      <c r="AU71" s="1217"/>
      <c r="AV71" s="1217"/>
      <c r="AW71" s="1217"/>
      <c r="AX71" s="1217"/>
      <c r="AY71" s="167"/>
      <c r="AZ71" s="167"/>
      <c r="BA71" s="948" t="s">
        <v>566</v>
      </c>
      <c r="BB71" s="1001"/>
      <c r="BC71" s="1001"/>
      <c r="BD71" s="952"/>
      <c r="BE71" s="952"/>
    </row>
    <row r="72" spans="1:57" s="1167" customFormat="1" ht="16.5" customHeight="1" x14ac:dyDescent="0.15">
      <c r="A72" s="973"/>
      <c r="B72" s="773"/>
      <c r="C72" s="1152"/>
      <c r="D72" s="1152"/>
      <c r="E72" s="668">
        <v>17.100000000000001</v>
      </c>
      <c r="F72" s="769" t="str" cm="1">
        <f t="array" aca="1" ref="F72" ca="1">OFFSET(G72,-1,-1)</f>
        <v>1</v>
      </c>
      <c r="G72" s="1152"/>
      <c r="H72" s="123" t="s">
        <v>567</v>
      </c>
      <c r="I72" s="1152"/>
      <c r="J72" s="1152"/>
      <c r="K72" s="1152"/>
      <c r="L72" s="1152"/>
      <c r="M72" s="1152"/>
      <c r="N72" s="1152"/>
      <c r="O72" s="1152"/>
      <c r="P72" s="1152"/>
      <c r="Q72" s="769"/>
      <c r="R72" s="769"/>
      <c r="S72" s="1152"/>
      <c r="T72" s="1152"/>
      <c r="U72" s="770" t="b">
        <f t="shared" ca="1" si="5"/>
        <v>1</v>
      </c>
      <c r="V72" s="1152"/>
      <c r="W72" s="1152"/>
      <c r="X72" s="1152"/>
      <c r="Y72" s="1485"/>
      <c r="Z72" s="1485"/>
      <c r="AA72" s="167"/>
      <c r="AB72" s="705">
        <v>13</v>
      </c>
      <c r="AC72" s="713" t="s">
        <v>568</v>
      </c>
      <c r="AD72" s="712" t="s">
        <v>521</v>
      </c>
      <c r="AE72" s="1217"/>
      <c r="AF72" s="1215"/>
      <c r="AG72" s="1215"/>
      <c r="AH72" s="1217"/>
      <c r="AI72" s="1217"/>
      <c r="AJ72" s="1217"/>
      <c r="AK72" s="1217"/>
      <c r="AL72" s="1217"/>
      <c r="AM72" s="1217"/>
      <c r="AN72" s="1217"/>
      <c r="AO72" s="307"/>
      <c r="AP72" s="1215"/>
      <c r="AQ72" s="1215"/>
      <c r="AR72" s="1217"/>
      <c r="AS72" s="1217"/>
      <c r="AT72" s="1217"/>
      <c r="AU72" s="1217"/>
      <c r="AV72" s="1217"/>
      <c r="AW72" s="1217"/>
      <c r="AX72" s="1217"/>
      <c r="AY72" s="167"/>
      <c r="AZ72" s="167"/>
      <c r="BA72" s="948" t="s">
        <v>569</v>
      </c>
      <c r="BB72" s="1001"/>
      <c r="BC72" s="1001"/>
      <c r="BD72" s="952"/>
      <c r="BE72" s="952"/>
    </row>
    <row r="73" spans="1:57" s="1167" customFormat="1" ht="16.5" customHeight="1" x14ac:dyDescent="0.15">
      <c r="A73" s="973"/>
      <c r="B73" s="773"/>
      <c r="C73" s="1152"/>
      <c r="D73" s="1152"/>
      <c r="E73" s="668">
        <v>17.100000000000001</v>
      </c>
      <c r="F73" s="769" t="str" cm="1">
        <f t="array" aca="1" ref="F73" ca="1">OFFSET(G73,-1,-1)</f>
        <v>1</v>
      </c>
      <c r="G73" s="1152"/>
      <c r="H73" s="123" t="s">
        <v>570</v>
      </c>
      <c r="I73" s="1152"/>
      <c r="J73" s="1152"/>
      <c r="K73" s="1152"/>
      <c r="L73" s="1152"/>
      <c r="M73" s="1152"/>
      <c r="N73" s="1152"/>
      <c r="O73" s="1152"/>
      <c r="P73" s="1152"/>
      <c r="Q73" s="769"/>
      <c r="R73" s="769"/>
      <c r="S73" s="1152"/>
      <c r="T73" s="1152"/>
      <c r="U73" s="770" t="b">
        <f t="shared" ca="1" si="5"/>
        <v>1</v>
      </c>
      <c r="V73" s="1152"/>
      <c r="W73" s="1152"/>
      <c r="X73" s="1152"/>
      <c r="Y73" s="1485"/>
      <c r="Z73" s="1485"/>
      <c r="AA73" s="167"/>
      <c r="AB73" s="705">
        <v>14</v>
      </c>
      <c r="AC73" s="713" t="s">
        <v>571</v>
      </c>
      <c r="AD73" s="712" t="s">
        <v>521</v>
      </c>
      <c r="AE73" s="1217"/>
      <c r="AF73" s="1215"/>
      <c r="AG73" s="1215"/>
      <c r="AH73" s="1217"/>
      <c r="AI73" s="1217"/>
      <c r="AJ73" s="1217"/>
      <c r="AK73" s="1217"/>
      <c r="AL73" s="1217"/>
      <c r="AM73" s="1217"/>
      <c r="AN73" s="1217"/>
      <c r="AO73" s="307"/>
      <c r="AP73" s="1215"/>
      <c r="AQ73" s="1215"/>
      <c r="AR73" s="1217"/>
      <c r="AS73" s="1217"/>
      <c r="AT73" s="1217"/>
      <c r="AU73" s="1217"/>
      <c r="AV73" s="1217"/>
      <c r="AW73" s="1217"/>
      <c r="AX73" s="1217"/>
      <c r="AY73" s="167"/>
      <c r="AZ73" s="167"/>
      <c r="BA73" s="948" t="s">
        <v>572</v>
      </c>
      <c r="BB73" s="1001"/>
      <c r="BC73" s="1001"/>
      <c r="BD73" s="952"/>
      <c r="BE73" s="952"/>
    </row>
    <row r="74" spans="1:57" s="1167" customFormat="1" ht="16.5" customHeight="1" x14ac:dyDescent="0.15">
      <c r="A74" s="973"/>
      <c r="B74" s="773"/>
      <c r="C74" s="1152"/>
      <c r="D74" s="1152"/>
      <c r="E74" s="668">
        <v>17.100000000000001</v>
      </c>
      <c r="F74" s="769" t="str" cm="1">
        <f t="array" aca="1" ref="F74" ca="1">OFFSET(G74,-1,-1)</f>
        <v>1</v>
      </c>
      <c r="G74" s="1152"/>
      <c r="H74" s="123" t="s">
        <v>573</v>
      </c>
      <c r="I74" s="1152"/>
      <c r="J74" s="1152"/>
      <c r="K74" s="1152"/>
      <c r="L74" s="1152"/>
      <c r="M74" s="1152"/>
      <c r="N74" s="1152"/>
      <c r="O74" s="1152"/>
      <c r="P74" s="1152"/>
      <c r="Q74" s="769"/>
      <c r="R74" s="769"/>
      <c r="S74" s="1152"/>
      <c r="T74" s="1152"/>
      <c r="U74" s="770" t="b">
        <f t="shared" ca="1" si="5"/>
        <v>1</v>
      </c>
      <c r="V74" s="1152"/>
      <c r="W74" s="1152"/>
      <c r="X74" s="1152"/>
      <c r="Y74" s="1485"/>
      <c r="Z74" s="1485"/>
      <c r="AA74" s="167"/>
      <c r="AB74" s="705">
        <v>15</v>
      </c>
      <c r="AC74" s="713" t="s">
        <v>574</v>
      </c>
      <c r="AD74" s="712" t="s">
        <v>521</v>
      </c>
      <c r="AE74" s="1217"/>
      <c r="AF74" s="1215"/>
      <c r="AG74" s="1215"/>
      <c r="AH74" s="1217"/>
      <c r="AI74" s="1217"/>
      <c r="AJ74" s="1217"/>
      <c r="AK74" s="1217"/>
      <c r="AL74" s="1217"/>
      <c r="AM74" s="1217"/>
      <c r="AN74" s="1217"/>
      <c r="AO74" s="307"/>
      <c r="AP74" s="1215"/>
      <c r="AQ74" s="1215"/>
      <c r="AR74" s="1217"/>
      <c r="AS74" s="1217"/>
      <c r="AT74" s="1217"/>
      <c r="AU74" s="1217"/>
      <c r="AV74" s="1217"/>
      <c r="AW74" s="1217"/>
      <c r="AX74" s="1217"/>
      <c r="AY74" s="167"/>
      <c r="AZ74" s="167"/>
      <c r="BA74" s="948" t="s">
        <v>575</v>
      </c>
      <c r="BB74" s="1001"/>
      <c r="BC74" s="1001"/>
      <c r="BD74" s="952"/>
      <c r="BE74" s="952"/>
    </row>
    <row r="75" spans="1:57" s="1167" customFormat="1" ht="16.5" customHeight="1" x14ac:dyDescent="0.15">
      <c r="A75" s="973"/>
      <c r="B75" s="773"/>
      <c r="C75" s="1152"/>
      <c r="D75" s="1152"/>
      <c r="E75" s="668">
        <v>17.100000000000001</v>
      </c>
      <c r="F75" s="769" t="str" cm="1">
        <f t="array" aca="1" ref="F75" ca="1">OFFSET(G75,-1,-1)</f>
        <v>1</v>
      </c>
      <c r="G75" s="769" t="s">
        <v>576</v>
      </c>
      <c r="H75" s="123" t="s">
        <v>577</v>
      </c>
      <c r="I75" s="1152"/>
      <c r="J75" s="1152"/>
      <c r="K75" s="1152"/>
      <c r="L75" s="1152"/>
      <c r="M75" s="1152"/>
      <c r="N75" s="1152"/>
      <c r="O75" s="1152"/>
      <c r="P75" s="1152"/>
      <c r="Q75" s="769"/>
      <c r="R75" s="769"/>
      <c r="S75" s="1152"/>
      <c r="T75" s="1152"/>
      <c r="U75" s="876" t="b">
        <f ca="1">AND(F75&gt;0,method_reg&lt;&gt;"Метод экономически обоснованных расходов")</f>
        <v>1</v>
      </c>
      <c r="V75" s="1152"/>
      <c r="W75" s="1152"/>
      <c r="X75" s="1152"/>
      <c r="Y75" s="1485"/>
      <c r="Z75" s="1485"/>
      <c r="AA75" s="167"/>
      <c r="AB75" s="705">
        <v>16</v>
      </c>
      <c r="AC75" s="715" t="s">
        <v>578</v>
      </c>
      <c r="AD75" s="156"/>
      <c r="AE75" s="1217">
        <v>2.1142000000000001E-3</v>
      </c>
      <c r="AF75" s="1215"/>
      <c r="AG75" s="1215"/>
      <c r="AH75" s="1217"/>
      <c r="AI75" s="1217"/>
      <c r="AJ75" s="1217"/>
      <c r="AK75" s="1217"/>
      <c r="AL75" s="1217"/>
      <c r="AM75" s="1217"/>
      <c r="AN75" s="1217"/>
      <c r="AO75" s="307">
        <v>2.1142000000000001E-3</v>
      </c>
      <c r="AP75" s="1215"/>
      <c r="AQ75" s="1215"/>
      <c r="AR75" s="1217"/>
      <c r="AS75" s="1217"/>
      <c r="AT75" s="1217"/>
      <c r="AU75" s="1217"/>
      <c r="AV75" s="1217"/>
      <c r="AW75" s="1217"/>
      <c r="AX75" s="1217"/>
      <c r="AY75" s="167"/>
      <c r="AZ75" s="167"/>
      <c r="BA75" s="948" t="s">
        <v>579</v>
      </c>
      <c r="BB75" s="1001"/>
      <c r="BC75" s="1001"/>
      <c r="BD75" s="952"/>
      <c r="BE75" s="952"/>
    </row>
    <row r="76" spans="1:57" s="1167" customFormat="1" ht="29.25" customHeight="1" x14ac:dyDescent="0.15">
      <c r="A76" s="973"/>
      <c r="B76" s="773"/>
      <c r="C76" s="1152"/>
      <c r="D76" s="1152"/>
      <c r="E76" s="668">
        <v>30</v>
      </c>
      <c r="F76" s="769" t="str" cm="1">
        <f t="array" aca="1" ref="F76" ca="1">OFFSET(G76,-1,-1)</f>
        <v>1</v>
      </c>
      <c r="G76" s="769" t="s">
        <v>580</v>
      </c>
      <c r="H76" s="123" t="s">
        <v>581</v>
      </c>
      <c r="I76" s="1152"/>
      <c r="J76" s="1152"/>
      <c r="K76" s="1152"/>
      <c r="L76" s="1152"/>
      <c r="M76" s="1152"/>
      <c r="N76" s="1152"/>
      <c r="O76" s="1152"/>
      <c r="P76" s="1152"/>
      <c r="Q76" s="769"/>
      <c r="R76" s="769"/>
      <c r="S76" s="1152"/>
      <c r="T76" s="1152"/>
      <c r="U76" s="876" t="b">
        <f ca="1">AND(F76&gt;0,method_reg&lt;&gt;"Метод экономически обоснованных расходов")</f>
        <v>1</v>
      </c>
      <c r="V76" s="1152"/>
      <c r="W76" s="1152"/>
      <c r="X76" s="1152"/>
      <c r="Y76" s="1485"/>
      <c r="Z76" s="1485"/>
      <c r="AA76" s="167"/>
      <c r="AB76" s="705">
        <v>17</v>
      </c>
      <c r="AC76" s="157" t="s">
        <v>582</v>
      </c>
      <c r="AD76" s="706"/>
      <c r="AE76" s="1217">
        <f t="shared" ref="AE76:AX76" si="6">0.75</f>
        <v>0.75</v>
      </c>
      <c r="AF76" s="1215">
        <f t="shared" si="6"/>
        <v>0.75</v>
      </c>
      <c r="AG76" s="1215">
        <f t="shared" si="6"/>
        <v>0.75</v>
      </c>
      <c r="AH76" s="1217">
        <f t="shared" si="6"/>
        <v>0.75</v>
      </c>
      <c r="AI76" s="1217">
        <f t="shared" si="6"/>
        <v>0.75</v>
      </c>
      <c r="AJ76" s="1217">
        <f t="shared" si="6"/>
        <v>0.75</v>
      </c>
      <c r="AK76" s="1217">
        <f t="shared" si="6"/>
        <v>0.75</v>
      </c>
      <c r="AL76" s="1217">
        <f t="shared" si="6"/>
        <v>0.75</v>
      </c>
      <c r="AM76" s="1217">
        <f t="shared" si="6"/>
        <v>0.75</v>
      </c>
      <c r="AN76" s="1217">
        <f t="shared" si="6"/>
        <v>0.75</v>
      </c>
      <c r="AO76" s="307">
        <f t="shared" si="6"/>
        <v>0.75</v>
      </c>
      <c r="AP76" s="1215">
        <f t="shared" si="6"/>
        <v>0.75</v>
      </c>
      <c r="AQ76" s="1215">
        <f t="shared" si="6"/>
        <v>0.75</v>
      </c>
      <c r="AR76" s="1217">
        <f t="shared" si="6"/>
        <v>0.75</v>
      </c>
      <c r="AS76" s="1217">
        <f t="shared" si="6"/>
        <v>0.75</v>
      </c>
      <c r="AT76" s="1217">
        <f t="shared" si="6"/>
        <v>0.75</v>
      </c>
      <c r="AU76" s="1217">
        <f t="shared" si="6"/>
        <v>0.75</v>
      </c>
      <c r="AV76" s="1217">
        <f t="shared" si="6"/>
        <v>0.75</v>
      </c>
      <c r="AW76" s="1217">
        <f t="shared" si="6"/>
        <v>0.75</v>
      </c>
      <c r="AX76" s="1217">
        <f t="shared" si="6"/>
        <v>0.75</v>
      </c>
      <c r="AY76" s="167"/>
      <c r="AZ76" s="167"/>
      <c r="BA76" s="948" t="s">
        <v>583</v>
      </c>
      <c r="BB76" s="1001"/>
      <c r="BC76" s="1001"/>
      <c r="BD76" s="952"/>
      <c r="BE76" s="952"/>
    </row>
    <row r="77" spans="1:57" s="1167" customFormat="1" ht="16.5" customHeight="1" x14ac:dyDescent="0.15">
      <c r="A77" s="973"/>
      <c r="B77" s="773"/>
      <c r="C77" s="1152"/>
      <c r="D77" s="1152"/>
      <c r="E77" s="668">
        <v>17.100000000000001</v>
      </c>
      <c r="F77" s="769" t="str" cm="1">
        <f t="array" aca="1" ref="F77" ca="1">OFFSET(G77,-1,-1)</f>
        <v>1</v>
      </c>
      <c r="G77" s="1152"/>
      <c r="H77" s="1152"/>
      <c r="I77" s="1152"/>
      <c r="J77" s="1152"/>
      <c r="K77" s="1152"/>
      <c r="L77" s="1152"/>
      <c r="M77" s="1152"/>
      <c r="N77" s="1152"/>
      <c r="O77" s="1152"/>
      <c r="P77" s="1152"/>
      <c r="Q77" s="769"/>
      <c r="R77" s="769"/>
      <c r="S77" s="1152"/>
      <c r="T77" s="1152"/>
      <c r="U77" s="770" t="b">
        <f ca="1">F77&gt;0</f>
        <v>1</v>
      </c>
      <c r="V77" s="1152"/>
      <c r="W77" s="1152"/>
      <c r="X77" s="1152"/>
      <c r="Y77" s="1485"/>
      <c r="Z77" s="1485"/>
      <c r="AA77" s="167"/>
      <c r="AB77" s="870" t="s">
        <v>584</v>
      </c>
      <c r="AC77" s="288" t="s">
        <v>585</v>
      </c>
      <c r="AD77" s="289"/>
      <c r="AE77" s="291"/>
      <c r="AF77" s="291"/>
      <c r="AG77" s="291"/>
      <c r="AH77" s="291"/>
      <c r="AI77" s="291"/>
      <c r="AJ77" s="291"/>
      <c r="AK77" s="291"/>
      <c r="AL77" s="291"/>
      <c r="AM77" s="291"/>
      <c r="AN77" s="291"/>
      <c r="AO77" s="291"/>
      <c r="AP77" s="291"/>
      <c r="AQ77" s="291"/>
      <c r="AR77" s="291"/>
      <c r="AS77" s="291"/>
      <c r="AT77" s="291"/>
      <c r="AU77" s="291"/>
      <c r="AV77" s="291"/>
      <c r="AW77" s="291"/>
      <c r="AX77" s="291"/>
      <c r="AY77" s="167"/>
      <c r="AZ77" s="167"/>
      <c r="BA77" s="1001"/>
      <c r="BB77" s="1001"/>
      <c r="BC77" s="1001"/>
      <c r="BD77" s="952"/>
      <c r="BE77" s="952"/>
    </row>
    <row r="78" spans="1:57" s="1167" customFormat="1" ht="16.5" customHeight="1" x14ac:dyDescent="0.15">
      <c r="A78" s="973"/>
      <c r="B78" s="773"/>
      <c r="C78" s="1152"/>
      <c r="D78" s="1152"/>
      <c r="E78" s="668">
        <v>17.100000000000001</v>
      </c>
      <c r="F78" s="769" t="str" cm="1">
        <f t="array" aca="1" ref="F78" ca="1">OFFSET(G78,-1,-1)</f>
        <v>1</v>
      </c>
      <c r="G78" s="769" t="s">
        <v>586</v>
      </c>
      <c r="H78" s="123" t="s">
        <v>587</v>
      </c>
      <c r="I78" s="1152"/>
      <c r="J78" s="1152"/>
      <c r="K78" s="1152"/>
      <c r="L78" s="1152"/>
      <c r="M78" s="1152"/>
      <c r="N78" s="1152"/>
      <c r="O78" s="1152"/>
      <c r="P78" s="1152"/>
      <c r="Q78" s="769"/>
      <c r="R78" s="769"/>
      <c r="S78" s="1152"/>
      <c r="T78" s="1152"/>
      <c r="U78" s="770" t="b">
        <f ca="1">F78&gt;0</f>
        <v>1</v>
      </c>
      <c r="V78" s="1152"/>
      <c r="W78" s="1152"/>
      <c r="X78" s="1152"/>
      <c r="Y78" s="1485"/>
      <c r="Z78" s="1485"/>
      <c r="AA78" s="167"/>
      <c r="AB78" s="404" t="s">
        <v>588</v>
      </c>
      <c r="AC78" s="155" t="s">
        <v>589</v>
      </c>
      <c r="AD78" s="156" t="s">
        <v>521</v>
      </c>
      <c r="AE78" s="1217">
        <v>30.978598561114001</v>
      </c>
      <c r="AF78" s="1215"/>
      <c r="AG78" s="1215"/>
      <c r="AH78" s="1217"/>
      <c r="AI78" s="1217"/>
      <c r="AJ78" s="1217"/>
      <c r="AK78" s="1217"/>
      <c r="AL78" s="1217"/>
      <c r="AM78" s="1217"/>
      <c r="AN78" s="1217"/>
      <c r="AO78" s="307">
        <v>30.935292051950402</v>
      </c>
      <c r="AP78" s="1215"/>
      <c r="AQ78" s="1215"/>
      <c r="AR78" s="1217"/>
      <c r="AS78" s="1217"/>
      <c r="AT78" s="1217"/>
      <c r="AU78" s="1217"/>
      <c r="AV78" s="1217"/>
      <c r="AW78" s="1217"/>
      <c r="AX78" s="1217"/>
      <c r="AY78" s="167"/>
      <c r="AZ78" s="167"/>
      <c r="BA78" s="948" t="s">
        <v>590</v>
      </c>
      <c r="BB78" s="1001"/>
      <c r="BC78" s="1001"/>
      <c r="BD78" s="952"/>
      <c r="BE78" s="952"/>
    </row>
    <row r="79" spans="1:57" s="1167" customFormat="1" ht="16.5" customHeight="1" x14ac:dyDescent="0.15">
      <c r="A79" s="973"/>
      <c r="B79" s="773"/>
      <c r="C79" s="1152"/>
      <c r="D79" s="1152"/>
      <c r="E79" s="668">
        <v>17.100000000000001</v>
      </c>
      <c r="F79" s="769" t="str" cm="1">
        <f t="array" aca="1" ref="F79" ca="1">OFFSET(G79,-1,-1)</f>
        <v>1</v>
      </c>
      <c r="G79" s="1152"/>
      <c r="H79" s="123" t="s">
        <v>591</v>
      </c>
      <c r="I79" s="1152"/>
      <c r="J79" s="1152"/>
      <c r="K79" s="1152"/>
      <c r="L79" s="1152"/>
      <c r="M79" s="1152"/>
      <c r="N79" s="1152"/>
      <c r="O79" s="1152"/>
      <c r="P79" s="1152"/>
      <c r="Q79" s="769"/>
      <c r="R79" s="769"/>
      <c r="S79" s="1152"/>
      <c r="T79" s="1152"/>
      <c r="U79" s="770" t="b">
        <f ca="1">F79&gt;0</f>
        <v>1</v>
      </c>
      <c r="V79" s="1152"/>
      <c r="W79" s="1152"/>
      <c r="X79" s="1152"/>
      <c r="Y79" s="1485"/>
      <c r="Z79" s="1485"/>
      <c r="AA79" s="167"/>
      <c r="AB79" s="404" t="s">
        <v>592</v>
      </c>
      <c r="AC79" s="157" t="s">
        <v>593</v>
      </c>
      <c r="AD79" s="156" t="s">
        <v>521</v>
      </c>
      <c r="AE79" s="1217">
        <v>2.2000000000000002</v>
      </c>
      <c r="AF79" s="1215"/>
      <c r="AG79" s="1215"/>
      <c r="AH79" s="1217"/>
      <c r="AI79" s="1217"/>
      <c r="AJ79" s="1217"/>
      <c r="AK79" s="1217"/>
      <c r="AL79" s="1217"/>
      <c r="AM79" s="1217"/>
      <c r="AN79" s="1217"/>
      <c r="AO79" s="307">
        <v>2.2000000000000002</v>
      </c>
      <c r="AP79" s="1215"/>
      <c r="AQ79" s="1215"/>
      <c r="AR79" s="1217"/>
      <c r="AS79" s="1217"/>
      <c r="AT79" s="1217"/>
      <c r="AU79" s="1217"/>
      <c r="AV79" s="1217"/>
      <c r="AW79" s="1217"/>
      <c r="AX79" s="1217"/>
      <c r="AY79" s="167"/>
      <c r="AZ79" s="167"/>
      <c r="BA79" s="948" t="s">
        <v>594</v>
      </c>
      <c r="BB79" s="1001"/>
      <c r="BC79" s="1001"/>
      <c r="BD79" s="952"/>
      <c r="BE79" s="952"/>
    </row>
    <row r="80" spans="1:57" s="1167" customFormat="1" ht="16.5" customHeight="1" x14ac:dyDescent="0.15">
      <c r="A80" s="973"/>
      <c r="B80" s="773"/>
      <c r="C80" s="1152"/>
      <c r="D80" s="1152"/>
      <c r="E80" s="668">
        <v>17.100000000000001</v>
      </c>
      <c r="F80" s="769" t="str" cm="1">
        <f t="array" aca="1" ref="F80" ca="1">OFFSET(G80,-1,-1)</f>
        <v>1</v>
      </c>
      <c r="G80" s="1152"/>
      <c r="H80" s="123" t="s">
        <v>595</v>
      </c>
      <c r="I80" s="1152"/>
      <c r="J80" s="1152"/>
      <c r="K80" s="1152"/>
      <c r="L80" s="1152"/>
      <c r="M80" s="1152"/>
      <c r="N80" s="1152"/>
      <c r="O80" s="1152"/>
      <c r="P80" s="1152"/>
      <c r="Q80" s="769"/>
      <c r="R80" s="769"/>
      <c r="S80" s="1152"/>
      <c r="T80" s="1152"/>
      <c r="U80" s="770" t="b">
        <f ca="1">F80&gt;0</f>
        <v>1</v>
      </c>
      <c r="V80" s="1152"/>
      <c r="W80" s="1152"/>
      <c r="X80" s="1152"/>
      <c r="Y80" s="1485"/>
      <c r="Z80" s="1485"/>
      <c r="AA80" s="167"/>
      <c r="AB80" s="404" t="s">
        <v>596</v>
      </c>
      <c r="AC80" s="157" t="s">
        <v>597</v>
      </c>
      <c r="AD80" s="156" t="s">
        <v>521</v>
      </c>
      <c r="AE80" s="1217"/>
      <c r="AF80" s="1215"/>
      <c r="AG80" s="1215"/>
      <c r="AH80" s="1217"/>
      <c r="AI80" s="1217"/>
      <c r="AJ80" s="1217"/>
      <c r="AK80" s="1217"/>
      <c r="AL80" s="1217"/>
      <c r="AM80" s="1217"/>
      <c r="AN80" s="1217"/>
      <c r="AO80" s="307"/>
      <c r="AP80" s="1215"/>
      <c r="AQ80" s="1215"/>
      <c r="AR80" s="1217"/>
      <c r="AS80" s="1217"/>
      <c r="AT80" s="1217"/>
      <c r="AU80" s="1217"/>
      <c r="AV80" s="1217"/>
      <c r="AW80" s="1217"/>
      <c r="AX80" s="1217"/>
      <c r="AY80" s="167"/>
      <c r="AZ80" s="167"/>
      <c r="BA80" s="948" t="s">
        <v>598</v>
      </c>
      <c r="BB80" s="1001"/>
      <c r="BC80" s="1001"/>
      <c r="BD80" s="952"/>
      <c r="BE80" s="952"/>
    </row>
    <row r="81" spans="1:57" s="1167" customFormat="1" ht="16.5" customHeight="1" x14ac:dyDescent="0.15">
      <c r="A81" s="973"/>
      <c r="B81" s="773"/>
      <c r="C81" s="1152"/>
      <c r="D81" s="1152"/>
      <c r="E81" s="668">
        <v>17.100000000000001</v>
      </c>
      <c r="F81" s="769" t="str" cm="1">
        <f t="array" aca="1" ref="F81" ca="1">OFFSET(G81,-1,-1)</f>
        <v>1</v>
      </c>
      <c r="G81" s="1152"/>
      <c r="H81" s="123" t="s">
        <v>599</v>
      </c>
      <c r="I81" s="1152"/>
      <c r="J81" s="1152"/>
      <c r="K81" s="1152"/>
      <c r="L81" s="1152"/>
      <c r="M81" s="1152"/>
      <c r="N81" s="1152"/>
      <c r="O81" s="1152"/>
      <c r="P81" s="1152"/>
      <c r="Q81" s="769"/>
      <c r="R81" s="769"/>
      <c r="S81" s="1152"/>
      <c r="T81" s="1152"/>
      <c r="U81" s="770" t="b">
        <f ca="1">F81&gt;0</f>
        <v>1</v>
      </c>
      <c r="V81" s="1152"/>
      <c r="W81" s="1152"/>
      <c r="X81" s="1152"/>
      <c r="Y81" s="1485"/>
      <c r="Z81" s="1485"/>
      <c r="AA81" s="167"/>
      <c r="AB81" s="404" t="s">
        <v>600</v>
      </c>
      <c r="AC81" s="157" t="s">
        <v>601</v>
      </c>
      <c r="AD81" s="156" t="s">
        <v>521</v>
      </c>
      <c r="AE81" s="1217">
        <v>25</v>
      </c>
      <c r="AF81" s="1215"/>
      <c r="AG81" s="1215"/>
      <c r="AH81" s="1217"/>
      <c r="AI81" s="1217"/>
      <c r="AJ81" s="1217"/>
      <c r="AK81" s="1217"/>
      <c r="AL81" s="1217"/>
      <c r="AM81" s="1217"/>
      <c r="AN81" s="1217"/>
      <c r="AO81" s="307">
        <v>25</v>
      </c>
      <c r="AP81" s="1215"/>
      <c r="AQ81" s="1215"/>
      <c r="AR81" s="1217"/>
      <c r="AS81" s="1217"/>
      <c r="AT81" s="1217"/>
      <c r="AU81" s="1217"/>
      <c r="AV81" s="1217"/>
      <c r="AW81" s="1217"/>
      <c r="AX81" s="1217"/>
      <c r="AY81" s="167"/>
      <c r="AZ81" s="167"/>
      <c r="BA81" s="948" t="s">
        <v>602</v>
      </c>
      <c r="BB81" s="1001"/>
      <c r="BC81" s="1001"/>
      <c r="BD81" s="952"/>
      <c r="BE81" s="952"/>
    </row>
    <row r="82" spans="1:57" ht="11.1" customHeight="1" x14ac:dyDescent="0.15">
      <c r="E82" s="668">
        <v>11.4</v>
      </c>
      <c r="V82" s="123" t="s">
        <v>239</v>
      </c>
      <c r="W82" s="119" t="s">
        <v>603</v>
      </c>
      <c r="AC82" s="148"/>
      <c r="AY82" s="148"/>
    </row>
    <row r="83" spans="1:57" ht="11.1" hidden="1" customHeight="1" x14ac:dyDescent="0.15">
      <c r="E83" s="668">
        <v>11.4</v>
      </c>
      <c r="AC83" s="148"/>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xr:uid="{00000000-0002-0000-0700-000000000000}">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xr:uid="{00000000-0002-0000-0700-000001000000}">
      <formula1>-9.99999999999999E+23</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9A069-3B4B-9F98-9D58-0AF9C8CEEEB8}">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x14ac:dyDescent="0.15"/>
  <cols>
    <col min="1" max="1" width="3.5703125" style="1152" hidden="1" customWidth="1"/>
    <col min="2" max="2" width="8.5703125" style="773" hidden="1" customWidth="1"/>
    <col min="3" max="4" width="3.5703125" style="1152" hidden="1" customWidth="1"/>
    <col min="5" max="5" width="8.42578125" style="772" hidden="1" customWidth="1"/>
    <col min="6" max="6" width="6.42578125" style="1152" hidden="1" customWidth="1"/>
    <col min="7" max="16" width="3.5703125" style="1152" hidden="1" customWidth="1"/>
    <col min="17" max="18" width="3.5703125" style="769" hidden="1" customWidth="1"/>
    <col min="19" max="19" width="5.85546875" style="1152" hidden="1" customWidth="1"/>
    <col min="20" max="20" width="3.5703125" style="1152" hidden="1" customWidth="1"/>
    <col min="21" max="21" width="6.7109375" style="1152" hidden="1" customWidth="1"/>
    <col min="22" max="22" width="6" style="1152" hidden="1" customWidth="1"/>
    <col min="23" max="23" width="6.28515625" style="1152" hidden="1" customWidth="1"/>
    <col min="24" max="24" width="6.42578125" style="1152" hidden="1" customWidth="1"/>
    <col min="25" max="25" width="5.85546875" style="1152" hidden="1" customWidth="1"/>
    <col min="26" max="26" width="5.42578125" style="1152" hidden="1" customWidth="1"/>
    <col min="27" max="27" width="3" style="167" customWidth="1"/>
    <col min="28" max="28" width="6.140625" style="781" customWidth="1"/>
    <col min="29" max="29" width="52" style="158" customWidth="1"/>
    <col min="30" max="30" width="28" style="158" customWidth="1"/>
    <col min="31" max="31" width="13.5703125" style="167" customWidth="1"/>
    <col min="32" max="34" width="15.140625" style="167" customWidth="1"/>
    <col min="35" max="41" width="15.140625" style="167" hidden="1" customWidth="1"/>
    <col min="42" max="44" width="15.140625" style="167" customWidth="1"/>
    <col min="45" max="51" width="15.140625" style="167" hidden="1" customWidth="1"/>
    <col min="52" max="52" width="3" style="167" customWidth="1"/>
    <col min="53" max="53" width="9.140625" style="167" hidden="1"/>
    <col min="54" max="54" width="9.140625" style="985" hidden="1"/>
  </cols>
  <sheetData>
    <row r="1" spans="1:54" s="1152" customFormat="1" ht="12" hidden="1" customHeight="1" x14ac:dyDescent="0.15">
      <c r="B1" s="659"/>
      <c r="E1" s="659"/>
      <c r="F1" s="690" t="s">
        <v>83</v>
      </c>
      <c r="Q1" s="769"/>
      <c r="R1" s="769"/>
      <c r="U1" s="679" t="s">
        <v>86</v>
      </c>
      <c r="V1" s="679" t="s">
        <v>91</v>
      </c>
      <c r="W1" s="679" t="s">
        <v>87</v>
      </c>
      <c r="X1" s="659"/>
      <c r="Y1" s="679" t="s">
        <v>89</v>
      </c>
      <c r="Z1" s="679" t="s">
        <v>93</v>
      </c>
      <c r="AA1" s="659"/>
      <c r="AB1" s="659"/>
      <c r="AC1" s="663"/>
      <c r="AD1" s="663"/>
      <c r="BB1" s="936" t="s">
        <v>375</v>
      </c>
    </row>
    <row r="2" spans="1:54" s="773" customFormat="1" ht="12" hidden="1" customHeight="1" x14ac:dyDescent="0.15">
      <c r="B2" s="758" t="s">
        <v>15</v>
      </c>
      <c r="AC2" s="663"/>
      <c r="AD2" s="663"/>
      <c r="AG2" s="680" t="b">
        <f t="shared" ref="AG2:AY2" si="0">AG6&lt;=last_year_vis</f>
        <v>1</v>
      </c>
      <c r="AH2" s="680" t="b">
        <f t="shared" si="0"/>
        <v>1</v>
      </c>
      <c r="AI2" s="680" t="b">
        <f t="shared" si="0"/>
        <v>0</v>
      </c>
      <c r="AJ2" s="680" t="b">
        <f t="shared" si="0"/>
        <v>0</v>
      </c>
      <c r="AK2" s="680" t="b">
        <f t="shared" si="0"/>
        <v>0</v>
      </c>
      <c r="AL2" s="680" t="b">
        <f t="shared" si="0"/>
        <v>0</v>
      </c>
      <c r="AM2" s="680" t="b">
        <f t="shared" si="0"/>
        <v>0</v>
      </c>
      <c r="AN2" s="680" t="b">
        <f t="shared" si="0"/>
        <v>0</v>
      </c>
      <c r="AO2" s="680" t="b">
        <f t="shared" si="0"/>
        <v>0</v>
      </c>
      <c r="AP2" s="680" t="b">
        <f t="shared" si="0"/>
        <v>1</v>
      </c>
      <c r="AQ2" s="680" t="b">
        <f t="shared" si="0"/>
        <v>1</v>
      </c>
      <c r="AR2" s="680" t="b">
        <f t="shared" si="0"/>
        <v>1</v>
      </c>
      <c r="AS2" s="680" t="b">
        <f t="shared" si="0"/>
        <v>0</v>
      </c>
      <c r="AT2" s="680" t="b">
        <f t="shared" si="0"/>
        <v>0</v>
      </c>
      <c r="AU2" s="680" t="b">
        <f t="shared" si="0"/>
        <v>0</v>
      </c>
      <c r="AV2" s="680" t="b">
        <f t="shared" si="0"/>
        <v>0</v>
      </c>
      <c r="AW2" s="680" t="b">
        <f t="shared" si="0"/>
        <v>0</v>
      </c>
      <c r="AX2" s="680" t="b">
        <f t="shared" si="0"/>
        <v>0</v>
      </c>
      <c r="AY2" s="680" t="b">
        <f t="shared" si="0"/>
        <v>0</v>
      </c>
      <c r="BB2" s="982"/>
    </row>
    <row r="3" spans="1:54" s="1152" customFormat="1" ht="12" hidden="1" customHeight="1" x14ac:dyDescent="0.15">
      <c r="B3" s="659"/>
      <c r="E3" s="659"/>
      <c r="Q3" s="769"/>
      <c r="R3" s="769"/>
      <c r="AB3" s="126"/>
      <c r="AC3" s="119"/>
      <c r="AD3" s="119"/>
      <c r="BB3" s="935"/>
    </row>
    <row r="4" spans="1:54" s="1152" customFormat="1" ht="12" hidden="1" customHeight="1" x14ac:dyDescent="0.15">
      <c r="B4" s="659"/>
      <c r="E4" s="659"/>
      <c r="Q4" s="769"/>
      <c r="R4" s="769"/>
      <c r="AB4" s="126"/>
      <c r="AC4" s="119"/>
      <c r="AD4" s="119"/>
      <c r="BB4" s="935"/>
    </row>
    <row r="5" spans="1:54" s="772" customFormat="1" ht="12" hidden="1" customHeight="1" x14ac:dyDescent="0.15">
      <c r="A5" s="659"/>
      <c r="B5" s="659"/>
      <c r="C5" s="659"/>
      <c r="D5" s="659"/>
      <c r="E5" s="668" t="s">
        <v>16</v>
      </c>
      <c r="AA5" s="674">
        <v>3</v>
      </c>
      <c r="AB5" s="668">
        <v>6.13</v>
      </c>
      <c r="AC5" s="674">
        <v>52</v>
      </c>
      <c r="AD5" s="674">
        <v>28</v>
      </c>
      <c r="AE5" s="668">
        <v>13.63</v>
      </c>
      <c r="AF5" s="668">
        <v>15.13</v>
      </c>
      <c r="AG5" s="668">
        <v>15.13</v>
      </c>
      <c r="AH5" s="668">
        <v>15.13</v>
      </c>
      <c r="AI5" s="668">
        <v>15.13</v>
      </c>
      <c r="AJ5" s="668">
        <v>15.13</v>
      </c>
      <c r="AK5" s="668">
        <v>15.13</v>
      </c>
      <c r="AL5" s="668">
        <v>15.13</v>
      </c>
      <c r="AM5" s="668">
        <v>15.13</v>
      </c>
      <c r="AN5" s="668">
        <v>15.13</v>
      </c>
      <c r="AO5" s="668">
        <v>15.13</v>
      </c>
      <c r="AP5" s="668">
        <v>15.13</v>
      </c>
      <c r="AQ5" s="668">
        <v>15.13</v>
      </c>
      <c r="AR5" s="668">
        <v>15.13</v>
      </c>
      <c r="AS5" s="668">
        <v>15.13</v>
      </c>
      <c r="AT5" s="668">
        <v>15.13</v>
      </c>
      <c r="AU5" s="668">
        <v>15.13</v>
      </c>
      <c r="AV5" s="668">
        <v>15.13</v>
      </c>
      <c r="AW5" s="668">
        <v>15.13</v>
      </c>
      <c r="AX5" s="668">
        <v>15.13</v>
      </c>
      <c r="AY5" s="668">
        <v>15.13</v>
      </c>
      <c r="AZ5" s="668">
        <v>3</v>
      </c>
      <c r="BB5" s="982"/>
    </row>
    <row r="6" spans="1:54" s="1152" customFormat="1" ht="12" hidden="1" customHeight="1" x14ac:dyDescent="0.15">
      <c r="B6" s="659"/>
      <c r="E6" s="668"/>
      <c r="Q6" s="769"/>
      <c r="R6" s="769"/>
      <c r="AB6" s="126"/>
      <c r="AC6" s="119"/>
      <c r="AD6" s="119"/>
      <c r="AF6" s="123" cm="1">
        <f t="array" ref="AF6">first_year</f>
        <v>2024</v>
      </c>
      <c r="AG6" s="123">
        <f>first_year+1</f>
        <v>2025</v>
      </c>
      <c r="AH6" s="123">
        <f>first_year+2</f>
        <v>2026</v>
      </c>
      <c r="AI6" s="123">
        <f>first_year+3</f>
        <v>2027</v>
      </c>
      <c r="AJ6" s="123">
        <f>first_year+4</f>
        <v>2028</v>
      </c>
      <c r="AK6" s="123">
        <f>first_year+5</f>
        <v>2029</v>
      </c>
      <c r="AL6" s="123">
        <f>first_year+6</f>
        <v>2030</v>
      </c>
      <c r="AM6" s="123">
        <f>first_year+7</f>
        <v>2031</v>
      </c>
      <c r="AN6" s="123">
        <f>first_year+8</f>
        <v>2032</v>
      </c>
      <c r="AO6" s="123">
        <f>first_year+9</f>
        <v>2033</v>
      </c>
      <c r="AP6" s="123" cm="1">
        <f t="array" ref="AP6">first_year</f>
        <v>2024</v>
      </c>
      <c r="AQ6" s="123">
        <f>first_year+1</f>
        <v>2025</v>
      </c>
      <c r="AR6" s="123">
        <f>first_year+2</f>
        <v>2026</v>
      </c>
      <c r="AS6" s="123">
        <f>first_year+3</f>
        <v>2027</v>
      </c>
      <c r="AT6" s="123">
        <f>first_year+4</f>
        <v>2028</v>
      </c>
      <c r="AU6" s="123">
        <f>first_year+5</f>
        <v>2029</v>
      </c>
      <c r="AV6" s="123">
        <f>first_year+6</f>
        <v>2030</v>
      </c>
      <c r="AW6" s="123">
        <f>first_year+7</f>
        <v>2031</v>
      </c>
      <c r="AX6" s="123">
        <f>first_year+8</f>
        <v>2032</v>
      </c>
      <c r="AY6" s="123">
        <f>first_year+9</f>
        <v>2033</v>
      </c>
      <c r="BB6" s="935"/>
    </row>
    <row r="7" spans="1:54" s="417" customFormat="1" ht="12" hidden="1" customHeight="1" x14ac:dyDescent="0.15">
      <c r="A7" s="123"/>
      <c r="B7" s="659"/>
      <c r="C7" s="123"/>
      <c r="D7" s="123"/>
      <c r="E7" s="668"/>
      <c r="G7" s="123"/>
      <c r="H7" s="123"/>
      <c r="I7" s="123"/>
      <c r="J7" s="123"/>
      <c r="K7" s="123"/>
      <c r="L7" s="123"/>
      <c r="M7" s="123"/>
      <c r="N7" s="123"/>
      <c r="O7" s="123"/>
      <c r="P7" s="123"/>
      <c r="Q7" s="769"/>
      <c r="R7" s="769"/>
      <c r="S7" s="123"/>
      <c r="T7" s="123"/>
      <c r="AB7" s="161"/>
      <c r="AC7" s="162"/>
      <c r="AD7" s="162"/>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BB7" s="935"/>
    </row>
    <row r="8" spans="1:54" s="417" customFormat="1" ht="12" hidden="1" customHeight="1" x14ac:dyDescent="0.15">
      <c r="A8" s="123"/>
      <c r="B8" s="659"/>
      <c r="C8" s="123"/>
      <c r="D8" s="123"/>
      <c r="E8" s="668"/>
      <c r="G8" s="123"/>
      <c r="H8" s="123"/>
      <c r="I8" s="123"/>
      <c r="J8" s="123"/>
      <c r="K8" s="123"/>
      <c r="L8" s="123"/>
      <c r="M8" s="123"/>
      <c r="N8" s="123"/>
      <c r="O8" s="123"/>
      <c r="P8" s="123"/>
      <c r="Q8" s="769"/>
      <c r="R8" s="769"/>
      <c r="S8" s="123"/>
      <c r="T8" s="123"/>
      <c r="AB8" s="161"/>
      <c r="AC8" s="162"/>
      <c r="AD8" s="162"/>
      <c r="AF8" s="160" t="str">
        <f t="shared" ref="AF8:AY8" si="1">AF6&amp;AF7</f>
        <v>2024Предложение организации</v>
      </c>
      <c r="AG8" s="160" t="str">
        <f t="shared" si="1"/>
        <v>2025Предложение организации</v>
      </c>
      <c r="AH8" s="160" t="str">
        <f t="shared" si="1"/>
        <v>2026Предложение организации</v>
      </c>
      <c r="AI8" s="160" t="str">
        <f t="shared" si="1"/>
        <v>2027Предложение организации</v>
      </c>
      <c r="AJ8" s="160" t="str">
        <f t="shared" si="1"/>
        <v>2028Предложение организации</v>
      </c>
      <c r="AK8" s="160" t="str">
        <f t="shared" si="1"/>
        <v>2029Предложение организации</v>
      </c>
      <c r="AL8" s="160" t="str">
        <f t="shared" si="1"/>
        <v>2030Предложение организации</v>
      </c>
      <c r="AM8" s="160" t="str">
        <f t="shared" si="1"/>
        <v>2031Предложение организации</v>
      </c>
      <c r="AN8" s="160" t="str">
        <f t="shared" si="1"/>
        <v>2032Предложение организации</v>
      </c>
      <c r="AO8" s="160" t="str">
        <f t="shared" si="1"/>
        <v>2033Предложение организации</v>
      </c>
      <c r="AP8" s="160" t="str">
        <f t="shared" si="1"/>
        <v>2024Принято органом регулирования</v>
      </c>
      <c r="AQ8" s="160" t="str">
        <f t="shared" si="1"/>
        <v>2025Принято органом регулирования</v>
      </c>
      <c r="AR8" s="160" t="str">
        <f t="shared" si="1"/>
        <v>2026Принято органом регулирования</v>
      </c>
      <c r="AS8" s="160" t="str">
        <f t="shared" si="1"/>
        <v>2027Принято органом регулирования</v>
      </c>
      <c r="AT8" s="160" t="str">
        <f t="shared" si="1"/>
        <v>2028Принято органом регулирования</v>
      </c>
      <c r="AU8" s="160" t="str">
        <f t="shared" si="1"/>
        <v>2029Принято органом регулирования</v>
      </c>
      <c r="AV8" s="160" t="str">
        <f t="shared" si="1"/>
        <v>2030Принято органом регулирования</v>
      </c>
      <c r="AW8" s="160" t="str">
        <f t="shared" si="1"/>
        <v>2031Принято органом регулирования</v>
      </c>
      <c r="AX8" s="160" t="str">
        <f t="shared" si="1"/>
        <v>2032Принято органом регулирования</v>
      </c>
      <c r="AY8" s="160" t="str">
        <f t="shared" si="1"/>
        <v>2033Принято органом регулирования</v>
      </c>
      <c r="BB8" s="935"/>
    </row>
    <row r="9" spans="1:54" s="936" customFormat="1" ht="12" hidden="1" customHeight="1" x14ac:dyDescent="0.15">
      <c r="A9" s="935" t="s">
        <v>461</v>
      </c>
      <c r="B9" s="938"/>
      <c r="E9" s="938"/>
      <c r="Q9" s="956"/>
      <c r="R9" s="956"/>
      <c r="AB9" s="937"/>
      <c r="AF9" s="936" cm="1">
        <f t="array" ref="AF9">first_year</f>
        <v>2024</v>
      </c>
      <c r="AG9" s="936">
        <f>first_year+1</f>
        <v>2025</v>
      </c>
      <c r="AH9" s="936">
        <f>first_year+2</f>
        <v>2026</v>
      </c>
      <c r="AI9" s="936">
        <f>first_year+3</f>
        <v>2027</v>
      </c>
      <c r="AJ9" s="936">
        <f>first_year+4</f>
        <v>2028</v>
      </c>
      <c r="AK9" s="936">
        <f>first_year+5</f>
        <v>2029</v>
      </c>
      <c r="AL9" s="936">
        <f>first_year+6</f>
        <v>2030</v>
      </c>
      <c r="AM9" s="936">
        <f>first_year+7</f>
        <v>2031</v>
      </c>
      <c r="AN9" s="936">
        <f>first_year+8</f>
        <v>2032</v>
      </c>
      <c r="AO9" s="936">
        <f>first_year+9</f>
        <v>2033</v>
      </c>
      <c r="AP9" s="936" cm="1">
        <f t="array" ref="AP9">first_year</f>
        <v>2024</v>
      </c>
      <c r="AQ9" s="936">
        <f>first_year+1</f>
        <v>2025</v>
      </c>
      <c r="AR9" s="936">
        <f>first_year+2</f>
        <v>2026</v>
      </c>
      <c r="AS9" s="936">
        <f>first_year+3</f>
        <v>2027</v>
      </c>
      <c r="AT9" s="936">
        <f>first_year+4</f>
        <v>2028</v>
      </c>
      <c r="AU9" s="936">
        <f>first_year+5</f>
        <v>2029</v>
      </c>
      <c r="AV9" s="936">
        <f>first_year+6</f>
        <v>2030</v>
      </c>
      <c r="AW9" s="936">
        <f>first_year+7</f>
        <v>2031</v>
      </c>
      <c r="AX9" s="936">
        <f>first_year+8</f>
        <v>2032</v>
      </c>
      <c r="AY9" s="936">
        <f>first_year+9</f>
        <v>2033</v>
      </c>
      <c r="BB9" s="935"/>
    </row>
    <row r="10" spans="1:54" s="936" customFormat="1" ht="12" hidden="1" customHeight="1" x14ac:dyDescent="0.15">
      <c r="A10" s="935" t="s">
        <v>462</v>
      </c>
      <c r="B10" s="938"/>
      <c r="E10" s="938"/>
      <c r="Q10" s="956"/>
      <c r="R10" s="956"/>
      <c r="AB10" s="937"/>
      <c r="AF10" s="936" t="str" cm="1">
        <f t="array" ref="AF10">AF25</f>
        <v>Предложение организации</v>
      </c>
      <c r="AG10" s="936" t="str" cm="1">
        <f t="array" ref="AG10">AG25</f>
        <v>Предложение организации</v>
      </c>
      <c r="AH10" s="936" t="str" cm="1">
        <f t="array" ref="AH10">AH25</f>
        <v>Предложение организации</v>
      </c>
      <c r="AI10" s="936" t="str" cm="1">
        <f t="array" ref="AI10">AI25</f>
        <v>Предложение организации</v>
      </c>
      <c r="AJ10" s="936" t="str" cm="1">
        <f t="array" ref="AJ10">AJ25</f>
        <v>Предложение организации</v>
      </c>
      <c r="AK10" s="936" t="str" cm="1">
        <f t="array" ref="AK10">AK25</f>
        <v>Предложение организации</v>
      </c>
      <c r="AL10" s="936" t="str" cm="1">
        <f t="array" ref="AL10">AL25</f>
        <v>Предложение организации</v>
      </c>
      <c r="AM10" s="936" t="str" cm="1">
        <f t="array" ref="AM10">AM25</f>
        <v>Предложение организации</v>
      </c>
      <c r="AN10" s="936" t="str" cm="1">
        <f t="array" ref="AN10">AN25</f>
        <v>Предложение организации</v>
      </c>
      <c r="AO10" s="936" t="str" cm="1">
        <f t="array" ref="AO10">AO25</f>
        <v>Предложение организации</v>
      </c>
      <c r="AP10" s="936" t="str" cm="1">
        <f t="array" ref="AP10">AP25</f>
        <v>Принято органом регулирования</v>
      </c>
      <c r="AQ10" s="936" t="str" cm="1">
        <f t="array" ref="AQ10">AQ25</f>
        <v>Принято органом регулирования</v>
      </c>
      <c r="AR10" s="936" t="str" cm="1">
        <f t="array" ref="AR10">AR25</f>
        <v>Принято органом регулирования</v>
      </c>
      <c r="AS10" s="936" t="str" cm="1">
        <f t="array" ref="AS10">AS25</f>
        <v>Принято органом регулирования</v>
      </c>
      <c r="AT10" s="936" t="str" cm="1">
        <f t="array" ref="AT10">AT25</f>
        <v>Принято органом регулирования</v>
      </c>
      <c r="AU10" s="936" t="str" cm="1">
        <f t="array" ref="AU10">AU25</f>
        <v>Принято органом регулирования</v>
      </c>
      <c r="AV10" s="936" t="str" cm="1">
        <f t="array" ref="AV10">AV25</f>
        <v>Принято органом регулирования</v>
      </c>
      <c r="AW10" s="936" t="str" cm="1">
        <f t="array" ref="AW10">AW25</f>
        <v>Принято органом регулирования</v>
      </c>
      <c r="AX10" s="936" t="str" cm="1">
        <f t="array" ref="AX10">AX25</f>
        <v>Принято органом регулирования</v>
      </c>
      <c r="AY10" s="936" t="str" cm="1">
        <f t="array" ref="AY10">AY25</f>
        <v>Принято органом регулирования</v>
      </c>
      <c r="BB10" s="935"/>
    </row>
    <row r="11" spans="1:54" s="1152" customFormat="1" ht="12" hidden="1" customHeight="1" x14ac:dyDescent="0.15">
      <c r="B11" s="659"/>
      <c r="E11" s="668"/>
      <c r="Q11" s="769"/>
      <c r="R11" s="769"/>
      <c r="AB11" s="126"/>
      <c r="AC11" s="119"/>
      <c r="AD11" s="119"/>
      <c r="BB11" s="935"/>
    </row>
    <row r="12" spans="1:54" s="1152" customFormat="1" ht="12" hidden="1" customHeight="1" x14ac:dyDescent="0.15">
      <c r="B12" s="659"/>
      <c r="E12" s="668"/>
      <c r="Q12" s="769"/>
      <c r="R12" s="769"/>
      <c r="AB12" s="126"/>
      <c r="AC12" s="119"/>
      <c r="AD12" s="119"/>
      <c r="BB12" s="935"/>
    </row>
    <row r="13" spans="1:54" s="1152" customFormat="1" ht="12" hidden="1" customHeight="1" x14ac:dyDescent="0.15">
      <c r="B13" s="659"/>
      <c r="E13" s="668"/>
      <c r="Q13" s="769"/>
      <c r="R13" s="769"/>
      <c r="AB13" s="126"/>
      <c r="AC13" s="119"/>
      <c r="AD13" s="119"/>
      <c r="BB13" s="935"/>
    </row>
    <row r="14" spans="1:54" s="1152" customFormat="1" ht="12" hidden="1" customHeight="1" x14ac:dyDescent="0.15">
      <c r="B14" s="659"/>
      <c r="E14" s="668"/>
      <c r="Q14" s="769"/>
      <c r="R14" s="769"/>
      <c r="AB14" s="126"/>
      <c r="AC14" s="119"/>
      <c r="AD14" s="119"/>
      <c r="BB14" s="935"/>
    </row>
    <row r="15" spans="1:54" s="1152" customFormat="1" ht="12" hidden="1" customHeight="1" x14ac:dyDescent="0.15">
      <c r="B15" s="659"/>
      <c r="E15" s="668"/>
      <c r="Q15" s="769"/>
      <c r="R15" s="769"/>
      <c r="AB15" s="126"/>
      <c r="AC15" s="119"/>
      <c r="AD15" s="119"/>
      <c r="BB15" s="935"/>
    </row>
    <row r="16" spans="1:54" s="1152" customFormat="1" ht="12" hidden="1" customHeight="1" x14ac:dyDescent="0.15">
      <c r="B16" s="659"/>
      <c r="E16" s="668"/>
      <c r="Q16" s="769"/>
      <c r="R16" s="769"/>
      <c r="AB16" s="126"/>
      <c r="AC16" s="119"/>
      <c r="AD16" s="119"/>
      <c r="BB16" s="935"/>
    </row>
    <row r="17" spans="1:54" s="1152" customFormat="1" ht="12" hidden="1" customHeight="1" x14ac:dyDescent="0.15">
      <c r="B17" s="659"/>
      <c r="E17" s="668"/>
      <c r="Q17" s="769"/>
      <c r="R17" s="769"/>
      <c r="AB17" s="126"/>
      <c r="AC17" s="119"/>
      <c r="AD17" s="119"/>
      <c r="BB17" s="935"/>
    </row>
    <row r="18" spans="1:54" s="1152" customFormat="1" ht="12" hidden="1" customHeight="1" x14ac:dyDescent="0.15">
      <c r="B18" s="659"/>
      <c r="E18" s="668"/>
      <c r="Q18" s="769"/>
      <c r="R18" s="769"/>
      <c r="AB18" s="126"/>
      <c r="AC18" s="119"/>
      <c r="AD18" s="119"/>
      <c r="BB18" s="935"/>
    </row>
    <row r="19" spans="1:54" s="1152" customFormat="1" ht="12" hidden="1" customHeight="1" x14ac:dyDescent="0.15">
      <c r="B19" s="659"/>
      <c r="E19" s="668"/>
      <c r="Q19" s="769"/>
      <c r="R19" s="769"/>
      <c r="AB19" s="126"/>
      <c r="AC19" s="119"/>
      <c r="AD19" s="119"/>
      <c r="BB19" s="935"/>
    </row>
    <row r="20" spans="1:54" s="1152" customFormat="1" ht="12" hidden="1" customHeight="1" x14ac:dyDescent="0.15">
      <c r="B20" s="659"/>
      <c r="E20" s="668"/>
      <c r="Q20" s="769"/>
      <c r="R20" s="769"/>
      <c r="AB20" s="126"/>
      <c r="AC20" s="119"/>
      <c r="AD20" s="119"/>
      <c r="BB20" s="935"/>
    </row>
    <row r="21" spans="1:54" ht="14.65" customHeight="1" x14ac:dyDescent="0.15">
      <c r="E21" s="668">
        <v>15</v>
      </c>
      <c r="AA21" s="691"/>
      <c r="AC21" s="335" t="str" cm="1">
        <f t="array" ref="AC21">tpl_title</f>
        <v>Кемеровская область / 2026 / ООО ХК "СДС - Энерго" (ИНН:4250003450, КПП:420501001) / ДПР: 2024-2028</v>
      </c>
      <c r="AD21" s="335"/>
      <c r="AE21" s="786"/>
    </row>
    <row r="22" spans="1:54" ht="21.95" customHeight="1" x14ac:dyDescent="0.2">
      <c r="E22" s="668">
        <v>22.5</v>
      </c>
      <c r="AB22" s="323" t="s">
        <v>29</v>
      </c>
      <c r="AC22" s="214"/>
      <c r="AD22" s="214"/>
      <c r="AE22" s="214"/>
      <c r="AF22" s="215"/>
      <c r="AG22" s="215"/>
      <c r="AH22" s="215"/>
      <c r="AI22" s="215"/>
      <c r="AJ22" s="215"/>
      <c r="AK22" s="215"/>
      <c r="AL22" s="215"/>
      <c r="AM22" s="215"/>
      <c r="AN22" s="215"/>
      <c r="AO22" s="215"/>
      <c r="AP22" s="215"/>
      <c r="AQ22" s="215"/>
      <c r="AR22" s="215"/>
      <c r="AS22" s="215"/>
      <c r="AT22" s="215"/>
      <c r="AU22" s="215"/>
      <c r="AV22" s="215"/>
      <c r="AW22" s="215"/>
      <c r="AX22" s="215"/>
      <c r="AY22" s="215"/>
    </row>
    <row r="23" spans="1:54" s="168" customFormat="1" ht="11.1" customHeight="1" x14ac:dyDescent="0.15">
      <c r="A23" s="123"/>
      <c r="B23" s="659"/>
      <c r="C23" s="123"/>
      <c r="D23" s="123"/>
      <c r="E23" s="668">
        <v>11.4</v>
      </c>
      <c r="F23" s="123"/>
      <c r="G23" s="123"/>
      <c r="H23" s="123"/>
      <c r="I23" s="123"/>
      <c r="J23" s="123"/>
      <c r="K23" s="123"/>
      <c r="L23" s="123"/>
      <c r="M23" s="123"/>
      <c r="N23" s="123"/>
      <c r="O23" s="123"/>
      <c r="P23" s="123"/>
      <c r="Q23" s="769"/>
      <c r="R23" s="769"/>
      <c r="S23" s="123"/>
      <c r="T23" s="123"/>
      <c r="U23" s="123"/>
      <c r="V23" s="123"/>
      <c r="W23" s="123"/>
      <c r="X23" s="123"/>
      <c r="Y23" s="123"/>
      <c r="Z23" s="123"/>
      <c r="AA23" s="766"/>
      <c r="AB23" s="149"/>
      <c r="AC23" s="150"/>
      <c r="AD23" s="150"/>
      <c r="AE23" s="151"/>
      <c r="BB23" s="985"/>
    </row>
    <row r="24" spans="1:54" ht="14.65" customHeight="1" x14ac:dyDescent="0.15">
      <c r="E24" s="668">
        <v>15</v>
      </c>
      <c r="AB24" s="1490" t="s">
        <v>388</v>
      </c>
      <c r="AC24" s="1490" t="s">
        <v>519</v>
      </c>
      <c r="AD24" s="1491" t="s">
        <v>604</v>
      </c>
      <c r="AE24" s="1490" t="s">
        <v>465</v>
      </c>
      <c r="AF24" s="1135" t="str">
        <f>first_year&amp;" год"</f>
        <v>2024 год</v>
      </c>
      <c r="AG24" s="1135" t="str">
        <f>first_year+1&amp;" год"</f>
        <v>2025 год</v>
      </c>
      <c r="AH24" s="1135" t="str">
        <f>first_year+2&amp;" год"</f>
        <v>2026 год</v>
      </c>
      <c r="AI24" s="1135" t="str">
        <f>first_year+3&amp;" год"</f>
        <v>2027 год</v>
      </c>
      <c r="AJ24" s="1135" t="str">
        <f>first_year+4&amp;" год"</f>
        <v>2028 год</v>
      </c>
      <c r="AK24" s="1131" t="str">
        <f>first_year+5&amp;" год"</f>
        <v>2029 год</v>
      </c>
      <c r="AL24" s="1131" t="str">
        <f>first_year+6&amp;" год"</f>
        <v>2030 год</v>
      </c>
      <c r="AM24" s="1131" t="str">
        <f>first_year+7&amp;" год"</f>
        <v>2031 год</v>
      </c>
      <c r="AN24" s="1131" t="str">
        <f>first_year+8&amp;" год"</f>
        <v>2032 год</v>
      </c>
      <c r="AO24" s="1131" t="str">
        <f>first_year+9&amp;" год"</f>
        <v>2033 год</v>
      </c>
      <c r="AP24" s="118" t="str">
        <f>first_year&amp;" год"</f>
        <v>2024 год</v>
      </c>
      <c r="AQ24" s="118" t="str">
        <f>first_year+1&amp;" год"</f>
        <v>2025 год</v>
      </c>
      <c r="AR24" s="118" t="str">
        <f>first_year+2&amp;" год"</f>
        <v>2026 год</v>
      </c>
      <c r="AS24" s="118" t="str">
        <f>first_year+3&amp;" год"</f>
        <v>2027 год</v>
      </c>
      <c r="AT24" s="118" t="str">
        <f>first_year+4&amp;" год"</f>
        <v>2028 год</v>
      </c>
      <c r="AU24" s="118" t="str">
        <f>first_year+5&amp;" год"</f>
        <v>2029 год</v>
      </c>
      <c r="AV24" s="118" t="str">
        <f>first_year+6&amp;" год"</f>
        <v>2030 год</v>
      </c>
      <c r="AW24" s="118" t="str">
        <f>first_year+7&amp;" год"</f>
        <v>2031 год</v>
      </c>
      <c r="AX24" s="118" t="str">
        <f>first_year+8&amp;" год"</f>
        <v>2032 год</v>
      </c>
      <c r="AY24" s="122" t="str">
        <f>first_year+9&amp;" год"</f>
        <v>2033 год</v>
      </c>
    </row>
    <row r="25" spans="1:54" ht="67.349999999999994" customHeight="1" x14ac:dyDescent="0.15">
      <c r="E25" s="668">
        <v>69</v>
      </c>
      <c r="AB25" s="1491"/>
      <c r="AC25" s="1490"/>
      <c r="AD25" s="1494"/>
      <c r="AE25" s="1490"/>
      <c r="AF25" s="1132" t="s">
        <v>405</v>
      </c>
      <c r="AG25" s="1132" t="s">
        <v>405</v>
      </c>
      <c r="AH25" s="1132" t="s">
        <v>405</v>
      </c>
      <c r="AI25" s="1132" t="s">
        <v>405</v>
      </c>
      <c r="AJ25" s="1132" t="s">
        <v>405</v>
      </c>
      <c r="AK25" s="1132" t="s">
        <v>405</v>
      </c>
      <c r="AL25" s="1132" t="s">
        <v>405</v>
      </c>
      <c r="AM25" s="1132" t="s">
        <v>405</v>
      </c>
      <c r="AN25" s="1132" t="s">
        <v>405</v>
      </c>
      <c r="AO25" s="1132" t="s">
        <v>405</v>
      </c>
      <c r="AP25" s="343" t="s">
        <v>404</v>
      </c>
      <c r="AQ25" s="343" t="s">
        <v>404</v>
      </c>
      <c r="AR25" s="343" t="s">
        <v>404</v>
      </c>
      <c r="AS25" s="343" t="s">
        <v>404</v>
      </c>
      <c r="AT25" s="343" t="s">
        <v>404</v>
      </c>
      <c r="AU25" s="343" t="s">
        <v>404</v>
      </c>
      <c r="AV25" s="343" t="s">
        <v>404</v>
      </c>
      <c r="AW25" s="343" t="s">
        <v>404</v>
      </c>
      <c r="AX25" s="343" t="s">
        <v>404</v>
      </c>
      <c r="AY25" s="117" t="s">
        <v>404</v>
      </c>
    </row>
    <row r="26" spans="1:54" ht="23.45" customHeight="1" x14ac:dyDescent="0.15">
      <c r="E26" s="668">
        <v>24</v>
      </c>
      <c r="AB26" s="105"/>
      <c r="AC26" s="704" t="s">
        <v>520</v>
      </c>
      <c r="AD26" s="704"/>
      <c r="AE26" s="156" t="s">
        <v>521</v>
      </c>
      <c r="AF26" s="714"/>
      <c r="AG26" s="714"/>
      <c r="AH26" s="714"/>
      <c r="AI26" s="1219"/>
      <c r="AJ26" s="1219"/>
      <c r="AK26" s="1219"/>
      <c r="AL26" s="1219"/>
      <c r="AM26" s="1219"/>
      <c r="AN26" s="1219"/>
      <c r="AO26" s="1219"/>
      <c r="AP26" s="714"/>
      <c r="AQ26" s="714"/>
      <c r="AR26" s="714"/>
      <c r="AS26" s="1219"/>
      <c r="AT26" s="1219"/>
      <c r="AU26" s="1219"/>
      <c r="AV26" s="1219"/>
      <c r="AW26" s="1219"/>
      <c r="AX26" s="1219"/>
      <c r="AY26" s="1220"/>
    </row>
    <row r="27" spans="1:54" ht="23.25" hidden="1" customHeight="1" x14ac:dyDescent="0.15">
      <c r="E27" s="668">
        <v>0</v>
      </c>
      <c r="AB27" s="312"/>
      <c r="AC27" s="312"/>
      <c r="AD27" s="312"/>
      <c r="AE27" s="312"/>
      <c r="AF27" s="119"/>
      <c r="AG27" s="119"/>
      <c r="AH27" s="119"/>
      <c r="AI27" s="119"/>
      <c r="AJ27" s="119"/>
      <c r="AK27" s="119"/>
      <c r="AL27" s="119"/>
      <c r="AM27" s="119"/>
      <c r="AN27" s="119"/>
      <c r="AO27" s="119"/>
      <c r="AP27" s="119"/>
      <c r="AQ27" s="119"/>
      <c r="AR27" s="119"/>
      <c r="AS27" s="119"/>
      <c r="AT27" s="119"/>
      <c r="AU27" s="119"/>
      <c r="AV27" s="119"/>
      <c r="AW27" s="119"/>
      <c r="AX27" s="119"/>
      <c r="AY27" s="119"/>
    </row>
    <row r="28" spans="1:54" s="162" customFormat="1" ht="11.1" hidden="1" customHeight="1" x14ac:dyDescent="0.15">
      <c r="E28" s="674">
        <v>11.4</v>
      </c>
      <c r="F28" s="769" cm="1">
        <f t="array" ref="F28">Y28</f>
        <v>0</v>
      </c>
      <c r="U28" s="770" t="b">
        <f t="shared" ref="U28:U41" si="2">F28&gt;0</f>
        <v>0</v>
      </c>
      <c r="W28" s="119" t="s">
        <v>313</v>
      </c>
      <c r="Y28" s="1480">
        <v>0</v>
      </c>
      <c r="Z28" s="1489"/>
      <c r="AB28" s="210" t="str" cm="1">
        <f t="array" ref="AB28">INDEX('Общие сведения'!$AG$169:$AG$202,MATCH($F28,'Общие сведения'!$Z$169:$Z$202,0))</f>
        <v xml:space="preserve">Тариф 0 (Теплоснабжение) - </v>
      </c>
      <c r="AC28" s="207"/>
      <c r="AD28" s="207"/>
      <c r="AE28" s="201"/>
      <c r="AF28" s="201"/>
      <c r="AG28" s="201"/>
      <c r="AH28" s="201"/>
      <c r="AI28" s="201"/>
      <c r="AJ28" s="201"/>
      <c r="AK28" s="201"/>
      <c r="AL28" s="201"/>
      <c r="AM28" s="201"/>
      <c r="AN28" s="201"/>
      <c r="AO28" s="201"/>
      <c r="AP28" s="201"/>
      <c r="AQ28" s="201"/>
      <c r="AR28" s="201"/>
      <c r="AS28" s="201"/>
      <c r="AT28" s="201"/>
      <c r="AU28" s="201"/>
      <c r="AV28" s="201"/>
      <c r="AW28" s="201"/>
      <c r="AX28" s="201"/>
      <c r="AY28" s="201"/>
      <c r="BB28" s="935"/>
    </row>
    <row r="29" spans="1:54" ht="11.1" hidden="1" customHeight="1" x14ac:dyDescent="0.15">
      <c r="E29" s="668">
        <v>11.4</v>
      </c>
      <c r="F29" s="769" cm="1">
        <f t="array" aca="1" ref="F29" ca="1">OFFSET(G29,-1,-1)</f>
        <v>0</v>
      </c>
      <c r="U29" s="770" t="b">
        <f t="shared" ca="1" si="2"/>
        <v>0</v>
      </c>
      <c r="Y29" s="1485"/>
      <c r="Z29" s="1485"/>
      <c r="AB29" s="287"/>
      <c r="AC29" s="288" t="s">
        <v>522</v>
      </c>
      <c r="AD29" s="288"/>
      <c r="AE29" s="289"/>
      <c r="AF29" s="314"/>
      <c r="AG29" s="314"/>
      <c r="AH29" s="314"/>
      <c r="AI29" s="314"/>
      <c r="AJ29" s="314"/>
      <c r="AK29" s="314"/>
      <c r="AL29" s="314"/>
      <c r="AM29" s="314"/>
      <c r="AN29" s="314"/>
      <c r="AO29" s="314"/>
      <c r="AP29" s="314"/>
      <c r="AQ29" s="314"/>
      <c r="AR29" s="314"/>
      <c r="AS29" s="314"/>
      <c r="AT29" s="314"/>
      <c r="AU29" s="314"/>
      <c r="AV29" s="314"/>
      <c r="AW29" s="314"/>
      <c r="AX29" s="314"/>
      <c r="AY29" s="314"/>
    </row>
    <row r="30" spans="1:54" ht="16.7" hidden="1" customHeight="1" x14ac:dyDescent="0.15">
      <c r="E30" s="668">
        <v>17.100000000000001</v>
      </c>
      <c r="F30" s="769" cm="1">
        <f t="array" aca="1" ref="F30" ca="1">OFFSET(G30,-1,-1)</f>
        <v>0</v>
      </c>
      <c r="H30" s="123" t="s">
        <v>524</v>
      </c>
      <c r="U30" s="770" t="b">
        <f t="shared" ca="1" si="2"/>
        <v>0</v>
      </c>
      <c r="Y30" s="1485"/>
      <c r="Z30" s="1485"/>
      <c r="AB30" s="102">
        <v>1</v>
      </c>
      <c r="AC30" s="1493" t="s">
        <v>605</v>
      </c>
      <c r="AD30" s="121" t="s">
        <v>606</v>
      </c>
      <c r="AE30" s="156" t="s">
        <v>521</v>
      </c>
      <c r="AF30" s="23"/>
      <c r="AG30" s="714"/>
      <c r="AH30" s="714"/>
      <c r="AI30" s="1219"/>
      <c r="AJ30" s="1219"/>
      <c r="AK30" s="23"/>
      <c r="AL30" s="23"/>
      <c r="AM30" s="23"/>
      <c r="AN30" s="23"/>
      <c r="AO30" s="23"/>
      <c r="AP30" s="714"/>
      <c r="AQ30" s="714"/>
      <c r="AR30" s="714"/>
      <c r="AS30" s="1219"/>
      <c r="AT30" s="1219"/>
      <c r="AU30" s="23"/>
      <c r="AV30" s="23"/>
      <c r="AW30" s="23"/>
      <c r="AX30" s="23"/>
      <c r="AY30" s="23"/>
      <c r="BB30" s="985" t="s">
        <v>607</v>
      </c>
    </row>
    <row r="31" spans="1:54" ht="16.7" hidden="1" customHeight="1" x14ac:dyDescent="0.15">
      <c r="E31" s="668">
        <v>17.100000000000001</v>
      </c>
      <c r="F31" s="769" cm="1">
        <f t="array" aca="1" ref="F31" ca="1">OFFSET(G31,-1,-1)</f>
        <v>0</v>
      </c>
      <c r="H31" s="123" t="s">
        <v>537</v>
      </c>
      <c r="U31" s="770" t="b">
        <f t="shared" ca="1" si="2"/>
        <v>0</v>
      </c>
      <c r="Y31" s="1485"/>
      <c r="Z31" s="1485"/>
      <c r="AB31" s="102">
        <v>2</v>
      </c>
      <c r="AC31" s="1493"/>
      <c r="AD31" s="121" t="s">
        <v>608</v>
      </c>
      <c r="AE31" s="156" t="s">
        <v>521</v>
      </c>
      <c r="AF31" s="921"/>
      <c r="AG31" s="714" cm="1">
        <f t="array" ref="AG31">AG30</f>
        <v>0</v>
      </c>
      <c r="AH31" s="922">
        <f t="shared" ref="AH31:AO31" si="3">(1+AG31)*(1+AH30)-1</f>
        <v>0</v>
      </c>
      <c r="AI31" s="1221">
        <f t="shared" si="3"/>
        <v>0</v>
      </c>
      <c r="AJ31" s="1221">
        <f t="shared" si="3"/>
        <v>0</v>
      </c>
      <c r="AK31" s="24">
        <f t="shared" si="3"/>
        <v>0</v>
      </c>
      <c r="AL31" s="24">
        <f t="shared" si="3"/>
        <v>0</v>
      </c>
      <c r="AM31" s="24">
        <f t="shared" si="3"/>
        <v>0</v>
      </c>
      <c r="AN31" s="24">
        <f t="shared" si="3"/>
        <v>0</v>
      </c>
      <c r="AO31" s="24">
        <f t="shared" si="3"/>
        <v>0</v>
      </c>
      <c r="AP31" s="921"/>
      <c r="AQ31" s="714" cm="1">
        <f t="array" ref="AQ31">AQ30</f>
        <v>0</v>
      </c>
      <c r="AR31" s="922">
        <f t="shared" ref="AR31:AY31" si="4">(1+AQ31)*(1+AR30)-1</f>
        <v>0</v>
      </c>
      <c r="AS31" s="1221">
        <f t="shared" si="4"/>
        <v>0</v>
      </c>
      <c r="AT31" s="1221">
        <f t="shared" si="4"/>
        <v>0</v>
      </c>
      <c r="AU31" s="24">
        <f t="shared" si="4"/>
        <v>0</v>
      </c>
      <c r="AV31" s="24">
        <f t="shared" si="4"/>
        <v>0</v>
      </c>
      <c r="AW31" s="24">
        <f t="shared" si="4"/>
        <v>0</v>
      </c>
      <c r="AX31" s="24">
        <f t="shared" si="4"/>
        <v>0</v>
      </c>
      <c r="AY31" s="24">
        <f t="shared" si="4"/>
        <v>0</v>
      </c>
      <c r="BB31" s="985" t="s">
        <v>609</v>
      </c>
    </row>
    <row r="32" spans="1:54" ht="16.7" hidden="1" customHeight="1" x14ac:dyDescent="0.15">
      <c r="E32" s="668">
        <v>17.100000000000001</v>
      </c>
      <c r="F32" s="769" cm="1">
        <f t="array" aca="1" ref="F32" ca="1">OFFSET(G32,-1,-1)</f>
        <v>0</v>
      </c>
      <c r="H32" s="123" t="s">
        <v>540</v>
      </c>
      <c r="U32" s="770" t="b">
        <f t="shared" ca="1" si="2"/>
        <v>0</v>
      </c>
      <c r="Y32" s="1485"/>
      <c r="Z32" s="1485"/>
      <c r="AB32" s="102">
        <v>3</v>
      </c>
      <c r="AC32" s="1493" t="s">
        <v>610</v>
      </c>
      <c r="AD32" s="121" t="s">
        <v>606</v>
      </c>
      <c r="AE32" s="156" t="s">
        <v>521</v>
      </c>
      <c r="AF32" s="23"/>
      <c r="AG32" s="714"/>
      <c r="AH32" s="714"/>
      <c r="AI32" s="1219"/>
      <c r="AJ32" s="1219"/>
      <c r="AK32" s="23"/>
      <c r="AL32" s="23"/>
      <c r="AM32" s="23"/>
      <c r="AN32" s="23"/>
      <c r="AO32" s="23"/>
      <c r="AP32" s="714"/>
      <c r="AQ32" s="714"/>
      <c r="AR32" s="714"/>
      <c r="AS32" s="1219"/>
      <c r="AT32" s="1219"/>
      <c r="AU32" s="23"/>
      <c r="AV32" s="23"/>
      <c r="AW32" s="23"/>
      <c r="AX32" s="23"/>
      <c r="AY32" s="23"/>
      <c r="BB32" s="985" t="s">
        <v>611</v>
      </c>
    </row>
    <row r="33" spans="1:54" ht="16.7" hidden="1" customHeight="1" x14ac:dyDescent="0.15">
      <c r="E33" s="668">
        <v>17.100000000000001</v>
      </c>
      <c r="F33" s="769" cm="1">
        <f t="array" aca="1" ref="F33" ca="1">OFFSET(G33,-1,-1)</f>
        <v>0</v>
      </c>
      <c r="H33" s="123" t="s">
        <v>543</v>
      </c>
      <c r="U33" s="770" t="b">
        <f t="shared" ca="1" si="2"/>
        <v>0</v>
      </c>
      <c r="Y33" s="1485"/>
      <c r="Z33" s="1485"/>
      <c r="AB33" s="102">
        <v>4</v>
      </c>
      <c r="AC33" s="1493"/>
      <c r="AD33" s="121" t="s">
        <v>608</v>
      </c>
      <c r="AE33" s="156" t="s">
        <v>521</v>
      </c>
      <c r="AF33" s="921"/>
      <c r="AG33" s="714" cm="1">
        <f t="array" ref="AG33">AG32</f>
        <v>0</v>
      </c>
      <c r="AH33" s="922">
        <f t="shared" ref="AH33:AO33" si="5">(1+AG33)*(1+AH32)-1</f>
        <v>0</v>
      </c>
      <c r="AI33" s="1221">
        <f t="shared" si="5"/>
        <v>0</v>
      </c>
      <c r="AJ33" s="1221">
        <f t="shared" si="5"/>
        <v>0</v>
      </c>
      <c r="AK33" s="24">
        <f t="shared" si="5"/>
        <v>0</v>
      </c>
      <c r="AL33" s="24">
        <f t="shared" si="5"/>
        <v>0</v>
      </c>
      <c r="AM33" s="24">
        <f t="shared" si="5"/>
        <v>0</v>
      </c>
      <c r="AN33" s="24">
        <f t="shared" si="5"/>
        <v>0</v>
      </c>
      <c r="AO33" s="24">
        <f t="shared" si="5"/>
        <v>0</v>
      </c>
      <c r="AP33" s="921"/>
      <c r="AQ33" s="714" cm="1">
        <f t="array" ref="AQ33">AQ32</f>
        <v>0</v>
      </c>
      <c r="AR33" s="922">
        <f t="shared" ref="AR33:AY33" si="6">(1+AQ33)*(1+AR32)-1</f>
        <v>0</v>
      </c>
      <c r="AS33" s="1221">
        <f t="shared" si="6"/>
        <v>0</v>
      </c>
      <c r="AT33" s="1221">
        <f t="shared" si="6"/>
        <v>0</v>
      </c>
      <c r="AU33" s="24">
        <f t="shared" si="6"/>
        <v>0</v>
      </c>
      <c r="AV33" s="24">
        <f t="shared" si="6"/>
        <v>0</v>
      </c>
      <c r="AW33" s="24">
        <f t="shared" si="6"/>
        <v>0</v>
      </c>
      <c r="AX33" s="24">
        <f t="shared" si="6"/>
        <v>0</v>
      </c>
      <c r="AY33" s="24">
        <f t="shared" si="6"/>
        <v>0</v>
      </c>
      <c r="BB33" s="985" t="s">
        <v>612</v>
      </c>
    </row>
    <row r="34" spans="1:54" ht="16.7" hidden="1" customHeight="1" x14ac:dyDescent="0.15">
      <c r="E34" s="668">
        <v>17.100000000000001</v>
      </c>
      <c r="F34" s="769" cm="1">
        <f t="array" aca="1" ref="F34" ca="1">OFFSET(G34,-1,-1)</f>
        <v>0</v>
      </c>
      <c r="H34" s="123" t="s">
        <v>546</v>
      </c>
      <c r="U34" s="770" t="b">
        <f t="shared" ca="1" si="2"/>
        <v>0</v>
      </c>
      <c r="Y34" s="1485"/>
      <c r="Z34" s="1485"/>
      <c r="AB34" s="102">
        <v>5</v>
      </c>
      <c r="AC34" s="1493" t="s">
        <v>613</v>
      </c>
      <c r="AD34" s="1493"/>
      <c r="AE34" s="156" t="s">
        <v>521</v>
      </c>
      <c r="AF34" s="23"/>
      <c r="AG34" s="714"/>
      <c r="AH34" s="714"/>
      <c r="AI34" s="1219"/>
      <c r="AJ34" s="1219"/>
      <c r="AK34" s="23"/>
      <c r="AL34" s="23"/>
      <c r="AM34" s="23"/>
      <c r="AN34" s="23"/>
      <c r="AO34" s="23"/>
      <c r="AP34" s="714"/>
      <c r="AQ34" s="714"/>
      <c r="AR34" s="714"/>
      <c r="AS34" s="1219"/>
      <c r="AT34" s="1219"/>
      <c r="AU34" s="23"/>
      <c r="AV34" s="23"/>
      <c r="AW34" s="23"/>
      <c r="AX34" s="23"/>
      <c r="AY34" s="23"/>
      <c r="BB34" s="985" t="s">
        <v>614</v>
      </c>
    </row>
    <row r="35" spans="1:54" s="805" customFormat="1" ht="10.5" customHeight="1" x14ac:dyDescent="0.15">
      <c r="A35" s="162"/>
      <c r="B35" s="162"/>
      <c r="C35" s="162"/>
      <c r="D35" s="162"/>
      <c r="E35" s="674">
        <v>11.4</v>
      </c>
      <c r="F35" s="769" t="str" cm="1">
        <f t="array" ref="F35">Y35</f>
        <v>1</v>
      </c>
      <c r="G35" s="162"/>
      <c r="H35" s="162"/>
      <c r="I35" s="162"/>
      <c r="J35" s="162"/>
      <c r="K35" s="162"/>
      <c r="L35" s="162"/>
      <c r="M35" s="162"/>
      <c r="N35" s="162"/>
      <c r="O35" s="162"/>
      <c r="P35" s="162"/>
      <c r="Q35" s="162"/>
      <c r="R35" s="162"/>
      <c r="S35" s="162"/>
      <c r="T35" s="162"/>
      <c r="U35" s="770" t="b">
        <f t="shared" si="2"/>
        <v>1</v>
      </c>
      <c r="V35" s="162"/>
      <c r="W35" s="119" t="str" cm="1">
        <f t="array" ref="W35">Сценарии!$AB$55</f>
        <v>Тариф 1 (Теплоснабжение) - Тариф на тепловую энергию (мощность), поставляемую потребителям (Не определено)</v>
      </c>
      <c r="X35" s="162"/>
      <c r="Y35" s="1480" t="s">
        <v>339</v>
      </c>
      <c r="Z35" s="1489"/>
      <c r="AA35" s="162"/>
      <c r="AB35" s="210" t="str" cm="1">
        <f t="array" ref="AB35">IF(ISBLANK(Сценарии!$AB$55),"",Сценарии!$AB$55)</f>
        <v>Тариф 1 (Теплоснабжение) - Тариф на тепловую энергию (мощность), поставляемую потребителям (Не определено)</v>
      </c>
      <c r="AC35" s="207"/>
      <c r="AD35" s="207"/>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162"/>
      <c r="BA35" s="162"/>
      <c r="BB35" s="935"/>
    </row>
    <row r="36" spans="1:54" s="1167" customFormat="1" ht="10.5" customHeight="1" x14ac:dyDescent="0.15">
      <c r="A36" s="1152"/>
      <c r="B36" s="773"/>
      <c r="C36" s="1152"/>
      <c r="D36" s="1152"/>
      <c r="E36" s="668">
        <v>11.4</v>
      </c>
      <c r="F36" s="769" t="str" cm="1">
        <f t="array" aca="1" ref="F36" ca="1">OFFSET(G36,-1,-1)</f>
        <v>1</v>
      </c>
      <c r="G36" s="1152"/>
      <c r="H36" s="1152"/>
      <c r="I36" s="1152"/>
      <c r="J36" s="1152"/>
      <c r="K36" s="1152"/>
      <c r="L36" s="1152"/>
      <c r="M36" s="1152"/>
      <c r="N36" s="1152"/>
      <c r="O36" s="1152"/>
      <c r="P36" s="1152"/>
      <c r="Q36" s="769"/>
      <c r="R36" s="769"/>
      <c r="S36" s="1152"/>
      <c r="T36" s="1152"/>
      <c r="U36" s="770" t="b">
        <f t="shared" ca="1" si="2"/>
        <v>1</v>
      </c>
      <c r="V36" s="1152"/>
      <c r="W36" s="1152"/>
      <c r="X36" s="1152"/>
      <c r="Y36" s="1485"/>
      <c r="Z36" s="1485"/>
      <c r="AA36" s="167"/>
      <c r="AB36" s="287"/>
      <c r="AC36" s="288" t="s">
        <v>522</v>
      </c>
      <c r="AD36" s="288"/>
      <c r="AE36" s="289"/>
      <c r="AF36" s="314"/>
      <c r="AG36" s="314"/>
      <c r="AH36" s="314"/>
      <c r="AI36" s="314"/>
      <c r="AJ36" s="314"/>
      <c r="AK36" s="314"/>
      <c r="AL36" s="314"/>
      <c r="AM36" s="314"/>
      <c r="AN36" s="314"/>
      <c r="AO36" s="314"/>
      <c r="AP36" s="314"/>
      <c r="AQ36" s="314"/>
      <c r="AR36" s="314"/>
      <c r="AS36" s="314"/>
      <c r="AT36" s="314"/>
      <c r="AU36" s="314"/>
      <c r="AV36" s="314"/>
      <c r="AW36" s="314"/>
      <c r="AX36" s="314"/>
      <c r="AY36" s="314"/>
      <c r="AZ36" s="167"/>
      <c r="BA36" s="167"/>
      <c r="BB36" s="985"/>
    </row>
    <row r="37" spans="1:54" s="1167" customFormat="1" ht="16.5" customHeight="1" x14ac:dyDescent="0.15">
      <c r="A37" s="1152"/>
      <c r="B37" s="773"/>
      <c r="C37" s="1152"/>
      <c r="D37" s="1152"/>
      <c r="E37" s="668">
        <v>17.100000000000001</v>
      </c>
      <c r="F37" s="769" t="str" cm="1">
        <f t="array" aca="1" ref="F37" ca="1">OFFSET(G37,-1,-1)</f>
        <v>1</v>
      </c>
      <c r="G37" s="1152"/>
      <c r="H37" s="123" t="s">
        <v>524</v>
      </c>
      <c r="I37" s="1152"/>
      <c r="J37" s="1152"/>
      <c r="K37" s="1152"/>
      <c r="L37" s="1152"/>
      <c r="M37" s="1152"/>
      <c r="N37" s="1152"/>
      <c r="O37" s="1152"/>
      <c r="P37" s="1152"/>
      <c r="Q37" s="769"/>
      <c r="R37" s="769"/>
      <c r="S37" s="1152"/>
      <c r="T37" s="1152"/>
      <c r="U37" s="770" t="b">
        <f t="shared" ca="1" si="2"/>
        <v>1</v>
      </c>
      <c r="V37" s="1152"/>
      <c r="W37" s="1152"/>
      <c r="X37" s="1152"/>
      <c r="Y37" s="1485"/>
      <c r="Z37" s="1485"/>
      <c r="AA37" s="167"/>
      <c r="AB37" s="102">
        <v>1</v>
      </c>
      <c r="AC37" s="1493" t="s">
        <v>615</v>
      </c>
      <c r="AD37" s="121" t="s">
        <v>606</v>
      </c>
      <c r="AE37" s="156" t="s">
        <v>521</v>
      </c>
      <c r="AF37" s="1222"/>
      <c r="AG37" s="714"/>
      <c r="AH37" s="714"/>
      <c r="AI37" s="1219"/>
      <c r="AJ37" s="1219"/>
      <c r="AK37" s="1222"/>
      <c r="AL37" s="1222"/>
      <c r="AM37" s="1222"/>
      <c r="AN37" s="1222"/>
      <c r="AO37" s="1222"/>
      <c r="AP37" s="714"/>
      <c r="AQ37" s="714"/>
      <c r="AR37" s="714"/>
      <c r="AS37" s="1219"/>
      <c r="AT37" s="1219"/>
      <c r="AU37" s="1222"/>
      <c r="AV37" s="1222"/>
      <c r="AW37" s="1222"/>
      <c r="AX37" s="1222"/>
      <c r="AY37" s="1222"/>
      <c r="AZ37" s="167"/>
      <c r="BA37" s="167"/>
      <c r="BB37" s="985" t="s">
        <v>607</v>
      </c>
    </row>
    <row r="38" spans="1:54" s="1167" customFormat="1" ht="16.5" customHeight="1" x14ac:dyDescent="0.15">
      <c r="A38" s="1152"/>
      <c r="B38" s="773"/>
      <c r="C38" s="1152"/>
      <c r="D38" s="1152"/>
      <c r="E38" s="668">
        <v>17.100000000000001</v>
      </c>
      <c r="F38" s="769" t="str" cm="1">
        <f t="array" aca="1" ref="F38" ca="1">OFFSET(G38,-1,-1)</f>
        <v>1</v>
      </c>
      <c r="G38" s="1152"/>
      <c r="H38" s="123" t="s">
        <v>537</v>
      </c>
      <c r="I38" s="1152"/>
      <c r="J38" s="1152"/>
      <c r="K38" s="1152"/>
      <c r="L38" s="1152"/>
      <c r="M38" s="1152"/>
      <c r="N38" s="1152"/>
      <c r="O38" s="1152"/>
      <c r="P38" s="1152"/>
      <c r="Q38" s="769"/>
      <c r="R38" s="769"/>
      <c r="S38" s="1152"/>
      <c r="T38" s="1152"/>
      <c r="U38" s="770" t="b">
        <f t="shared" ca="1" si="2"/>
        <v>1</v>
      </c>
      <c r="V38" s="1152"/>
      <c r="W38" s="1152"/>
      <c r="X38" s="1152"/>
      <c r="Y38" s="1485"/>
      <c r="Z38" s="1485"/>
      <c r="AA38" s="167"/>
      <c r="AB38" s="102">
        <v>2</v>
      </c>
      <c r="AC38" s="1493"/>
      <c r="AD38" s="121" t="s">
        <v>608</v>
      </c>
      <c r="AE38" s="156" t="s">
        <v>521</v>
      </c>
      <c r="AF38" s="921"/>
      <c r="AG38" s="714" cm="1">
        <f t="array" ref="AG38">AG37</f>
        <v>0</v>
      </c>
      <c r="AH38" s="922">
        <f t="shared" ref="AH38:AO38" si="7">(1+AG38)*(1+AH37)-1</f>
        <v>0</v>
      </c>
      <c r="AI38" s="1221">
        <f t="shared" si="7"/>
        <v>0</v>
      </c>
      <c r="AJ38" s="1221">
        <f t="shared" si="7"/>
        <v>0</v>
      </c>
      <c r="AK38" s="1223">
        <f t="shared" si="7"/>
        <v>0</v>
      </c>
      <c r="AL38" s="1223">
        <f t="shared" si="7"/>
        <v>0</v>
      </c>
      <c r="AM38" s="1223">
        <f t="shared" si="7"/>
        <v>0</v>
      </c>
      <c r="AN38" s="1223">
        <f t="shared" si="7"/>
        <v>0</v>
      </c>
      <c r="AO38" s="1223">
        <f t="shared" si="7"/>
        <v>0</v>
      </c>
      <c r="AP38" s="921"/>
      <c r="AQ38" s="714" cm="1">
        <f t="array" ref="AQ38">AQ37</f>
        <v>0</v>
      </c>
      <c r="AR38" s="922">
        <f t="shared" ref="AR38:AY38" si="8">(1+AQ38)*(1+AR37)-1</f>
        <v>0</v>
      </c>
      <c r="AS38" s="1221">
        <f t="shared" si="8"/>
        <v>0</v>
      </c>
      <c r="AT38" s="1221">
        <f t="shared" si="8"/>
        <v>0</v>
      </c>
      <c r="AU38" s="1223">
        <f t="shared" si="8"/>
        <v>0</v>
      </c>
      <c r="AV38" s="1223">
        <f t="shared" si="8"/>
        <v>0</v>
      </c>
      <c r="AW38" s="1223">
        <f t="shared" si="8"/>
        <v>0</v>
      </c>
      <c r="AX38" s="1223">
        <f t="shared" si="8"/>
        <v>0</v>
      </c>
      <c r="AY38" s="1223">
        <f t="shared" si="8"/>
        <v>0</v>
      </c>
      <c r="AZ38" s="167"/>
      <c r="BA38" s="167"/>
      <c r="BB38" s="985" t="s">
        <v>609</v>
      </c>
    </row>
    <row r="39" spans="1:54" s="1167" customFormat="1" ht="16.5" customHeight="1" x14ac:dyDescent="0.15">
      <c r="A39" s="1152"/>
      <c r="B39" s="773"/>
      <c r="C39" s="1152"/>
      <c r="D39" s="1152"/>
      <c r="E39" s="668">
        <v>17.100000000000001</v>
      </c>
      <c r="F39" s="769" t="str" cm="1">
        <f t="array" aca="1" ref="F39" ca="1">OFFSET(G39,-1,-1)</f>
        <v>1</v>
      </c>
      <c r="G39" s="1152"/>
      <c r="H39" s="123" t="s">
        <v>540</v>
      </c>
      <c r="I39" s="1152"/>
      <c r="J39" s="1152"/>
      <c r="K39" s="1152"/>
      <c r="L39" s="1152"/>
      <c r="M39" s="1152"/>
      <c r="N39" s="1152"/>
      <c r="O39" s="1152"/>
      <c r="P39" s="1152"/>
      <c r="Q39" s="769"/>
      <c r="R39" s="769"/>
      <c r="S39" s="1152"/>
      <c r="T39" s="1152"/>
      <c r="U39" s="770" t="b">
        <f t="shared" ca="1" si="2"/>
        <v>1</v>
      </c>
      <c r="V39" s="1152"/>
      <c r="W39" s="1152"/>
      <c r="X39" s="1152"/>
      <c r="Y39" s="1485"/>
      <c r="Z39" s="1485"/>
      <c r="AA39" s="167"/>
      <c r="AB39" s="102">
        <v>3</v>
      </c>
      <c r="AC39" s="1493" t="s">
        <v>610</v>
      </c>
      <c r="AD39" s="121" t="s">
        <v>606</v>
      </c>
      <c r="AE39" s="156" t="s">
        <v>521</v>
      </c>
      <c r="AF39" s="1222"/>
      <c r="AG39" s="714"/>
      <c r="AH39" s="714"/>
      <c r="AI39" s="1219"/>
      <c r="AJ39" s="1219"/>
      <c r="AK39" s="1222"/>
      <c r="AL39" s="1222"/>
      <c r="AM39" s="1222"/>
      <c r="AN39" s="1222"/>
      <c r="AO39" s="1222"/>
      <c r="AP39" s="714"/>
      <c r="AQ39" s="714"/>
      <c r="AR39" s="714"/>
      <c r="AS39" s="1219"/>
      <c r="AT39" s="1219"/>
      <c r="AU39" s="1222"/>
      <c r="AV39" s="1222"/>
      <c r="AW39" s="1222"/>
      <c r="AX39" s="1222"/>
      <c r="AY39" s="1222"/>
      <c r="AZ39" s="167"/>
      <c r="BA39" s="167"/>
      <c r="BB39" s="985" t="s">
        <v>611</v>
      </c>
    </row>
    <row r="40" spans="1:54" s="1167" customFormat="1" ht="16.5" customHeight="1" x14ac:dyDescent="0.15">
      <c r="A40" s="1152"/>
      <c r="B40" s="773"/>
      <c r="C40" s="1152"/>
      <c r="D40" s="1152"/>
      <c r="E40" s="668">
        <v>17.100000000000001</v>
      </c>
      <c r="F40" s="769" t="str" cm="1">
        <f t="array" aca="1" ref="F40" ca="1">OFFSET(G40,-1,-1)</f>
        <v>1</v>
      </c>
      <c r="G40" s="1152"/>
      <c r="H40" s="123" t="s">
        <v>543</v>
      </c>
      <c r="I40" s="1152"/>
      <c r="J40" s="1152"/>
      <c r="K40" s="1152"/>
      <c r="L40" s="1152"/>
      <c r="M40" s="1152"/>
      <c r="N40" s="1152"/>
      <c r="O40" s="1152"/>
      <c r="P40" s="1152"/>
      <c r="Q40" s="769"/>
      <c r="R40" s="769"/>
      <c r="S40" s="1152"/>
      <c r="T40" s="1152"/>
      <c r="U40" s="770" t="b">
        <f t="shared" ca="1" si="2"/>
        <v>1</v>
      </c>
      <c r="V40" s="1152"/>
      <c r="W40" s="1152"/>
      <c r="X40" s="1152"/>
      <c r="Y40" s="1485"/>
      <c r="Z40" s="1485"/>
      <c r="AA40" s="167"/>
      <c r="AB40" s="102">
        <v>4</v>
      </c>
      <c r="AC40" s="1493"/>
      <c r="AD40" s="121" t="s">
        <v>608</v>
      </c>
      <c r="AE40" s="156" t="s">
        <v>521</v>
      </c>
      <c r="AF40" s="921"/>
      <c r="AG40" s="714" cm="1">
        <f t="array" ref="AG40">AG39</f>
        <v>0</v>
      </c>
      <c r="AH40" s="922">
        <f t="shared" ref="AH40:AO40" si="9">(1+AG40)*(1+AH39)-1</f>
        <v>0</v>
      </c>
      <c r="AI40" s="1221">
        <f t="shared" si="9"/>
        <v>0</v>
      </c>
      <c r="AJ40" s="1221">
        <f t="shared" si="9"/>
        <v>0</v>
      </c>
      <c r="AK40" s="1223">
        <f t="shared" si="9"/>
        <v>0</v>
      </c>
      <c r="AL40" s="1223">
        <f t="shared" si="9"/>
        <v>0</v>
      </c>
      <c r="AM40" s="1223">
        <f t="shared" si="9"/>
        <v>0</v>
      </c>
      <c r="AN40" s="1223">
        <f t="shared" si="9"/>
        <v>0</v>
      </c>
      <c r="AO40" s="1223">
        <f t="shared" si="9"/>
        <v>0</v>
      </c>
      <c r="AP40" s="921"/>
      <c r="AQ40" s="714" cm="1">
        <f t="array" ref="AQ40">AQ39</f>
        <v>0</v>
      </c>
      <c r="AR40" s="922">
        <f t="shared" ref="AR40:AY40" si="10">(1+AQ40)*(1+AR39)-1</f>
        <v>0</v>
      </c>
      <c r="AS40" s="1221">
        <f t="shared" si="10"/>
        <v>0</v>
      </c>
      <c r="AT40" s="1221">
        <f t="shared" si="10"/>
        <v>0</v>
      </c>
      <c r="AU40" s="1223">
        <f t="shared" si="10"/>
        <v>0</v>
      </c>
      <c r="AV40" s="1223">
        <f t="shared" si="10"/>
        <v>0</v>
      </c>
      <c r="AW40" s="1223">
        <f t="shared" si="10"/>
        <v>0</v>
      </c>
      <c r="AX40" s="1223">
        <f t="shared" si="10"/>
        <v>0</v>
      </c>
      <c r="AY40" s="1223">
        <f t="shared" si="10"/>
        <v>0</v>
      </c>
      <c r="AZ40" s="167"/>
      <c r="BA40" s="167"/>
      <c r="BB40" s="985" t="s">
        <v>612</v>
      </c>
    </row>
    <row r="41" spans="1:54" s="1167" customFormat="1" ht="16.5" customHeight="1" x14ac:dyDescent="0.15">
      <c r="A41" s="1152"/>
      <c r="B41" s="773"/>
      <c r="C41" s="1152"/>
      <c r="D41" s="1152"/>
      <c r="E41" s="668">
        <v>17.100000000000001</v>
      </c>
      <c r="F41" s="769" t="str" cm="1">
        <f t="array" aca="1" ref="F41" ca="1">OFFSET(G41,-1,-1)</f>
        <v>1</v>
      </c>
      <c r="G41" s="1152"/>
      <c r="H41" s="123" t="s">
        <v>546</v>
      </c>
      <c r="I41" s="1152"/>
      <c r="J41" s="1152"/>
      <c r="K41" s="1152"/>
      <c r="L41" s="1152"/>
      <c r="M41" s="1152"/>
      <c r="N41" s="1152"/>
      <c r="O41" s="1152"/>
      <c r="P41" s="1152"/>
      <c r="Q41" s="769"/>
      <c r="R41" s="769"/>
      <c r="S41" s="1152"/>
      <c r="T41" s="1152"/>
      <c r="U41" s="770" t="b">
        <f t="shared" ca="1" si="2"/>
        <v>1</v>
      </c>
      <c r="V41" s="1152"/>
      <c r="W41" s="1152"/>
      <c r="X41" s="1152"/>
      <c r="Y41" s="1485"/>
      <c r="Z41" s="1485"/>
      <c r="AA41" s="167"/>
      <c r="AB41" s="102">
        <v>5</v>
      </c>
      <c r="AC41" s="1493" t="s">
        <v>613</v>
      </c>
      <c r="AD41" s="1493"/>
      <c r="AE41" s="156" t="s">
        <v>521</v>
      </c>
      <c r="AF41" s="1222"/>
      <c r="AG41" s="714"/>
      <c r="AH41" s="714"/>
      <c r="AI41" s="1219"/>
      <c r="AJ41" s="1219"/>
      <c r="AK41" s="1222"/>
      <c r="AL41" s="1222"/>
      <c r="AM41" s="1222"/>
      <c r="AN41" s="1222"/>
      <c r="AO41" s="1222"/>
      <c r="AP41" s="714"/>
      <c r="AQ41" s="714"/>
      <c r="AR41" s="714"/>
      <c r="AS41" s="1219"/>
      <c r="AT41" s="1219"/>
      <c r="AU41" s="1222"/>
      <c r="AV41" s="1222"/>
      <c r="AW41" s="1222"/>
      <c r="AX41" s="1222"/>
      <c r="AY41" s="1222"/>
      <c r="AZ41" s="167"/>
      <c r="BA41" s="167"/>
      <c r="BB41" s="985" t="s">
        <v>614</v>
      </c>
    </row>
    <row r="42" spans="1:54" ht="11.1" customHeight="1" x14ac:dyDescent="0.15">
      <c r="E42" s="668">
        <v>11.4</v>
      </c>
      <c r="V42" s="123" t="s">
        <v>239</v>
      </c>
      <c r="W42" s="119" t="s">
        <v>616</v>
      </c>
      <c r="AC42" s="148"/>
      <c r="AD42" s="148"/>
      <c r="AZ42" s="148"/>
    </row>
    <row r="43" spans="1:54" ht="11.1" hidden="1" customHeight="1" x14ac:dyDescent="0.15">
      <c r="E43" s="668">
        <v>11.4</v>
      </c>
      <c r="AC43" s="148"/>
      <c r="AD43" s="148"/>
    </row>
  </sheetData>
  <sheetProtection formatColumns="0" formatRows="0" insertRows="0" deleteColumns="0" deleteRows="0" sort="0" autoFilter="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xr:uid="{00000000-0002-0000-0800-00000000000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xr:uid="{00000000-0002-0000-0800-000001000000}">
      <formula1>-9.99999999999999E+23</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410</vt:i4>
      </vt:variant>
    </vt:vector>
  </HeadingPairs>
  <TitlesOfParts>
    <vt:vector size="452"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Любовь Л.А..</cp:lastModifiedBy>
  <cp:lastPrinted>2010-03-18T14:38:46Z</cp:lastPrinted>
  <dcterms:created xsi:type="dcterms:W3CDTF">2004-05-21T07:18:45Z</dcterms:created>
  <dcterms:modified xsi:type="dcterms:W3CDTF">2026-02-25T04:08:09Z</dcterms:modified>
</cp:coreProperties>
</file>