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\\domain\Папка обмена РЭК\Саврасов\от Марковой О.В\Регуляторное соглашение\замена в Регуляторное соглашение\"/>
    </mc:Choice>
  </mc:AlternateContent>
  <xr:revisionPtr revIDLastSave="0" documentId="13_ncr:1_{2C7C9234-92B0-4E73-8080-F4E23962A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Лист1!$A$1:$P$62</definedName>
  </definedNames>
  <calcPr calcId="191029"/>
</workbook>
</file>

<file path=xl/calcChain.xml><?xml version="1.0" encoding="utf-8"?>
<calcChain xmlns="http://schemas.openxmlformats.org/spreadsheetml/2006/main">
  <c r="N24" i="1" l="1"/>
  <c r="M24" i="1"/>
  <c r="L24" i="1"/>
  <c r="N26" i="1"/>
  <c r="M26" i="1"/>
  <c r="L26" i="1"/>
  <c r="K26" i="1"/>
  <c r="N21" i="1"/>
  <c r="N61" i="1"/>
  <c r="M61" i="1"/>
  <c r="L61" i="1"/>
  <c r="K61" i="1"/>
  <c r="N59" i="1"/>
  <c r="M59" i="1"/>
  <c r="L59" i="1"/>
  <c r="K59" i="1"/>
  <c r="M36" i="1"/>
  <c r="L36" i="1"/>
  <c r="K36" i="1"/>
  <c r="F12" i="1"/>
  <c r="E12" i="1"/>
  <c r="D12" i="1"/>
  <c r="C12" i="1"/>
  <c r="F10" i="1"/>
  <c r="E10" i="1"/>
  <c r="D10" i="1"/>
  <c r="C10" i="1"/>
  <c r="N56" i="1"/>
  <c r="M56" i="1"/>
  <c r="L56" i="1"/>
  <c r="K56" i="1"/>
  <c r="N54" i="1"/>
  <c r="M54" i="1"/>
  <c r="L54" i="1"/>
  <c r="K54" i="1"/>
  <c r="N51" i="1"/>
  <c r="M51" i="1"/>
  <c r="L51" i="1"/>
  <c r="K51" i="1"/>
  <c r="N49" i="1"/>
  <c r="M49" i="1"/>
  <c r="L49" i="1"/>
  <c r="K49" i="1"/>
  <c r="N46" i="1"/>
  <c r="M46" i="1"/>
  <c r="L46" i="1"/>
  <c r="K46" i="1"/>
  <c r="N44" i="1"/>
  <c r="M44" i="1"/>
  <c r="L44" i="1"/>
  <c r="K44" i="1"/>
  <c r="N41" i="1"/>
  <c r="M41" i="1"/>
  <c r="L41" i="1"/>
  <c r="K41" i="1"/>
  <c r="N39" i="1"/>
  <c r="M39" i="1"/>
  <c r="L39" i="1"/>
  <c r="K39" i="1"/>
  <c r="N36" i="1"/>
  <c r="N34" i="1"/>
  <c r="M34" i="1"/>
  <c r="L34" i="1"/>
  <c r="K34" i="1"/>
  <c r="N31" i="1"/>
  <c r="M31" i="1"/>
  <c r="L31" i="1"/>
  <c r="K31" i="1"/>
  <c r="N29" i="1"/>
  <c r="M29" i="1"/>
  <c r="L29" i="1"/>
  <c r="K29" i="1"/>
  <c r="K24" i="1"/>
  <c r="M21" i="1"/>
  <c r="L21" i="1"/>
  <c r="K21" i="1"/>
  <c r="N19" i="1"/>
  <c r="M19" i="1"/>
  <c r="L19" i="1"/>
  <c r="K19" i="1"/>
  <c r="N16" i="1"/>
  <c r="M16" i="1"/>
  <c r="L16" i="1"/>
  <c r="K16" i="1"/>
  <c r="N14" i="1"/>
  <c r="M14" i="1"/>
  <c r="L14" i="1"/>
  <c r="K14" i="1"/>
  <c r="N9" i="1"/>
  <c r="M9" i="1"/>
  <c r="L9" i="1"/>
  <c r="K9" i="1"/>
</calcChain>
</file>

<file path=xl/sharedStrings.xml><?xml version="1.0" encoding="utf-8"?>
<sst xmlns="http://schemas.openxmlformats.org/spreadsheetml/2006/main" count="137" uniqueCount="64">
  <si>
    <t>№
п/п</t>
  </si>
  <si>
    <t>Период действия тарифов</t>
  </si>
  <si>
    <t>Двухставочный тариф</t>
  </si>
  <si>
    <t>Одноставочный тариф</t>
  </si>
  <si>
    <t>Величина перекрестного субсидирования, учтенная в ценах (тарифах) на услуги по передаче электрических энергий</t>
  </si>
  <si>
    <t>Ставка на содержание электрических сетей</t>
  </si>
  <si>
    <t>Ставка на оплату технологического расхода (потерь) в электрических сетях</t>
  </si>
  <si>
    <t>руб./МВт в месяц</t>
  </si>
  <si>
    <t>руб./МВт.ч</t>
  </si>
  <si>
    <t>руб./кВт.ч</t>
  </si>
  <si>
    <t>Уровень напряжения</t>
  </si>
  <si>
    <t/>
  </si>
  <si>
    <t>ВН</t>
  </si>
  <si>
    <t>СН-I</t>
  </si>
  <si>
    <t>СН-II</t>
  </si>
  <si>
    <t>НН</t>
  </si>
  <si>
    <t>тыс. руб.</t>
  </si>
  <si>
    <r>
      <rPr>
        <b/>
        <sz val="12"/>
        <rFont val="Times New Roman"/>
      </rPr>
      <t>2024 год</t>
    </r>
  </si>
  <si>
    <t>1.1.</t>
  </si>
  <si>
    <t>1 полугодие</t>
  </si>
  <si>
    <t>Ставка перекрестного субсидирования</t>
  </si>
  <si>
    <t>1.2.</t>
  </si>
  <si>
    <t>2 полугодие</t>
  </si>
  <si>
    <t>2.</t>
  </si>
  <si>
    <r>
      <rPr>
        <b/>
        <sz val="12"/>
        <rFont val="Times New Roman"/>
      </rPr>
      <t>2025 год</t>
    </r>
  </si>
  <si>
    <t>2.1.</t>
  </si>
  <si>
    <t>2.2</t>
  </si>
  <si>
    <t>3.</t>
  </si>
  <si>
    <r>
      <rPr>
        <b/>
        <sz val="12"/>
        <rFont val="Times New Roman"/>
      </rPr>
      <t>2026 год</t>
    </r>
  </si>
  <si>
    <t>3.1.</t>
  </si>
  <si>
    <t>3.2.</t>
  </si>
  <si>
    <t>4.</t>
  </si>
  <si>
    <r>
      <rPr>
        <b/>
        <sz val="12"/>
        <rFont val="Times New Roman"/>
      </rPr>
      <t>2027 год</t>
    </r>
  </si>
  <si>
    <t>4.1.</t>
  </si>
  <si>
    <t>4.2.</t>
  </si>
  <si>
    <t>5.</t>
  </si>
  <si>
    <r>
      <rPr>
        <b/>
        <sz val="12"/>
        <rFont val="Times New Roman"/>
      </rPr>
      <t>2028 год</t>
    </r>
  </si>
  <si>
    <t>5.1.</t>
  </si>
  <si>
    <t>5.2.</t>
  </si>
  <si>
    <t>6.</t>
  </si>
  <si>
    <r>
      <rPr>
        <b/>
        <sz val="12"/>
        <rFont val="Times New Roman"/>
      </rPr>
      <t>2029 год</t>
    </r>
  </si>
  <si>
    <t>6.1.</t>
  </si>
  <si>
    <t>6.2.</t>
  </si>
  <si>
    <t>7.</t>
  </si>
  <si>
    <r>
      <rPr>
        <b/>
        <sz val="12"/>
        <rFont val="Times New Roman"/>
      </rPr>
      <t>2030 год</t>
    </r>
  </si>
  <si>
    <t>7.1.</t>
  </si>
  <si>
    <t>7.2.</t>
  </si>
  <si>
    <t>8.</t>
  </si>
  <si>
    <r>
      <rPr>
        <b/>
        <sz val="12"/>
        <rFont val="Times New Roman"/>
      </rPr>
      <t>2031 год</t>
    </r>
  </si>
  <si>
    <t>8.1.</t>
  </si>
  <si>
    <t>8.2.</t>
  </si>
  <si>
    <t>9.</t>
  </si>
  <si>
    <r>
      <rPr>
        <b/>
        <sz val="12"/>
        <rFont val="Times New Roman"/>
      </rPr>
      <t>2032 год</t>
    </r>
  </si>
  <si>
    <t>9.1.</t>
  </si>
  <si>
    <t>9.2.</t>
  </si>
  <si>
    <t>10.</t>
  </si>
  <si>
    <r>
      <rPr>
        <b/>
        <sz val="12"/>
        <rFont val="Times New Roman"/>
      </rPr>
      <t>2033 год</t>
    </r>
  </si>
  <si>
    <t>10.1.</t>
  </si>
  <si>
    <t>10.2.</t>
  </si>
  <si>
    <t>2034 год</t>
  </si>
  <si>
    <t>11.</t>
  </si>
  <si>
    <t>11.1.</t>
  </si>
  <si>
    <t>11.2.</t>
  </si>
  <si>
    <t>Информация о единых (котловых тарифах на услуги по передаче электрическо йэнергии по сетям Кемеровской области - Кузбасса на 2024-2034 годы, о величине перекрестного субсидирования и ставках перекрестного субсидирования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</si>
</sst>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₽"/>
    <numFmt numFmtId="165" formatCode="#,##0.00000\ _₽"/>
    <numFmt numFmtId="166" formatCode="#,##0.0000\ _₽"/>
    <numFmt numFmtId="167" formatCode="_-* #,##0.00\ _₽_-;\-* #,##0.00\ _₽_-;_-* &quot;-&quot;??\ _₽_-;_-@_-"/>
    <numFmt numFmtId="168" formatCode="_-* #,##0.00_р_._-;\-* #,##0.00_р_._-;_-* &quot;-&quot;??_р_._-;_-@_-"/>
  </numFmts>
  <fonts count="15">
    <font>
      <sz val="11"/>
      <name val="Calibri"/>
    </font>
    <font>
      <sz val="11"/>
      <color theme="1"/>
      <name val="XO Thames"/>
      <family val="2"/>
      <charset val="204"/>
      <scheme val="minor"/>
    </font>
    <font>
      <sz val="11"/>
      <color theme="1"/>
      <name val="XO Thames"/>
      <family val="2"/>
      <charset val="204"/>
      <scheme val="minor"/>
    </font>
    <font>
      <sz val="12"/>
      <name val="XO Thames"/>
    </font>
    <font>
      <sz val="12"/>
      <name val="Times New Roman"/>
    </font>
    <font>
      <sz val="14"/>
      <name val="Times New Roman"/>
    </font>
    <font>
      <b/>
      <sz val="12"/>
      <name val="Times New Roman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XO Thames"/>
      <family val="2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XO Thames"/>
      <family val="2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/>
    <xf numFmtId="167" fontId="1" fillId="0" borderId="0" applyFont="0" applyFill="0" applyBorder="0" applyAlignment="0" applyProtection="0"/>
  </cellStyleXfs>
  <cellXfs count="67"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4" fontId="0" fillId="0" borderId="0" xfId="0" applyNumberForma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4" fontId="1" fillId="2" borderId="0" xfId="7" applyNumberForma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/>
  </cellXfs>
  <cellStyles count="15">
    <cellStyle name="Гиперссылка 2" xfId="10" xr:uid="{40DAD87D-98CE-4913-B1ED-0EB875E42548}"/>
    <cellStyle name="Обычный" xfId="0" builtinId="0"/>
    <cellStyle name="Обычный 196" xfId="1" xr:uid="{00000000-0005-0000-0000-000001000000}"/>
    <cellStyle name="Обычный 196 2" xfId="7" xr:uid="{39291656-64A8-46A3-A578-A7AFB9F2D69E}"/>
    <cellStyle name="Обычный 2" xfId="3" xr:uid="{37C44F02-9906-438D-B011-6EF717CE5DE6}"/>
    <cellStyle name="Обычный 2 10" xfId="9" xr:uid="{8E4B454C-D4C7-44C1-B68D-C76A2B4923AF}"/>
    <cellStyle name="Обычный 2 2 19 2" xfId="13" xr:uid="{0EAB334D-FBD6-4DB1-BA0C-ACA13BFD55B7}"/>
    <cellStyle name="Обычный 2 5" xfId="8" xr:uid="{4DB601C9-090E-446F-9C39-58B81250962A}"/>
    <cellStyle name="Обычный 3" xfId="2" xr:uid="{9C7EE4B9-A148-4BF1-821B-26668D2BD60F}"/>
    <cellStyle name="Процентный 12 3 2" xfId="5" xr:uid="{2AD170D9-2321-4A87-AB04-E5B88557E124}"/>
    <cellStyle name="Процентный 2" xfId="4" xr:uid="{73358A42-0EE4-4752-AB4C-A7A7EF8BF9B5}"/>
    <cellStyle name="Финансовый 12 2 4" xfId="6" xr:uid="{21E8E353-0694-475E-A653-32F1BAF31951}"/>
    <cellStyle name="Финансовый 2" xfId="14" xr:uid="{C55C90A9-5110-4FA6-8241-B1B57A4A948C}"/>
    <cellStyle name="Финансовый 2 29" xfId="11" xr:uid="{E9A41ECB-33CD-4C6A-AA6D-BE5C29354FF5}"/>
    <cellStyle name="Финансовый 2 31" xfId="12" xr:uid="{FC668DEB-E66A-43F9-A429-5BA2AC53BBC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view="pageBreakPreview" topLeftCell="B7" zoomScale="80" zoomScaleNormal="100" zoomScaleSheetLayoutView="80" workbookViewId="0">
      <selection activeCell="R9" sqref="R9"/>
    </sheetView>
  </sheetViews>
  <sheetFormatPr defaultColWidth="10.7109375" defaultRowHeight="15.75"/>
  <cols>
    <col min="1" max="1" width="7.42578125" style="1" customWidth="1"/>
    <col min="2" max="2" width="39.5703125" style="1" customWidth="1"/>
    <col min="3" max="3" width="16.7109375" style="1" customWidth="1"/>
    <col min="4" max="4" width="16.140625" style="1" customWidth="1"/>
    <col min="5" max="5" width="13.7109375" style="1" customWidth="1"/>
    <col min="6" max="6" width="16.5703125" style="1" customWidth="1"/>
    <col min="7" max="10" width="11.5703125" style="1" customWidth="1"/>
    <col min="11" max="11" width="12.85546875" style="1" customWidth="1"/>
    <col min="12" max="12" width="13" style="1" customWidth="1"/>
    <col min="13" max="13" width="13.140625" style="1" customWidth="1"/>
    <col min="14" max="14" width="14.28515625" style="1" customWidth="1"/>
    <col min="15" max="15" width="10.7109375" style="1" bestFit="1" customWidth="1"/>
    <col min="16" max="16" width="18.28515625" style="1" customWidth="1"/>
    <col min="17" max="17" width="17.28515625" customWidth="1"/>
    <col min="18" max="18" width="15.5703125" bestFit="1" customWidth="1"/>
  </cols>
  <sheetData>
    <row r="1" spans="1:21" s="2" customFormat="1" ht="45" customHeight="1">
      <c r="A1" s="33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1" s="2" customFormat="1" ht="15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1" s="3" customFormat="1">
      <c r="A3" s="35" t="s">
        <v>0</v>
      </c>
      <c r="B3" s="35" t="s">
        <v>1</v>
      </c>
      <c r="C3" s="35" t="s">
        <v>2</v>
      </c>
      <c r="D3" s="35"/>
      <c r="E3" s="35"/>
      <c r="F3" s="35"/>
      <c r="G3" s="35"/>
      <c r="H3" s="35"/>
      <c r="I3" s="35"/>
      <c r="J3" s="35"/>
      <c r="K3" s="35" t="s">
        <v>3</v>
      </c>
      <c r="L3" s="35"/>
      <c r="M3" s="35"/>
      <c r="N3" s="35"/>
      <c r="O3" s="36" t="s">
        <v>4</v>
      </c>
      <c r="P3" s="36"/>
    </row>
    <row r="4" spans="1:21" s="3" customFormat="1">
      <c r="A4" s="35"/>
      <c r="B4" s="35"/>
      <c r="C4" s="35" t="s">
        <v>5</v>
      </c>
      <c r="D4" s="35"/>
      <c r="E4" s="35"/>
      <c r="F4" s="35"/>
      <c r="G4" s="36" t="s">
        <v>6</v>
      </c>
      <c r="H4" s="36"/>
      <c r="I4" s="36"/>
      <c r="J4" s="36"/>
      <c r="K4" s="35"/>
      <c r="L4" s="35"/>
      <c r="M4" s="35"/>
      <c r="N4" s="35"/>
      <c r="O4" s="36"/>
      <c r="P4" s="36"/>
    </row>
    <row r="5" spans="1:21" s="3" customFormat="1">
      <c r="A5" s="35"/>
      <c r="B5" s="35"/>
      <c r="C5" s="35" t="s">
        <v>7</v>
      </c>
      <c r="D5" s="35"/>
      <c r="E5" s="35"/>
      <c r="F5" s="35"/>
      <c r="G5" s="35" t="s">
        <v>8</v>
      </c>
      <c r="H5" s="35"/>
      <c r="I5" s="35"/>
      <c r="J5" s="35"/>
      <c r="K5" s="35" t="s">
        <v>9</v>
      </c>
      <c r="L5" s="35"/>
      <c r="M5" s="35"/>
      <c r="N5" s="35"/>
      <c r="O5" s="36"/>
      <c r="P5" s="36"/>
    </row>
    <row r="6" spans="1:21" s="3" customFormat="1" ht="36" customHeight="1">
      <c r="A6" s="35"/>
      <c r="B6" s="35"/>
      <c r="C6" s="35" t="s">
        <v>10</v>
      </c>
      <c r="D6" s="35"/>
      <c r="E6" s="35"/>
      <c r="F6" s="35"/>
      <c r="G6" s="35" t="s">
        <v>10</v>
      </c>
      <c r="H6" s="35"/>
      <c r="I6" s="35"/>
      <c r="J6" s="35"/>
      <c r="K6" s="35" t="s">
        <v>10</v>
      </c>
      <c r="L6" s="35"/>
      <c r="M6" s="35"/>
      <c r="N6" s="35"/>
      <c r="O6" s="36"/>
      <c r="P6" s="36"/>
    </row>
    <row r="7" spans="1:21" s="3" customFormat="1" ht="28.35" customHeight="1">
      <c r="A7" s="4" t="s">
        <v>11</v>
      </c>
      <c r="B7" s="4"/>
      <c r="C7" s="4" t="s">
        <v>12</v>
      </c>
      <c r="D7" s="4" t="s">
        <v>13</v>
      </c>
      <c r="E7" s="4" t="s">
        <v>14</v>
      </c>
      <c r="F7" s="4" t="s">
        <v>15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12</v>
      </c>
      <c r="L7" s="4" t="s">
        <v>13</v>
      </c>
      <c r="M7" s="4" t="s">
        <v>14</v>
      </c>
      <c r="N7" s="4" t="s">
        <v>15</v>
      </c>
      <c r="O7" s="38" t="s">
        <v>16</v>
      </c>
      <c r="P7" s="39"/>
    </row>
    <row r="8" spans="1:21" s="5" customFormat="1" ht="28.35" customHeight="1">
      <c r="A8" s="6">
        <v>1</v>
      </c>
      <c r="B8" s="29" t="s">
        <v>17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21" s="5" customFormat="1" ht="28.35" customHeight="1">
      <c r="A9" s="6" t="s">
        <v>18</v>
      </c>
      <c r="B9" s="6" t="s">
        <v>19</v>
      </c>
      <c r="C9" s="8">
        <v>948676.65</v>
      </c>
      <c r="D9" s="8">
        <v>1130387.5118740301</v>
      </c>
      <c r="E9" s="8">
        <v>1156523.53699223</v>
      </c>
      <c r="F9" s="8">
        <v>1243298.6032765899</v>
      </c>
      <c r="G9" s="8">
        <v>98.17</v>
      </c>
      <c r="H9" s="8">
        <v>147.18999998780001</v>
      </c>
      <c r="I9" s="8">
        <v>273.609999980883</v>
      </c>
      <c r="J9" s="8">
        <v>719.83000016734297</v>
      </c>
      <c r="K9" s="10">
        <f>1839.18/1000</f>
        <v>1.83918</v>
      </c>
      <c r="L9" s="10">
        <f>2242.31/1000</f>
        <v>2.2423099999999998</v>
      </c>
      <c r="M9" s="10">
        <f>2516.59/1000</f>
        <v>2.5165900000000003</v>
      </c>
      <c r="N9" s="10">
        <f>4034.47/1000</f>
        <v>4.0344699999999998</v>
      </c>
      <c r="O9" s="40">
        <v>3707362.1904698201</v>
      </c>
      <c r="P9" s="41"/>
      <c r="Q9" s="13"/>
      <c r="R9" s="13"/>
      <c r="S9" s="13"/>
      <c r="T9" s="13"/>
    </row>
    <row r="10" spans="1:21" s="5" customFormat="1" ht="28.35" customHeight="1">
      <c r="A10" s="6" t="s">
        <v>11</v>
      </c>
      <c r="B10" s="6" t="s">
        <v>20</v>
      </c>
      <c r="C10" s="8">
        <f>667181.875385334</f>
        <v>667181.87538533402</v>
      </c>
      <c r="D10" s="8">
        <f>618946.086129092</f>
        <v>618946.08612909203</v>
      </c>
      <c r="E10" s="8">
        <f>-58825.0033398854</f>
        <v>-58825.003339885399</v>
      </c>
      <c r="F10" s="8">
        <f>-635859.784282534</f>
        <v>-635859.78428253403</v>
      </c>
      <c r="G10" s="9"/>
      <c r="H10" s="9"/>
      <c r="I10" s="9"/>
      <c r="J10" s="9"/>
      <c r="K10" s="8"/>
      <c r="L10" s="8"/>
      <c r="M10" s="8"/>
      <c r="N10" s="8"/>
      <c r="O10" s="42"/>
      <c r="P10" s="43"/>
    </row>
    <row r="11" spans="1:21" s="3" customFormat="1" ht="28.35" customHeight="1">
      <c r="A11" s="6" t="s">
        <v>21</v>
      </c>
      <c r="B11" s="6" t="s">
        <v>22</v>
      </c>
      <c r="C11" s="8">
        <v>1023546.21</v>
      </c>
      <c r="D11" s="8">
        <v>1185719.9756568901</v>
      </c>
      <c r="E11" s="8">
        <v>1270903.70504461</v>
      </c>
      <c r="F11" s="8">
        <v>1403538.41673643</v>
      </c>
      <c r="G11" s="8">
        <v>106.98999991568699</v>
      </c>
      <c r="H11" s="8">
        <v>160.41999999639299</v>
      </c>
      <c r="I11" s="8">
        <v>298.21000014431303</v>
      </c>
      <c r="J11" s="8">
        <v>784.54998068611303</v>
      </c>
      <c r="K11" s="8">
        <v>1995.23</v>
      </c>
      <c r="L11" s="8">
        <v>2433.17</v>
      </c>
      <c r="M11" s="8">
        <v>2762.96</v>
      </c>
      <c r="N11" s="8">
        <v>4429.45</v>
      </c>
      <c r="O11" s="40">
        <v>4468519.2549999999</v>
      </c>
      <c r="P11" s="48"/>
      <c r="Q11" s="56"/>
      <c r="R11" s="56"/>
      <c r="S11" s="56"/>
    </row>
    <row r="12" spans="1:21" s="3" customFormat="1" ht="28.35" customHeight="1">
      <c r="A12" s="6" t="s">
        <v>11</v>
      </c>
      <c r="B12" s="6" t="s">
        <v>20</v>
      </c>
      <c r="C12" s="8">
        <f>763433.163741635</f>
        <v>763433.16374163504</v>
      </c>
      <c r="D12" s="8">
        <f>709242.98436746</f>
        <v>709242.98436746001</v>
      </c>
      <c r="E12" s="8">
        <f>-2969.23159322851</f>
        <v>-2969.2315932285101</v>
      </c>
      <c r="F12" s="8">
        <f>-565214.757018069</f>
        <v>-565214.75701806904</v>
      </c>
      <c r="G12" s="9"/>
      <c r="H12" s="9"/>
      <c r="I12" s="9"/>
      <c r="J12" s="9"/>
      <c r="K12" s="8"/>
      <c r="L12" s="8"/>
      <c r="M12" s="8"/>
      <c r="N12" s="8"/>
      <c r="O12" s="42"/>
      <c r="P12" s="49"/>
      <c r="Q12" s="56"/>
      <c r="R12" s="56"/>
      <c r="S12" s="56"/>
    </row>
    <row r="13" spans="1:21" ht="28.35" customHeight="1">
      <c r="A13" s="6" t="s">
        <v>23</v>
      </c>
      <c r="B13" s="29" t="s">
        <v>24</v>
      </c>
      <c r="C13" s="44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57"/>
      <c r="R13" s="57"/>
      <c r="S13" s="57"/>
    </row>
    <row r="14" spans="1:21" ht="28.35" customHeight="1">
      <c r="A14" s="6" t="s">
        <v>25</v>
      </c>
      <c r="B14" s="6" t="s">
        <v>19</v>
      </c>
      <c r="C14" s="8">
        <v>1023546.21</v>
      </c>
      <c r="D14" s="8">
        <v>1185719.98</v>
      </c>
      <c r="E14" s="8">
        <v>1270903.71</v>
      </c>
      <c r="F14" s="8">
        <v>1403538.42</v>
      </c>
      <c r="G14" s="8">
        <v>106.99</v>
      </c>
      <c r="H14" s="8">
        <v>160.41999999999999</v>
      </c>
      <c r="I14" s="8">
        <v>298.20999999999998</v>
      </c>
      <c r="J14" s="8">
        <v>784.55</v>
      </c>
      <c r="K14" s="10">
        <f>1993.23/1000</f>
        <v>1.9932300000000001</v>
      </c>
      <c r="L14" s="10">
        <f>2433.17/1000</f>
        <v>2.4331700000000001</v>
      </c>
      <c r="M14" s="10">
        <f>2762.96/1000</f>
        <v>2.7629600000000001</v>
      </c>
      <c r="N14" s="10">
        <f>4429.45/1000</f>
        <v>4.4294500000000001</v>
      </c>
      <c r="O14" s="40">
        <v>4491197.5540967071</v>
      </c>
      <c r="P14" s="48"/>
      <c r="Q14" s="58"/>
      <c r="R14" s="59"/>
      <c r="S14" s="59"/>
      <c r="T14" s="12"/>
      <c r="U14" s="12"/>
    </row>
    <row r="15" spans="1:21" ht="28.35" customHeight="1">
      <c r="A15" s="6" t="s">
        <v>11</v>
      </c>
      <c r="B15" s="6" t="s">
        <v>20</v>
      </c>
      <c r="C15" s="8">
        <v>707802.35975246236</v>
      </c>
      <c r="D15" s="8">
        <v>612052.18877249269</v>
      </c>
      <c r="E15" s="8">
        <v>-92314.596445089439</v>
      </c>
      <c r="F15" s="8">
        <v>-704254.54716272652</v>
      </c>
      <c r="G15" s="9"/>
      <c r="H15" s="9"/>
      <c r="I15" s="9"/>
      <c r="J15" s="9"/>
      <c r="K15" s="8"/>
      <c r="L15" s="8"/>
      <c r="M15" s="8"/>
      <c r="N15" s="8"/>
      <c r="O15" s="42"/>
      <c r="P15" s="49"/>
      <c r="Q15" s="57"/>
      <c r="R15" s="60"/>
      <c r="S15" s="60"/>
      <c r="T15" s="12"/>
      <c r="U15" s="12"/>
    </row>
    <row r="16" spans="1:21" ht="28.35" customHeight="1">
      <c r="A16" s="6" t="s">
        <v>26</v>
      </c>
      <c r="B16" s="6" t="s">
        <v>22</v>
      </c>
      <c r="C16" s="8">
        <v>1136136.2931000001</v>
      </c>
      <c r="D16" s="8">
        <v>1316149.1778000002</v>
      </c>
      <c r="E16" s="8">
        <v>1410703.1181000001</v>
      </c>
      <c r="F16" s="8">
        <v>1557927.6462000001</v>
      </c>
      <c r="G16" s="8">
        <v>118.75890000000001</v>
      </c>
      <c r="H16" s="8">
        <v>178.06620000000001</v>
      </c>
      <c r="I16" s="8">
        <v>331.01310000000001</v>
      </c>
      <c r="J16" s="8">
        <v>870.85050000000001</v>
      </c>
      <c r="K16" s="18">
        <f>2212.4853/1000</f>
        <v>2.2124853</v>
      </c>
      <c r="L16" s="18">
        <f>2700.8187/1000</f>
        <v>2.7008186999999997</v>
      </c>
      <c r="M16" s="18">
        <f>3066.8856/1000</f>
        <v>3.0668856</v>
      </c>
      <c r="N16" s="18">
        <f>4916.6895/1000</f>
        <v>4.9166895000000004</v>
      </c>
      <c r="O16" s="45">
        <v>4533691.6456009615</v>
      </c>
      <c r="P16" s="48"/>
      <c r="Q16" s="57"/>
      <c r="R16" s="60"/>
      <c r="S16" s="60"/>
      <c r="T16" s="12"/>
      <c r="U16" s="12"/>
    </row>
    <row r="17" spans="1:21" ht="28.35" customHeight="1">
      <c r="A17" s="6" t="s">
        <v>11</v>
      </c>
      <c r="B17" s="6" t="s">
        <v>20</v>
      </c>
      <c r="C17" s="8">
        <v>844375.65836153878</v>
      </c>
      <c r="D17" s="8">
        <v>781699.89334612142</v>
      </c>
      <c r="E17" s="8">
        <v>-18160.167887501186</v>
      </c>
      <c r="F17" s="8">
        <v>-650360.98937915755</v>
      </c>
      <c r="G17" s="9"/>
      <c r="H17" s="9"/>
      <c r="I17" s="9"/>
      <c r="J17" s="9"/>
      <c r="K17" s="8"/>
      <c r="L17" s="8"/>
      <c r="M17" s="8"/>
      <c r="N17" s="8"/>
      <c r="O17" s="42"/>
      <c r="P17" s="49"/>
      <c r="Q17" s="61"/>
      <c r="R17" s="62"/>
      <c r="S17" s="60"/>
      <c r="T17" s="12"/>
      <c r="U17" s="12"/>
    </row>
    <row r="18" spans="1:21" ht="28.35" customHeight="1">
      <c r="A18" s="6" t="s">
        <v>27</v>
      </c>
      <c r="B18" s="29" t="s">
        <v>28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62"/>
      <c r="R18" s="62"/>
      <c r="S18" s="57"/>
    </row>
    <row r="19" spans="1:21" ht="28.35" customHeight="1">
      <c r="A19" s="6" t="s">
        <v>29</v>
      </c>
      <c r="B19" s="6" t="s">
        <v>19</v>
      </c>
      <c r="C19" s="8">
        <v>1136136.2931000001</v>
      </c>
      <c r="D19" s="8">
        <v>1316149.1778000002</v>
      </c>
      <c r="E19" s="8">
        <v>1410703.1181000001</v>
      </c>
      <c r="F19" s="8">
        <v>1557927.6462000001</v>
      </c>
      <c r="G19" s="8">
        <v>118.75890000000001</v>
      </c>
      <c r="H19" s="8">
        <v>178.06620000000001</v>
      </c>
      <c r="I19" s="8">
        <v>331.01310000000001</v>
      </c>
      <c r="J19" s="8">
        <v>870.85050000000001</v>
      </c>
      <c r="K19" s="10">
        <f>2212.4853/1000</f>
        <v>2.2124853</v>
      </c>
      <c r="L19" s="10">
        <f>2700.8187/1000</f>
        <v>2.7008186999999997</v>
      </c>
      <c r="M19" s="10">
        <f>3066.8856/1000</f>
        <v>3.0668856</v>
      </c>
      <c r="N19" s="10">
        <f>4916.6895/1000</f>
        <v>4.9166895000000004</v>
      </c>
      <c r="O19" s="25">
        <v>4986807.1100000003</v>
      </c>
      <c r="P19" s="50"/>
      <c r="Q19" s="58"/>
      <c r="R19" s="57"/>
      <c r="S19" s="57"/>
    </row>
    <row r="20" spans="1:21" ht="28.35" customHeight="1">
      <c r="A20" s="6" t="s">
        <v>11</v>
      </c>
      <c r="B20" s="6" t="s">
        <v>20</v>
      </c>
      <c r="C20" s="8">
        <v>787818.95310464606</v>
      </c>
      <c r="D20" s="8">
        <v>683299.35689384048</v>
      </c>
      <c r="E20" s="8">
        <v>-93150.635382972192</v>
      </c>
      <c r="F20" s="8">
        <v>-767314.28331802762</v>
      </c>
      <c r="G20" s="9"/>
      <c r="H20" s="9"/>
      <c r="I20" s="9"/>
      <c r="J20" s="9"/>
      <c r="K20" s="8"/>
      <c r="L20" s="8"/>
      <c r="M20" s="8"/>
      <c r="N20" s="8"/>
      <c r="O20" s="26"/>
      <c r="P20" s="51"/>
      <c r="Q20" s="57"/>
      <c r="R20" s="61"/>
      <c r="S20" s="62"/>
    </row>
    <row r="21" spans="1:21" ht="28.35" customHeight="1">
      <c r="A21" s="6" t="s">
        <v>30</v>
      </c>
      <c r="B21" s="6" t="s">
        <v>22</v>
      </c>
      <c r="C21" s="8">
        <v>1242221.1082431313</v>
      </c>
      <c r="D21" s="8">
        <v>1439042.3932316876</v>
      </c>
      <c r="E21" s="8">
        <v>1542425.1486471794</v>
      </c>
      <c r="F21" s="8">
        <v>1703396.5193952634</v>
      </c>
      <c r="G21" s="8">
        <v>129.84781250954231</v>
      </c>
      <c r="H21" s="8">
        <v>194.69283187943523</v>
      </c>
      <c r="I21" s="8">
        <v>361.92089137742414</v>
      </c>
      <c r="J21" s="8">
        <v>952.16470048005795</v>
      </c>
      <c r="K21" s="10">
        <f>2419.07239301238/1000</f>
        <v>2.4190723930123799</v>
      </c>
      <c r="L21" s="10">
        <f>2953.0031027558/1000</f>
        <v>2.9530031027557997</v>
      </c>
      <c r="M21" s="10">
        <f>3353.25088374021/1000</f>
        <v>3.35325088374021</v>
      </c>
      <c r="N21" s="10">
        <f>5375.77711113555/1000</f>
        <v>5.3757771111355499</v>
      </c>
      <c r="O21" s="25">
        <v>5032384.857811356</v>
      </c>
      <c r="P21" s="50"/>
      <c r="Q21" s="63"/>
      <c r="R21" s="62"/>
      <c r="S21" s="62"/>
    </row>
    <row r="22" spans="1:21" ht="28.35" customHeight="1">
      <c r="A22" s="6" t="s">
        <v>11</v>
      </c>
      <c r="B22" s="6" t="s">
        <v>20</v>
      </c>
      <c r="C22" s="8">
        <v>920361.19512753305</v>
      </c>
      <c r="D22" s="8">
        <v>849457.02845751762</v>
      </c>
      <c r="E22" s="8">
        <v>-33845.802004752681</v>
      </c>
      <c r="F22" s="8">
        <v>-732708.64269696595</v>
      </c>
      <c r="G22" s="9"/>
      <c r="H22" s="9"/>
      <c r="I22" s="9"/>
      <c r="J22" s="9"/>
      <c r="K22" s="8"/>
      <c r="L22" s="8"/>
      <c r="M22" s="8"/>
      <c r="N22" s="8"/>
      <c r="O22" s="26"/>
      <c r="P22" s="51"/>
      <c r="Q22" s="57"/>
      <c r="R22" s="57"/>
      <c r="S22" s="57"/>
    </row>
    <row r="23" spans="1:21" ht="28.35" customHeight="1">
      <c r="A23" s="6" t="s">
        <v>31</v>
      </c>
      <c r="B23" s="29" t="s">
        <v>32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57"/>
      <c r="R23" s="57"/>
      <c r="S23" s="57"/>
    </row>
    <row r="24" spans="1:21" ht="28.35" customHeight="1">
      <c r="A24" s="6" t="s">
        <v>33</v>
      </c>
      <c r="B24" s="6" t="s">
        <v>19</v>
      </c>
      <c r="C24" s="8">
        <v>1242221.1082431313</v>
      </c>
      <c r="D24" s="8">
        <v>1439042.3932316876</v>
      </c>
      <c r="E24" s="8">
        <v>1542425.1486471794</v>
      </c>
      <c r="F24" s="8">
        <v>1703396.5193952634</v>
      </c>
      <c r="G24" s="8">
        <v>129.84781250954231</v>
      </c>
      <c r="H24" s="8">
        <v>194.69283187943523</v>
      </c>
      <c r="I24" s="8">
        <v>361.92089137742414</v>
      </c>
      <c r="J24" s="8">
        <v>952.16470048005795</v>
      </c>
      <c r="K24" s="10">
        <f>2419.07239301238/1000</f>
        <v>2.4190723930123799</v>
      </c>
      <c r="L24" s="10">
        <f>2953.0031027558/1000</f>
        <v>2.9530031027557997</v>
      </c>
      <c r="M24" s="10">
        <f>3353.25088374021/1000</f>
        <v>3.35325088374021</v>
      </c>
      <c r="N24" s="10">
        <f>5375.77711113555/1000</f>
        <v>5.3757771111355499</v>
      </c>
      <c r="O24" s="37">
        <v>5340570.37</v>
      </c>
      <c r="P24" s="52"/>
      <c r="Q24" s="58"/>
      <c r="R24" s="63"/>
      <c r="S24" s="57"/>
    </row>
    <row r="25" spans="1:21" ht="28.35" customHeight="1">
      <c r="A25" s="6" t="s">
        <v>11</v>
      </c>
      <c r="B25" s="6" t="s">
        <v>20</v>
      </c>
      <c r="C25" s="8">
        <v>868789.22000675148</v>
      </c>
      <c r="D25" s="8">
        <v>760562.52313910436</v>
      </c>
      <c r="E25" s="8">
        <v>-69860.208154190332</v>
      </c>
      <c r="F25" s="8">
        <v>-789501.14788108272</v>
      </c>
      <c r="G25" s="9"/>
      <c r="H25" s="9"/>
      <c r="I25" s="9"/>
      <c r="J25" s="9"/>
      <c r="K25" s="20"/>
      <c r="L25" s="20"/>
      <c r="M25" s="20"/>
      <c r="N25" s="20"/>
      <c r="O25" s="23"/>
      <c r="P25" s="53"/>
      <c r="Q25" s="64"/>
      <c r="R25" s="65"/>
      <c r="S25" s="57"/>
    </row>
    <row r="26" spans="1:21" ht="28.35" customHeight="1">
      <c r="A26" s="6" t="s">
        <v>34</v>
      </c>
      <c r="B26" s="6" t="s">
        <v>22</v>
      </c>
      <c r="C26" s="8">
        <v>1304332.1636552878</v>
      </c>
      <c r="D26" s="8">
        <v>1510994.5128932721</v>
      </c>
      <c r="E26" s="8">
        <v>1619546.4060795384</v>
      </c>
      <c r="F26" s="8">
        <v>1788566.3453650267</v>
      </c>
      <c r="G26" s="8">
        <v>136.34020313501944</v>
      </c>
      <c r="H26" s="8">
        <v>204.42747347340699</v>
      </c>
      <c r="I26" s="8">
        <v>380.01693594629535</v>
      </c>
      <c r="J26" s="19">
        <v>999.77293550406091</v>
      </c>
      <c r="K26" s="10">
        <f>2540.026012663/1000</f>
        <v>2.5400260126630001</v>
      </c>
      <c r="L26" s="10">
        <f>3100.65325789359/1000</f>
        <v>3.1006532578935899</v>
      </c>
      <c r="M26" s="10">
        <f>3520.91342792722/1000</f>
        <v>3.5209134279272196</v>
      </c>
      <c r="N26" s="10">
        <f>5644.56596669232/1000</f>
        <v>5.64456596669232</v>
      </c>
      <c r="O26" s="27">
        <v>5388334.2002383498</v>
      </c>
      <c r="P26" s="54"/>
      <c r="Q26" s="65"/>
      <c r="R26" s="65"/>
      <c r="S26" s="57"/>
    </row>
    <row r="27" spans="1:21" ht="28.35" customHeight="1">
      <c r="A27" s="6" t="s">
        <v>11</v>
      </c>
      <c r="B27" s="6" t="s">
        <v>20</v>
      </c>
      <c r="C27" s="8">
        <v>959265.34871016291</v>
      </c>
      <c r="D27" s="8">
        <v>878898.57403737202</v>
      </c>
      <c r="E27" s="8">
        <v>-70377.608274600701</v>
      </c>
      <c r="F27" s="8">
        <v>-823188.06983183627</v>
      </c>
      <c r="G27" s="9"/>
      <c r="H27" s="9"/>
      <c r="I27" s="9"/>
      <c r="J27" s="9"/>
      <c r="K27" s="21"/>
      <c r="L27" s="21"/>
      <c r="M27" s="21"/>
      <c r="N27" s="21"/>
      <c r="O27" s="28"/>
      <c r="P27" s="55"/>
      <c r="Q27" s="57"/>
      <c r="R27" s="57"/>
      <c r="S27" s="57"/>
    </row>
    <row r="28" spans="1:21" ht="28.35" customHeight="1">
      <c r="A28" s="6" t="s">
        <v>35</v>
      </c>
      <c r="B28" s="29" t="s">
        <v>36</v>
      </c>
      <c r="C28" s="30"/>
      <c r="D28" s="30"/>
      <c r="E28" s="30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57"/>
      <c r="R28" s="57"/>
      <c r="S28" s="57"/>
    </row>
    <row r="29" spans="1:21" ht="28.35" customHeight="1">
      <c r="A29" s="6" t="s">
        <v>37</v>
      </c>
      <c r="B29" s="14" t="s">
        <v>19</v>
      </c>
      <c r="C29" s="8">
        <v>1304332.1636552878</v>
      </c>
      <c r="D29" s="8">
        <v>1510994.5128932721</v>
      </c>
      <c r="E29" s="8">
        <v>1619546.4060795384</v>
      </c>
      <c r="F29" s="8">
        <v>1788566.3453650267</v>
      </c>
      <c r="G29" s="15">
        <v>136.34020313501944</v>
      </c>
      <c r="H29" s="8">
        <v>204.42747347340699</v>
      </c>
      <c r="I29" s="8">
        <v>380.01693594629535</v>
      </c>
      <c r="J29" s="8">
        <v>999.77293550406091</v>
      </c>
      <c r="K29" s="10">
        <f>2540.026012663/1000</f>
        <v>2.5400260126630001</v>
      </c>
      <c r="L29" s="10">
        <f>3100.65325789359/1000</f>
        <v>3.1006532578935899</v>
      </c>
      <c r="M29" s="10">
        <f>3520.91342792722/1000</f>
        <v>3.5209134279272196</v>
      </c>
      <c r="N29" s="10">
        <f>5644.56596669232/1000</f>
        <v>5.64456596669232</v>
      </c>
      <c r="O29" s="37">
        <v>5580789.9818143556</v>
      </c>
      <c r="P29" s="52"/>
      <c r="Q29" s="58"/>
      <c r="R29" s="66"/>
      <c r="S29" s="57"/>
    </row>
    <row r="30" spans="1:21" ht="28.35" customHeight="1">
      <c r="A30" s="6" t="s">
        <v>11</v>
      </c>
      <c r="B30" s="14" t="s">
        <v>20</v>
      </c>
      <c r="C30" s="16">
        <v>911660.72686066781</v>
      </c>
      <c r="D30" s="16">
        <v>797558.74637715705</v>
      </c>
      <c r="E30" s="16">
        <v>-75805.350215504179</v>
      </c>
      <c r="F30" s="16">
        <v>-832767.66393556376</v>
      </c>
      <c r="G30" s="17"/>
      <c r="H30" s="9"/>
      <c r="I30" s="9"/>
      <c r="J30" s="9"/>
      <c r="K30" s="8"/>
      <c r="L30" s="8"/>
      <c r="M30" s="8"/>
      <c r="N30" s="8"/>
      <c r="O30" s="23"/>
      <c r="P30" s="24"/>
    </row>
    <row r="31" spans="1:21" ht="28.35" customHeight="1">
      <c r="A31" s="6" t="s">
        <v>38</v>
      </c>
      <c r="B31" s="14" t="s">
        <v>22</v>
      </c>
      <c r="C31" s="16">
        <v>1369548.7718380522</v>
      </c>
      <c r="D31" s="16">
        <v>1586544.2385379358</v>
      </c>
      <c r="E31" s="16">
        <v>1700523.7263835154</v>
      </c>
      <c r="F31" s="16">
        <v>1877994.6626332782</v>
      </c>
      <c r="G31" s="15">
        <v>143.1572132917704</v>
      </c>
      <c r="H31" s="8">
        <v>214.64884714707736</v>
      </c>
      <c r="I31" s="8">
        <v>399.01778274361016</v>
      </c>
      <c r="J31" s="8">
        <v>1049.7615822792641</v>
      </c>
      <c r="K31" s="10">
        <f>2667.02731329615/1000</f>
        <v>2.6670273132961499</v>
      </c>
      <c r="L31" s="10">
        <f>3255.68592078827/1000</f>
        <v>3.2556859207882698</v>
      </c>
      <c r="M31" s="10">
        <f>3696.95909932358/1000</f>
        <v>3.6969590993235801</v>
      </c>
      <c r="N31" s="10">
        <f>5926.79426502694/1000</f>
        <v>5.9267942650269401</v>
      </c>
      <c r="O31" s="37">
        <v>5630012.1353319325</v>
      </c>
      <c r="P31" s="22"/>
    </row>
    <row r="32" spans="1:21" ht="28.35" customHeight="1">
      <c r="A32" s="6" t="s">
        <v>11</v>
      </c>
      <c r="B32" s="14" t="s">
        <v>20</v>
      </c>
      <c r="C32" s="8">
        <v>1006703.8025598091</v>
      </c>
      <c r="D32" s="8">
        <v>921882.14533855161</v>
      </c>
      <c r="E32" s="8">
        <v>-76466.70130627905</v>
      </c>
      <c r="F32" s="8">
        <v>-868319.7</v>
      </c>
      <c r="G32" s="17"/>
      <c r="H32" s="9"/>
      <c r="I32" s="9"/>
      <c r="J32" s="9"/>
      <c r="K32" s="8"/>
      <c r="L32" s="8"/>
      <c r="M32" s="8"/>
      <c r="N32" s="8"/>
      <c r="O32" s="23"/>
      <c r="P32" s="24"/>
    </row>
    <row r="33" spans="1:17" ht="28.35" customHeight="1">
      <c r="A33" s="6" t="s">
        <v>39</v>
      </c>
      <c r="B33" s="29" t="s">
        <v>40</v>
      </c>
      <c r="C33" s="46"/>
      <c r="D33" s="46"/>
      <c r="E33" s="46"/>
      <c r="F33" s="46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7" ht="28.35" customHeight="1">
      <c r="A34" s="6" t="s">
        <v>41</v>
      </c>
      <c r="B34" s="6" t="s">
        <v>19</v>
      </c>
      <c r="C34" s="8">
        <v>1369548.7718380522</v>
      </c>
      <c r="D34" s="8">
        <v>1586544.2385379358</v>
      </c>
      <c r="E34" s="8">
        <v>1700523.7263835154</v>
      </c>
      <c r="F34" s="8">
        <v>1877994.6626332782</v>
      </c>
      <c r="G34" s="8">
        <v>143.1572132917704</v>
      </c>
      <c r="H34" s="8">
        <v>214.64884714707736</v>
      </c>
      <c r="I34" s="8">
        <v>399.01778274361016</v>
      </c>
      <c r="J34" s="8">
        <v>1049.7615822792641</v>
      </c>
      <c r="K34" s="10">
        <f>2667.02731329615/1000</f>
        <v>2.6670273132961499</v>
      </c>
      <c r="L34" s="10">
        <f>3255.68592078827/1000</f>
        <v>3.2556859207882698</v>
      </c>
      <c r="M34" s="10">
        <f>3696.95909932358/1000</f>
        <v>3.6969590993235801</v>
      </c>
      <c r="N34" s="10">
        <f>5926.79426502694/1000</f>
        <v>5.9267942650269401</v>
      </c>
      <c r="O34" s="37">
        <v>5831433.8402309576</v>
      </c>
      <c r="P34" s="22"/>
      <c r="Q34" s="13"/>
    </row>
    <row r="35" spans="1:17" ht="28.35" customHeight="1">
      <c r="A35" s="6" t="s">
        <v>11</v>
      </c>
      <c r="B35" s="6" t="s">
        <v>20</v>
      </c>
      <c r="C35" s="8">
        <v>956653.09089743276</v>
      </c>
      <c r="D35" s="8">
        <v>836363.50467127503</v>
      </c>
      <c r="E35" s="8">
        <v>-82145.834620081354</v>
      </c>
      <c r="F35" s="8">
        <v>-878349.16409906768</v>
      </c>
      <c r="G35" s="9"/>
      <c r="H35" s="9"/>
      <c r="I35" s="9"/>
      <c r="J35" s="9"/>
      <c r="K35" s="8"/>
      <c r="L35" s="8"/>
      <c r="M35" s="8"/>
      <c r="N35" s="8"/>
      <c r="O35" s="23"/>
      <c r="P35" s="24"/>
    </row>
    <row r="36" spans="1:17" ht="28.35" customHeight="1">
      <c r="A36" s="6" t="s">
        <v>42</v>
      </c>
      <c r="B36" s="6" t="s">
        <v>22</v>
      </c>
      <c r="C36" s="8">
        <v>1438026.2104299548</v>
      </c>
      <c r="D36" s="8">
        <v>1665871.4504648326</v>
      </c>
      <c r="E36" s="8">
        <v>1785549.9127026913</v>
      </c>
      <c r="F36" s="8">
        <v>1971894.3957649423</v>
      </c>
      <c r="G36" s="8">
        <v>150.31507395635893</v>
      </c>
      <c r="H36" s="8">
        <v>225.38128950443124</v>
      </c>
      <c r="I36" s="8">
        <v>418.96867188079068</v>
      </c>
      <c r="J36" s="8">
        <v>1102.2496613932274</v>
      </c>
      <c r="K36" s="10">
        <f>2800.37867896096/1000</f>
        <v>2.8003786789609597</v>
      </c>
      <c r="L36" s="10">
        <f>3418.47021682768/1000</f>
        <v>3.4184702168276799</v>
      </c>
      <c r="M36" s="10">
        <f>3881.80705428976/1000</f>
        <v>3.88180705428976</v>
      </c>
      <c r="N36" s="10">
        <f>6223.13397827829/1000</f>
        <v>6.2231339782782902</v>
      </c>
      <c r="O36" s="37">
        <v>5882140.7418019921</v>
      </c>
      <c r="P36" s="22"/>
    </row>
    <row r="37" spans="1:17" ht="28.35" customHeight="1">
      <c r="A37" s="6" t="s">
        <v>11</v>
      </c>
      <c r="B37" s="6" t="s">
        <v>20</v>
      </c>
      <c r="C37" s="8">
        <v>1056493.1865640567</v>
      </c>
      <c r="D37" s="8">
        <v>966976.44091893535</v>
      </c>
      <c r="E37" s="8">
        <v>-82963.057467062958</v>
      </c>
      <c r="F37" s="8">
        <v>-915866.80429028813</v>
      </c>
      <c r="G37" s="9"/>
      <c r="H37" s="9"/>
      <c r="I37" s="9"/>
      <c r="J37" s="9"/>
      <c r="K37" s="8"/>
      <c r="L37" s="8"/>
      <c r="M37" s="8"/>
      <c r="N37" s="8"/>
      <c r="O37" s="23"/>
      <c r="P37" s="24"/>
    </row>
    <row r="38" spans="1:17" ht="28.35" customHeight="1">
      <c r="A38" s="6" t="s">
        <v>43</v>
      </c>
      <c r="B38" s="29" t="s">
        <v>44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/>
    </row>
    <row r="39" spans="1:17" ht="28.35" customHeight="1">
      <c r="A39" s="6" t="s">
        <v>45</v>
      </c>
      <c r="B39" s="6" t="s">
        <v>19</v>
      </c>
      <c r="C39" s="8">
        <v>1438026.2104299548</v>
      </c>
      <c r="D39" s="8">
        <v>1665871.4504648326</v>
      </c>
      <c r="E39" s="8">
        <v>1785549.9127026913</v>
      </c>
      <c r="F39" s="8">
        <v>1971894.3957649423</v>
      </c>
      <c r="G39" s="8">
        <v>150.31507395635893</v>
      </c>
      <c r="H39" s="8">
        <v>225.38128950443124</v>
      </c>
      <c r="I39" s="8">
        <v>418.96867188079068</v>
      </c>
      <c r="J39" s="8">
        <v>1102.2496613932274</v>
      </c>
      <c r="K39" s="10">
        <f>2800.37867896096/1000</f>
        <v>2.8003786789609597</v>
      </c>
      <c r="L39" s="10">
        <f>3418.47021682768/1000</f>
        <v>3.4184702168276799</v>
      </c>
      <c r="M39" s="10">
        <f>3881.80705428976/1000</f>
        <v>3.88180705428976</v>
      </c>
      <c r="N39" s="10">
        <f>6223.13397827829/1000</f>
        <v>6.2231339782782902</v>
      </c>
      <c r="O39" s="37">
        <v>6092928.8203561334</v>
      </c>
      <c r="P39" s="22"/>
      <c r="Q39" s="13"/>
    </row>
    <row r="40" spans="1:17" ht="28.35" customHeight="1">
      <c r="A40" s="6" t="s">
        <v>11</v>
      </c>
      <c r="B40" s="6" t="s">
        <v>20</v>
      </c>
      <c r="C40" s="8">
        <v>1003871.4462392009</v>
      </c>
      <c r="D40" s="8">
        <v>877065.57371078024</v>
      </c>
      <c r="E40" s="8">
        <v>-88905.351940431632</v>
      </c>
      <c r="F40" s="8">
        <v>-926367.46398001956</v>
      </c>
      <c r="G40" s="9"/>
      <c r="H40" s="9"/>
      <c r="I40" s="9"/>
      <c r="J40" s="9"/>
      <c r="K40" s="8"/>
      <c r="L40" s="8"/>
      <c r="M40" s="8"/>
      <c r="N40" s="8"/>
      <c r="O40" s="23"/>
      <c r="P40" s="24"/>
    </row>
    <row r="41" spans="1:17" ht="28.35" customHeight="1">
      <c r="A41" s="6" t="s">
        <v>46</v>
      </c>
      <c r="B41" s="6" t="s">
        <v>22</v>
      </c>
      <c r="C41" s="8">
        <v>1509927.5209514527</v>
      </c>
      <c r="D41" s="8">
        <v>1749165.0229880742</v>
      </c>
      <c r="E41" s="8">
        <v>1874827.4083378259</v>
      </c>
      <c r="F41" s="8">
        <v>2070489.1155531895</v>
      </c>
      <c r="G41" s="8">
        <v>157.83082765417689</v>
      </c>
      <c r="H41" s="8">
        <v>236.65035397965281</v>
      </c>
      <c r="I41" s="8">
        <v>439.91710547483024</v>
      </c>
      <c r="J41" s="8">
        <v>1157.3621444628889</v>
      </c>
      <c r="K41" s="10">
        <f>2940.39761290901/1000</f>
        <v>2.9403976129090101</v>
      </c>
      <c r="L41" s="10">
        <f>3589.39372766907/1000</f>
        <v>3.5893937276690697</v>
      </c>
      <c r="M41" s="10">
        <f>4075.89740700425/1000</f>
        <v>4.0758974070042502</v>
      </c>
      <c r="N41" s="10">
        <f>6534.2906771922/1000</f>
        <v>6.5342906771921996</v>
      </c>
      <c r="O41" s="37">
        <v>6145145.8039392447</v>
      </c>
      <c r="P41" s="22"/>
    </row>
    <row r="42" spans="1:17" ht="28.35" customHeight="1">
      <c r="A42" s="6" t="s">
        <v>11</v>
      </c>
      <c r="B42" s="6" t="s">
        <v>20</v>
      </c>
      <c r="C42" s="8">
        <v>1108750.2075193308</v>
      </c>
      <c r="D42" s="8">
        <v>1014285.4588031168</v>
      </c>
      <c r="E42" s="8">
        <v>-89891.152300449787</v>
      </c>
      <c r="F42" s="8">
        <v>-965956.50672371825</v>
      </c>
      <c r="G42" s="9"/>
      <c r="H42" s="9"/>
      <c r="I42" s="9"/>
      <c r="J42" s="9"/>
      <c r="K42" s="8"/>
      <c r="L42" s="8"/>
      <c r="M42" s="8"/>
      <c r="N42" s="8"/>
      <c r="O42" s="23"/>
      <c r="P42" s="24"/>
    </row>
    <row r="43" spans="1:17" ht="28.35" customHeight="1">
      <c r="A43" s="6" t="s">
        <v>47</v>
      </c>
      <c r="B43" s="29" t="s">
        <v>48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</row>
    <row r="44" spans="1:17" ht="28.35" customHeight="1">
      <c r="A44" s="6" t="s">
        <v>49</v>
      </c>
      <c r="B44" s="6" t="s">
        <v>19</v>
      </c>
      <c r="C44" s="8">
        <v>1509927.5209514527</v>
      </c>
      <c r="D44" s="8">
        <v>1749165.0229880742</v>
      </c>
      <c r="E44" s="8">
        <v>1874827.4083378259</v>
      </c>
      <c r="F44" s="8">
        <v>2070489.1155531895</v>
      </c>
      <c r="G44" s="8">
        <v>157.83082765417689</v>
      </c>
      <c r="H44" s="8">
        <v>236.65035397965281</v>
      </c>
      <c r="I44" s="8">
        <v>439.91710547483024</v>
      </c>
      <c r="J44" s="8">
        <v>1157.3621444628889</v>
      </c>
      <c r="K44" s="10">
        <f>2940.39761290901/1000</f>
        <v>2.9403976129090101</v>
      </c>
      <c r="L44" s="10">
        <f>3589.39372766907/1000</f>
        <v>3.5893937276690697</v>
      </c>
      <c r="M44" s="10">
        <f>4075.89740700425/1000</f>
        <v>4.0758974070042502</v>
      </c>
      <c r="N44" s="10">
        <f>6534.2906771922/1000</f>
        <v>6.5342906771921996</v>
      </c>
      <c r="O44" s="37">
        <v>6365717.5204217508</v>
      </c>
      <c r="P44" s="22"/>
      <c r="Q44" s="13"/>
    </row>
    <row r="45" spans="1:17" ht="28.35" customHeight="1">
      <c r="A45" s="6" t="s">
        <v>11</v>
      </c>
      <c r="B45" s="6" t="s">
        <v>20</v>
      </c>
      <c r="C45" s="8">
        <v>1053426.147389957</v>
      </c>
      <c r="D45" s="8">
        <v>919758.10197270988</v>
      </c>
      <c r="E45" s="8">
        <v>-96108.934107097331</v>
      </c>
      <c r="F45" s="8">
        <v>-976950.71245514555</v>
      </c>
      <c r="G45" s="9"/>
      <c r="H45" s="9"/>
      <c r="I45" s="9"/>
      <c r="J45" s="9"/>
      <c r="K45" s="8"/>
      <c r="L45" s="8"/>
      <c r="M45" s="8"/>
      <c r="N45" s="8"/>
      <c r="O45" s="23"/>
      <c r="P45" s="24"/>
    </row>
    <row r="46" spans="1:17" ht="28.35" customHeight="1">
      <c r="A46" s="6" t="s">
        <v>50</v>
      </c>
      <c r="B46" s="6" t="s">
        <v>22</v>
      </c>
      <c r="C46" s="8">
        <v>1585423.8969990253</v>
      </c>
      <c r="D46" s="8">
        <v>1836623.2741374781</v>
      </c>
      <c r="E46" s="8">
        <v>1968568.7787547172</v>
      </c>
      <c r="F46" s="8">
        <v>2174013.5713308491</v>
      </c>
      <c r="G46" s="8">
        <v>165.72236903688574</v>
      </c>
      <c r="H46" s="8">
        <v>248.48287167863546</v>
      </c>
      <c r="I46" s="8">
        <v>461.91296074857178</v>
      </c>
      <c r="J46" s="8">
        <v>1215.2302516860334</v>
      </c>
      <c r="K46" s="10">
        <f>3087.41749355446/1000</f>
        <v>3.0874174935544603</v>
      </c>
      <c r="L46" s="10">
        <f>3768.86341405252/1000</f>
        <v>3.7688634140525199</v>
      </c>
      <c r="M46" s="10">
        <f>4279.69227735446/1000</f>
        <v>4.2796922773544601</v>
      </c>
      <c r="N46" s="10">
        <f>6861.00521105181/1000</f>
        <v>6.8610052110518103</v>
      </c>
      <c r="O46" s="37">
        <v>6419468.6395905353</v>
      </c>
      <c r="P46" s="22"/>
    </row>
    <row r="47" spans="1:17" ht="28.35" customHeight="1">
      <c r="A47" s="6" t="s">
        <v>11</v>
      </c>
      <c r="B47" s="6" t="s">
        <v>20</v>
      </c>
      <c r="C47" s="8">
        <v>1163597.3739967134</v>
      </c>
      <c r="D47" s="8">
        <v>1063918.3354320033</v>
      </c>
      <c r="E47" s="8">
        <v>-97276.849508548388</v>
      </c>
      <c r="F47" s="8">
        <v>-1018722.5486974739</v>
      </c>
      <c r="G47" s="9"/>
      <c r="H47" s="9"/>
      <c r="I47" s="9"/>
      <c r="J47" s="9"/>
      <c r="K47" s="8"/>
      <c r="L47" s="8"/>
      <c r="M47" s="8"/>
      <c r="N47" s="8"/>
      <c r="O47" s="23"/>
      <c r="P47" s="24"/>
    </row>
    <row r="48" spans="1:17" ht="28.35" customHeight="1">
      <c r="A48" s="6" t="s">
        <v>51</v>
      </c>
      <c r="B48" s="29" t="s">
        <v>52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2"/>
    </row>
    <row r="49" spans="1:17" ht="28.35" customHeight="1">
      <c r="A49" s="6" t="s">
        <v>53</v>
      </c>
      <c r="B49" s="6" t="s">
        <v>19</v>
      </c>
      <c r="C49" s="8">
        <v>1585423.8969990253</v>
      </c>
      <c r="D49" s="8">
        <v>1836623.2741374781</v>
      </c>
      <c r="E49" s="8">
        <v>1968568.7787547172</v>
      </c>
      <c r="F49" s="8">
        <v>2174013.5713308491</v>
      </c>
      <c r="G49" s="8">
        <v>165.72236903688574</v>
      </c>
      <c r="H49" s="8">
        <v>248.48287167863546</v>
      </c>
      <c r="I49" s="8">
        <v>461.91296074857178</v>
      </c>
      <c r="J49" s="8">
        <v>1215.2302516860334</v>
      </c>
      <c r="K49" s="10">
        <f>3087.41749355446/1000</f>
        <v>3.0874174935544603</v>
      </c>
      <c r="L49" s="10">
        <f>3768.86341405252/1000</f>
        <v>3.7688634140525199</v>
      </c>
      <c r="M49" s="10">
        <f>4279.69227735446/1000</f>
        <v>4.2796922773544601</v>
      </c>
      <c r="N49" s="10">
        <f>6861.00521105181/1000</f>
        <v>6.8610052110518103</v>
      </c>
      <c r="O49" s="37">
        <v>6650258.7082110308</v>
      </c>
      <c r="P49" s="22"/>
      <c r="Q49" s="13"/>
    </row>
    <row r="50" spans="1:17" ht="28.35" customHeight="1">
      <c r="A50" s="6" t="s">
        <v>11</v>
      </c>
      <c r="B50" s="6" t="s">
        <v>20</v>
      </c>
      <c r="C50" s="8">
        <v>1105433.028730216</v>
      </c>
      <c r="D50" s="8">
        <v>964538.82659157144</v>
      </c>
      <c r="E50" s="8">
        <v>-103783.02805808117</v>
      </c>
      <c r="F50" s="8">
        <v>-1030233.7185091753</v>
      </c>
      <c r="G50" s="9"/>
      <c r="H50" s="9"/>
      <c r="I50" s="9"/>
      <c r="J50" s="9"/>
      <c r="K50" s="8"/>
      <c r="L50" s="8"/>
      <c r="M50" s="8"/>
      <c r="N50" s="8"/>
      <c r="O50" s="23"/>
      <c r="P50" s="24"/>
    </row>
    <row r="51" spans="1:17" ht="28.35" customHeight="1">
      <c r="A51" s="6" t="s">
        <v>54</v>
      </c>
      <c r="B51" s="6" t="s">
        <v>22</v>
      </c>
      <c r="C51" s="8">
        <v>1664695.0918489767</v>
      </c>
      <c r="D51" s="8">
        <v>1928454.4378443521</v>
      </c>
      <c r="E51" s="8">
        <v>2066997.2176924532</v>
      </c>
      <c r="F51" s="8">
        <v>2282714.2498973915</v>
      </c>
      <c r="G51" s="8">
        <v>174.00848748873003</v>
      </c>
      <c r="H51" s="8">
        <v>260.90701526256726</v>
      </c>
      <c r="I51" s="8">
        <v>485.00860878600037</v>
      </c>
      <c r="J51" s="8">
        <v>1275.9917642703351</v>
      </c>
      <c r="K51" s="10">
        <f>3241.78836823218/1000</f>
        <v>3.24178836823218</v>
      </c>
      <c r="L51" s="10">
        <f>3957.30658475515/1000</f>
        <v>3.9573065847551501</v>
      </c>
      <c r="M51" s="10">
        <f>4493.67689122218/1000</f>
        <v>4.4936768912221794</v>
      </c>
      <c r="N51" s="10">
        <f>7204.0554716044/1000</f>
        <v>7.2040554716043994</v>
      </c>
      <c r="O51" s="37">
        <v>6705566.5347999968</v>
      </c>
      <c r="P51" s="22"/>
    </row>
    <row r="52" spans="1:17" ht="28.35" customHeight="1">
      <c r="A52" s="6" t="s">
        <v>11</v>
      </c>
      <c r="B52" s="6" t="s">
        <v>20</v>
      </c>
      <c r="C52" s="8">
        <v>1221163.2850220751</v>
      </c>
      <c r="D52" s="8">
        <v>1115989.600003344</v>
      </c>
      <c r="E52" s="8">
        <v>-105147.47725846129</v>
      </c>
      <c r="F52" s="8">
        <v>-1074305.621586394</v>
      </c>
      <c r="G52" s="9"/>
      <c r="H52" s="9"/>
      <c r="I52" s="9"/>
      <c r="J52" s="9"/>
      <c r="K52" s="8"/>
      <c r="L52" s="8"/>
      <c r="M52" s="8"/>
      <c r="N52" s="8"/>
      <c r="O52" s="23"/>
      <c r="P52" s="24"/>
    </row>
    <row r="53" spans="1:17" ht="28.35" customHeight="1">
      <c r="A53" s="6" t="s">
        <v>55</v>
      </c>
      <c r="B53" s="29" t="s">
        <v>56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2"/>
    </row>
    <row r="54" spans="1:17" ht="28.35" customHeight="1">
      <c r="A54" s="6" t="s">
        <v>57</v>
      </c>
      <c r="B54" s="6" t="s">
        <v>19</v>
      </c>
      <c r="C54" s="8">
        <v>1664695.0918489767</v>
      </c>
      <c r="D54" s="8">
        <v>1928454.4378443521</v>
      </c>
      <c r="E54" s="8">
        <v>2066997.2176924532</v>
      </c>
      <c r="F54" s="8">
        <v>2282714.2498973915</v>
      </c>
      <c r="G54" s="8">
        <v>174.00848748873003</v>
      </c>
      <c r="H54" s="8">
        <v>260.90701526256726</v>
      </c>
      <c r="I54" s="8">
        <v>485.00860878600037</v>
      </c>
      <c r="J54" s="8">
        <v>1275.9917642703351</v>
      </c>
      <c r="K54" s="10">
        <f>3241.78836823218/1000</f>
        <v>3.24178836823218</v>
      </c>
      <c r="L54" s="10">
        <f>3957.30658475515/1000</f>
        <v>3.9573065847551501</v>
      </c>
      <c r="M54" s="10">
        <f>4493.67689122218/1000</f>
        <v>4.4936768912221794</v>
      </c>
      <c r="N54" s="10">
        <f>7204.0554716044/1000</f>
        <v>7.2040554716043994</v>
      </c>
      <c r="O54" s="37">
        <v>6947027.7711960804</v>
      </c>
      <c r="P54" s="22"/>
      <c r="Q54" s="13"/>
    </row>
    <row r="55" spans="1:17" ht="28.35" customHeight="1">
      <c r="A55" s="6" t="s">
        <v>11</v>
      </c>
      <c r="B55" s="6" t="s">
        <v>20</v>
      </c>
      <c r="C55" s="8">
        <v>1160013.6771155805</v>
      </c>
      <c r="D55" s="8">
        <v>1011510.300257182</v>
      </c>
      <c r="E55" s="8">
        <v>-111955.57251327601</v>
      </c>
      <c r="F55" s="8">
        <v>-1086358.2935545724</v>
      </c>
      <c r="G55" s="9"/>
      <c r="H55" s="9"/>
      <c r="I55" s="9"/>
      <c r="J55" s="9"/>
      <c r="K55" s="8"/>
      <c r="L55" s="8"/>
      <c r="M55" s="8"/>
      <c r="N55" s="8"/>
      <c r="O55" s="23"/>
      <c r="P55" s="24"/>
    </row>
    <row r="56" spans="1:17" ht="28.35" customHeight="1">
      <c r="A56" s="6" t="s">
        <v>58</v>
      </c>
      <c r="B56" s="6" t="s">
        <v>22</v>
      </c>
      <c r="C56" s="8">
        <v>1747929.8464414256</v>
      </c>
      <c r="D56" s="8">
        <v>2024877.1597365697</v>
      </c>
      <c r="E56" s="8">
        <v>2170347.0785770761</v>
      </c>
      <c r="F56" s="8">
        <v>2396849.9623922613</v>
      </c>
      <c r="G56" s="8">
        <v>182.70891186316655</v>
      </c>
      <c r="H56" s="8">
        <v>273.95236602569565</v>
      </c>
      <c r="I56" s="8">
        <v>509.2590392253004</v>
      </c>
      <c r="J56" s="8">
        <v>1339.7913524838518</v>
      </c>
      <c r="K56" s="10">
        <f>3403.87778664379/1000</f>
        <v>3.4038777866437901</v>
      </c>
      <c r="L56" s="10">
        <f>4155.1719139929/1000</f>
        <v>4.1551719139929002</v>
      </c>
      <c r="M56" s="10">
        <f>4718.36073578329/1000</f>
        <v>4.71836073578329</v>
      </c>
      <c r="N56" s="10">
        <f>7564.25824518462/1000</f>
        <v>7.5642582451846199</v>
      </c>
      <c r="O56" s="37">
        <v>7003913.1762449248</v>
      </c>
      <c r="P56" s="22"/>
    </row>
    <row r="57" spans="1:17" ht="28.35" customHeight="1">
      <c r="A57" s="6" t="s">
        <v>11</v>
      </c>
      <c r="B57" s="6" t="s">
        <v>20</v>
      </c>
      <c r="C57" s="8">
        <v>1281582.9333095248</v>
      </c>
      <c r="D57" s="8">
        <v>1170619.4417478461</v>
      </c>
      <c r="E57" s="8">
        <v>-113531.90771968197</v>
      </c>
      <c r="F57" s="8">
        <v>-1132853.7258032057</v>
      </c>
      <c r="G57" s="9"/>
      <c r="H57" s="9"/>
      <c r="I57" s="9"/>
      <c r="J57" s="9"/>
      <c r="K57" s="8"/>
      <c r="L57" s="8"/>
      <c r="M57" s="8"/>
      <c r="N57" s="8"/>
      <c r="O57" s="23"/>
      <c r="P57" s="24"/>
    </row>
    <row r="58" spans="1:17">
      <c r="A58" s="11" t="s">
        <v>60</v>
      </c>
      <c r="B58" s="47" t="s">
        <v>59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2"/>
    </row>
    <row r="59" spans="1:17" ht="22.5" customHeight="1">
      <c r="A59" s="11" t="s">
        <v>61</v>
      </c>
      <c r="B59" s="6" t="s">
        <v>19</v>
      </c>
      <c r="C59" s="8">
        <v>1747929.8464414256</v>
      </c>
      <c r="D59" s="8">
        <v>2024877.1597365697</v>
      </c>
      <c r="E59" s="8">
        <v>2170347.0785770761</v>
      </c>
      <c r="F59" s="8">
        <v>2396849.9623922613</v>
      </c>
      <c r="G59" s="8">
        <v>182.70891186316655</v>
      </c>
      <c r="H59" s="8">
        <v>273.95236602569565</v>
      </c>
      <c r="I59" s="8">
        <v>509.2590392253004</v>
      </c>
      <c r="J59" s="8">
        <v>1339.7913524838518</v>
      </c>
      <c r="K59" s="10">
        <f>3403.87778664379/1000</f>
        <v>3.4038777866437901</v>
      </c>
      <c r="L59" s="10">
        <f>4155.1719139929/1000</f>
        <v>4.1551719139929002</v>
      </c>
      <c r="M59" s="10">
        <f>4718.36073578329/1000</f>
        <v>4.71836073578329</v>
      </c>
      <c r="N59" s="10">
        <f>7564.25824518462/1000</f>
        <v>7.5642582451846199</v>
      </c>
      <c r="O59" s="37">
        <v>7256517.172448569</v>
      </c>
      <c r="P59" s="22"/>
      <c r="Q59" s="13"/>
    </row>
    <row r="60" spans="1:17" ht="21.75" customHeight="1">
      <c r="A60" s="6" t="s">
        <v>11</v>
      </c>
      <c r="B60" s="6" t="s">
        <v>20</v>
      </c>
      <c r="C60" s="8">
        <v>1217295.7177921492</v>
      </c>
      <c r="D60" s="8">
        <v>1060780.1288885796</v>
      </c>
      <c r="E60" s="8">
        <v>-120656.07993930578</v>
      </c>
      <c r="F60" s="8">
        <v>-1145473.6129572126</v>
      </c>
      <c r="G60" s="9"/>
      <c r="H60" s="9"/>
      <c r="I60" s="9"/>
      <c r="J60" s="9"/>
      <c r="K60" s="8"/>
      <c r="L60" s="8"/>
      <c r="M60" s="8"/>
      <c r="N60" s="8"/>
      <c r="O60" s="23"/>
      <c r="P60" s="24"/>
    </row>
    <row r="61" spans="1:17" ht="22.5" customHeight="1">
      <c r="A61" s="11" t="s">
        <v>62</v>
      </c>
      <c r="B61" s="6" t="s">
        <v>22</v>
      </c>
      <c r="C61" s="8">
        <v>1835326.3387634971</v>
      </c>
      <c r="D61" s="8">
        <v>2126121.0177233983</v>
      </c>
      <c r="E61" s="8">
        <v>2278864.4325059298</v>
      </c>
      <c r="F61" s="8">
        <v>2516692.4605118744</v>
      </c>
      <c r="G61" s="8">
        <v>191.84435745632487</v>
      </c>
      <c r="H61" s="8">
        <v>287.64998432698047</v>
      </c>
      <c r="I61" s="8">
        <v>534.72199118656545</v>
      </c>
      <c r="J61" s="8">
        <v>1406.7809201080445</v>
      </c>
      <c r="K61" s="10">
        <f>3574.07167597598/1000</f>
        <v>3.5740716759759796</v>
      </c>
      <c r="L61" s="10">
        <f>4362.93050969255/1000</f>
        <v>4.3629305096925499</v>
      </c>
      <c r="M61" s="10">
        <f>4954.27877257246/1000</f>
        <v>4.9542787725724597</v>
      </c>
      <c r="N61" s="10">
        <f>7942.47115744386/1000</f>
        <v>7.94247115744386</v>
      </c>
      <c r="O61" s="37">
        <v>7314999.0881552771</v>
      </c>
      <c r="P61" s="22"/>
    </row>
    <row r="62" spans="1:17" ht="25.5" customHeight="1">
      <c r="A62" s="6" t="s">
        <v>11</v>
      </c>
      <c r="B62" s="6" t="s">
        <v>20</v>
      </c>
      <c r="C62" s="8">
        <v>1344998.0233672399</v>
      </c>
      <c r="D62" s="8">
        <v>1227933.9900391591</v>
      </c>
      <c r="E62" s="8">
        <v>-122460.64199512964</v>
      </c>
      <c r="F62" s="8">
        <v>-1194522.548198448</v>
      </c>
      <c r="G62" s="9"/>
      <c r="H62" s="9"/>
      <c r="I62" s="9"/>
      <c r="J62" s="9"/>
      <c r="K62" s="8"/>
      <c r="L62" s="8"/>
      <c r="M62" s="8"/>
      <c r="N62" s="8"/>
      <c r="O62" s="23"/>
      <c r="P62" s="24"/>
    </row>
  </sheetData>
  <mergeCells count="51">
    <mergeCell ref="O61:P62"/>
    <mergeCell ref="O29:P30"/>
    <mergeCell ref="B33:P33"/>
    <mergeCell ref="O31:P32"/>
    <mergeCell ref="B58:P58"/>
    <mergeCell ref="O59:P60"/>
    <mergeCell ref="B38:P38"/>
    <mergeCell ref="O39:P40"/>
    <mergeCell ref="O41:P42"/>
    <mergeCell ref="O44:P45"/>
    <mergeCell ref="O46:P47"/>
    <mergeCell ref="O54:P55"/>
    <mergeCell ref="O56:P57"/>
    <mergeCell ref="B53:P53"/>
    <mergeCell ref="B43:P43"/>
    <mergeCell ref="B48:P48"/>
    <mergeCell ref="O49:P50"/>
    <mergeCell ref="O51:P52"/>
    <mergeCell ref="O7:P7"/>
    <mergeCell ref="O9:P10"/>
    <mergeCell ref="O11:P12"/>
    <mergeCell ref="O34:P35"/>
    <mergeCell ref="O36:P37"/>
    <mergeCell ref="B8:P8"/>
    <mergeCell ref="B13:P13"/>
    <mergeCell ref="O14:P15"/>
    <mergeCell ref="O16:P17"/>
    <mergeCell ref="B18:P18"/>
    <mergeCell ref="O19:P20"/>
    <mergeCell ref="O21:P22"/>
    <mergeCell ref="B23:P23"/>
    <mergeCell ref="O24:P25"/>
    <mergeCell ref="A1:P1"/>
    <mergeCell ref="C3:J3"/>
    <mergeCell ref="C4:F4"/>
    <mergeCell ref="A3:A6"/>
    <mergeCell ref="B3:B6"/>
    <mergeCell ref="C5:F5"/>
    <mergeCell ref="G4:J4"/>
    <mergeCell ref="C6:F6"/>
    <mergeCell ref="G5:J5"/>
    <mergeCell ref="G6:J6"/>
    <mergeCell ref="K3:N4"/>
    <mergeCell ref="K5:N5"/>
    <mergeCell ref="K6:N6"/>
    <mergeCell ref="O3:P6"/>
    <mergeCell ref="Q25:R26"/>
    <mergeCell ref="Q17:R18"/>
    <mergeCell ref="R20:S21"/>
    <mergeCell ref="O26:P27"/>
    <mergeCell ref="B28:P28"/>
  </mergeCells>
  <pageMargins left="0.79000002145767201" right="0.79000002145767201" top="0.79000002145767201" bottom="0.79000002145767201" header="0.19680555164814001" footer="0.19680555164814001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Маркова</dc:creator>
  <cp:lastModifiedBy>Ольга Маркова</cp:lastModifiedBy>
  <dcterms:created xsi:type="dcterms:W3CDTF">2024-05-29T11:06:31Z</dcterms:created>
  <dcterms:modified xsi:type="dcterms:W3CDTF">2024-05-31T05:49:13Z</dcterms:modified>
</cp:coreProperties>
</file>